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Master of Pay" sheetId="19" r:id="rId1"/>
    <sheet name="PAY SLIPS" sheetId="1" r:id="rId2"/>
    <sheet name="GIS" sheetId="22" r:id="rId3"/>
    <sheet name="GPF &amp; GPF LOAN" sheetId="20" r:id="rId4"/>
    <sheet name="GLI" sheetId="21" r:id="rId5"/>
    <sheet name="PT" sheetId="23" r:id="rId6"/>
    <sheet name="IT" sheetId="24" r:id="rId7"/>
    <sheet name="Bank Copy" sheetId="28" r:id="rId8"/>
  </sheets>
  <definedNames>
    <definedName name="_xlnm.Print_Area" localSheetId="0">'Master of Pay'!$A$1:$AI$34</definedName>
    <definedName name="_xlnm.Print_Titles" localSheetId="0">'Master of Pay'!$B:$C</definedName>
  </definedNames>
  <calcPr calcId="124519"/>
</workbook>
</file>

<file path=xl/calcChain.xml><?xml version="1.0" encoding="utf-8"?>
<calcChain xmlns="http://schemas.openxmlformats.org/spreadsheetml/2006/main">
  <c r="E29" i="28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E5"/>
  <c r="D5"/>
  <c r="E4"/>
  <c r="D4"/>
  <c r="E3"/>
  <c r="D3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4"/>
  <c r="C3"/>
  <c r="C12" i="24"/>
  <c r="C11"/>
  <c r="C10"/>
  <c r="C9"/>
  <c r="C8"/>
  <c r="C7"/>
  <c r="C6"/>
  <c r="C5"/>
  <c r="D12"/>
  <c r="D11"/>
  <c r="D10"/>
  <c r="C31" i="23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D28" i="21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24" i="20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C29" i="22"/>
  <c r="C28"/>
  <c r="C18"/>
  <c r="C19"/>
  <c r="C20"/>
  <c r="C21"/>
  <c r="C22"/>
  <c r="C23"/>
  <c r="C24"/>
  <c r="C25"/>
  <c r="C26"/>
  <c r="C17"/>
  <c r="C16"/>
  <c r="C7"/>
  <c r="C8"/>
  <c r="C9"/>
  <c r="C10"/>
  <c r="C11"/>
  <c r="C12"/>
  <c r="C13"/>
  <c r="C14"/>
  <c r="C30"/>
  <c r="C6"/>
  <c r="C5"/>
  <c r="Z31" i="19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E12" i="24" l="1"/>
  <c r="E11"/>
  <c r="E10"/>
  <c r="N34" i="19"/>
  <c r="G8" i="28"/>
  <c r="G7"/>
  <c r="D30" i="23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29" i="22"/>
  <c r="D28"/>
  <c r="D26"/>
  <c r="D25"/>
  <c r="D24"/>
  <c r="D23"/>
  <c r="D22"/>
  <c r="D21"/>
  <c r="D20"/>
  <c r="D19"/>
  <c r="D18"/>
  <c r="D17"/>
  <c r="D16"/>
  <c r="D14"/>
  <c r="D13"/>
  <c r="D12"/>
  <c r="D11"/>
  <c r="D10"/>
  <c r="D9"/>
  <c r="D8"/>
  <c r="D7"/>
  <c r="D6"/>
  <c r="D5"/>
  <c r="E28" i="21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F24" i="20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E24"/>
  <c r="G24" s="1"/>
  <c r="E23"/>
  <c r="G23" s="1"/>
  <c r="E22"/>
  <c r="G22" s="1"/>
  <c r="E21"/>
  <c r="G21" s="1"/>
  <c r="E20"/>
  <c r="G20" s="1"/>
  <c r="E19"/>
  <c r="G19" s="1"/>
  <c r="E18"/>
  <c r="G18" s="1"/>
  <c r="E17"/>
  <c r="E16"/>
  <c r="G16" s="1"/>
  <c r="E15"/>
  <c r="G15" s="1"/>
  <c r="E14"/>
  <c r="G14" s="1"/>
  <c r="E13"/>
  <c r="G13" s="1"/>
  <c r="E12"/>
  <c r="G12" s="1"/>
  <c r="E11"/>
  <c r="G11" s="1"/>
  <c r="E10"/>
  <c r="G10" s="1"/>
  <c r="E9"/>
  <c r="G9" s="1"/>
  <c r="E8"/>
  <c r="G8" s="1"/>
  <c r="E7"/>
  <c r="G7" s="1"/>
  <c r="E6"/>
  <c r="G6" s="1"/>
  <c r="E5"/>
  <c r="G5" s="1"/>
  <c r="D27" i="22" l="1"/>
  <c r="G17" i="20"/>
  <c r="E29" i="21"/>
  <c r="D702" i="1"/>
  <c r="D675"/>
  <c r="D692" s="1"/>
  <c r="D649"/>
  <c r="D622"/>
  <c r="D638" s="1"/>
  <c r="D596"/>
  <c r="D569"/>
  <c r="D585" s="1"/>
  <c r="D543"/>
  <c r="D516"/>
  <c r="D490"/>
  <c r="D463"/>
  <c r="D479" s="1"/>
  <c r="D437"/>
  <c r="D410"/>
  <c r="D426" s="1"/>
  <c r="D384"/>
  <c r="D357"/>
  <c r="D373" s="1"/>
  <c r="D331"/>
  <c r="D304"/>
  <c r="D320" s="1"/>
  <c r="D278"/>
  <c r="D251"/>
  <c r="D268" s="1"/>
  <c r="D225"/>
  <c r="D198"/>
  <c r="D214" s="1"/>
  <c r="D172"/>
  <c r="D145"/>
  <c r="D161" s="1"/>
  <c r="D119"/>
  <c r="D135" s="1"/>
  <c r="D719"/>
  <c r="D666"/>
  <c r="D613"/>
  <c r="D560"/>
  <c r="D532"/>
  <c r="D507"/>
  <c r="D454"/>
  <c r="D401"/>
  <c r="G339"/>
  <c r="D295"/>
  <c r="D242"/>
  <c r="D189"/>
  <c r="D92"/>
  <c r="D109" s="1"/>
  <c r="D66"/>
  <c r="D83" s="1"/>
  <c r="D38"/>
  <c r="D55" s="1"/>
  <c r="AG34" i="19"/>
  <c r="AH33"/>
  <c r="AF34"/>
  <c r="AE34"/>
  <c r="AD34"/>
  <c r="AA34"/>
  <c r="Y34"/>
  <c r="X34"/>
  <c r="W34"/>
  <c r="V34"/>
  <c r="T34"/>
  <c r="S34"/>
  <c r="R34"/>
  <c r="Q34"/>
  <c r="P34"/>
  <c r="O34"/>
  <c r="J34"/>
  <c r="K33"/>
  <c r="L33"/>
  <c r="M33"/>
  <c r="D703" i="1" l="1"/>
  <c r="D704"/>
  <c r="D705"/>
  <c r="D709"/>
  <c r="J709"/>
  <c r="G710"/>
  <c r="D711"/>
  <c r="J711"/>
  <c r="G712"/>
  <c r="D713"/>
  <c r="D714"/>
  <c r="D715"/>
  <c r="D716"/>
  <c r="D718"/>
  <c r="J702"/>
  <c r="J703"/>
  <c r="J704"/>
  <c r="J705"/>
  <c r="G709"/>
  <c r="D710"/>
  <c r="J710"/>
  <c r="G711"/>
  <c r="J712"/>
  <c r="G713"/>
  <c r="G715"/>
  <c r="D717"/>
  <c r="D676"/>
  <c r="D677"/>
  <c r="D678"/>
  <c r="D682"/>
  <c r="J682"/>
  <c r="G683"/>
  <c r="J684"/>
  <c r="G685"/>
  <c r="D686"/>
  <c r="D687"/>
  <c r="D688"/>
  <c r="D689"/>
  <c r="D691"/>
  <c r="J675"/>
  <c r="J676"/>
  <c r="J677"/>
  <c r="J678"/>
  <c r="G682"/>
  <c r="J683"/>
  <c r="G684"/>
  <c r="J685"/>
  <c r="G686"/>
  <c r="G688"/>
  <c r="D690"/>
  <c r="D650"/>
  <c r="D651"/>
  <c r="D652"/>
  <c r="D656"/>
  <c r="J656"/>
  <c r="G657"/>
  <c r="D658"/>
  <c r="J658"/>
  <c r="G659"/>
  <c r="D660"/>
  <c r="D661"/>
  <c r="D662"/>
  <c r="D663"/>
  <c r="D665"/>
  <c r="J649"/>
  <c r="J650"/>
  <c r="J651"/>
  <c r="J652"/>
  <c r="G656"/>
  <c r="D657"/>
  <c r="J657"/>
  <c r="G658"/>
  <c r="J659"/>
  <c r="G660"/>
  <c r="G661"/>
  <c r="G662"/>
  <c r="D664"/>
  <c r="J622"/>
  <c r="J623"/>
  <c r="J624"/>
  <c r="J625"/>
  <c r="G629"/>
  <c r="D630"/>
  <c r="J630"/>
  <c r="G631"/>
  <c r="J632"/>
  <c r="G633"/>
  <c r="G634"/>
  <c r="G635"/>
  <c r="D637"/>
  <c r="D639"/>
  <c r="D623"/>
  <c r="D624"/>
  <c r="D625"/>
  <c r="D629"/>
  <c r="J629"/>
  <c r="G630"/>
  <c r="D631"/>
  <c r="J631"/>
  <c r="G632"/>
  <c r="D633"/>
  <c r="D634"/>
  <c r="D635"/>
  <c r="D636"/>
  <c r="D597"/>
  <c r="D598"/>
  <c r="D599"/>
  <c r="D603"/>
  <c r="J603"/>
  <c r="G604"/>
  <c r="D605"/>
  <c r="J605"/>
  <c r="G606"/>
  <c r="D607"/>
  <c r="D608"/>
  <c r="D609"/>
  <c r="D610"/>
  <c r="D612"/>
  <c r="J596"/>
  <c r="J597"/>
  <c r="J598"/>
  <c r="J599"/>
  <c r="G603"/>
  <c r="D604"/>
  <c r="J604"/>
  <c r="G605"/>
  <c r="J606"/>
  <c r="G607"/>
  <c r="G608"/>
  <c r="G609"/>
  <c r="D611"/>
  <c r="J569"/>
  <c r="J570"/>
  <c r="J571"/>
  <c r="J572"/>
  <c r="G576"/>
  <c r="D577"/>
  <c r="J577"/>
  <c r="G578"/>
  <c r="J579"/>
  <c r="G580"/>
  <c r="G581"/>
  <c r="G582"/>
  <c r="D584"/>
  <c r="D586"/>
  <c r="D570"/>
  <c r="D571"/>
  <c r="D572"/>
  <c r="D576"/>
  <c r="J576"/>
  <c r="G577"/>
  <c r="D578"/>
  <c r="J578"/>
  <c r="G579"/>
  <c r="D580"/>
  <c r="D581"/>
  <c r="D582"/>
  <c r="D583"/>
  <c r="D544"/>
  <c r="D545"/>
  <c r="D546"/>
  <c r="D550"/>
  <c r="J550"/>
  <c r="G551"/>
  <c r="D552"/>
  <c r="J552"/>
  <c r="G553"/>
  <c r="D554"/>
  <c r="D555"/>
  <c r="D556"/>
  <c r="D557"/>
  <c r="D559"/>
  <c r="J543"/>
  <c r="J544"/>
  <c r="J545"/>
  <c r="J546"/>
  <c r="G550"/>
  <c r="D551"/>
  <c r="J551"/>
  <c r="G552"/>
  <c r="J553"/>
  <c r="G554"/>
  <c r="G555"/>
  <c r="G556"/>
  <c r="D558"/>
  <c r="J516"/>
  <c r="J517"/>
  <c r="J518"/>
  <c r="J519"/>
  <c r="G523"/>
  <c r="D524"/>
  <c r="J524"/>
  <c r="G525"/>
  <c r="J526"/>
  <c r="G527"/>
  <c r="G528"/>
  <c r="G529"/>
  <c r="D531"/>
  <c r="D533"/>
  <c r="D517"/>
  <c r="D518"/>
  <c r="D519"/>
  <c r="D523"/>
  <c r="J523"/>
  <c r="G524"/>
  <c r="D525"/>
  <c r="J525"/>
  <c r="G526"/>
  <c r="D527"/>
  <c r="D528"/>
  <c r="D529"/>
  <c r="D530"/>
  <c r="D491"/>
  <c r="D492"/>
  <c r="D493"/>
  <c r="D497"/>
  <c r="J497"/>
  <c r="G498"/>
  <c r="D499"/>
  <c r="J499"/>
  <c r="G500"/>
  <c r="D501"/>
  <c r="D502"/>
  <c r="D503"/>
  <c r="D504"/>
  <c r="D506"/>
  <c r="J490"/>
  <c r="J491"/>
  <c r="J492"/>
  <c r="J493"/>
  <c r="G497"/>
  <c r="D498"/>
  <c r="J498"/>
  <c r="G499"/>
  <c r="J500"/>
  <c r="G501"/>
  <c r="G502"/>
  <c r="G503"/>
  <c r="D505"/>
  <c r="J463"/>
  <c r="J464"/>
  <c r="J465"/>
  <c r="J466"/>
  <c r="G470"/>
  <c r="D471"/>
  <c r="J471"/>
  <c r="G472"/>
  <c r="J473"/>
  <c r="G474"/>
  <c r="G475"/>
  <c r="G476"/>
  <c r="D478"/>
  <c r="D480"/>
  <c r="D464"/>
  <c r="D465"/>
  <c r="D466"/>
  <c r="D470"/>
  <c r="J470"/>
  <c r="G471"/>
  <c r="D472"/>
  <c r="J472"/>
  <c r="G473"/>
  <c r="D474"/>
  <c r="D475"/>
  <c r="D476"/>
  <c r="D477"/>
  <c r="D438"/>
  <c r="D439"/>
  <c r="D440"/>
  <c r="D444"/>
  <c r="J444"/>
  <c r="G445"/>
  <c r="D446"/>
  <c r="J446"/>
  <c r="G447"/>
  <c r="D448"/>
  <c r="D449"/>
  <c r="D450"/>
  <c r="D451"/>
  <c r="D453"/>
  <c r="J437"/>
  <c r="J438"/>
  <c r="J439"/>
  <c r="J440"/>
  <c r="G444"/>
  <c r="D445"/>
  <c r="J445"/>
  <c r="G446"/>
  <c r="J447"/>
  <c r="G448"/>
  <c r="G449"/>
  <c r="G450"/>
  <c r="D452"/>
  <c r="J410"/>
  <c r="J411"/>
  <c r="J412"/>
  <c r="J413"/>
  <c r="G417"/>
  <c r="D418"/>
  <c r="J418"/>
  <c r="G419"/>
  <c r="J420"/>
  <c r="G421"/>
  <c r="G422"/>
  <c r="G423"/>
  <c r="D425"/>
  <c r="D427"/>
  <c r="D411"/>
  <c r="D412"/>
  <c r="D413"/>
  <c r="D417"/>
  <c r="J417"/>
  <c r="G418"/>
  <c r="D419"/>
  <c r="J419"/>
  <c r="G420"/>
  <c r="D421"/>
  <c r="D422"/>
  <c r="D423"/>
  <c r="D424"/>
  <c r="D385"/>
  <c r="D386"/>
  <c r="D387"/>
  <c r="D391"/>
  <c r="J391"/>
  <c r="G392"/>
  <c r="D393"/>
  <c r="J393"/>
  <c r="G394"/>
  <c r="D395"/>
  <c r="D396"/>
  <c r="D397"/>
  <c r="D398"/>
  <c r="D400"/>
  <c r="J384"/>
  <c r="J385"/>
  <c r="J386"/>
  <c r="J387"/>
  <c r="G391"/>
  <c r="D392"/>
  <c r="J392"/>
  <c r="G393"/>
  <c r="J394"/>
  <c r="G395"/>
  <c r="G396"/>
  <c r="G397"/>
  <c r="D399"/>
  <c r="J357"/>
  <c r="J358"/>
  <c r="J359"/>
  <c r="J360"/>
  <c r="G364"/>
  <c r="D365"/>
  <c r="J365"/>
  <c r="G366"/>
  <c r="J367"/>
  <c r="G368"/>
  <c r="G369"/>
  <c r="G370"/>
  <c r="D372"/>
  <c r="D374"/>
  <c r="D358"/>
  <c r="D359"/>
  <c r="D360"/>
  <c r="D364"/>
  <c r="J364"/>
  <c r="G365"/>
  <c r="D366"/>
  <c r="J366"/>
  <c r="G367"/>
  <c r="D368"/>
  <c r="D369"/>
  <c r="D370"/>
  <c r="D371"/>
  <c r="D332"/>
  <c r="D333"/>
  <c r="D334"/>
  <c r="D338"/>
  <c r="J338"/>
  <c r="D340"/>
  <c r="J340"/>
  <c r="G341"/>
  <c r="D342"/>
  <c r="D343"/>
  <c r="D344"/>
  <c r="D345"/>
  <c r="D347"/>
  <c r="J331"/>
  <c r="J332"/>
  <c r="J333"/>
  <c r="J334"/>
  <c r="G338"/>
  <c r="D339"/>
  <c r="J339"/>
  <c r="G340"/>
  <c r="J341"/>
  <c r="G342"/>
  <c r="G343"/>
  <c r="G344"/>
  <c r="D346"/>
  <c r="D348"/>
  <c r="J304"/>
  <c r="J305"/>
  <c r="J306"/>
  <c r="J307"/>
  <c r="G311"/>
  <c r="D312"/>
  <c r="J312"/>
  <c r="G313"/>
  <c r="J314"/>
  <c r="G315"/>
  <c r="G316"/>
  <c r="G317"/>
  <c r="D319"/>
  <c r="D321"/>
  <c r="D305"/>
  <c r="D306"/>
  <c r="D307"/>
  <c r="D311"/>
  <c r="J311"/>
  <c r="G312"/>
  <c r="D313"/>
  <c r="J313"/>
  <c r="G314"/>
  <c r="D315"/>
  <c r="D316"/>
  <c r="D317"/>
  <c r="D318"/>
  <c r="D279"/>
  <c r="D280"/>
  <c r="D281"/>
  <c r="D285"/>
  <c r="J285"/>
  <c r="G286"/>
  <c r="D287"/>
  <c r="J287"/>
  <c r="G288"/>
  <c r="D289"/>
  <c r="D290"/>
  <c r="D291"/>
  <c r="D292"/>
  <c r="D294"/>
  <c r="J278"/>
  <c r="J279"/>
  <c r="J280"/>
  <c r="J281"/>
  <c r="G285"/>
  <c r="D286"/>
  <c r="J286"/>
  <c r="G287"/>
  <c r="J288"/>
  <c r="G289"/>
  <c r="G290"/>
  <c r="G291"/>
  <c r="D293"/>
  <c r="D252"/>
  <c r="D253"/>
  <c r="D254"/>
  <c r="D258"/>
  <c r="J258"/>
  <c r="G259"/>
  <c r="D260"/>
  <c r="J260"/>
  <c r="G261"/>
  <c r="D262"/>
  <c r="D263"/>
  <c r="D264"/>
  <c r="D265"/>
  <c r="D267"/>
  <c r="J251"/>
  <c r="J252"/>
  <c r="J253"/>
  <c r="J254"/>
  <c r="G258"/>
  <c r="D259"/>
  <c r="J259"/>
  <c r="G260"/>
  <c r="J261"/>
  <c r="G262"/>
  <c r="G263"/>
  <c r="G264"/>
  <c r="D266"/>
  <c r="D226"/>
  <c r="D227"/>
  <c r="D228"/>
  <c r="D232"/>
  <c r="J232"/>
  <c r="G233"/>
  <c r="D234"/>
  <c r="J234"/>
  <c r="G235"/>
  <c r="D236"/>
  <c r="D237"/>
  <c r="D238"/>
  <c r="D239"/>
  <c r="D241"/>
  <c r="J225"/>
  <c r="J226"/>
  <c r="J227"/>
  <c r="J228"/>
  <c r="G232"/>
  <c r="D233"/>
  <c r="J233"/>
  <c r="G234"/>
  <c r="J235"/>
  <c r="G236"/>
  <c r="G237"/>
  <c r="G238"/>
  <c r="D240"/>
  <c r="J198"/>
  <c r="J199"/>
  <c r="J200"/>
  <c r="J201"/>
  <c r="G205"/>
  <c r="D206"/>
  <c r="J206"/>
  <c r="G207"/>
  <c r="J208"/>
  <c r="G209"/>
  <c r="G210"/>
  <c r="G211"/>
  <c r="D213"/>
  <c r="D215"/>
  <c r="D199"/>
  <c r="D200"/>
  <c r="D201"/>
  <c r="D205"/>
  <c r="J205"/>
  <c r="G206"/>
  <c r="D207"/>
  <c r="J207"/>
  <c r="G208"/>
  <c r="D209"/>
  <c r="D210"/>
  <c r="D211"/>
  <c r="D212"/>
  <c r="D173"/>
  <c r="D174"/>
  <c r="D175"/>
  <c r="D179"/>
  <c r="J179"/>
  <c r="G180"/>
  <c r="D181"/>
  <c r="J181"/>
  <c r="G182"/>
  <c r="D183"/>
  <c r="D184"/>
  <c r="D185"/>
  <c r="D186"/>
  <c r="D188"/>
  <c r="J172"/>
  <c r="J173"/>
  <c r="J174"/>
  <c r="J175"/>
  <c r="G179"/>
  <c r="D180"/>
  <c r="J180"/>
  <c r="G181"/>
  <c r="J182"/>
  <c r="G183"/>
  <c r="G184"/>
  <c r="G185"/>
  <c r="D187"/>
  <c r="J145"/>
  <c r="J146"/>
  <c r="J147"/>
  <c r="J148"/>
  <c r="G152"/>
  <c r="D153"/>
  <c r="J153"/>
  <c r="G154"/>
  <c r="J155"/>
  <c r="G156"/>
  <c r="G157"/>
  <c r="G158"/>
  <c r="D160"/>
  <c r="D162"/>
  <c r="D146"/>
  <c r="D147"/>
  <c r="D148"/>
  <c r="D152"/>
  <c r="J152"/>
  <c r="G153"/>
  <c r="D154"/>
  <c r="J154"/>
  <c r="G155"/>
  <c r="D156"/>
  <c r="D157"/>
  <c r="D158"/>
  <c r="D159"/>
  <c r="J119"/>
  <c r="J120"/>
  <c r="J121"/>
  <c r="J122"/>
  <c r="G126"/>
  <c r="D127"/>
  <c r="J127"/>
  <c r="G128"/>
  <c r="J129"/>
  <c r="G130"/>
  <c r="G131"/>
  <c r="G132"/>
  <c r="D134"/>
  <c r="D136"/>
  <c r="D120"/>
  <c r="D121"/>
  <c r="D122"/>
  <c r="D126"/>
  <c r="J126"/>
  <c r="G127"/>
  <c r="D128"/>
  <c r="J128"/>
  <c r="G129"/>
  <c r="D130"/>
  <c r="D131"/>
  <c r="D132"/>
  <c r="D133"/>
  <c r="D93"/>
  <c r="D94"/>
  <c r="D95"/>
  <c r="D99"/>
  <c r="J99"/>
  <c r="G100"/>
  <c r="D101"/>
  <c r="J101"/>
  <c r="G102"/>
  <c r="D103"/>
  <c r="D104"/>
  <c r="D105"/>
  <c r="D106"/>
  <c r="D108"/>
  <c r="J92"/>
  <c r="J93"/>
  <c r="J94"/>
  <c r="J95"/>
  <c r="G99"/>
  <c r="D100"/>
  <c r="J100"/>
  <c r="G101"/>
  <c r="J102"/>
  <c r="G103"/>
  <c r="G104"/>
  <c r="G105"/>
  <c r="D107"/>
  <c r="D67"/>
  <c r="D68"/>
  <c r="D69"/>
  <c r="D73"/>
  <c r="J73"/>
  <c r="G74"/>
  <c r="D75"/>
  <c r="J75"/>
  <c r="G76"/>
  <c r="D77"/>
  <c r="D78"/>
  <c r="D79"/>
  <c r="D80"/>
  <c r="D82"/>
  <c r="J66"/>
  <c r="J67"/>
  <c r="J68"/>
  <c r="J69"/>
  <c r="G73"/>
  <c r="D74"/>
  <c r="J74"/>
  <c r="G75"/>
  <c r="J76"/>
  <c r="G77"/>
  <c r="G78"/>
  <c r="G79"/>
  <c r="D81"/>
  <c r="D39"/>
  <c r="D40"/>
  <c r="D41"/>
  <c r="D45"/>
  <c r="J45"/>
  <c r="G46"/>
  <c r="D47"/>
  <c r="J47"/>
  <c r="G48"/>
  <c r="D49"/>
  <c r="D50"/>
  <c r="D51"/>
  <c r="D52"/>
  <c r="D54"/>
  <c r="J38"/>
  <c r="J39"/>
  <c r="J40"/>
  <c r="J41"/>
  <c r="G45"/>
  <c r="D46"/>
  <c r="J46"/>
  <c r="G47"/>
  <c r="J48"/>
  <c r="G49"/>
  <c r="G50"/>
  <c r="G51"/>
  <c r="D53"/>
  <c r="U33" i="19"/>
  <c r="D32" i="23"/>
  <c r="Z33" i="19" l="1"/>
  <c r="J163" i="1"/>
  <c r="J216"/>
  <c r="J322"/>
  <c r="J534"/>
  <c r="J587"/>
  <c r="J375"/>
  <c r="J428"/>
  <c r="J640"/>
  <c r="J84"/>
  <c r="J720"/>
  <c r="J693"/>
  <c r="G667"/>
  <c r="J667"/>
  <c r="G640"/>
  <c r="G614"/>
  <c r="J614"/>
  <c r="G587"/>
  <c r="G561"/>
  <c r="J561"/>
  <c r="G534"/>
  <c r="G508"/>
  <c r="J508"/>
  <c r="J481"/>
  <c r="G481"/>
  <c r="G455"/>
  <c r="J455"/>
  <c r="G428"/>
  <c r="G402"/>
  <c r="J402"/>
  <c r="G375"/>
  <c r="J349"/>
  <c r="G349"/>
  <c r="G322"/>
  <c r="G296"/>
  <c r="J296"/>
  <c r="J269"/>
  <c r="G269"/>
  <c r="G243"/>
  <c r="J243"/>
  <c r="G216"/>
  <c r="G190"/>
  <c r="J190"/>
  <c r="G163"/>
  <c r="J137"/>
  <c r="G137"/>
  <c r="D712"/>
  <c r="D720" s="1"/>
  <c r="D685"/>
  <c r="D659"/>
  <c r="D667" s="1"/>
  <c r="D632"/>
  <c r="D640" s="1"/>
  <c r="D606"/>
  <c r="D614" s="1"/>
  <c r="D579"/>
  <c r="D587" s="1"/>
  <c r="D589" s="1"/>
  <c r="D553"/>
  <c r="D561" s="1"/>
  <c r="D526"/>
  <c r="D534" s="1"/>
  <c r="D500"/>
  <c r="D508" s="1"/>
  <c r="D473"/>
  <c r="D481" s="1"/>
  <c r="D447"/>
  <c r="D455" s="1"/>
  <c r="D420"/>
  <c r="D428" s="1"/>
  <c r="D430" s="1"/>
  <c r="D394"/>
  <c r="D402" s="1"/>
  <c r="D367"/>
  <c r="D375" s="1"/>
  <c r="D341"/>
  <c r="D349" s="1"/>
  <c r="D314"/>
  <c r="D322" s="1"/>
  <c r="D324" s="1"/>
  <c r="D288"/>
  <c r="D296" s="1"/>
  <c r="D261"/>
  <c r="D269" s="1"/>
  <c r="D235"/>
  <c r="D243" s="1"/>
  <c r="D208"/>
  <c r="D216" s="1"/>
  <c r="D182"/>
  <c r="D190" s="1"/>
  <c r="D155"/>
  <c r="D163" s="1"/>
  <c r="D165" s="1"/>
  <c r="D129"/>
  <c r="D137" s="1"/>
  <c r="G110"/>
  <c r="J110"/>
  <c r="G84"/>
  <c r="D102"/>
  <c r="D110" s="1"/>
  <c r="D76"/>
  <c r="D84" s="1"/>
  <c r="D86" s="1"/>
  <c r="G56"/>
  <c r="J56"/>
  <c r="D48"/>
  <c r="D56" s="1"/>
  <c r="AC33" i="19" l="1"/>
  <c r="AI33" s="1"/>
  <c r="G29" i="28" s="1"/>
  <c r="G714" i="1"/>
  <c r="G720" s="1"/>
  <c r="D722" s="1"/>
  <c r="D218"/>
  <c r="D271"/>
  <c r="D377"/>
  <c r="D483"/>
  <c r="D536"/>
  <c r="D642"/>
  <c r="D139"/>
  <c r="D192"/>
  <c r="D245"/>
  <c r="D298"/>
  <c r="D351"/>
  <c r="D404"/>
  <c r="D457"/>
  <c r="D510"/>
  <c r="D563"/>
  <c r="D616"/>
  <c r="D669"/>
  <c r="D112"/>
  <c r="D58"/>
  <c r="B9" i="24" l="1"/>
  <c r="B8"/>
  <c r="B7"/>
  <c r="B6"/>
  <c r="B5"/>
  <c r="AB34" i="19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H7"/>
  <c r="D11" i="1"/>
  <c r="J14" s="1"/>
  <c r="E6" i="24" l="1"/>
  <c r="D6"/>
  <c r="E8"/>
  <c r="D8"/>
  <c r="E5"/>
  <c r="D5"/>
  <c r="E7"/>
  <c r="D7"/>
  <c r="E9"/>
  <c r="D9"/>
  <c r="E13"/>
  <c r="D25" i="1"/>
  <c r="J20"/>
  <c r="J18"/>
  <c r="G21"/>
  <c r="G19"/>
  <c r="D28"/>
  <c r="D26"/>
  <c r="D23"/>
  <c r="D18"/>
  <c r="J12"/>
  <c r="D14"/>
  <c r="D12"/>
  <c r="J21"/>
  <c r="J19"/>
  <c r="G24"/>
  <c r="G22"/>
  <c r="G20"/>
  <c r="G18"/>
  <c r="D27"/>
  <c r="D24"/>
  <c r="D22"/>
  <c r="J13"/>
  <c r="J11"/>
  <c r="D13"/>
  <c r="AH34" i="19"/>
  <c r="D30" i="22"/>
  <c r="D15" l="1"/>
  <c r="G29" i="21"/>
  <c r="F29"/>
  <c r="F25" i="20"/>
  <c r="D31" i="22" l="1"/>
  <c r="M32" i="19" l="1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L16"/>
  <c r="L12"/>
  <c r="L8"/>
  <c r="L9"/>
  <c r="L10"/>
  <c r="L11"/>
  <c r="L13"/>
  <c r="L14"/>
  <c r="L15"/>
  <c r="L17"/>
  <c r="L18"/>
  <c r="L19"/>
  <c r="L20"/>
  <c r="L21"/>
  <c r="L22"/>
  <c r="L23"/>
  <c r="L24"/>
  <c r="L25"/>
  <c r="L26"/>
  <c r="L27"/>
  <c r="L28"/>
  <c r="L29"/>
  <c r="L30"/>
  <c r="L31"/>
  <c r="D684" i="1"/>
  <c r="D20"/>
  <c r="K8" i="19"/>
  <c r="K9"/>
  <c r="K10"/>
  <c r="K11"/>
  <c r="K13"/>
  <c r="K14"/>
  <c r="K15"/>
  <c r="K17"/>
  <c r="K18"/>
  <c r="K19"/>
  <c r="K20"/>
  <c r="K21"/>
  <c r="K22"/>
  <c r="K23"/>
  <c r="K24"/>
  <c r="K25"/>
  <c r="K26"/>
  <c r="K27"/>
  <c r="K28"/>
  <c r="K29"/>
  <c r="K30"/>
  <c r="K31"/>
  <c r="K32"/>
  <c r="D683" i="1" s="1"/>
  <c r="D693" s="1"/>
  <c r="D19"/>
  <c r="M34" i="19" l="1"/>
  <c r="K34"/>
  <c r="L34"/>
  <c r="U32"/>
  <c r="Z32" s="1"/>
  <c r="U30"/>
  <c r="AI30" s="1"/>
  <c r="G26" i="28" s="1"/>
  <c r="U28" i="19"/>
  <c r="U26"/>
  <c r="U24"/>
  <c r="U22"/>
  <c r="AI22" s="1"/>
  <c r="G18" i="28" s="1"/>
  <c r="U20" i="19"/>
  <c r="U18"/>
  <c r="U15"/>
  <c r="U13"/>
  <c r="U10"/>
  <c r="U8"/>
  <c r="U16"/>
  <c r="U31"/>
  <c r="U29"/>
  <c r="AI29" s="1"/>
  <c r="G25" i="28" s="1"/>
  <c r="U27" i="19"/>
  <c r="U25"/>
  <c r="U23"/>
  <c r="U21"/>
  <c r="U19"/>
  <c r="AI19" s="1"/>
  <c r="G15" i="28" s="1"/>
  <c r="U17" i="19"/>
  <c r="U14"/>
  <c r="AI14" s="1"/>
  <c r="G10" i="28" s="1"/>
  <c r="U11" i="19"/>
  <c r="U12"/>
  <c r="U9"/>
  <c r="AI9" s="1"/>
  <c r="G5" i="28" s="1"/>
  <c r="U7" i="19"/>
  <c r="Z7" s="1"/>
  <c r="G687" i="1" l="1"/>
  <c r="G693" s="1"/>
  <c r="D695" s="1"/>
  <c r="AC32" i="19"/>
  <c r="Z34"/>
  <c r="AC7"/>
  <c r="AC34" s="1"/>
  <c r="G23" i="1"/>
  <c r="AI12" i="19"/>
  <c r="AI23"/>
  <c r="G19" i="28" s="1"/>
  <c r="AI27" i="19"/>
  <c r="G23" i="28" s="1"/>
  <c r="AI31" i="19"/>
  <c r="G27" i="28" s="1"/>
  <c r="AI13" i="19"/>
  <c r="G9" i="28" s="1"/>
  <c r="AI18" i="19"/>
  <c r="G14" i="28" s="1"/>
  <c r="AI26" i="19"/>
  <c r="G22" i="28" s="1"/>
  <c r="AI11" i="19"/>
  <c r="AI17"/>
  <c r="G13" i="28" s="1"/>
  <c r="AI21" i="19"/>
  <c r="G17" i="28" s="1"/>
  <c r="AI25" i="19"/>
  <c r="G21" i="28" s="1"/>
  <c r="AI16" i="19"/>
  <c r="G12" i="28" s="1"/>
  <c r="AI15" i="19"/>
  <c r="G11" i="28" s="1"/>
  <c r="AI20" i="19"/>
  <c r="G16" i="28" s="1"/>
  <c r="AI24" i="19"/>
  <c r="G20" i="28" s="1"/>
  <c r="AI28" i="19"/>
  <c r="G24" i="28" s="1"/>
  <c r="AI32" i="19"/>
  <c r="G28" i="28" s="1"/>
  <c r="AI10" i="19"/>
  <c r="G6" i="28" s="1"/>
  <c r="AI7" i="19"/>
  <c r="G3" i="28" s="1"/>
  <c r="AI8" i="19"/>
  <c r="G4" i="28" s="1"/>
  <c r="U34" i="19"/>
  <c r="J29" i="1"/>
  <c r="G30" i="28" l="1"/>
  <c r="G25" i="20"/>
  <c r="E25"/>
  <c r="AI34" i="19"/>
  <c r="D21" i="1"/>
  <c r="D29" s="1"/>
  <c r="G29"/>
  <c r="D31" l="1"/>
</calcChain>
</file>

<file path=xl/comments1.xml><?xml version="1.0" encoding="utf-8"?>
<comments xmlns="http://schemas.openxmlformats.org/spreadsheetml/2006/main">
  <authors>
    <author>Author</author>
  </authors>
  <commentList>
    <comment ref="M6" authorId="0">
      <text>
        <r>
          <rPr>
            <b/>
            <sz val="9"/>
            <color indexed="81"/>
            <rFont val="Tahoma"/>
            <family val="2"/>
          </rPr>
          <t xml:space="preserve">HRA is 30% of Basic or Maximum of Rs.12000 Wich ever is liess
</t>
        </r>
      </text>
    </comment>
    <comment ref="Z6" authorId="0">
      <text>
        <r>
          <rPr>
            <b/>
            <sz val="9"/>
            <color indexed="81"/>
            <rFont val="Tahoma"/>
            <family val="2"/>
          </rPr>
          <t xml:space="preserve">The Rates of Professional Tax is Up to 15000-Nil, 15000-20000,150 and above 20000,200
</t>
        </r>
      </text>
    </comment>
  </commentList>
</comments>
</file>

<file path=xl/sharedStrings.xml><?xml version="1.0" encoding="utf-8"?>
<sst xmlns="http://schemas.openxmlformats.org/spreadsheetml/2006/main" count="1678" uniqueCount="328">
  <si>
    <t>Government of Telangana</t>
  </si>
  <si>
    <t>Design.</t>
  </si>
  <si>
    <t>Name</t>
  </si>
  <si>
    <t>PAN No</t>
  </si>
  <si>
    <t>APGLI No</t>
  </si>
  <si>
    <t>Bank A/c No</t>
  </si>
  <si>
    <t xml:space="preserve">Empcode </t>
  </si>
  <si>
    <t>GPF/CPS No</t>
  </si>
  <si>
    <t>Sclae</t>
  </si>
  <si>
    <t>Earnings</t>
  </si>
  <si>
    <t>Deductions</t>
  </si>
  <si>
    <t>Recovries</t>
  </si>
  <si>
    <t>BASIC PAY</t>
  </si>
  <si>
    <t>DA</t>
  </si>
  <si>
    <t>HRA</t>
  </si>
  <si>
    <t>CON ALL</t>
  </si>
  <si>
    <t>MEDI ALLOW</t>
  </si>
  <si>
    <t>CCA</t>
  </si>
  <si>
    <t>OTHERS</t>
  </si>
  <si>
    <t>Basic Pay</t>
  </si>
  <si>
    <t>Others</t>
  </si>
  <si>
    <t>GPF Subscription</t>
  </si>
  <si>
    <t>APGLI Subscription</t>
  </si>
  <si>
    <t>Income Tax Deduction</t>
  </si>
  <si>
    <t>GIS Subscription</t>
  </si>
  <si>
    <t>Employees Welfare Fund</t>
  </si>
  <si>
    <t>Professional Tax</t>
  </si>
  <si>
    <t>GPF Loan</t>
  </si>
  <si>
    <t>Rs.</t>
  </si>
  <si>
    <t>Gross Earnings</t>
  </si>
  <si>
    <t xml:space="preserve">Net Amount </t>
  </si>
  <si>
    <t>EMP CODE</t>
  </si>
  <si>
    <t>EARNINGS</t>
  </si>
  <si>
    <t>TOTAL EARNINGS</t>
  </si>
  <si>
    <t>TOTAL DEDUCTIONS</t>
  </si>
  <si>
    <t>DEDUCTIONS</t>
  </si>
  <si>
    <t>I R</t>
  </si>
  <si>
    <t>PERSONAL PAY</t>
  </si>
  <si>
    <t>FAMILY PLG PAY</t>
  </si>
  <si>
    <t>RECOVERIES</t>
  </si>
  <si>
    <t>GPF LOAN</t>
  </si>
  <si>
    <t>TOTAL RECOVORIES</t>
  </si>
  <si>
    <t>NET PAY</t>
  </si>
  <si>
    <t>Conveyance Allowance</t>
  </si>
  <si>
    <t>Medical Allowance</t>
  </si>
  <si>
    <t>P Pay</t>
  </si>
  <si>
    <t>FP Pay</t>
  </si>
  <si>
    <t xml:space="preserve"> </t>
  </si>
  <si>
    <t>RTE Coordinator</t>
  </si>
  <si>
    <t>Administrative Officer</t>
  </si>
  <si>
    <t>AAO</t>
  </si>
  <si>
    <t>Superintendent</t>
  </si>
  <si>
    <t>DyEE</t>
  </si>
  <si>
    <t>ASO</t>
  </si>
  <si>
    <t>Asst. PC</t>
  </si>
  <si>
    <t>SPE</t>
  </si>
  <si>
    <t>AMO(U)</t>
  </si>
  <si>
    <t>Sr Asst</t>
  </si>
  <si>
    <t>Dy SO</t>
  </si>
  <si>
    <t>OSC Coordinator</t>
  </si>
  <si>
    <t>AS,KGBV</t>
  </si>
  <si>
    <t>94997/EDN</t>
  </si>
  <si>
    <t>67943-B</t>
  </si>
  <si>
    <t>15600-39100</t>
  </si>
  <si>
    <t>52763/EDN</t>
  </si>
  <si>
    <t>238879-A</t>
  </si>
  <si>
    <t>18030-43630</t>
  </si>
  <si>
    <t>7903/COOP</t>
  </si>
  <si>
    <t>2592272-A</t>
  </si>
  <si>
    <t>14860-39540</t>
  </si>
  <si>
    <t>62070/EDN</t>
  </si>
  <si>
    <t>298307-A</t>
  </si>
  <si>
    <t>16150-42590</t>
  </si>
  <si>
    <t>3344/LAB</t>
  </si>
  <si>
    <t>278493-A</t>
  </si>
  <si>
    <t>84962/EDN</t>
  </si>
  <si>
    <t>98300/EDN</t>
  </si>
  <si>
    <t>324875-A</t>
  </si>
  <si>
    <t>10900-31550.</t>
  </si>
  <si>
    <t>73289/EDN</t>
  </si>
  <si>
    <t>283749-AB</t>
  </si>
  <si>
    <t>11530-33200</t>
  </si>
  <si>
    <t>75808/EDN</t>
  </si>
  <si>
    <t>649756-AB</t>
  </si>
  <si>
    <t>60757/EDN</t>
  </si>
  <si>
    <t>256334-AB</t>
  </si>
  <si>
    <t>68531/EDN</t>
  </si>
  <si>
    <t>81159/EDN</t>
  </si>
  <si>
    <t>311325-ABC</t>
  </si>
  <si>
    <t>12646/PR</t>
  </si>
  <si>
    <t>900327-A</t>
  </si>
  <si>
    <t>23650-49360</t>
  </si>
  <si>
    <t>63011/PW</t>
  </si>
  <si>
    <t>282225-A</t>
  </si>
  <si>
    <t>19050-45850</t>
  </si>
  <si>
    <t>L-904895-A</t>
  </si>
  <si>
    <t>L901845</t>
  </si>
  <si>
    <t>8054/PR</t>
  </si>
  <si>
    <t>L-1201996-A</t>
  </si>
  <si>
    <t>9544/COOP</t>
  </si>
  <si>
    <t>663854-A</t>
  </si>
  <si>
    <t>75638/EDN</t>
  </si>
  <si>
    <t>286025-A</t>
  </si>
  <si>
    <t>301041-A</t>
  </si>
  <si>
    <t xml:space="preserve">HBA </t>
  </si>
  <si>
    <t>Sarva Shiksha Abhiyan, Hyderabad</t>
  </si>
  <si>
    <t>S.No</t>
  </si>
  <si>
    <t>284449-ABC</t>
  </si>
  <si>
    <t>1100198/L</t>
  </si>
  <si>
    <t>SCMO</t>
  </si>
  <si>
    <t>73925/EDN</t>
  </si>
  <si>
    <t>MCA</t>
  </si>
  <si>
    <t>EE</t>
  </si>
  <si>
    <t>68877/EDN</t>
  </si>
  <si>
    <t>8375/COOP</t>
  </si>
  <si>
    <t>9569/Z</t>
  </si>
  <si>
    <t xml:space="preserve">Governement of Telangana </t>
  </si>
  <si>
    <t xml:space="preserve">                            Sarva Shiksha Abhiyan, SPO Hyderabad</t>
  </si>
  <si>
    <t>Sl.No</t>
  </si>
  <si>
    <t>Name of the Employee</t>
  </si>
  <si>
    <t>Bank A/c No.</t>
  </si>
  <si>
    <t>IFSC Code</t>
  </si>
  <si>
    <t>Amount</t>
  </si>
  <si>
    <t>Designation</t>
  </si>
  <si>
    <t>SAMO</t>
  </si>
  <si>
    <t>CNRB0000606</t>
  </si>
  <si>
    <t>ORBC0101093</t>
  </si>
  <si>
    <t>SBHY0021044</t>
  </si>
  <si>
    <t>SBHY0021220</t>
  </si>
  <si>
    <t>IDIB000G060</t>
  </si>
  <si>
    <t>ANDB0000858</t>
  </si>
  <si>
    <t>SBIN0013032</t>
  </si>
  <si>
    <t>SBHY0020173</t>
  </si>
  <si>
    <t>UTIB0000008</t>
  </si>
  <si>
    <t>ANDB0000706</t>
  </si>
  <si>
    <t>SBHY0020090</t>
  </si>
  <si>
    <t>ANDB0000533</t>
  </si>
  <si>
    <t>CBIN0280810</t>
  </si>
  <si>
    <t>SBIN0002769</t>
  </si>
  <si>
    <t>SBIN0010328</t>
  </si>
  <si>
    <t>SBHY0021393</t>
  </si>
  <si>
    <t>BKID0008628</t>
  </si>
  <si>
    <t>Total amount</t>
  </si>
  <si>
    <t>STATE PROJECT OFFICE</t>
  </si>
  <si>
    <t>SARVA SIKSHA ABHIYAN ,TSSA, HYDERABAD</t>
  </si>
  <si>
    <t>S.No.</t>
  </si>
  <si>
    <t>Empcode</t>
  </si>
  <si>
    <t>GPF NO.</t>
  </si>
  <si>
    <t>Name 
sarva sri/smt</t>
  </si>
  <si>
    <t>Subsc
ription</t>
  </si>
  <si>
    <t>Loan 
Amount</t>
  </si>
  <si>
    <t>Total</t>
  </si>
  <si>
    <t>68531/Edn</t>
  </si>
  <si>
    <t>73925/Edn</t>
  </si>
  <si>
    <t>68877/Edn</t>
  </si>
  <si>
    <t>8375/Coop</t>
  </si>
  <si>
    <t>TOTAL</t>
  </si>
  <si>
    <t>7903/Coop</t>
  </si>
  <si>
    <t>SARVA SIKSHA ABHIYAN , TSSA, HYDERABAD</t>
  </si>
  <si>
    <t>Policy No.</t>
  </si>
  <si>
    <t>Premium</t>
  </si>
  <si>
    <t>Loan
 Amt</t>
  </si>
  <si>
    <t>Emp.code</t>
  </si>
  <si>
    <t>Group</t>
  </si>
  <si>
    <t>A</t>
  </si>
  <si>
    <t>Total -A</t>
  </si>
  <si>
    <t>B</t>
  </si>
  <si>
    <t>Total -B</t>
  </si>
  <si>
    <t>C</t>
  </si>
  <si>
    <t>TOTAL (A+B+C)</t>
  </si>
  <si>
    <t>R1920/- (Rupees One thousand nine hundred twenty  only)</t>
  </si>
  <si>
    <t>PAN No.</t>
  </si>
  <si>
    <t>HBA</t>
  </si>
  <si>
    <t>NAME OF THE EMPLOYEE</t>
  </si>
  <si>
    <t>IED-Co</t>
  </si>
  <si>
    <t>TG increment</t>
  </si>
  <si>
    <t>TG Increment</t>
  </si>
  <si>
    <t>HBA 71/75</t>
  </si>
  <si>
    <t>GPF RECOVERY FOR THE MONTH OF 08/2014</t>
  </si>
  <si>
    <t>APGLI RECOVERY FOR THE MONTH OF 08/2014</t>
  </si>
  <si>
    <t>GIS RECOVERY FOR THE MONTH OF 08/2014</t>
  </si>
  <si>
    <t>Prof-Tax  RECOVERY FOR THE MONTH OF 08/2014</t>
  </si>
  <si>
    <t xml:space="preserve"> Income Tax Schedule for the month of 08/2014</t>
  </si>
  <si>
    <t>Salaries Bank  List for the month of August -2014 to the staff of SSA Telangana hyderabad</t>
  </si>
  <si>
    <t>CNRB0001983</t>
  </si>
  <si>
    <t>Phone Bill (Extra)</t>
  </si>
  <si>
    <t xml:space="preserve">Pay particulars  for the month of September 2014 </t>
  </si>
  <si>
    <t>Bank 1111</t>
  </si>
  <si>
    <t>Bank 1112</t>
  </si>
  <si>
    <t>Bank 1113</t>
  </si>
  <si>
    <t>Bank 1114</t>
  </si>
  <si>
    <t>Bank 1115</t>
  </si>
  <si>
    <t>Bank 1116</t>
  </si>
  <si>
    <t>Bank 1117</t>
  </si>
  <si>
    <t>Bank 1118</t>
  </si>
  <si>
    <t>Bank 1119</t>
  </si>
  <si>
    <t>Bank 1120</t>
  </si>
  <si>
    <t>Bank 1121</t>
  </si>
  <si>
    <t>Bank 1122</t>
  </si>
  <si>
    <t>Bank 1123</t>
  </si>
  <si>
    <t>Bank 1124</t>
  </si>
  <si>
    <t>Bank 1125</t>
  </si>
  <si>
    <t>Bank 1126</t>
  </si>
  <si>
    <t>Bank 1127</t>
  </si>
  <si>
    <t>Bank 1128</t>
  </si>
  <si>
    <t>Bank 1129</t>
  </si>
  <si>
    <t>Bank 1130</t>
  </si>
  <si>
    <t>Bank 1131</t>
  </si>
  <si>
    <t>Bank 1132</t>
  </si>
  <si>
    <t>Bank 1133</t>
  </si>
  <si>
    <t>Bank 1134</t>
  </si>
  <si>
    <t>Bank 1135</t>
  </si>
  <si>
    <t>Bank 1136</t>
  </si>
  <si>
    <t>Bank 1137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</si>
  <si>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</si>
  <si>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</si>
  <si>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</si>
  <si>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</si>
  <si>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</si>
  <si>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</si>
  <si>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</si>
  <si>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</si>
  <si>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</si>
  <si>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</si>
  <si>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Employee11</t>
  </si>
  <si>
    <t>Employee12</t>
  </si>
  <si>
    <t>Employee13</t>
  </si>
  <si>
    <t>Employee14</t>
  </si>
  <si>
    <t>Employee15</t>
  </si>
  <si>
    <t>Employee16</t>
  </si>
  <si>
    <t>Employee17</t>
  </si>
  <si>
    <t>Employee18</t>
  </si>
  <si>
    <t>Employee19</t>
  </si>
  <si>
    <t>Employee20</t>
  </si>
  <si>
    <t>Employee21</t>
  </si>
  <si>
    <t>Employee22</t>
  </si>
  <si>
    <t>Employee23</t>
  </si>
  <si>
    <t>Employee24</t>
  </si>
  <si>
    <t>Employee25</t>
  </si>
  <si>
    <t>Employee26</t>
  </si>
  <si>
    <t>Employee27</t>
  </si>
  <si>
    <t>Code1</t>
  </si>
  <si>
    <t>Code3</t>
  </si>
  <si>
    <t>Code25</t>
  </si>
  <si>
    <t>Code2</t>
  </si>
  <si>
    <t>Code4</t>
  </si>
  <si>
    <t>Code5</t>
  </si>
  <si>
    <t>Code6</t>
  </si>
  <si>
    <t>Code7</t>
  </si>
  <si>
    <t>Code8</t>
  </si>
  <si>
    <t>Code9</t>
  </si>
  <si>
    <t>Code10</t>
  </si>
  <si>
    <t>Code11</t>
  </si>
  <si>
    <t>Code12</t>
  </si>
  <si>
    <t>Code13</t>
  </si>
  <si>
    <t>Code14</t>
  </si>
  <si>
    <t>Code15</t>
  </si>
  <si>
    <t>Code16</t>
  </si>
  <si>
    <t>Code17</t>
  </si>
  <si>
    <t>Code18</t>
  </si>
  <si>
    <t>Code19</t>
  </si>
  <si>
    <t>Code20</t>
  </si>
  <si>
    <t>Code21</t>
  </si>
  <si>
    <t>Code22</t>
  </si>
  <si>
    <t>Code23</t>
  </si>
  <si>
    <t>Code24</t>
  </si>
  <si>
    <t>Code26</t>
  </si>
  <si>
    <t>Code27</t>
  </si>
  <si>
    <t>12140-45214</t>
  </si>
  <si>
    <t>6030-31250</t>
  </si>
  <si>
    <t>AAAAA1111A</t>
  </si>
  <si>
    <t>AAAAA1112A</t>
  </si>
  <si>
    <t>AAAAA1113A</t>
  </si>
  <si>
    <t>AAAAA1114A</t>
  </si>
  <si>
    <t>AAAAA1115A</t>
  </si>
  <si>
    <t>AAAAA1116A</t>
  </si>
  <si>
    <t>AAAAA1117A</t>
  </si>
  <si>
    <t>AAAAA1118A</t>
  </si>
  <si>
    <t>AAAAA1119A</t>
  </si>
  <si>
    <t>AAAAA1120A</t>
  </si>
  <si>
    <t>AAAAA1121A</t>
  </si>
  <si>
    <t>AAAAA1122A</t>
  </si>
  <si>
    <t xml:space="preserve">IF WE CHANGE THE EMPLOYEE CODE IN THIS SHEET, THE DETAILS OF PAY SLIP WILL BE </t>
  </si>
  <si>
    <t>AUTOMATICALLY CHANGED</t>
  </si>
  <si>
    <t>CODE1</t>
  </si>
  <si>
    <t>CODE2</t>
  </si>
  <si>
    <t>CODE3</t>
  </si>
  <si>
    <t>CODE4</t>
  </si>
  <si>
    <t>CODE5</t>
  </si>
  <si>
    <t>CODE6</t>
  </si>
  <si>
    <t>CODE7</t>
  </si>
  <si>
    <t>CODE8</t>
  </si>
  <si>
    <t>CODE9</t>
  </si>
  <si>
    <t>CODE10</t>
  </si>
  <si>
    <t>CODE11</t>
  </si>
  <si>
    <t>CODE12</t>
  </si>
  <si>
    <t>CODE13</t>
  </si>
  <si>
    <t>CODE14</t>
  </si>
  <si>
    <t>CODE15</t>
  </si>
  <si>
    <t>CODE16</t>
  </si>
  <si>
    <t>CODE17</t>
  </si>
  <si>
    <t>CODE18</t>
  </si>
  <si>
    <t>CODE19</t>
  </si>
  <si>
    <t>CODE20</t>
  </si>
  <si>
    <t>CODE21</t>
  </si>
  <si>
    <t>CODE22</t>
  </si>
  <si>
    <t>CODE23</t>
  </si>
  <si>
    <t>CODE24</t>
  </si>
  <si>
    <t>CODE25</t>
  </si>
  <si>
    <t>CODE26</t>
  </si>
  <si>
    <t>CODE27</t>
  </si>
  <si>
    <t>AAAAA1234A</t>
  </si>
  <si>
    <t>AAAAA1235A</t>
  </si>
  <si>
    <t>AAAAA1236A</t>
  </si>
  <si>
    <t>AAAAA1237A</t>
  </si>
  <si>
    <t>AAAAA1238A</t>
  </si>
  <si>
    <t>AAAAA1239A</t>
  </si>
  <si>
    <t>AAAAA1240A</t>
  </si>
  <si>
    <t>AAAAA1241A</t>
  </si>
  <si>
    <t>AAAAA1242A</t>
  </si>
  <si>
    <t>AAAAA1243A</t>
  </si>
  <si>
    <t>AAAAA1244A</t>
  </si>
  <si>
    <t>AAAAA1245A</t>
  </si>
  <si>
    <t>AAAAA1246A</t>
  </si>
  <si>
    <t>AAAAA1247A</t>
  </si>
  <si>
    <t>AAAAA1248A</t>
  </si>
  <si>
    <t>Payslip for the Month of September  2014</t>
  </si>
  <si>
    <t>Payslip for the Month of september 2014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</si>
</sst>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3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164" fontId="5" fillId="0" borderId="2" xfId="1" applyNumberFormat="1" applyFont="1" applyBorder="1"/>
    <xf numFmtId="164" fontId="5" fillId="0" borderId="0" xfId="1" applyNumberFormat="1" applyFont="1"/>
    <xf numFmtId="0" fontId="0" fillId="0" borderId="1" xfId="0" applyFill="1" applyBorder="1"/>
    <xf numFmtId="0" fontId="0" fillId="0" borderId="0" xfId="0" applyFill="1" applyAlignment="1"/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2" fillId="0" borderId="1" xfId="0" applyFont="1" applyFill="1" applyBorder="1" applyAlignment="1">
      <alignment horizontal="center"/>
    </xf>
    <xf numFmtId="9" fontId="0" fillId="0" borderId="0" xfId="0" applyNumberFormat="1"/>
    <xf numFmtId="1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0" fillId="0" borderId="1" xfId="0" applyBorder="1"/>
    <xf numFmtId="49" fontId="13" fillId="0" borderId="1" xfId="0" applyNumberFormat="1" applyFont="1" applyBorder="1" applyAlignment="1" applyProtection="1">
      <alignment horizontal="left"/>
      <protection locked="0"/>
    </xf>
    <xf numFmtId="1" fontId="0" fillId="0" borderId="1" xfId="0" applyNumberFormat="1" applyBorder="1"/>
    <xf numFmtId="0" fontId="14" fillId="0" borderId="0" xfId="0" applyFont="1" applyAlignment="1"/>
    <xf numFmtId="49" fontId="14" fillId="0" borderId="0" xfId="0" applyNumberFormat="1" applyFont="1" applyAlignment="1"/>
    <xf numFmtId="49" fontId="0" fillId="0" borderId="0" xfId="0" applyNumberFormat="1"/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5" fillId="0" borderId="1" xfId="0" applyFont="1" applyBorder="1"/>
    <xf numFmtId="49" fontId="15" fillId="0" borderId="1" xfId="0" applyNumberFormat="1" applyFont="1" applyBorder="1"/>
    <xf numFmtId="0" fontId="15" fillId="0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Fill="1" applyBorder="1"/>
    <xf numFmtId="49" fontId="18" fillId="0" borderId="1" xfId="0" applyNumberFormat="1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/>
    <xf numFmtId="0" fontId="20" fillId="0" borderId="1" xfId="0" applyFont="1" applyFill="1" applyBorder="1"/>
    <xf numFmtId="0" fontId="20" fillId="0" borderId="1" xfId="0" applyFont="1" applyFill="1" applyBorder="1" applyAlignment="1">
      <alignment vertical="top"/>
    </xf>
    <xf numFmtId="0" fontId="19" fillId="0" borderId="5" xfId="0" applyFont="1" applyFill="1" applyBorder="1"/>
    <xf numFmtId="49" fontId="19" fillId="0" borderId="2" xfId="0" applyNumberFormat="1" applyFont="1" applyFill="1" applyBorder="1"/>
    <xf numFmtId="0" fontId="21" fillId="0" borderId="1" xfId="0" applyFont="1" applyFill="1" applyBorder="1"/>
    <xf numFmtId="0" fontId="18" fillId="0" borderId="0" xfId="0" applyFont="1" applyFill="1" applyBorder="1" applyAlignment="1">
      <alignment horizontal="left"/>
    </xf>
    <xf numFmtId="49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15" fillId="0" borderId="1" xfId="0" applyFont="1" applyBorder="1" applyAlignment="1">
      <alignment horizontal="left"/>
    </xf>
    <xf numFmtId="164" fontId="4" fillId="0" borderId="0" xfId="1" applyNumberFormat="1" applyFont="1"/>
    <xf numFmtId="164" fontId="4" fillId="0" borderId="0" xfId="0" applyNumberFormat="1" applyFont="1"/>
    <xf numFmtId="43" fontId="0" fillId="0" borderId="0" xfId="1" applyFont="1"/>
    <xf numFmtId="0" fontId="2" fillId="0" borderId="0" xfId="0" applyFont="1"/>
    <xf numFmtId="0" fontId="2" fillId="0" borderId="1" xfId="0" applyFont="1" applyFill="1" applyBorder="1"/>
    <xf numFmtId="164" fontId="2" fillId="0" borderId="1" xfId="1" applyNumberFormat="1" applyFont="1" applyBorder="1"/>
    <xf numFmtId="43" fontId="2" fillId="0" borderId="0" xfId="1" applyFont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164" fontId="11" fillId="0" borderId="1" xfId="1" applyNumberFormat="1" applyFont="1" applyBorder="1"/>
    <xf numFmtId="0" fontId="11" fillId="0" borderId="0" xfId="0" applyFont="1"/>
    <xf numFmtId="1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left"/>
    </xf>
    <xf numFmtId="0" fontId="0" fillId="0" borderId="1" xfId="0" applyBorder="1" applyAlignment="1">
      <alignment vertical="top"/>
    </xf>
    <xf numFmtId="0" fontId="22" fillId="0" borderId="0" xfId="0" applyFont="1"/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1" fontId="2" fillId="0" borderId="0" xfId="0" applyNumberFormat="1" applyFont="1"/>
    <xf numFmtId="0" fontId="1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/>
    </xf>
    <xf numFmtId="2" fontId="0" fillId="0" borderId="0" xfId="0" applyNumberForma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164" fontId="1" fillId="0" borderId="1" xfId="1" applyNumberFormat="1" applyFont="1" applyBorder="1"/>
    <xf numFmtId="0" fontId="15" fillId="0" borderId="1" xfId="0" applyFont="1" applyBorder="1" applyAlignment="1">
      <alignment horizontal="center" wrapText="1"/>
    </xf>
    <xf numFmtId="49" fontId="19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164" fontId="2" fillId="2" borderId="1" xfId="1" applyNumberFormat="1" applyFont="1" applyFill="1" applyBorder="1"/>
    <xf numFmtId="0" fontId="0" fillId="3" borderId="1" xfId="0" applyFill="1" applyBorder="1"/>
    <xf numFmtId="0" fontId="4" fillId="2" borderId="0" xfId="0" applyFont="1" applyFill="1"/>
    <xf numFmtId="0" fontId="5" fillId="2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6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7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9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1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1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1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5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6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7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1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1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0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2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1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3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3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3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3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39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4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41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4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4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0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5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56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57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5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59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6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6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6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771525</xdr:colOff>
      <xdr:row>11</xdr:row>
      <xdr:rowOff>228600</xdr:rowOff>
    </xdr:to>
    <xdr:pic>
      <xdr:nvPicPr>
        <xdr:cNvPr id="6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6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11</xdr:row>
      <xdr:rowOff>190500</xdr:rowOff>
    </xdr:from>
    <xdr:to>
      <xdr:col>4</xdr:col>
      <xdr:colOff>895350</xdr:colOff>
      <xdr:row>11</xdr:row>
      <xdr:rowOff>228600</xdr:rowOff>
    </xdr:to>
    <xdr:pic>
      <xdr:nvPicPr>
        <xdr:cNvPr id="65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6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6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6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6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1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3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7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7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7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79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8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81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8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8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90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9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9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9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9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95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96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97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9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9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00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0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0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03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0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05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06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0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0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0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0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1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2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3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4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8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19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0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1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2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3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4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25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26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771525</xdr:colOff>
      <xdr:row>14</xdr:row>
      <xdr:rowOff>238125</xdr:rowOff>
    </xdr:to>
    <xdr:pic>
      <xdr:nvPicPr>
        <xdr:cNvPr id="127" name="Rectangle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5867400"/>
          <a:ext cx="571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714375</xdr:colOff>
      <xdr:row>14</xdr:row>
      <xdr:rowOff>190500</xdr:rowOff>
    </xdr:from>
    <xdr:to>
      <xdr:col>4</xdr:col>
      <xdr:colOff>895350</xdr:colOff>
      <xdr:row>14</xdr:row>
      <xdr:rowOff>238125</xdr:rowOff>
    </xdr:to>
    <xdr:pic>
      <xdr:nvPicPr>
        <xdr:cNvPr id="128" name="Rectangle 1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33700" y="5867400"/>
          <a:ext cx="1809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sheetViews>
    <sheetView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C14" sqref="C14"/>
    </sheetView>
  </sheetViews>
  <sheetFormatPr defaultRowHeight="18.75"/>
  <cols>
    <col min="1" max="1" width="5.85546875" bestFit="1" customWidth="1"/>
    <col min="2" max="2" width="10.28515625" bestFit="1" customWidth="1"/>
    <col min="3" max="3" width="24.7109375" customWidth="1"/>
    <col min="4" max="4" width="21.5703125" customWidth="1"/>
    <col min="5" max="5" width="17" customWidth="1"/>
    <col min="6" max="6" width="12.42578125" customWidth="1"/>
    <col min="7" max="7" width="13.7109375" customWidth="1"/>
    <col min="8" max="8" width="11.140625" customWidth="1"/>
    <col min="9" max="9" width="14" customWidth="1"/>
    <col min="10" max="10" width="13.28515625" customWidth="1"/>
    <col min="11" max="13" width="9.5703125" customWidth="1"/>
    <col min="14" max="14" width="10.140625" customWidth="1"/>
    <col min="15" max="17" width="8" bestFit="1" customWidth="1"/>
    <col min="18" max="18" width="7.7109375" customWidth="1"/>
    <col min="19" max="19" width="8" customWidth="1"/>
    <col min="20" max="20" width="6.85546875" customWidth="1"/>
    <col min="21" max="21" width="13" style="68" customWidth="1"/>
    <col min="22" max="22" width="9.5703125" customWidth="1"/>
    <col min="23" max="23" width="7.85546875" customWidth="1"/>
    <col min="24" max="24" width="8.140625" customWidth="1"/>
    <col min="25" max="25" width="8.5703125" customWidth="1"/>
    <col min="26" max="26" width="8.28515625" customWidth="1"/>
    <col min="27" max="27" width="7" customWidth="1"/>
    <col min="28" max="28" width="8.28515625" customWidth="1"/>
    <col min="29" max="29" width="9.42578125" style="68" customWidth="1"/>
    <col min="30" max="30" width="8.140625" customWidth="1"/>
    <col min="31" max="31" width="7" customWidth="1"/>
    <col min="32" max="32" width="6.42578125" customWidth="1"/>
    <col min="33" max="33" width="8.140625" customWidth="1"/>
    <col min="34" max="34" width="7.85546875" style="68" customWidth="1"/>
    <col min="35" max="35" width="16.140625" style="79" customWidth="1"/>
  </cols>
  <sheetData>
    <row r="1" spans="1:35" ht="23.25">
      <c r="A1" s="15"/>
      <c r="B1" s="15"/>
      <c r="C1" s="15"/>
      <c r="D1" s="15"/>
      <c r="E1" s="15"/>
      <c r="F1" s="15"/>
      <c r="G1" s="15"/>
      <c r="H1" s="15"/>
      <c r="I1" s="15"/>
      <c r="J1" s="102" t="s">
        <v>116</v>
      </c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"/>
      <c r="W1" s="10"/>
      <c r="X1" s="10"/>
      <c r="Y1" s="10"/>
      <c r="Z1" s="10"/>
      <c r="AA1" s="10"/>
      <c r="AB1" s="10"/>
      <c r="AC1" s="72"/>
      <c r="AD1" s="10"/>
      <c r="AE1" s="10"/>
      <c r="AF1" s="10"/>
      <c r="AG1" s="10"/>
      <c r="AH1" s="72"/>
      <c r="AI1" s="74"/>
    </row>
    <row r="2" spans="1:35">
      <c r="A2" s="15"/>
      <c r="B2" s="15"/>
      <c r="C2" s="15"/>
      <c r="D2" s="15"/>
      <c r="E2" s="15"/>
      <c r="F2" s="15"/>
      <c r="G2" s="15"/>
      <c r="H2" s="15"/>
      <c r="I2" s="15"/>
      <c r="J2" s="101" t="s">
        <v>117</v>
      </c>
      <c r="K2" s="101"/>
      <c r="L2" s="101"/>
      <c r="M2" s="101"/>
      <c r="N2" s="101"/>
      <c r="O2" s="101"/>
      <c r="P2" s="101"/>
      <c r="Q2" s="101"/>
      <c r="R2" s="101"/>
      <c r="S2" s="101"/>
      <c r="V2" s="10"/>
      <c r="W2" s="10"/>
      <c r="X2" s="10"/>
      <c r="Y2" s="10"/>
      <c r="Z2" s="10"/>
      <c r="AA2" s="10"/>
      <c r="AB2" s="10"/>
      <c r="AC2" s="72"/>
      <c r="AD2" s="10"/>
      <c r="AE2" s="10"/>
      <c r="AF2" s="10"/>
      <c r="AG2" s="10"/>
      <c r="AH2" s="72"/>
      <c r="AI2" s="74"/>
    </row>
    <row r="3" spans="1:35">
      <c r="A3" s="15"/>
      <c r="B3" s="15"/>
      <c r="C3" s="15"/>
      <c r="D3" s="15"/>
      <c r="E3" s="15"/>
      <c r="F3" s="15"/>
      <c r="G3" s="15"/>
      <c r="H3" s="15"/>
      <c r="I3" s="15"/>
      <c r="J3" s="103" t="s">
        <v>186</v>
      </c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"/>
      <c r="W3" s="10"/>
      <c r="X3" s="10"/>
      <c r="Y3" s="10"/>
      <c r="Z3" s="10"/>
      <c r="AA3" s="10"/>
      <c r="AB3" s="10"/>
      <c r="AC3" s="72"/>
      <c r="AD3" s="10"/>
      <c r="AE3" s="10"/>
      <c r="AF3" s="10"/>
      <c r="AG3" s="10"/>
      <c r="AH3" s="72"/>
      <c r="AI3" s="74"/>
    </row>
    <row r="4" spans="1:35" ht="23.25" customHeight="1">
      <c r="A4" s="16"/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6">
        <v>12</v>
      </c>
      <c r="N4" s="16">
        <v>13</v>
      </c>
      <c r="O4" s="16">
        <v>14</v>
      </c>
      <c r="P4" s="16">
        <v>15</v>
      </c>
      <c r="Q4" s="16">
        <v>16</v>
      </c>
      <c r="R4" s="16">
        <v>17</v>
      </c>
      <c r="S4" s="16">
        <v>18</v>
      </c>
      <c r="T4" s="16">
        <v>19</v>
      </c>
      <c r="U4" s="16">
        <v>20</v>
      </c>
      <c r="V4" s="16">
        <v>21</v>
      </c>
      <c r="W4" s="16">
        <v>22</v>
      </c>
      <c r="X4" s="16">
        <v>23</v>
      </c>
      <c r="Y4" s="16">
        <v>24</v>
      </c>
      <c r="Z4" s="16">
        <v>25</v>
      </c>
      <c r="AA4" s="16">
        <v>26</v>
      </c>
      <c r="AB4" s="16">
        <v>27</v>
      </c>
      <c r="AC4" s="16">
        <v>28</v>
      </c>
      <c r="AD4" s="16">
        <v>29</v>
      </c>
      <c r="AE4" s="16">
        <v>30</v>
      </c>
      <c r="AF4" s="16">
        <v>31</v>
      </c>
      <c r="AG4" s="16">
        <v>32</v>
      </c>
      <c r="AH4" s="75">
        <v>33</v>
      </c>
      <c r="AI4" s="91">
        <v>34</v>
      </c>
    </row>
    <row r="5" spans="1:35">
      <c r="A5" s="14"/>
      <c r="B5" s="14"/>
      <c r="C5" s="14"/>
      <c r="D5" s="14"/>
      <c r="E5" s="14"/>
      <c r="F5" s="14"/>
      <c r="G5" s="14"/>
      <c r="H5" s="14"/>
      <c r="I5" s="14"/>
      <c r="J5" s="100" t="s">
        <v>32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69"/>
      <c r="V5" s="100" t="s">
        <v>35</v>
      </c>
      <c r="W5" s="100"/>
      <c r="X5" s="100"/>
      <c r="Y5" s="100"/>
      <c r="Z5" s="100"/>
      <c r="AA5" s="100"/>
      <c r="AB5" s="100"/>
      <c r="AC5" s="69"/>
      <c r="AD5" s="100" t="s">
        <v>39</v>
      </c>
      <c r="AE5" s="100"/>
      <c r="AF5" s="100"/>
      <c r="AG5" s="21"/>
      <c r="AH5" s="17"/>
      <c r="AI5" s="76"/>
    </row>
    <row r="6" spans="1:35" ht="71.25">
      <c r="A6" s="18" t="s">
        <v>106</v>
      </c>
      <c r="B6" s="18" t="s">
        <v>31</v>
      </c>
      <c r="C6" s="18" t="s">
        <v>173</v>
      </c>
      <c r="D6" s="19" t="s">
        <v>1</v>
      </c>
      <c r="E6" s="19" t="s">
        <v>5</v>
      </c>
      <c r="F6" s="19" t="s">
        <v>7</v>
      </c>
      <c r="G6" s="19" t="s">
        <v>3</v>
      </c>
      <c r="H6" s="19" t="s">
        <v>4</v>
      </c>
      <c r="I6" s="19" t="s">
        <v>8</v>
      </c>
      <c r="J6" s="1" t="s">
        <v>12</v>
      </c>
      <c r="K6" s="1" t="s">
        <v>36</v>
      </c>
      <c r="L6" s="1" t="s">
        <v>13</v>
      </c>
      <c r="M6" s="1" t="s">
        <v>14</v>
      </c>
      <c r="N6" s="1" t="s">
        <v>175</v>
      </c>
      <c r="O6" s="1" t="s">
        <v>17</v>
      </c>
      <c r="P6" s="1" t="s">
        <v>15</v>
      </c>
      <c r="Q6" s="1" t="s">
        <v>16</v>
      </c>
      <c r="R6" s="1" t="s">
        <v>37</v>
      </c>
      <c r="S6" s="1" t="s">
        <v>38</v>
      </c>
      <c r="T6" s="1" t="s">
        <v>18</v>
      </c>
      <c r="U6" s="1" t="s">
        <v>33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26</v>
      </c>
      <c r="AA6" s="11" t="s">
        <v>25</v>
      </c>
      <c r="AB6" s="11" t="s">
        <v>20</v>
      </c>
      <c r="AC6" s="73" t="s">
        <v>34</v>
      </c>
      <c r="AD6" s="11" t="s">
        <v>40</v>
      </c>
      <c r="AE6" s="11" t="s">
        <v>104</v>
      </c>
      <c r="AF6" s="11" t="s">
        <v>111</v>
      </c>
      <c r="AG6" s="11" t="s">
        <v>20</v>
      </c>
      <c r="AH6" s="11" t="s">
        <v>41</v>
      </c>
      <c r="AI6" s="77" t="s">
        <v>42</v>
      </c>
    </row>
    <row r="7" spans="1:35" ht="27.75" customHeight="1">
      <c r="A7" s="27">
        <v>1</v>
      </c>
      <c r="B7" s="124" t="s">
        <v>241</v>
      </c>
      <c r="C7" s="69" t="s">
        <v>214</v>
      </c>
      <c r="D7" s="14" t="s">
        <v>55</v>
      </c>
      <c r="E7" s="24" t="s">
        <v>187</v>
      </c>
      <c r="F7" s="14" t="s">
        <v>97</v>
      </c>
      <c r="G7" s="28" t="s">
        <v>311</v>
      </c>
      <c r="H7" s="25">
        <v>247666</v>
      </c>
      <c r="I7" s="20" t="s">
        <v>268</v>
      </c>
      <c r="J7" s="14">
        <v>12140</v>
      </c>
      <c r="K7" s="29">
        <v>0</v>
      </c>
      <c r="L7" s="29">
        <v>0</v>
      </c>
      <c r="M7" s="125">
        <f t="shared" ref="M7:M33" si="0">IF((J7*0.3)&gt;=12000,12000,J7*0.3)</f>
        <v>3642</v>
      </c>
      <c r="N7" s="14"/>
      <c r="O7" s="27">
        <v>525</v>
      </c>
      <c r="P7" s="27">
        <v>0</v>
      </c>
      <c r="Q7" s="27">
        <v>500</v>
      </c>
      <c r="R7" s="27">
        <v>0</v>
      </c>
      <c r="S7" s="27">
        <v>0</v>
      </c>
      <c r="T7" s="27">
        <v>0</v>
      </c>
      <c r="U7" s="70">
        <f>SUM(J7:T7)</f>
        <v>16807</v>
      </c>
      <c r="V7" s="27">
        <v>1000</v>
      </c>
      <c r="W7" s="27">
        <v>750</v>
      </c>
      <c r="X7" s="27">
        <v>1000</v>
      </c>
      <c r="Y7" s="27">
        <v>120</v>
      </c>
      <c r="Z7" s="128">
        <f>IF(U7&lt;15000,0,IF(U7&lt;=20000,150,IF(U7&gt;20000,200)))</f>
        <v>150</v>
      </c>
      <c r="AA7" s="27">
        <v>0</v>
      </c>
      <c r="AB7" s="27">
        <v>0</v>
      </c>
      <c r="AC7" s="70">
        <f>SUM(V7:AB7)</f>
        <v>3020</v>
      </c>
      <c r="AD7" s="27">
        <v>0</v>
      </c>
      <c r="AE7" s="27">
        <v>0</v>
      </c>
      <c r="AF7" s="27">
        <v>0</v>
      </c>
      <c r="AG7" s="27">
        <v>0</v>
      </c>
      <c r="AH7" s="35">
        <f>SUM(AD7:AG7)</f>
        <v>0</v>
      </c>
      <c r="AI7" s="78">
        <f>U7-AC7-AH7</f>
        <v>13787</v>
      </c>
    </row>
    <row r="8" spans="1:35" ht="27.75" customHeight="1">
      <c r="A8" s="27">
        <v>2</v>
      </c>
      <c r="B8" s="124" t="s">
        <v>244</v>
      </c>
      <c r="C8" s="69" t="s">
        <v>215</v>
      </c>
      <c r="D8" s="14" t="s">
        <v>50</v>
      </c>
      <c r="E8" s="24" t="s">
        <v>188</v>
      </c>
      <c r="F8" s="14" t="s">
        <v>73</v>
      </c>
      <c r="G8" s="25" t="s">
        <v>312</v>
      </c>
      <c r="H8" s="25" t="s">
        <v>74</v>
      </c>
      <c r="I8" s="20" t="s">
        <v>72</v>
      </c>
      <c r="J8" s="14">
        <v>23650</v>
      </c>
      <c r="K8" s="29">
        <f t="shared" ref="K8:K33" si="1">J8*27%</f>
        <v>6385.5</v>
      </c>
      <c r="L8" s="29">
        <f t="shared" ref="L8:L33" si="2">J8*71.904%</f>
        <v>17005.296000000002</v>
      </c>
      <c r="M8" s="125">
        <f t="shared" si="0"/>
        <v>7095</v>
      </c>
      <c r="N8" s="14">
        <v>610</v>
      </c>
      <c r="O8" s="27">
        <v>525</v>
      </c>
      <c r="P8" s="27">
        <v>0</v>
      </c>
      <c r="Q8" s="27">
        <v>500</v>
      </c>
      <c r="R8" s="27">
        <v>0</v>
      </c>
      <c r="S8" s="27">
        <v>0</v>
      </c>
      <c r="T8" s="27">
        <v>0</v>
      </c>
      <c r="U8" s="70">
        <f t="shared" ref="U8:U33" si="3">SUM(J8:T8)</f>
        <v>55770.796000000002</v>
      </c>
      <c r="V8" s="27">
        <v>2500</v>
      </c>
      <c r="W8" s="27">
        <v>1000</v>
      </c>
      <c r="X8" s="27">
        <v>1000</v>
      </c>
      <c r="Y8" s="27">
        <v>120</v>
      </c>
      <c r="Z8" s="125">
        <f t="shared" ref="Z8:Z33" si="4">IF(U8&lt;15000,0,IF(U8&lt;=20000,150,IF(U8&gt;20000,200)))</f>
        <v>200</v>
      </c>
      <c r="AA8" s="27">
        <v>0</v>
      </c>
      <c r="AB8" s="27">
        <v>0</v>
      </c>
      <c r="AC8" s="70">
        <f t="shared" ref="AC8:AC33" si="5">SUM(V8:AB8)</f>
        <v>4820</v>
      </c>
      <c r="AD8" s="27">
        <v>5000</v>
      </c>
      <c r="AE8" s="27">
        <v>0</v>
      </c>
      <c r="AF8" s="27">
        <v>500</v>
      </c>
      <c r="AG8" s="27">
        <v>0</v>
      </c>
      <c r="AH8" s="35">
        <f t="shared" ref="AH8:AH33" si="6">SUM(AD8:AG8)</f>
        <v>5500</v>
      </c>
      <c r="AI8" s="78">
        <f t="shared" ref="AI8:AI33" si="7">U8-AC8-AH8</f>
        <v>45450.796000000002</v>
      </c>
    </row>
    <row r="9" spans="1:35" ht="27.75" customHeight="1">
      <c r="A9" s="27">
        <v>3</v>
      </c>
      <c r="B9" s="124" t="s">
        <v>242</v>
      </c>
      <c r="C9" s="69" t="s">
        <v>216</v>
      </c>
      <c r="D9" s="14" t="s">
        <v>112</v>
      </c>
      <c r="E9" s="24" t="s">
        <v>189</v>
      </c>
      <c r="F9" s="25">
        <v>0</v>
      </c>
      <c r="G9" s="28" t="s">
        <v>313</v>
      </c>
      <c r="H9" s="25">
        <v>0</v>
      </c>
      <c r="I9" s="14"/>
      <c r="J9" s="14">
        <v>40510</v>
      </c>
      <c r="K9" s="29">
        <f t="shared" si="1"/>
        <v>10937.7</v>
      </c>
      <c r="L9" s="29">
        <f t="shared" si="2"/>
        <v>29128.310400000002</v>
      </c>
      <c r="M9" s="125">
        <f t="shared" si="0"/>
        <v>12000</v>
      </c>
      <c r="N9" s="14"/>
      <c r="O9" s="27">
        <v>525</v>
      </c>
      <c r="P9" s="27">
        <v>0</v>
      </c>
      <c r="Q9" s="27">
        <v>500</v>
      </c>
      <c r="R9" s="27"/>
      <c r="S9" s="27">
        <v>400</v>
      </c>
      <c r="T9" s="27">
        <v>9478</v>
      </c>
      <c r="U9" s="70">
        <f t="shared" si="3"/>
        <v>103479.0104</v>
      </c>
      <c r="V9" s="27">
        <v>0</v>
      </c>
      <c r="W9" s="27">
        <v>0</v>
      </c>
      <c r="X9" s="27">
        <v>10000</v>
      </c>
      <c r="Y9" s="27">
        <v>0</v>
      </c>
      <c r="Z9" s="125">
        <f t="shared" si="4"/>
        <v>200</v>
      </c>
      <c r="AA9" s="27">
        <v>0</v>
      </c>
      <c r="AB9" s="27">
        <v>17834</v>
      </c>
      <c r="AC9" s="70">
        <f t="shared" si="5"/>
        <v>28034</v>
      </c>
      <c r="AD9" s="27"/>
      <c r="AE9" s="27"/>
      <c r="AF9" s="27"/>
      <c r="AG9" s="27">
        <v>0</v>
      </c>
      <c r="AH9" s="35">
        <f t="shared" si="6"/>
        <v>0</v>
      </c>
      <c r="AI9" s="78">
        <f t="shared" si="7"/>
        <v>75445.010399999999</v>
      </c>
    </row>
    <row r="10" spans="1:35" ht="27.75" customHeight="1">
      <c r="A10" s="27">
        <v>4</v>
      </c>
      <c r="B10" s="124" t="s">
        <v>245</v>
      </c>
      <c r="C10" s="69" t="s">
        <v>217</v>
      </c>
      <c r="D10" s="14" t="s">
        <v>52</v>
      </c>
      <c r="E10" s="24" t="s">
        <v>190</v>
      </c>
      <c r="F10" s="14" t="s">
        <v>89</v>
      </c>
      <c r="G10" s="25" t="s">
        <v>314</v>
      </c>
      <c r="H10" s="25" t="s">
        <v>90</v>
      </c>
      <c r="I10" s="20" t="s">
        <v>91</v>
      </c>
      <c r="J10" s="14">
        <v>42590</v>
      </c>
      <c r="K10" s="29">
        <f t="shared" si="1"/>
        <v>11499.300000000001</v>
      </c>
      <c r="L10" s="29">
        <f t="shared" si="2"/>
        <v>30623.9136</v>
      </c>
      <c r="M10" s="125">
        <f t="shared" si="0"/>
        <v>12000</v>
      </c>
      <c r="N10" s="14"/>
      <c r="O10" s="27">
        <v>525</v>
      </c>
      <c r="P10" s="27">
        <v>500</v>
      </c>
      <c r="Q10" s="27">
        <v>500</v>
      </c>
      <c r="R10" s="27">
        <v>0</v>
      </c>
      <c r="S10" s="27">
        <v>0</v>
      </c>
      <c r="T10" s="27">
        <v>0</v>
      </c>
      <c r="U10" s="70">
        <f t="shared" si="3"/>
        <v>98238.213600000003</v>
      </c>
      <c r="V10" s="27">
        <v>5000</v>
      </c>
      <c r="W10" s="27">
        <v>600</v>
      </c>
      <c r="X10" s="27">
        <v>12500</v>
      </c>
      <c r="Y10" s="27">
        <v>120</v>
      </c>
      <c r="Z10" s="125">
        <f t="shared" si="4"/>
        <v>200</v>
      </c>
      <c r="AA10" s="27">
        <v>0</v>
      </c>
      <c r="AB10" s="27">
        <v>0</v>
      </c>
      <c r="AC10" s="70">
        <f t="shared" si="5"/>
        <v>18420</v>
      </c>
      <c r="AD10" s="27">
        <v>0</v>
      </c>
      <c r="AE10" s="27">
        <v>0</v>
      </c>
      <c r="AF10" s="27">
        <v>0</v>
      </c>
      <c r="AG10" s="27">
        <v>0</v>
      </c>
      <c r="AH10" s="35">
        <f t="shared" si="6"/>
        <v>0</v>
      </c>
      <c r="AI10" s="78">
        <f t="shared" si="7"/>
        <v>79818.213600000003</v>
      </c>
    </row>
    <row r="11" spans="1:35" ht="27.75" customHeight="1">
      <c r="A11" s="27">
        <v>5</v>
      </c>
      <c r="B11" s="124" t="s">
        <v>246</v>
      </c>
      <c r="C11" s="69" t="s">
        <v>218</v>
      </c>
      <c r="D11" s="14" t="s">
        <v>52</v>
      </c>
      <c r="E11" s="24" t="s">
        <v>191</v>
      </c>
      <c r="F11" s="14" t="s">
        <v>92</v>
      </c>
      <c r="G11" s="28" t="s">
        <v>315</v>
      </c>
      <c r="H11" s="25" t="s">
        <v>93</v>
      </c>
      <c r="I11" s="20" t="s">
        <v>94</v>
      </c>
      <c r="J11" s="14">
        <v>36700</v>
      </c>
      <c r="K11" s="29">
        <f t="shared" si="1"/>
        <v>9909</v>
      </c>
      <c r="L11" s="29">
        <f t="shared" si="2"/>
        <v>26388.768</v>
      </c>
      <c r="M11" s="125">
        <f t="shared" si="0"/>
        <v>11010</v>
      </c>
      <c r="N11" s="14"/>
      <c r="O11" s="27">
        <v>525</v>
      </c>
      <c r="P11" s="27">
        <v>500</v>
      </c>
      <c r="Q11" s="27">
        <v>500</v>
      </c>
      <c r="R11" s="27">
        <v>0</v>
      </c>
      <c r="S11" s="27">
        <v>0</v>
      </c>
      <c r="T11" s="27">
        <v>0</v>
      </c>
      <c r="U11" s="70">
        <f t="shared" si="3"/>
        <v>85532.767999999996</v>
      </c>
      <c r="V11" s="27">
        <v>1000</v>
      </c>
      <c r="W11" s="27">
        <v>150</v>
      </c>
      <c r="X11" s="27">
        <v>0</v>
      </c>
      <c r="Y11" s="27">
        <v>120</v>
      </c>
      <c r="Z11" s="125">
        <f t="shared" si="4"/>
        <v>200</v>
      </c>
      <c r="AA11" s="27">
        <v>0</v>
      </c>
      <c r="AB11" s="27">
        <v>0</v>
      </c>
      <c r="AC11" s="70">
        <f t="shared" si="5"/>
        <v>1470</v>
      </c>
      <c r="AD11" s="27">
        <v>0</v>
      </c>
      <c r="AE11" s="27">
        <v>0</v>
      </c>
      <c r="AF11" s="27">
        <v>0</v>
      </c>
      <c r="AG11" s="27">
        <v>0</v>
      </c>
      <c r="AH11" s="35">
        <f t="shared" si="6"/>
        <v>0</v>
      </c>
      <c r="AI11" s="78">
        <f t="shared" si="7"/>
        <v>84062.767999999996</v>
      </c>
    </row>
    <row r="12" spans="1:35" ht="27.75" customHeight="1">
      <c r="A12" s="27">
        <v>6</v>
      </c>
      <c r="B12" s="124" t="s">
        <v>247</v>
      </c>
      <c r="C12" s="69" t="s">
        <v>219</v>
      </c>
      <c r="D12" s="14" t="s">
        <v>124</v>
      </c>
      <c r="E12" s="24" t="s">
        <v>192</v>
      </c>
      <c r="F12" s="14" t="s">
        <v>113</v>
      </c>
      <c r="G12" s="28" t="s">
        <v>316</v>
      </c>
      <c r="H12" s="25">
        <v>272120</v>
      </c>
      <c r="I12" s="20"/>
      <c r="J12" s="14">
        <v>19388</v>
      </c>
      <c r="K12" s="29">
        <v>0</v>
      </c>
      <c r="L12" s="29">
        <f>J12*200%</f>
        <v>38776</v>
      </c>
      <c r="M12" s="126">
        <f t="shared" si="0"/>
        <v>5816.4</v>
      </c>
      <c r="N12" s="23"/>
      <c r="O12" s="27">
        <v>525</v>
      </c>
      <c r="P12" s="27">
        <v>0</v>
      </c>
      <c r="Q12" s="27">
        <v>500</v>
      </c>
      <c r="R12" s="27">
        <v>0</v>
      </c>
      <c r="S12" s="27">
        <v>0</v>
      </c>
      <c r="T12" s="27">
        <v>0</v>
      </c>
      <c r="U12" s="70">
        <f t="shared" si="3"/>
        <v>65005.4</v>
      </c>
      <c r="V12" s="27">
        <v>6000</v>
      </c>
      <c r="W12" s="27">
        <v>125</v>
      </c>
      <c r="X12" s="27">
        <v>4000</v>
      </c>
      <c r="Y12" s="27">
        <v>120</v>
      </c>
      <c r="Z12" s="125">
        <f t="shared" si="4"/>
        <v>200</v>
      </c>
      <c r="AA12" s="27">
        <v>0</v>
      </c>
      <c r="AB12" s="27">
        <v>0</v>
      </c>
      <c r="AC12" s="70">
        <f t="shared" si="5"/>
        <v>10445</v>
      </c>
      <c r="AD12" s="27">
        <v>0</v>
      </c>
      <c r="AE12" s="27">
        <v>0</v>
      </c>
      <c r="AF12" s="27">
        <v>0</v>
      </c>
      <c r="AG12" s="27">
        <v>0</v>
      </c>
      <c r="AH12" s="35">
        <f t="shared" si="6"/>
        <v>0</v>
      </c>
      <c r="AI12" s="78">
        <f t="shared" si="7"/>
        <v>54560.4</v>
      </c>
    </row>
    <row r="13" spans="1:35" ht="27.75" customHeight="1">
      <c r="A13" s="27">
        <v>7</v>
      </c>
      <c r="B13" s="124" t="s">
        <v>248</v>
      </c>
      <c r="C13" s="69" t="s">
        <v>220</v>
      </c>
      <c r="D13" s="14" t="s">
        <v>49</v>
      </c>
      <c r="E13" s="24" t="s">
        <v>193</v>
      </c>
      <c r="F13" s="14" t="s">
        <v>70</v>
      </c>
      <c r="G13" s="28" t="s">
        <v>317</v>
      </c>
      <c r="H13" s="25" t="s">
        <v>71</v>
      </c>
      <c r="I13" s="20" t="s">
        <v>72</v>
      </c>
      <c r="J13" s="14">
        <v>27000</v>
      </c>
      <c r="K13" s="29">
        <f t="shared" si="1"/>
        <v>7290.0000000000009</v>
      </c>
      <c r="L13" s="29">
        <f t="shared" si="2"/>
        <v>19414.080000000002</v>
      </c>
      <c r="M13" s="125">
        <f t="shared" si="0"/>
        <v>8100</v>
      </c>
      <c r="N13" s="14">
        <v>700</v>
      </c>
      <c r="O13" s="27">
        <v>525</v>
      </c>
      <c r="P13" s="27">
        <v>500</v>
      </c>
      <c r="Q13" s="27">
        <v>500</v>
      </c>
      <c r="R13" s="27">
        <v>0</v>
      </c>
      <c r="S13" s="27">
        <v>0</v>
      </c>
      <c r="T13" s="27">
        <v>0</v>
      </c>
      <c r="U13" s="70">
        <f t="shared" si="3"/>
        <v>64029.08</v>
      </c>
      <c r="V13" s="27">
        <v>10000</v>
      </c>
      <c r="W13" s="27">
        <v>100</v>
      </c>
      <c r="X13" s="27">
        <v>0</v>
      </c>
      <c r="Y13" s="27">
        <v>60</v>
      </c>
      <c r="Z13" s="125">
        <f t="shared" si="4"/>
        <v>200</v>
      </c>
      <c r="AA13" s="27">
        <v>0</v>
      </c>
      <c r="AB13" s="27">
        <v>0</v>
      </c>
      <c r="AC13" s="70">
        <f t="shared" si="5"/>
        <v>10360</v>
      </c>
      <c r="AD13" s="27">
        <v>0</v>
      </c>
      <c r="AE13" s="27">
        <v>0</v>
      </c>
      <c r="AF13" s="27">
        <v>0</v>
      </c>
      <c r="AG13" s="27">
        <v>0</v>
      </c>
      <c r="AH13" s="35">
        <f t="shared" si="6"/>
        <v>0</v>
      </c>
      <c r="AI13" s="78">
        <f t="shared" si="7"/>
        <v>53669.08</v>
      </c>
    </row>
    <row r="14" spans="1:35" ht="27.75" customHeight="1">
      <c r="A14" s="27">
        <v>8</v>
      </c>
      <c r="B14" s="124" t="s">
        <v>249</v>
      </c>
      <c r="C14" s="69" t="s">
        <v>221</v>
      </c>
      <c r="D14" s="14" t="s">
        <v>54</v>
      </c>
      <c r="E14" s="24" t="s">
        <v>194</v>
      </c>
      <c r="F14" s="25">
        <v>8012</v>
      </c>
      <c r="G14" s="28" t="s">
        <v>318</v>
      </c>
      <c r="H14" s="25" t="s">
        <v>96</v>
      </c>
      <c r="I14" s="20" t="s">
        <v>66</v>
      </c>
      <c r="J14" s="14">
        <v>23650</v>
      </c>
      <c r="K14" s="29">
        <f t="shared" si="1"/>
        <v>6385.5</v>
      </c>
      <c r="L14" s="29">
        <f t="shared" si="2"/>
        <v>17005.296000000002</v>
      </c>
      <c r="M14" s="125">
        <f t="shared" si="0"/>
        <v>7095</v>
      </c>
      <c r="N14" s="14">
        <v>610</v>
      </c>
      <c r="O14" s="27">
        <v>525</v>
      </c>
      <c r="P14" s="27">
        <v>0</v>
      </c>
      <c r="Q14" s="27">
        <v>500</v>
      </c>
      <c r="R14" s="27">
        <v>0</v>
      </c>
      <c r="S14" s="27">
        <v>0</v>
      </c>
      <c r="T14" s="27">
        <v>0</v>
      </c>
      <c r="U14" s="70">
        <f t="shared" si="3"/>
        <v>55770.796000000002</v>
      </c>
      <c r="V14" s="27">
        <v>0</v>
      </c>
      <c r="W14" s="27">
        <v>750</v>
      </c>
      <c r="X14" s="27">
        <v>0</v>
      </c>
      <c r="Y14" s="27">
        <v>120</v>
      </c>
      <c r="Z14" s="125">
        <f t="shared" si="4"/>
        <v>200</v>
      </c>
      <c r="AA14" s="27">
        <v>0</v>
      </c>
      <c r="AB14" s="27">
        <v>0</v>
      </c>
      <c r="AC14" s="70">
        <f t="shared" si="5"/>
        <v>1070</v>
      </c>
      <c r="AD14" s="27">
        <v>0</v>
      </c>
      <c r="AE14" s="27">
        <v>0</v>
      </c>
      <c r="AF14" s="27">
        <v>0</v>
      </c>
      <c r="AG14" s="27">
        <v>0</v>
      </c>
      <c r="AH14" s="35">
        <f t="shared" si="6"/>
        <v>0</v>
      </c>
      <c r="AI14" s="78">
        <f t="shared" si="7"/>
        <v>54700.796000000002</v>
      </c>
    </row>
    <row r="15" spans="1:35" ht="27.75" customHeight="1">
      <c r="A15" s="27">
        <v>9</v>
      </c>
      <c r="B15" s="124" t="s">
        <v>250</v>
      </c>
      <c r="C15" s="69" t="s">
        <v>222</v>
      </c>
      <c r="D15" s="14" t="s">
        <v>48</v>
      </c>
      <c r="E15" s="24" t="s">
        <v>195</v>
      </c>
      <c r="F15" s="14" t="s">
        <v>64</v>
      </c>
      <c r="G15" s="28" t="s">
        <v>319</v>
      </c>
      <c r="H15" s="25" t="s">
        <v>65</v>
      </c>
      <c r="I15" s="20" t="s">
        <v>66</v>
      </c>
      <c r="J15" s="14">
        <v>29200</v>
      </c>
      <c r="K15" s="29">
        <f t="shared" si="1"/>
        <v>7884.0000000000009</v>
      </c>
      <c r="L15" s="29">
        <f t="shared" si="2"/>
        <v>20995.968000000001</v>
      </c>
      <c r="M15" s="125">
        <f t="shared" si="0"/>
        <v>8760</v>
      </c>
      <c r="N15" s="14">
        <v>750</v>
      </c>
      <c r="O15" s="27">
        <v>525</v>
      </c>
      <c r="P15" s="27">
        <v>500</v>
      </c>
      <c r="Q15" s="27">
        <v>500</v>
      </c>
      <c r="R15" s="27">
        <v>0</v>
      </c>
      <c r="S15" s="27">
        <v>0</v>
      </c>
      <c r="T15" s="27">
        <v>0</v>
      </c>
      <c r="U15" s="70">
        <f t="shared" si="3"/>
        <v>69114.967999999993</v>
      </c>
      <c r="V15" s="27">
        <v>3500</v>
      </c>
      <c r="W15" s="27">
        <v>450</v>
      </c>
      <c r="X15" s="27">
        <v>0</v>
      </c>
      <c r="Y15" s="27">
        <v>120</v>
      </c>
      <c r="Z15" s="125">
        <f t="shared" si="4"/>
        <v>200</v>
      </c>
      <c r="AA15" s="27">
        <v>0</v>
      </c>
      <c r="AB15" s="27">
        <v>0</v>
      </c>
      <c r="AC15" s="70">
        <f t="shared" si="5"/>
        <v>4270</v>
      </c>
      <c r="AD15" s="27">
        <v>0</v>
      </c>
      <c r="AE15" s="27">
        <v>0</v>
      </c>
      <c r="AF15" s="27">
        <v>0</v>
      </c>
      <c r="AG15" s="27">
        <v>0</v>
      </c>
      <c r="AH15" s="35">
        <f t="shared" si="6"/>
        <v>0</v>
      </c>
      <c r="AI15" s="78">
        <f t="shared" si="7"/>
        <v>64844.967999999993</v>
      </c>
    </row>
    <row r="16" spans="1:35" ht="27.75" customHeight="1">
      <c r="A16" s="27">
        <v>10</v>
      </c>
      <c r="B16" s="124" t="s">
        <v>251</v>
      </c>
      <c r="C16" s="69" t="s">
        <v>223</v>
      </c>
      <c r="D16" s="14" t="s">
        <v>59</v>
      </c>
      <c r="E16" s="24" t="s">
        <v>196</v>
      </c>
      <c r="F16" s="14" t="s">
        <v>61</v>
      </c>
      <c r="G16" s="28" t="s">
        <v>320</v>
      </c>
      <c r="H16" s="25" t="s">
        <v>62</v>
      </c>
      <c r="I16" s="20" t="s">
        <v>63</v>
      </c>
      <c r="J16" s="14">
        <v>23610</v>
      </c>
      <c r="K16" s="29">
        <v>0</v>
      </c>
      <c r="L16" s="29">
        <f>J16*100%</f>
        <v>23610</v>
      </c>
      <c r="M16" s="125">
        <f t="shared" si="0"/>
        <v>7083</v>
      </c>
      <c r="N16" s="14">
        <v>690</v>
      </c>
      <c r="O16" s="27">
        <v>525</v>
      </c>
      <c r="P16" s="27">
        <v>0</v>
      </c>
      <c r="Q16" s="27">
        <v>500</v>
      </c>
      <c r="R16" s="27">
        <v>0</v>
      </c>
      <c r="S16" s="27">
        <v>0</v>
      </c>
      <c r="T16" s="27">
        <v>0</v>
      </c>
      <c r="U16" s="70">
        <f t="shared" si="3"/>
        <v>56018</v>
      </c>
      <c r="V16" s="27">
        <v>5000</v>
      </c>
      <c r="W16" s="27">
        <v>750</v>
      </c>
      <c r="X16" s="27">
        <v>0</v>
      </c>
      <c r="Y16" s="27">
        <v>120</v>
      </c>
      <c r="Z16" s="125">
        <f t="shared" si="4"/>
        <v>200</v>
      </c>
      <c r="AA16" s="27">
        <v>0</v>
      </c>
      <c r="AB16" s="27">
        <v>0</v>
      </c>
      <c r="AC16" s="70">
        <f t="shared" si="5"/>
        <v>6070</v>
      </c>
      <c r="AD16" s="27">
        <v>0</v>
      </c>
      <c r="AE16" s="27">
        <v>0</v>
      </c>
      <c r="AF16" s="27">
        <v>0</v>
      </c>
      <c r="AG16" s="27">
        <v>0</v>
      </c>
      <c r="AH16" s="35">
        <f t="shared" si="6"/>
        <v>0</v>
      </c>
      <c r="AI16" s="78">
        <f t="shared" si="7"/>
        <v>49948</v>
      </c>
    </row>
    <row r="17" spans="1:35" ht="27.75" customHeight="1">
      <c r="A17" s="27">
        <v>11</v>
      </c>
      <c r="B17" s="124" t="s">
        <v>252</v>
      </c>
      <c r="C17" s="69" t="s">
        <v>224</v>
      </c>
      <c r="D17" s="14" t="s">
        <v>48</v>
      </c>
      <c r="E17" s="24" t="s">
        <v>197</v>
      </c>
      <c r="F17" s="14" t="s">
        <v>67</v>
      </c>
      <c r="G17" s="25" t="s">
        <v>321</v>
      </c>
      <c r="H17" s="25" t="s">
        <v>68</v>
      </c>
      <c r="I17" s="20" t="s">
        <v>69</v>
      </c>
      <c r="J17" s="14">
        <v>27000</v>
      </c>
      <c r="K17" s="29">
        <f t="shared" si="1"/>
        <v>7290.0000000000009</v>
      </c>
      <c r="L17" s="29">
        <f t="shared" si="2"/>
        <v>19414.080000000002</v>
      </c>
      <c r="M17" s="125">
        <f t="shared" si="0"/>
        <v>8100</v>
      </c>
      <c r="N17" s="14">
        <v>700</v>
      </c>
      <c r="O17" s="27">
        <v>525</v>
      </c>
      <c r="P17" s="27">
        <v>500</v>
      </c>
      <c r="Q17" s="27">
        <v>500</v>
      </c>
      <c r="R17" s="27">
        <v>170</v>
      </c>
      <c r="S17" s="27">
        <v>0</v>
      </c>
      <c r="T17" s="27">
        <v>0</v>
      </c>
      <c r="U17" s="70">
        <f t="shared" si="3"/>
        <v>64199.08</v>
      </c>
      <c r="V17" s="27">
        <v>12000</v>
      </c>
      <c r="W17" s="27">
        <v>450</v>
      </c>
      <c r="X17" s="27">
        <v>0</v>
      </c>
      <c r="Y17" s="27">
        <v>60</v>
      </c>
      <c r="Z17" s="125">
        <f t="shared" si="4"/>
        <v>200</v>
      </c>
      <c r="AA17" s="27">
        <v>0</v>
      </c>
      <c r="AB17" s="27">
        <v>0</v>
      </c>
      <c r="AC17" s="70">
        <f t="shared" si="5"/>
        <v>12710</v>
      </c>
      <c r="AD17" s="27">
        <v>0</v>
      </c>
      <c r="AE17" s="27">
        <v>0</v>
      </c>
      <c r="AF17" s="27">
        <v>0</v>
      </c>
      <c r="AG17" s="27">
        <v>0</v>
      </c>
      <c r="AH17" s="35">
        <f t="shared" si="6"/>
        <v>0</v>
      </c>
      <c r="AI17" s="78">
        <f t="shared" si="7"/>
        <v>51489.08</v>
      </c>
    </row>
    <row r="18" spans="1:35" ht="27.75" customHeight="1">
      <c r="A18" s="27">
        <v>12</v>
      </c>
      <c r="B18" s="124" t="s">
        <v>253</v>
      </c>
      <c r="C18" s="69" t="s">
        <v>225</v>
      </c>
      <c r="D18" s="14" t="s">
        <v>109</v>
      </c>
      <c r="E18" s="24" t="s">
        <v>198</v>
      </c>
      <c r="F18" s="14" t="s">
        <v>99</v>
      </c>
      <c r="G18" s="25" t="s">
        <v>322</v>
      </c>
      <c r="H18" s="25" t="s">
        <v>100</v>
      </c>
      <c r="I18" s="20" t="s">
        <v>66</v>
      </c>
      <c r="J18" s="14">
        <v>24300</v>
      </c>
      <c r="K18" s="29">
        <f t="shared" si="1"/>
        <v>6561</v>
      </c>
      <c r="L18" s="29">
        <f t="shared" si="2"/>
        <v>17472.671999999999</v>
      </c>
      <c r="M18" s="125">
        <f t="shared" si="0"/>
        <v>7290</v>
      </c>
      <c r="N18" s="14">
        <v>650</v>
      </c>
      <c r="O18" s="27">
        <v>525</v>
      </c>
      <c r="P18" s="27">
        <v>500</v>
      </c>
      <c r="Q18" s="27">
        <v>500</v>
      </c>
      <c r="R18" s="27">
        <v>0</v>
      </c>
      <c r="S18" s="27">
        <v>0</v>
      </c>
      <c r="T18" s="27">
        <v>0</v>
      </c>
      <c r="U18" s="70">
        <f t="shared" si="3"/>
        <v>57798.671999999999</v>
      </c>
      <c r="V18" s="27">
        <v>5000</v>
      </c>
      <c r="W18" s="27">
        <v>150</v>
      </c>
      <c r="X18" s="27">
        <v>0</v>
      </c>
      <c r="Y18" s="27">
        <v>60</v>
      </c>
      <c r="Z18" s="125">
        <f t="shared" si="4"/>
        <v>200</v>
      </c>
      <c r="AA18" s="27">
        <v>0</v>
      </c>
      <c r="AB18" s="27">
        <v>0</v>
      </c>
      <c r="AC18" s="70">
        <f t="shared" si="5"/>
        <v>5410</v>
      </c>
      <c r="AD18" s="27">
        <v>0</v>
      </c>
      <c r="AE18" s="27">
        <v>0</v>
      </c>
      <c r="AF18" s="27">
        <v>0</v>
      </c>
      <c r="AG18" s="27">
        <v>396</v>
      </c>
      <c r="AH18" s="35">
        <f t="shared" si="6"/>
        <v>396</v>
      </c>
      <c r="AI18" s="78">
        <f t="shared" si="7"/>
        <v>51992.671999999999</v>
      </c>
    </row>
    <row r="19" spans="1:35" ht="27.75" customHeight="1">
      <c r="A19" s="27">
        <v>13</v>
      </c>
      <c r="B19" s="124" t="s">
        <v>254</v>
      </c>
      <c r="C19" s="69" t="s">
        <v>226</v>
      </c>
      <c r="D19" s="14" t="s">
        <v>56</v>
      </c>
      <c r="E19" s="24" t="s">
        <v>199</v>
      </c>
      <c r="F19" s="25">
        <v>0</v>
      </c>
      <c r="G19" s="25" t="s">
        <v>323</v>
      </c>
      <c r="H19" s="25" t="s">
        <v>98</v>
      </c>
      <c r="I19" s="20" t="s">
        <v>66</v>
      </c>
      <c r="J19" s="14">
        <v>42590</v>
      </c>
      <c r="K19" s="29">
        <f t="shared" si="1"/>
        <v>11499.300000000001</v>
      </c>
      <c r="L19" s="29">
        <f t="shared" si="2"/>
        <v>30623.9136</v>
      </c>
      <c r="M19" s="125">
        <f t="shared" si="0"/>
        <v>12000</v>
      </c>
      <c r="N19" s="14">
        <v>1040</v>
      </c>
      <c r="O19" s="27">
        <v>525</v>
      </c>
      <c r="P19" s="27">
        <v>500</v>
      </c>
      <c r="Q19" s="27">
        <v>500</v>
      </c>
      <c r="R19" s="27">
        <v>0</v>
      </c>
      <c r="S19" s="27">
        <v>0</v>
      </c>
      <c r="T19" s="27">
        <v>0</v>
      </c>
      <c r="U19" s="70">
        <f t="shared" si="3"/>
        <v>99278.213600000003</v>
      </c>
      <c r="V19" s="27">
        <v>0</v>
      </c>
      <c r="W19" s="27">
        <v>150</v>
      </c>
      <c r="X19" s="27">
        <v>0</v>
      </c>
      <c r="Y19" s="27">
        <v>120</v>
      </c>
      <c r="Z19" s="125">
        <f t="shared" si="4"/>
        <v>200</v>
      </c>
      <c r="AA19" s="27">
        <v>0</v>
      </c>
      <c r="AB19" s="27">
        <v>0</v>
      </c>
      <c r="AC19" s="70">
        <f t="shared" si="5"/>
        <v>470</v>
      </c>
      <c r="AD19" s="27">
        <v>0</v>
      </c>
      <c r="AE19" s="27">
        <v>0</v>
      </c>
      <c r="AF19" s="27">
        <v>0</v>
      </c>
      <c r="AG19" s="27">
        <v>0</v>
      </c>
      <c r="AH19" s="35">
        <f t="shared" si="6"/>
        <v>0</v>
      </c>
      <c r="AI19" s="78">
        <f t="shared" si="7"/>
        <v>98808.213600000003</v>
      </c>
    </row>
    <row r="20" spans="1:35" ht="27.75" customHeight="1">
      <c r="A20" s="27">
        <v>14</v>
      </c>
      <c r="B20" s="124" t="s">
        <v>255</v>
      </c>
      <c r="C20" s="69" t="s">
        <v>227</v>
      </c>
      <c r="D20" s="14" t="s">
        <v>60</v>
      </c>
      <c r="E20" s="24" t="s">
        <v>200</v>
      </c>
      <c r="F20" s="14" t="s">
        <v>114</v>
      </c>
      <c r="G20" s="25" t="s">
        <v>324</v>
      </c>
      <c r="H20" s="25" t="s">
        <v>107</v>
      </c>
      <c r="I20" s="26"/>
      <c r="J20" s="14">
        <v>24300</v>
      </c>
      <c r="K20" s="29">
        <f t="shared" si="1"/>
        <v>6561</v>
      </c>
      <c r="L20" s="29">
        <f t="shared" si="2"/>
        <v>17472.671999999999</v>
      </c>
      <c r="M20" s="125">
        <f t="shared" si="0"/>
        <v>7290</v>
      </c>
      <c r="N20" s="14">
        <v>610</v>
      </c>
      <c r="O20" s="27">
        <v>525</v>
      </c>
      <c r="P20" s="27">
        <v>500</v>
      </c>
      <c r="Q20" s="27">
        <v>500</v>
      </c>
      <c r="R20" s="27">
        <v>30</v>
      </c>
      <c r="S20" s="27">
        <v>0</v>
      </c>
      <c r="T20" s="27">
        <v>0</v>
      </c>
      <c r="U20" s="70">
        <f t="shared" si="3"/>
        <v>57788.671999999999</v>
      </c>
      <c r="V20" s="27">
        <v>10000</v>
      </c>
      <c r="W20" s="27">
        <v>750</v>
      </c>
      <c r="X20" s="27">
        <v>0</v>
      </c>
      <c r="Y20" s="27">
        <v>120</v>
      </c>
      <c r="Z20" s="125">
        <f t="shared" si="4"/>
        <v>200</v>
      </c>
      <c r="AA20" s="27">
        <v>0</v>
      </c>
      <c r="AB20" s="27">
        <v>0</v>
      </c>
      <c r="AC20" s="70">
        <f t="shared" si="5"/>
        <v>11070</v>
      </c>
      <c r="AD20" s="27">
        <v>0</v>
      </c>
      <c r="AE20" s="27">
        <v>0</v>
      </c>
      <c r="AF20" s="27">
        <v>0</v>
      </c>
      <c r="AG20" s="27">
        <v>0</v>
      </c>
      <c r="AH20" s="35">
        <f t="shared" si="6"/>
        <v>0</v>
      </c>
      <c r="AI20" s="78">
        <f t="shared" si="7"/>
        <v>46718.671999999999</v>
      </c>
    </row>
    <row r="21" spans="1:35" ht="27.75" customHeight="1">
      <c r="A21" s="27">
        <v>15</v>
      </c>
      <c r="B21" s="124" t="s">
        <v>256</v>
      </c>
      <c r="C21" s="69" t="s">
        <v>228</v>
      </c>
      <c r="D21" s="14" t="s">
        <v>58</v>
      </c>
      <c r="E21" s="24" t="s">
        <v>201</v>
      </c>
      <c r="F21" s="14" t="s">
        <v>110</v>
      </c>
      <c r="G21" s="25" t="s">
        <v>325</v>
      </c>
      <c r="H21" s="25" t="s">
        <v>103</v>
      </c>
      <c r="I21" s="20" t="s">
        <v>69</v>
      </c>
      <c r="J21" s="14">
        <v>23650</v>
      </c>
      <c r="K21" s="29">
        <f t="shared" si="1"/>
        <v>6385.5</v>
      </c>
      <c r="L21" s="29">
        <f t="shared" si="2"/>
        <v>17005.296000000002</v>
      </c>
      <c r="M21" s="125">
        <f t="shared" si="0"/>
        <v>7095</v>
      </c>
      <c r="N21" s="14">
        <v>610</v>
      </c>
      <c r="O21" s="27">
        <v>525</v>
      </c>
      <c r="P21" s="27">
        <v>500</v>
      </c>
      <c r="Q21" s="27">
        <v>500</v>
      </c>
      <c r="R21" s="27">
        <v>60</v>
      </c>
      <c r="S21" s="27">
        <v>0</v>
      </c>
      <c r="T21" s="27">
        <v>0</v>
      </c>
      <c r="U21" s="70">
        <f t="shared" si="3"/>
        <v>56330.796000000002</v>
      </c>
      <c r="V21" s="27">
        <v>15000</v>
      </c>
      <c r="W21" s="27">
        <v>4350</v>
      </c>
      <c r="X21" s="27">
        <v>0</v>
      </c>
      <c r="Y21" s="27">
        <v>60</v>
      </c>
      <c r="Z21" s="125">
        <f t="shared" si="4"/>
        <v>200</v>
      </c>
      <c r="AA21" s="27">
        <v>0</v>
      </c>
      <c r="AB21" s="27">
        <v>0</v>
      </c>
      <c r="AC21" s="70">
        <f t="shared" si="5"/>
        <v>19610</v>
      </c>
      <c r="AD21" s="27">
        <v>0</v>
      </c>
      <c r="AE21" s="27">
        <v>0</v>
      </c>
      <c r="AF21" s="27">
        <v>0</v>
      </c>
      <c r="AG21" s="27">
        <v>0</v>
      </c>
      <c r="AH21" s="35">
        <f t="shared" si="6"/>
        <v>0</v>
      </c>
      <c r="AI21" s="78">
        <f t="shared" si="7"/>
        <v>36720.796000000002</v>
      </c>
    </row>
    <row r="22" spans="1:35" ht="27.75" customHeight="1">
      <c r="A22" s="27">
        <v>16</v>
      </c>
      <c r="B22" s="124" t="s">
        <v>257</v>
      </c>
      <c r="C22" s="69" t="s">
        <v>229</v>
      </c>
      <c r="D22" s="14" t="s">
        <v>53</v>
      </c>
      <c r="E22" s="24" t="s">
        <v>202</v>
      </c>
      <c r="F22" s="25">
        <v>0</v>
      </c>
      <c r="G22" s="25" t="s">
        <v>270</v>
      </c>
      <c r="H22" s="25" t="s">
        <v>95</v>
      </c>
      <c r="I22" s="20" t="s">
        <v>81</v>
      </c>
      <c r="J22" s="14">
        <v>16600</v>
      </c>
      <c r="K22" s="29">
        <f t="shared" si="1"/>
        <v>4482</v>
      </c>
      <c r="L22" s="29">
        <f t="shared" si="2"/>
        <v>11936.064</v>
      </c>
      <c r="M22" s="125">
        <f t="shared" si="0"/>
        <v>4980</v>
      </c>
      <c r="N22" s="14">
        <v>450</v>
      </c>
      <c r="O22" s="27">
        <v>350</v>
      </c>
      <c r="P22" s="27">
        <v>500</v>
      </c>
      <c r="Q22" s="27">
        <v>500</v>
      </c>
      <c r="R22" s="27">
        <v>0</v>
      </c>
      <c r="S22" s="27">
        <v>0</v>
      </c>
      <c r="T22" s="27">
        <v>0</v>
      </c>
      <c r="U22" s="70">
        <f t="shared" si="3"/>
        <v>39798.063999999998</v>
      </c>
      <c r="V22" s="27">
        <v>0</v>
      </c>
      <c r="W22" s="27">
        <v>200</v>
      </c>
      <c r="X22" s="27">
        <v>0</v>
      </c>
      <c r="Y22" s="27">
        <v>30</v>
      </c>
      <c r="Z22" s="125">
        <f t="shared" si="4"/>
        <v>200</v>
      </c>
      <c r="AA22" s="27">
        <v>0</v>
      </c>
      <c r="AB22" s="27">
        <v>0</v>
      </c>
      <c r="AC22" s="70">
        <f t="shared" si="5"/>
        <v>430</v>
      </c>
      <c r="AD22" s="27">
        <v>0</v>
      </c>
      <c r="AE22" s="27">
        <v>0</v>
      </c>
      <c r="AF22" s="27">
        <v>0</v>
      </c>
      <c r="AG22" s="27">
        <v>0</v>
      </c>
      <c r="AH22" s="35">
        <f t="shared" si="6"/>
        <v>0</v>
      </c>
      <c r="AI22" s="78">
        <f t="shared" si="7"/>
        <v>39368.063999999998</v>
      </c>
    </row>
    <row r="23" spans="1:35" ht="27.75" customHeight="1">
      <c r="A23" s="27">
        <v>17</v>
      </c>
      <c r="B23" s="124" t="s">
        <v>258</v>
      </c>
      <c r="C23" s="69" t="s">
        <v>230</v>
      </c>
      <c r="D23" s="14" t="s">
        <v>51</v>
      </c>
      <c r="E23" s="24" t="s">
        <v>203</v>
      </c>
      <c r="F23" s="14" t="s">
        <v>82</v>
      </c>
      <c r="G23" s="25" t="s">
        <v>271</v>
      </c>
      <c r="H23" s="25" t="s">
        <v>83</v>
      </c>
      <c r="I23" s="20" t="s">
        <v>69</v>
      </c>
      <c r="J23" s="14">
        <v>21250</v>
      </c>
      <c r="K23" s="29">
        <f t="shared" si="1"/>
        <v>5737.5</v>
      </c>
      <c r="L23" s="29">
        <f t="shared" si="2"/>
        <v>15279.6</v>
      </c>
      <c r="M23" s="125">
        <f t="shared" si="0"/>
        <v>6375</v>
      </c>
      <c r="N23" s="14">
        <v>570</v>
      </c>
      <c r="O23" s="27">
        <v>525</v>
      </c>
      <c r="P23" s="27">
        <v>500</v>
      </c>
      <c r="Q23" s="27">
        <v>500</v>
      </c>
      <c r="R23" s="27">
        <v>50</v>
      </c>
      <c r="S23" s="27">
        <v>0</v>
      </c>
      <c r="T23" s="27">
        <v>0</v>
      </c>
      <c r="U23" s="70">
        <f t="shared" si="3"/>
        <v>50787.1</v>
      </c>
      <c r="V23" s="27">
        <v>5000</v>
      </c>
      <c r="W23" s="27">
        <v>750</v>
      </c>
      <c r="X23" s="27">
        <v>0</v>
      </c>
      <c r="Y23" s="27">
        <v>60</v>
      </c>
      <c r="Z23" s="125">
        <f t="shared" si="4"/>
        <v>200</v>
      </c>
      <c r="AA23" s="27">
        <v>0</v>
      </c>
      <c r="AB23" s="27">
        <v>0</v>
      </c>
      <c r="AC23" s="70">
        <f t="shared" si="5"/>
        <v>6010</v>
      </c>
      <c r="AD23" s="27">
        <v>0</v>
      </c>
      <c r="AE23" s="27">
        <v>0</v>
      </c>
      <c r="AF23" s="27">
        <v>0</v>
      </c>
      <c r="AG23" s="27">
        <v>0</v>
      </c>
      <c r="AH23" s="35">
        <f t="shared" si="6"/>
        <v>0</v>
      </c>
      <c r="AI23" s="78">
        <f t="shared" si="7"/>
        <v>44777.1</v>
      </c>
    </row>
    <row r="24" spans="1:35" ht="27.75" customHeight="1">
      <c r="A24" s="27">
        <v>18</v>
      </c>
      <c r="B24" s="124" t="s">
        <v>259</v>
      </c>
      <c r="C24" s="69" t="s">
        <v>231</v>
      </c>
      <c r="D24" s="14" t="s">
        <v>51</v>
      </c>
      <c r="E24" s="24" t="s">
        <v>204</v>
      </c>
      <c r="F24" s="14" t="s">
        <v>84</v>
      </c>
      <c r="G24" s="25" t="s">
        <v>272</v>
      </c>
      <c r="H24" s="25" t="s">
        <v>85</v>
      </c>
      <c r="I24" s="20" t="s">
        <v>69</v>
      </c>
      <c r="J24" s="14">
        <v>25600</v>
      </c>
      <c r="K24" s="29">
        <f t="shared" si="1"/>
        <v>6912</v>
      </c>
      <c r="L24" s="29">
        <f t="shared" si="2"/>
        <v>18407.423999999999</v>
      </c>
      <c r="M24" s="125">
        <f t="shared" si="0"/>
        <v>7680</v>
      </c>
      <c r="N24" s="14">
        <v>650</v>
      </c>
      <c r="O24" s="27">
        <v>525</v>
      </c>
      <c r="P24" s="27">
        <v>500</v>
      </c>
      <c r="Q24" s="27">
        <v>500</v>
      </c>
      <c r="R24" s="27">
        <v>30</v>
      </c>
      <c r="S24" s="27">
        <v>0</v>
      </c>
      <c r="T24" s="27">
        <v>0</v>
      </c>
      <c r="U24" s="70">
        <f t="shared" si="3"/>
        <v>60804.423999999999</v>
      </c>
      <c r="V24" s="27">
        <v>7000</v>
      </c>
      <c r="W24" s="27">
        <v>100</v>
      </c>
      <c r="X24" s="27">
        <v>2000</v>
      </c>
      <c r="Y24" s="27">
        <v>60</v>
      </c>
      <c r="Z24" s="125">
        <f t="shared" si="4"/>
        <v>200</v>
      </c>
      <c r="AA24" s="27">
        <v>0</v>
      </c>
      <c r="AB24" s="27">
        <v>0</v>
      </c>
      <c r="AC24" s="70">
        <f t="shared" si="5"/>
        <v>9360</v>
      </c>
      <c r="AD24" s="27">
        <v>0</v>
      </c>
      <c r="AE24" s="27">
        <v>1200</v>
      </c>
      <c r="AF24" s="27">
        <v>0</v>
      </c>
      <c r="AG24" s="27">
        <v>0</v>
      </c>
      <c r="AH24" s="35">
        <f t="shared" si="6"/>
        <v>1200</v>
      </c>
      <c r="AI24" s="78">
        <f t="shared" si="7"/>
        <v>50244.423999999999</v>
      </c>
    </row>
    <row r="25" spans="1:35" ht="27.75" customHeight="1">
      <c r="A25" s="27">
        <v>19</v>
      </c>
      <c r="B25" s="124" t="s">
        <v>260</v>
      </c>
      <c r="C25" s="69" t="s">
        <v>232</v>
      </c>
      <c r="D25" s="14" t="s">
        <v>51</v>
      </c>
      <c r="E25" s="24" t="s">
        <v>205</v>
      </c>
      <c r="F25" s="14" t="s">
        <v>87</v>
      </c>
      <c r="G25" s="28" t="s">
        <v>273</v>
      </c>
      <c r="H25" s="25" t="s">
        <v>88</v>
      </c>
      <c r="I25" s="20" t="s">
        <v>69</v>
      </c>
      <c r="J25" s="14">
        <v>25600</v>
      </c>
      <c r="K25" s="29">
        <f t="shared" si="1"/>
        <v>6912</v>
      </c>
      <c r="L25" s="29">
        <f t="shared" si="2"/>
        <v>18407.423999999999</v>
      </c>
      <c r="M25" s="125">
        <f t="shared" si="0"/>
        <v>7680</v>
      </c>
      <c r="N25" s="14">
        <v>650</v>
      </c>
      <c r="O25" s="27">
        <v>525</v>
      </c>
      <c r="P25" s="27">
        <v>500</v>
      </c>
      <c r="Q25" s="27">
        <v>500</v>
      </c>
      <c r="R25" s="27">
        <v>30</v>
      </c>
      <c r="S25" s="27">
        <v>0</v>
      </c>
      <c r="T25" s="27">
        <v>0</v>
      </c>
      <c r="U25" s="70">
        <f t="shared" si="3"/>
        <v>60804.423999999999</v>
      </c>
      <c r="V25" s="27">
        <v>2000</v>
      </c>
      <c r="W25" s="27">
        <v>200</v>
      </c>
      <c r="X25" s="27">
        <v>0</v>
      </c>
      <c r="Y25" s="27">
        <v>60</v>
      </c>
      <c r="Z25" s="125">
        <f t="shared" si="4"/>
        <v>200</v>
      </c>
      <c r="AA25" s="27">
        <v>0</v>
      </c>
      <c r="AB25" s="27">
        <v>0</v>
      </c>
      <c r="AC25" s="70">
        <f t="shared" si="5"/>
        <v>2460</v>
      </c>
      <c r="AD25" s="27">
        <v>0</v>
      </c>
      <c r="AE25" s="27">
        <v>0</v>
      </c>
      <c r="AF25" s="27">
        <v>0</v>
      </c>
      <c r="AG25" s="27">
        <v>0</v>
      </c>
      <c r="AH25" s="35">
        <f t="shared" si="6"/>
        <v>0</v>
      </c>
      <c r="AI25" s="78">
        <f t="shared" si="7"/>
        <v>58344.423999999999</v>
      </c>
    </row>
    <row r="26" spans="1:35" ht="27.75" customHeight="1">
      <c r="A26" s="27">
        <v>20</v>
      </c>
      <c r="B26" s="124" t="s">
        <v>261</v>
      </c>
      <c r="C26" s="69" t="s">
        <v>233</v>
      </c>
      <c r="D26" s="14" t="s">
        <v>51</v>
      </c>
      <c r="E26" s="24" t="s">
        <v>206</v>
      </c>
      <c r="F26" s="14" t="s">
        <v>86</v>
      </c>
      <c r="G26" s="25" t="s">
        <v>274</v>
      </c>
      <c r="H26" s="25">
        <v>300091</v>
      </c>
      <c r="I26" s="20" t="s">
        <v>69</v>
      </c>
      <c r="J26" s="14">
        <v>22430</v>
      </c>
      <c r="K26" s="29">
        <f t="shared" si="1"/>
        <v>6056.1</v>
      </c>
      <c r="L26" s="29">
        <f t="shared" si="2"/>
        <v>16128.0672</v>
      </c>
      <c r="M26" s="125">
        <f t="shared" si="0"/>
        <v>6729</v>
      </c>
      <c r="N26" s="14">
        <v>610</v>
      </c>
      <c r="O26" s="27">
        <v>525</v>
      </c>
      <c r="P26" s="27">
        <v>500</v>
      </c>
      <c r="Q26" s="27">
        <v>500</v>
      </c>
      <c r="R26" s="27">
        <v>60</v>
      </c>
      <c r="S26" s="27">
        <v>0</v>
      </c>
      <c r="T26" s="27">
        <v>0</v>
      </c>
      <c r="U26" s="70">
        <f t="shared" si="3"/>
        <v>53538.167199999996</v>
      </c>
      <c r="V26" s="27">
        <v>10000</v>
      </c>
      <c r="W26" s="27">
        <v>75</v>
      </c>
      <c r="X26" s="27">
        <v>1000</v>
      </c>
      <c r="Y26" s="27">
        <v>60</v>
      </c>
      <c r="Z26" s="125">
        <f t="shared" si="4"/>
        <v>200</v>
      </c>
      <c r="AA26" s="27">
        <v>0</v>
      </c>
      <c r="AB26" s="27">
        <v>0</v>
      </c>
      <c r="AC26" s="70">
        <f t="shared" si="5"/>
        <v>11335</v>
      </c>
      <c r="AD26" s="27">
        <v>0</v>
      </c>
      <c r="AE26" s="27">
        <v>0</v>
      </c>
      <c r="AF26" s="27">
        <v>0</v>
      </c>
      <c r="AG26" s="27">
        <v>0</v>
      </c>
      <c r="AH26" s="35">
        <f t="shared" si="6"/>
        <v>0</v>
      </c>
      <c r="AI26" s="78">
        <f t="shared" si="7"/>
        <v>42203.167199999996</v>
      </c>
    </row>
    <row r="27" spans="1:35" ht="27.75" customHeight="1">
      <c r="A27" s="27">
        <v>21</v>
      </c>
      <c r="B27" s="124" t="s">
        <v>262</v>
      </c>
      <c r="C27" s="69" t="s">
        <v>234</v>
      </c>
      <c r="D27" s="14" t="s">
        <v>51</v>
      </c>
      <c r="E27" s="24" t="s">
        <v>207</v>
      </c>
      <c r="F27" s="14" t="s">
        <v>76</v>
      </c>
      <c r="G27" s="28" t="s">
        <v>275</v>
      </c>
      <c r="H27" s="25" t="s">
        <v>77</v>
      </c>
      <c r="I27" s="20" t="s">
        <v>78</v>
      </c>
      <c r="J27" s="14">
        <v>16600</v>
      </c>
      <c r="K27" s="29">
        <f t="shared" si="1"/>
        <v>4482</v>
      </c>
      <c r="L27" s="29">
        <f t="shared" si="2"/>
        <v>11936.064</v>
      </c>
      <c r="M27" s="125">
        <f t="shared" si="0"/>
        <v>4980</v>
      </c>
      <c r="N27" s="14">
        <v>450</v>
      </c>
      <c r="O27" s="27">
        <v>350</v>
      </c>
      <c r="P27" s="27">
        <v>500</v>
      </c>
      <c r="Q27" s="27">
        <v>500</v>
      </c>
      <c r="R27" s="27">
        <v>0</v>
      </c>
      <c r="S27" s="27">
        <v>0</v>
      </c>
      <c r="T27" s="27">
        <v>0</v>
      </c>
      <c r="U27" s="70">
        <f t="shared" si="3"/>
        <v>39798.063999999998</v>
      </c>
      <c r="V27" s="27">
        <v>10000</v>
      </c>
      <c r="W27" s="27">
        <v>250</v>
      </c>
      <c r="X27" s="27">
        <v>0</v>
      </c>
      <c r="Y27" s="27">
        <v>60</v>
      </c>
      <c r="Z27" s="125">
        <f t="shared" si="4"/>
        <v>200</v>
      </c>
      <c r="AA27" s="27">
        <v>0</v>
      </c>
      <c r="AB27" s="27">
        <v>0</v>
      </c>
      <c r="AC27" s="70">
        <f t="shared" si="5"/>
        <v>10510</v>
      </c>
      <c r="AD27" s="27">
        <v>0</v>
      </c>
      <c r="AE27" s="27">
        <v>0</v>
      </c>
      <c r="AF27" s="27">
        <v>0</v>
      </c>
      <c r="AG27" s="27">
        <v>0</v>
      </c>
      <c r="AH27" s="35">
        <f t="shared" si="6"/>
        <v>0</v>
      </c>
      <c r="AI27" s="78">
        <f t="shared" si="7"/>
        <v>29288.063999999998</v>
      </c>
    </row>
    <row r="28" spans="1:35" ht="27.75" customHeight="1">
      <c r="A28" s="27">
        <v>22</v>
      </c>
      <c r="B28" s="124" t="s">
        <v>263</v>
      </c>
      <c r="C28" s="69" t="s">
        <v>235</v>
      </c>
      <c r="D28" s="14" t="s">
        <v>51</v>
      </c>
      <c r="E28" s="24" t="s">
        <v>208</v>
      </c>
      <c r="F28" s="14" t="s">
        <v>79</v>
      </c>
      <c r="G28" s="28" t="s">
        <v>276</v>
      </c>
      <c r="H28" s="25" t="s">
        <v>80</v>
      </c>
      <c r="I28" s="20" t="s">
        <v>81</v>
      </c>
      <c r="J28" s="14">
        <v>21820</v>
      </c>
      <c r="K28" s="29">
        <f t="shared" si="1"/>
        <v>5891.4000000000005</v>
      </c>
      <c r="L28" s="29">
        <f t="shared" si="2"/>
        <v>15689.452800000001</v>
      </c>
      <c r="M28" s="125">
        <f t="shared" si="0"/>
        <v>6546</v>
      </c>
      <c r="N28" s="14">
        <v>570</v>
      </c>
      <c r="O28" s="27">
        <v>525</v>
      </c>
      <c r="P28" s="27">
        <v>500</v>
      </c>
      <c r="Q28" s="27">
        <v>500</v>
      </c>
      <c r="R28" s="27">
        <v>30</v>
      </c>
      <c r="S28" s="27">
        <v>0</v>
      </c>
      <c r="T28" s="27">
        <v>0</v>
      </c>
      <c r="U28" s="70">
        <f t="shared" si="3"/>
        <v>52071.852800000001</v>
      </c>
      <c r="V28" s="27">
        <v>5000</v>
      </c>
      <c r="W28" s="27">
        <v>750</v>
      </c>
      <c r="X28" s="27">
        <v>0</v>
      </c>
      <c r="Y28" s="27">
        <v>60</v>
      </c>
      <c r="Z28" s="125">
        <f t="shared" si="4"/>
        <v>200</v>
      </c>
      <c r="AA28" s="27">
        <v>0</v>
      </c>
      <c r="AB28" s="27">
        <v>0</v>
      </c>
      <c r="AC28" s="70">
        <f t="shared" si="5"/>
        <v>6010</v>
      </c>
      <c r="AD28" s="27">
        <v>0</v>
      </c>
      <c r="AE28" s="27">
        <v>0</v>
      </c>
      <c r="AF28" s="27">
        <v>0</v>
      </c>
      <c r="AG28" s="27">
        <v>0</v>
      </c>
      <c r="AH28" s="35">
        <f t="shared" si="6"/>
        <v>0</v>
      </c>
      <c r="AI28" s="78">
        <f t="shared" si="7"/>
        <v>46061.852800000001</v>
      </c>
    </row>
    <row r="29" spans="1:35" ht="27.75" customHeight="1">
      <c r="A29" s="27">
        <v>23</v>
      </c>
      <c r="B29" s="124" t="s">
        <v>264</v>
      </c>
      <c r="C29" s="69" t="s">
        <v>236</v>
      </c>
      <c r="D29" s="14" t="s">
        <v>51</v>
      </c>
      <c r="E29" s="24" t="s">
        <v>209</v>
      </c>
      <c r="F29" s="14" t="s">
        <v>115</v>
      </c>
      <c r="G29" s="25" t="s">
        <v>277</v>
      </c>
      <c r="H29" s="25" t="s">
        <v>108</v>
      </c>
      <c r="I29" s="20"/>
      <c r="J29" s="14">
        <v>24980</v>
      </c>
      <c r="K29" s="29">
        <f t="shared" si="1"/>
        <v>6744.6</v>
      </c>
      <c r="L29" s="29">
        <f t="shared" si="2"/>
        <v>17961.619200000001</v>
      </c>
      <c r="M29" s="125">
        <f t="shared" si="0"/>
        <v>7494</v>
      </c>
      <c r="N29" s="14">
        <v>650</v>
      </c>
      <c r="O29" s="27">
        <v>1575</v>
      </c>
      <c r="P29" s="27">
        <v>500</v>
      </c>
      <c r="Q29" s="27">
        <v>500</v>
      </c>
      <c r="R29" s="27">
        <v>0</v>
      </c>
      <c r="S29" s="27">
        <v>0</v>
      </c>
      <c r="T29" s="27">
        <v>0</v>
      </c>
      <c r="U29" s="70">
        <f t="shared" si="3"/>
        <v>60405.2192</v>
      </c>
      <c r="V29" s="27">
        <v>500</v>
      </c>
      <c r="W29" s="27">
        <v>350</v>
      </c>
      <c r="X29" s="27">
        <v>0</v>
      </c>
      <c r="Y29" s="27">
        <v>60</v>
      </c>
      <c r="Z29" s="125">
        <f t="shared" si="4"/>
        <v>200</v>
      </c>
      <c r="AA29" s="27">
        <v>0</v>
      </c>
      <c r="AB29" s="27">
        <v>0</v>
      </c>
      <c r="AC29" s="70">
        <f t="shared" si="5"/>
        <v>1110</v>
      </c>
      <c r="AD29" s="27">
        <v>0</v>
      </c>
      <c r="AE29" s="27">
        <v>0</v>
      </c>
      <c r="AF29" s="27">
        <v>0</v>
      </c>
      <c r="AG29" s="27">
        <v>0</v>
      </c>
      <c r="AH29" s="35">
        <f t="shared" si="6"/>
        <v>0</v>
      </c>
      <c r="AI29" s="78">
        <f t="shared" si="7"/>
        <v>59295.2192</v>
      </c>
    </row>
    <row r="30" spans="1:35" ht="27.75" customHeight="1">
      <c r="A30" s="27">
        <v>24</v>
      </c>
      <c r="B30" s="124" t="s">
        <v>265</v>
      </c>
      <c r="C30" s="69" t="s">
        <v>237</v>
      </c>
      <c r="D30" s="14" t="s">
        <v>51</v>
      </c>
      <c r="E30" s="24" t="s">
        <v>210</v>
      </c>
      <c r="F30" s="25">
        <v>0</v>
      </c>
      <c r="G30" s="25" t="s">
        <v>278</v>
      </c>
      <c r="H30" s="25">
        <v>0</v>
      </c>
      <c r="I30" s="20"/>
      <c r="J30" s="14">
        <v>40510</v>
      </c>
      <c r="K30" s="29">
        <f t="shared" si="1"/>
        <v>10937.7</v>
      </c>
      <c r="L30" s="29">
        <f t="shared" si="2"/>
        <v>29128.310400000002</v>
      </c>
      <c r="M30" s="125">
        <f t="shared" si="0"/>
        <v>12000</v>
      </c>
      <c r="N30" s="14">
        <v>970</v>
      </c>
      <c r="O30" s="27">
        <v>1555</v>
      </c>
      <c r="P30" s="27">
        <v>500</v>
      </c>
      <c r="Q30" s="27">
        <v>500</v>
      </c>
      <c r="R30" s="27">
        <v>70</v>
      </c>
      <c r="S30" s="27">
        <v>0</v>
      </c>
      <c r="T30" s="27">
        <v>0</v>
      </c>
      <c r="U30" s="70">
        <f t="shared" si="3"/>
        <v>96171.010399999999</v>
      </c>
      <c r="V30" s="27">
        <v>0</v>
      </c>
      <c r="W30" s="27">
        <v>0</v>
      </c>
      <c r="X30" s="27">
        <v>0</v>
      </c>
      <c r="Y30" s="27">
        <v>0</v>
      </c>
      <c r="Z30" s="125">
        <f t="shared" si="4"/>
        <v>200</v>
      </c>
      <c r="AA30" s="27">
        <v>0</v>
      </c>
      <c r="AB30" s="27">
        <v>0</v>
      </c>
      <c r="AC30" s="70">
        <f t="shared" si="5"/>
        <v>200</v>
      </c>
      <c r="AD30" s="27">
        <v>0</v>
      </c>
      <c r="AE30" s="27">
        <v>0</v>
      </c>
      <c r="AF30" s="27">
        <v>0</v>
      </c>
      <c r="AG30" s="27">
        <v>0</v>
      </c>
      <c r="AH30" s="35">
        <f t="shared" si="6"/>
        <v>0</v>
      </c>
      <c r="AI30" s="78">
        <f t="shared" si="7"/>
        <v>95971.010399999999</v>
      </c>
    </row>
    <row r="31" spans="1:35" ht="27.75" customHeight="1">
      <c r="A31" s="27">
        <v>25</v>
      </c>
      <c r="B31" s="124" t="s">
        <v>243</v>
      </c>
      <c r="C31" s="69" t="s">
        <v>238</v>
      </c>
      <c r="D31" s="14" t="s">
        <v>51</v>
      </c>
      <c r="E31" s="24" t="s">
        <v>211</v>
      </c>
      <c r="F31" s="14" t="s">
        <v>75</v>
      </c>
      <c r="G31" s="25" t="s">
        <v>279</v>
      </c>
      <c r="H31" s="25">
        <v>312843</v>
      </c>
      <c r="I31" s="20" t="s">
        <v>69</v>
      </c>
      <c r="J31" s="14">
        <v>16150</v>
      </c>
      <c r="K31" s="29">
        <f t="shared" si="1"/>
        <v>4360.5</v>
      </c>
      <c r="L31" s="29">
        <f t="shared" si="2"/>
        <v>11612.496000000001</v>
      </c>
      <c r="M31" s="125">
        <f t="shared" si="0"/>
        <v>4845</v>
      </c>
      <c r="N31" s="14">
        <v>450</v>
      </c>
      <c r="O31" s="27">
        <v>350</v>
      </c>
      <c r="P31" s="27">
        <v>500</v>
      </c>
      <c r="Q31" s="27">
        <v>500</v>
      </c>
      <c r="R31" s="27">
        <v>40</v>
      </c>
      <c r="S31" s="27">
        <v>0</v>
      </c>
      <c r="T31" s="27">
        <v>0</v>
      </c>
      <c r="U31" s="70">
        <f t="shared" si="3"/>
        <v>38807.995999999999</v>
      </c>
      <c r="V31" s="27">
        <v>5000</v>
      </c>
      <c r="W31" s="27">
        <v>450</v>
      </c>
      <c r="X31" s="27">
        <v>0</v>
      </c>
      <c r="Y31" s="27">
        <v>60</v>
      </c>
      <c r="Z31" s="125">
        <f t="shared" si="4"/>
        <v>200</v>
      </c>
      <c r="AA31" s="27">
        <v>0</v>
      </c>
      <c r="AB31" s="27">
        <v>0</v>
      </c>
      <c r="AC31" s="70">
        <f t="shared" si="5"/>
        <v>5710</v>
      </c>
      <c r="AD31" s="27">
        <v>0</v>
      </c>
      <c r="AE31" s="27">
        <v>0</v>
      </c>
      <c r="AF31" s="27">
        <v>0</v>
      </c>
      <c r="AG31" s="27">
        <v>0</v>
      </c>
      <c r="AH31" s="35">
        <f t="shared" si="6"/>
        <v>0</v>
      </c>
      <c r="AI31" s="78">
        <f t="shared" si="7"/>
        <v>33097.995999999999</v>
      </c>
    </row>
    <row r="32" spans="1:35" ht="27.75" customHeight="1">
      <c r="A32" s="27">
        <v>26</v>
      </c>
      <c r="B32" s="124" t="s">
        <v>266</v>
      </c>
      <c r="C32" s="69" t="s">
        <v>239</v>
      </c>
      <c r="D32" s="14" t="s">
        <v>57</v>
      </c>
      <c r="E32" s="24" t="s">
        <v>212</v>
      </c>
      <c r="F32" s="14" t="s">
        <v>101</v>
      </c>
      <c r="G32" s="28" t="s">
        <v>280</v>
      </c>
      <c r="H32" s="25" t="s">
        <v>102</v>
      </c>
      <c r="I32" s="20" t="s">
        <v>269</v>
      </c>
      <c r="J32" s="14">
        <v>6030</v>
      </c>
      <c r="K32" s="29">
        <f t="shared" si="1"/>
        <v>1628.1000000000001</v>
      </c>
      <c r="L32" s="29">
        <v>0</v>
      </c>
      <c r="M32" s="125">
        <f t="shared" si="0"/>
        <v>1809</v>
      </c>
      <c r="N32" s="14">
        <v>570</v>
      </c>
      <c r="O32" s="27">
        <v>525</v>
      </c>
      <c r="P32" s="27">
        <v>500</v>
      </c>
      <c r="Q32" s="27">
        <v>500</v>
      </c>
      <c r="R32" s="27">
        <v>30</v>
      </c>
      <c r="S32" s="27">
        <v>0</v>
      </c>
      <c r="T32" s="27">
        <v>0</v>
      </c>
      <c r="U32" s="70">
        <f t="shared" si="3"/>
        <v>11592.1</v>
      </c>
      <c r="V32" s="27">
        <v>5000</v>
      </c>
      <c r="W32" s="27">
        <v>350</v>
      </c>
      <c r="X32" s="27">
        <v>1000</v>
      </c>
      <c r="Y32" s="27">
        <v>30</v>
      </c>
      <c r="Z32" s="128">
        <f t="shared" si="4"/>
        <v>0</v>
      </c>
      <c r="AA32" s="27">
        <v>0</v>
      </c>
      <c r="AB32" s="27">
        <v>0</v>
      </c>
      <c r="AC32" s="70">
        <f t="shared" si="5"/>
        <v>6380</v>
      </c>
      <c r="AD32" s="27">
        <v>2500</v>
      </c>
      <c r="AE32" s="27">
        <v>0</v>
      </c>
      <c r="AF32" s="27">
        <v>0</v>
      </c>
      <c r="AG32" s="27">
        <v>0</v>
      </c>
      <c r="AH32" s="35">
        <f t="shared" si="6"/>
        <v>2500</v>
      </c>
      <c r="AI32" s="78">
        <f t="shared" si="7"/>
        <v>2712.1000000000004</v>
      </c>
    </row>
    <row r="33" spans="1:35" ht="27.75" customHeight="1">
      <c r="A33" s="27">
        <v>27</v>
      </c>
      <c r="B33" s="124" t="s">
        <v>267</v>
      </c>
      <c r="C33" s="69" t="s">
        <v>240</v>
      </c>
      <c r="D33" s="14" t="s">
        <v>174</v>
      </c>
      <c r="E33" s="24" t="s">
        <v>213</v>
      </c>
      <c r="F33" s="14">
        <v>0</v>
      </c>
      <c r="G33" s="28" t="s">
        <v>281</v>
      </c>
      <c r="H33" s="25">
        <v>0</v>
      </c>
      <c r="I33" s="20" t="s">
        <v>269</v>
      </c>
      <c r="J33" s="14">
        <v>7150</v>
      </c>
      <c r="K33" s="29">
        <f t="shared" si="1"/>
        <v>1930.5000000000002</v>
      </c>
      <c r="L33" s="29">
        <f t="shared" si="2"/>
        <v>5141.1360000000004</v>
      </c>
      <c r="M33" s="125">
        <f t="shared" si="0"/>
        <v>2145</v>
      </c>
      <c r="N33" s="14">
        <v>650</v>
      </c>
      <c r="O33" s="27">
        <v>525</v>
      </c>
      <c r="P33" s="27">
        <v>500</v>
      </c>
      <c r="Q33" s="27">
        <v>500</v>
      </c>
      <c r="R33" s="27">
        <v>0</v>
      </c>
      <c r="S33" s="27">
        <v>0</v>
      </c>
      <c r="T33" s="27">
        <v>0</v>
      </c>
      <c r="U33" s="70">
        <f t="shared" si="3"/>
        <v>18541.635999999999</v>
      </c>
      <c r="V33" s="27">
        <v>0</v>
      </c>
      <c r="W33" s="27">
        <v>0</v>
      </c>
      <c r="X33" s="27"/>
      <c r="Y33" s="27">
        <v>0</v>
      </c>
      <c r="Z33" s="128">
        <f t="shared" si="4"/>
        <v>150</v>
      </c>
      <c r="AA33" s="27">
        <v>0</v>
      </c>
      <c r="AB33" s="27"/>
      <c r="AC33" s="70">
        <f t="shared" si="5"/>
        <v>150</v>
      </c>
      <c r="AD33" s="27">
        <v>0</v>
      </c>
      <c r="AE33" s="27">
        <v>0</v>
      </c>
      <c r="AF33" s="27">
        <v>0</v>
      </c>
      <c r="AG33" s="27">
        <v>0</v>
      </c>
      <c r="AH33" s="35">
        <f t="shared" si="6"/>
        <v>0</v>
      </c>
      <c r="AI33" s="78">
        <f t="shared" si="7"/>
        <v>18391.635999999999</v>
      </c>
    </row>
    <row r="34" spans="1:35" s="68" customFormat="1" ht="27.75" customHeight="1">
      <c r="A34" s="35"/>
      <c r="B34" s="35"/>
      <c r="C34" s="35"/>
      <c r="D34" s="35"/>
      <c r="E34" s="35"/>
      <c r="F34" s="35"/>
      <c r="G34" s="35"/>
      <c r="H34" s="35"/>
      <c r="I34" s="35"/>
      <c r="J34" s="70">
        <f t="shared" ref="J34:AA34" si="8">SUM(J7:J33)</f>
        <v>664998</v>
      </c>
      <c r="K34" s="70">
        <f t="shared" si="8"/>
        <v>164662.20000000004</v>
      </c>
      <c r="L34" s="70">
        <f t="shared" si="8"/>
        <v>496563.92320000008</v>
      </c>
      <c r="M34" s="127">
        <f t="shared" si="8"/>
        <v>197639.4</v>
      </c>
      <c r="N34" s="70">
        <f t="shared" si="8"/>
        <v>14210</v>
      </c>
      <c r="O34" s="70">
        <f t="shared" si="8"/>
        <v>15730</v>
      </c>
      <c r="P34" s="70">
        <f t="shared" si="8"/>
        <v>10500</v>
      </c>
      <c r="Q34" s="70">
        <f t="shared" si="8"/>
        <v>13500</v>
      </c>
      <c r="R34" s="70">
        <f t="shared" si="8"/>
        <v>600</v>
      </c>
      <c r="S34" s="70">
        <f t="shared" si="8"/>
        <v>400</v>
      </c>
      <c r="T34" s="70">
        <f t="shared" si="8"/>
        <v>9478</v>
      </c>
      <c r="U34" s="70">
        <f t="shared" si="8"/>
        <v>1588281.5232000004</v>
      </c>
      <c r="V34" s="70">
        <f t="shared" si="8"/>
        <v>125500</v>
      </c>
      <c r="W34" s="70">
        <f t="shared" si="8"/>
        <v>14000</v>
      </c>
      <c r="X34" s="70">
        <f t="shared" si="8"/>
        <v>32500</v>
      </c>
      <c r="Y34" s="70">
        <f t="shared" si="8"/>
        <v>1980</v>
      </c>
      <c r="Z34" s="127">
        <f t="shared" si="8"/>
        <v>5100</v>
      </c>
      <c r="AA34" s="70">
        <f t="shared" si="8"/>
        <v>0</v>
      </c>
      <c r="AB34" s="70">
        <f t="shared" ref="AB34" si="9">SUM(AB7:AB32)</f>
        <v>17834</v>
      </c>
      <c r="AC34" s="70">
        <f>SUM(AC7:AC33)</f>
        <v>196914</v>
      </c>
      <c r="AD34" s="70">
        <f t="shared" ref="AD34:AI34" si="10">SUM(AD7:AD33)</f>
        <v>7500</v>
      </c>
      <c r="AE34" s="70">
        <f t="shared" si="10"/>
        <v>1200</v>
      </c>
      <c r="AF34" s="70">
        <f t="shared" si="10"/>
        <v>500</v>
      </c>
      <c r="AG34" s="70">
        <f t="shared" si="10"/>
        <v>396</v>
      </c>
      <c r="AH34" s="70">
        <f t="shared" si="10"/>
        <v>9596</v>
      </c>
      <c r="AI34" s="78">
        <f t="shared" si="10"/>
        <v>1381771.5231999999</v>
      </c>
    </row>
    <row r="38" spans="1:35">
      <c r="J38" s="67"/>
    </row>
    <row r="39" spans="1:35">
      <c r="L39" s="22"/>
    </row>
    <row r="41" spans="1:35">
      <c r="H41" s="80"/>
    </row>
    <row r="45" spans="1:35">
      <c r="U45" s="71"/>
    </row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6">
    <mergeCell ref="AD5:AF5"/>
    <mergeCell ref="J2:S2"/>
    <mergeCell ref="J1:U1"/>
    <mergeCell ref="J3:U3"/>
    <mergeCell ref="J5:T5"/>
    <mergeCell ref="V5:AB5"/>
  </mergeCells>
  <dataValidations count="1">
    <dataValidation allowBlank="1" showErrorMessage="1" sqref="G11:G16 G7 G9 G25 G27:G28 G32:G33"/>
  </dataValidations>
  <printOptions horizontalCentered="1"/>
  <pageMargins left="0.24" right="0.26" top="0.38" bottom="0.53" header="0.3" footer="0.45"/>
  <pageSetup paperSize="9" scale="90" orientation="landscape" r:id="rId1"/>
  <colBreaks count="1" manualBreakCount="1">
    <brk id="21" max="3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722"/>
  <sheetViews>
    <sheetView topLeftCell="A52" workbookViewId="0">
      <selection activeCell="E66" sqref="E66"/>
    </sheetView>
  </sheetViews>
  <sheetFormatPr defaultRowHeight="15"/>
  <cols>
    <col min="1" max="1" width="3.42578125" style="2" customWidth="1"/>
    <col min="2" max="2" width="9.140625" style="2"/>
    <col min="3" max="3" width="7.7109375" style="2" customWidth="1"/>
    <col min="4" max="4" width="16.7109375" style="2" customWidth="1"/>
    <col min="5" max="5" width="13.7109375" style="2" customWidth="1"/>
    <col min="6" max="7" width="9.140625" style="2"/>
    <col min="8" max="8" width="10.42578125" style="2" customWidth="1"/>
    <col min="9" max="9" width="5" style="2" customWidth="1"/>
    <col min="10" max="10" width="13.42578125" style="2" customWidth="1"/>
    <col min="11" max="11" width="9.85546875" style="2" customWidth="1"/>
    <col min="12" max="16384" width="9.140625" style="2"/>
  </cols>
  <sheetData>
    <row r="3" spans="1:10">
      <c r="B3" s="130" t="s">
        <v>282</v>
      </c>
      <c r="C3" s="129"/>
      <c r="D3" s="129"/>
      <c r="E3" s="129"/>
      <c r="F3" s="129"/>
      <c r="G3" s="129"/>
      <c r="H3" s="129"/>
      <c r="I3" s="129"/>
      <c r="J3" s="129"/>
    </row>
    <row r="4" spans="1:10">
      <c r="B4" s="130" t="s">
        <v>283</v>
      </c>
      <c r="C4" s="129"/>
      <c r="D4" s="129"/>
      <c r="E4" s="129"/>
      <c r="F4" s="129"/>
      <c r="G4" s="129"/>
      <c r="H4" s="129"/>
      <c r="I4" s="129"/>
      <c r="J4" s="129"/>
    </row>
    <row r="7" spans="1:10" ht="18.75">
      <c r="A7" s="2">
        <v>1</v>
      </c>
      <c r="B7" s="101" t="s">
        <v>0</v>
      </c>
      <c r="C7" s="101"/>
      <c r="D7" s="101"/>
      <c r="E7" s="101"/>
      <c r="F7" s="101"/>
      <c r="G7" s="101"/>
      <c r="H7" s="101"/>
      <c r="I7" s="101"/>
      <c r="J7" s="101"/>
    </row>
    <row r="8" spans="1:10" ht="18.75">
      <c r="B8" s="101" t="s">
        <v>105</v>
      </c>
      <c r="C8" s="101"/>
      <c r="D8" s="101"/>
      <c r="E8" s="101"/>
      <c r="F8" s="101"/>
      <c r="G8" s="101"/>
      <c r="H8" s="101"/>
      <c r="I8" s="101"/>
      <c r="J8" s="101"/>
    </row>
    <row r="9" spans="1:10" ht="15.75">
      <c r="B9" s="104" t="s">
        <v>326</v>
      </c>
      <c r="C9" s="104"/>
      <c r="D9" s="104"/>
      <c r="E9" s="104"/>
      <c r="F9" s="104"/>
      <c r="G9" s="104"/>
      <c r="H9" s="104"/>
      <c r="I9" s="104"/>
      <c r="J9" s="104"/>
    </row>
    <row r="10" spans="1:10" ht="8.25" customHeight="1"/>
    <row r="11" spans="1:10" ht="15.75">
      <c r="B11" s="9" t="s">
        <v>6</v>
      </c>
      <c r="D11" s="82" t="str">
        <f>'Master of Pay'!B7</f>
        <v>Code1</v>
      </c>
      <c r="H11" s="9" t="s">
        <v>7</v>
      </c>
      <c r="J11" s="82" t="str">
        <f>VLOOKUP(D11,'Master of Pay'!$B$7:$AI$33,5,)</f>
        <v>8054/PR</v>
      </c>
    </row>
    <row r="12" spans="1:10" ht="15.75">
      <c r="B12" s="9" t="s">
        <v>2</v>
      </c>
      <c r="D12" s="2" t="str">
        <f>VLOOKUP(D11,'Master of Pay'!$B$7:$AI$33,2,)</f>
        <v>Employee1</v>
      </c>
      <c r="H12" s="9" t="s">
        <v>3</v>
      </c>
      <c r="J12" s="82" t="str">
        <f>VLOOKUP(D11,'Master of Pay'!$B$7:$AI$33,6,)</f>
        <v>AAAAA1234A</v>
      </c>
    </row>
    <row r="13" spans="1:10" ht="15.75">
      <c r="B13" s="9" t="s">
        <v>1</v>
      </c>
      <c r="D13" s="2" t="str">
        <f>VLOOKUP(D11,'Master of Pay'!$B$7:$AI$33,3,)</f>
        <v>SPE</v>
      </c>
      <c r="H13" s="9" t="s">
        <v>4</v>
      </c>
      <c r="J13" s="82">
        <f>VLOOKUP(D11,'Master of Pay'!$B$7:$AI$33,7,)</f>
        <v>247666</v>
      </c>
    </row>
    <row r="14" spans="1:10" ht="15.75">
      <c r="B14" s="9" t="s">
        <v>5</v>
      </c>
      <c r="D14" s="2" t="str">
        <f>VLOOKUP(D11,'Master of Pay'!$B$7:$AI$33,4,)</f>
        <v>Bank 1111</v>
      </c>
      <c r="H14" s="9" t="s">
        <v>8</v>
      </c>
      <c r="J14" s="82" t="str">
        <f>VLOOKUP(D11,'Master of Pay'!$B$7:$AI$33,8,)</f>
        <v>12140-45214</v>
      </c>
    </row>
    <row r="15" spans="1:10" ht="8.25" customHeight="1"/>
    <row r="16" spans="1:10" ht="15.75">
      <c r="B16" s="105" t="s">
        <v>9</v>
      </c>
      <c r="C16" s="105"/>
      <c r="D16" s="5" t="s">
        <v>28</v>
      </c>
      <c r="E16" s="105" t="s">
        <v>10</v>
      </c>
      <c r="F16" s="105"/>
      <c r="G16" s="5" t="s">
        <v>28</v>
      </c>
      <c r="H16" s="105" t="s">
        <v>11</v>
      </c>
      <c r="I16" s="105"/>
      <c r="J16" s="5" t="s">
        <v>28</v>
      </c>
    </row>
    <row r="17" spans="2:10" ht="8.25" customHeight="1"/>
    <row r="18" spans="2:10">
      <c r="B18" s="7" t="s">
        <v>19</v>
      </c>
      <c r="D18" s="2">
        <f>VLOOKUP(D11,'Master of Pay'!$B$7:$AI$33,9,)</f>
        <v>12140</v>
      </c>
      <c r="E18" s="2" t="s">
        <v>21</v>
      </c>
      <c r="G18" s="2">
        <f>VLOOKUP(D11,'Master of Pay'!$B$7:$AI$33,21,)</f>
        <v>1000</v>
      </c>
      <c r="H18" s="2" t="s">
        <v>27</v>
      </c>
      <c r="J18" s="2">
        <f>VLOOKUP(D11,'Master of Pay'!$B$7:$AI$33,29,)</f>
        <v>0</v>
      </c>
    </row>
    <row r="19" spans="2:10">
      <c r="B19" s="7" t="s">
        <v>36</v>
      </c>
      <c r="D19" s="66">
        <f>VLOOKUP(D11,'Master of Pay'!$B$7:$AI$33,10,)</f>
        <v>0</v>
      </c>
      <c r="E19" s="2" t="s">
        <v>22</v>
      </c>
      <c r="G19" s="2">
        <f>VLOOKUP(D11,'Master of Pay'!$B$7:$AI$33,22,)</f>
        <v>750</v>
      </c>
      <c r="H19" s="2" t="s">
        <v>172</v>
      </c>
      <c r="J19" s="2">
        <f>VLOOKUP(D11,'Master of Pay'!$B$7:$AI$33,30,)</f>
        <v>0</v>
      </c>
    </row>
    <row r="20" spans="2:10">
      <c r="B20" s="7" t="s">
        <v>13</v>
      </c>
      <c r="D20" s="65">
        <f>VLOOKUP(D11,'Master of Pay'!$B$7:$AI$33,11,)</f>
        <v>0</v>
      </c>
      <c r="E20" s="2" t="s">
        <v>23</v>
      </c>
      <c r="G20" s="2">
        <f>VLOOKUP(D11,'Master of Pay'!$B$7:$AI$33,23,)</f>
        <v>1000</v>
      </c>
      <c r="H20" s="2" t="s">
        <v>111</v>
      </c>
      <c r="J20" s="2">
        <f>VLOOKUP(D11,'Master of Pay'!$B$7:$AI$33,31,)</f>
        <v>0</v>
      </c>
    </row>
    <row r="21" spans="2:10">
      <c r="B21" s="8" t="s">
        <v>14</v>
      </c>
      <c r="D21" s="2">
        <f>IF((D18*0.3)&gt;=12000,12000,D18*0.3)</f>
        <v>3642</v>
      </c>
      <c r="E21" s="2" t="s">
        <v>24</v>
      </c>
      <c r="G21" s="2">
        <f>VLOOKUP(D11,'Master of Pay'!$B$7:$AI$33,24,)</f>
        <v>120</v>
      </c>
      <c r="H21" s="2" t="s">
        <v>20</v>
      </c>
      <c r="J21" s="2">
        <f>VLOOKUP(D11,'Master of Pay'!$B$7:$AI$33,32,)</f>
        <v>0</v>
      </c>
    </row>
    <row r="22" spans="2:10">
      <c r="B22" s="8" t="s">
        <v>176</v>
      </c>
      <c r="D22" s="65">
        <f>VLOOKUP(D11,'Master of Pay'!$B$7:$AI$33,13,)</f>
        <v>0</v>
      </c>
      <c r="E22" s="2" t="s">
        <v>25</v>
      </c>
      <c r="G22" s="2">
        <f>VLOOKUP(D11,'Master of Pay'!$B$7:$AI$33,26,)</f>
        <v>0</v>
      </c>
    </row>
    <row r="23" spans="2:10">
      <c r="B23" s="7" t="s">
        <v>17</v>
      </c>
      <c r="D23" s="65">
        <f>VLOOKUP(D11,'Master of Pay'!$B$7:$AI$33,14,)</f>
        <v>525</v>
      </c>
      <c r="E23" s="2" t="s">
        <v>26</v>
      </c>
      <c r="G23" s="2">
        <f>VLOOKUP(D11,'Master of Pay'!$B$7:$AI$33,25,)</f>
        <v>150</v>
      </c>
    </row>
    <row r="24" spans="2:10">
      <c r="B24" s="7" t="s">
        <v>43</v>
      </c>
      <c r="D24" s="65">
        <f>VLOOKUP(D11,'Master of Pay'!$B$7:$AI$33,15,)</f>
        <v>0</v>
      </c>
      <c r="E24" s="2" t="s">
        <v>20</v>
      </c>
      <c r="G24" s="2">
        <f>VLOOKUP(D11,'Master of Pay'!$B$7:$AI$33,27,)</f>
        <v>0</v>
      </c>
    </row>
    <row r="25" spans="2:10">
      <c r="B25" s="8" t="s">
        <v>44</v>
      </c>
      <c r="D25" s="65">
        <f>VLOOKUP(D11,'Master of Pay'!$B$7:$AI$33,16,)</f>
        <v>500</v>
      </c>
    </row>
    <row r="26" spans="2:10">
      <c r="B26" s="8" t="s">
        <v>45</v>
      </c>
      <c r="D26" s="65">
        <f>VLOOKUP(D11,'Master of Pay'!$B$7:$AI$33,17,)</f>
        <v>0</v>
      </c>
    </row>
    <row r="27" spans="2:10">
      <c r="B27" s="2" t="s">
        <v>46</v>
      </c>
      <c r="D27" s="65">
        <f>VLOOKUP(D11,'Master of Pay'!$B$7:$AI$33,18,)</f>
        <v>0</v>
      </c>
    </row>
    <row r="28" spans="2:10">
      <c r="B28" s="2" t="s">
        <v>20</v>
      </c>
      <c r="D28" s="65">
        <f>VLOOKUP(D11,'Master of Pay'!$B$7:$AI$33,19,)</f>
        <v>0</v>
      </c>
    </row>
    <row r="29" spans="2:10">
      <c r="B29" s="4" t="s">
        <v>29</v>
      </c>
      <c r="C29" s="6"/>
      <c r="D29" s="12">
        <f>SUM(D18:D28)</f>
        <v>16807</v>
      </c>
      <c r="E29" s="4" t="s">
        <v>10</v>
      </c>
      <c r="F29" s="6"/>
      <c r="G29" s="4">
        <f>SUM(G18:G26)</f>
        <v>3020</v>
      </c>
      <c r="H29" s="4" t="s">
        <v>11</v>
      </c>
      <c r="I29" s="6"/>
      <c r="J29" s="4">
        <f>SUM(J18:J26)</f>
        <v>0</v>
      </c>
    </row>
    <row r="30" spans="2:10" ht="7.5" customHeight="1"/>
    <row r="31" spans="2:10">
      <c r="B31" s="3" t="s">
        <v>30</v>
      </c>
      <c r="C31" s="3"/>
      <c r="D31" s="13">
        <f>D29-G29-J29</f>
        <v>13787</v>
      </c>
    </row>
    <row r="32" spans="2:10" ht="9" customHeight="1"/>
    <row r="33" spans="1:10">
      <c r="E33" s="106" t="s">
        <v>47</v>
      </c>
      <c r="F33" s="106"/>
    </row>
    <row r="34" spans="1:10" ht="18.75">
      <c r="A34" s="2">
        <v>2</v>
      </c>
      <c r="B34" s="101" t="s">
        <v>0</v>
      </c>
      <c r="C34" s="101"/>
      <c r="D34" s="101"/>
      <c r="E34" s="101"/>
      <c r="F34" s="101"/>
      <c r="G34" s="101"/>
      <c r="H34" s="101"/>
      <c r="I34" s="101"/>
      <c r="J34" s="101"/>
    </row>
    <row r="35" spans="1:10" ht="18.75">
      <c r="B35" s="101" t="s">
        <v>105</v>
      </c>
      <c r="C35" s="101"/>
      <c r="D35" s="101"/>
      <c r="E35" s="101"/>
      <c r="F35" s="101"/>
      <c r="G35" s="101"/>
      <c r="H35" s="101"/>
      <c r="I35" s="101"/>
      <c r="J35" s="101"/>
    </row>
    <row r="36" spans="1:10" ht="15.75">
      <c r="B36" s="104" t="s">
        <v>327</v>
      </c>
      <c r="C36" s="104"/>
      <c r="D36" s="104"/>
      <c r="E36" s="104"/>
      <c r="F36" s="104"/>
      <c r="G36" s="104"/>
      <c r="H36" s="104"/>
      <c r="I36" s="104"/>
      <c r="J36" s="104"/>
    </row>
    <row r="38" spans="1:10" ht="15.75">
      <c r="B38" s="9" t="s">
        <v>6</v>
      </c>
      <c r="D38" s="82" t="str">
        <f>'Master of Pay'!B8</f>
        <v>Code2</v>
      </c>
      <c r="H38" s="9" t="s">
        <v>7</v>
      </c>
      <c r="J38" s="82" t="str">
        <f>VLOOKUP(D38,'Master of Pay'!$B$7:$AI$33,5,)</f>
        <v>3344/LAB</v>
      </c>
    </row>
    <row r="39" spans="1:10" ht="15.75">
      <c r="B39" s="9" t="s">
        <v>2</v>
      </c>
      <c r="D39" s="2" t="str">
        <f>VLOOKUP(D38,'Master of Pay'!$B$7:$AI$33,2,)</f>
        <v>Employee2</v>
      </c>
      <c r="H39" s="9" t="s">
        <v>3</v>
      </c>
      <c r="J39" s="82" t="str">
        <f>VLOOKUP(D38,'Master of Pay'!$B$7:$AI$33,6,)</f>
        <v>AAAAA1235A</v>
      </c>
    </row>
    <row r="40" spans="1:10" ht="15.75">
      <c r="B40" s="9" t="s">
        <v>1</v>
      </c>
      <c r="D40" s="2" t="str">
        <f>VLOOKUP(D38,'Master of Pay'!$B$7:$AI$33,3,)</f>
        <v>AAO</v>
      </c>
      <c r="H40" s="9" t="s">
        <v>4</v>
      </c>
      <c r="J40" s="82" t="str">
        <f>VLOOKUP(D38,'Master of Pay'!$B$7:$AI$33,7,)</f>
        <v>278493-A</v>
      </c>
    </row>
    <row r="41" spans="1:10" ht="15.75">
      <c r="B41" s="9" t="s">
        <v>5</v>
      </c>
      <c r="D41" s="2" t="str">
        <f>VLOOKUP(D38,'Master of Pay'!$B$7:$AI$33,4,)</f>
        <v>Bank 1112</v>
      </c>
      <c r="H41" s="9" t="s">
        <v>8</v>
      </c>
      <c r="J41" s="82" t="str">
        <f>VLOOKUP(D38,'Master of Pay'!$B$7:$AI$33,8,)</f>
        <v>16150-42590</v>
      </c>
    </row>
    <row r="43" spans="1:10" ht="15.75">
      <c r="B43" s="105" t="s">
        <v>9</v>
      </c>
      <c r="C43" s="105"/>
      <c r="D43" s="5" t="s">
        <v>28</v>
      </c>
      <c r="E43" s="105" t="s">
        <v>10</v>
      </c>
      <c r="F43" s="105"/>
      <c r="G43" s="5" t="s">
        <v>28</v>
      </c>
      <c r="H43" s="105" t="s">
        <v>11</v>
      </c>
      <c r="I43" s="105"/>
      <c r="J43" s="5" t="s">
        <v>28</v>
      </c>
    </row>
    <row r="45" spans="1:10">
      <c r="B45" s="7" t="s">
        <v>19</v>
      </c>
      <c r="D45" s="2">
        <f>VLOOKUP(D38,'Master of Pay'!$B$7:$AI$33,9,)</f>
        <v>23650</v>
      </c>
      <c r="E45" s="2" t="s">
        <v>21</v>
      </c>
      <c r="G45" s="2">
        <f>VLOOKUP(D38,'Master of Pay'!$B$7:$AI$33,21,)</f>
        <v>2500</v>
      </c>
      <c r="H45" s="2" t="s">
        <v>27</v>
      </c>
      <c r="J45" s="2">
        <f>VLOOKUP(D38,'Master of Pay'!$B$7:$AI$33,29,)</f>
        <v>5000</v>
      </c>
    </row>
    <row r="46" spans="1:10">
      <c r="B46" s="7" t="s">
        <v>36</v>
      </c>
      <c r="D46" s="66">
        <f>VLOOKUP(D38,'Master of Pay'!$B$7:$AI$33,10,)</f>
        <v>6385.5</v>
      </c>
      <c r="E46" s="2" t="s">
        <v>22</v>
      </c>
      <c r="G46" s="2">
        <f>VLOOKUP(D38,'Master of Pay'!$B$7:$AI$33,22,)</f>
        <v>1000</v>
      </c>
      <c r="H46" s="2" t="s">
        <v>172</v>
      </c>
      <c r="J46" s="2">
        <f>VLOOKUP(D38,'Master of Pay'!$B$7:$AI$33,30,)</f>
        <v>0</v>
      </c>
    </row>
    <row r="47" spans="1:10">
      <c r="B47" s="7" t="s">
        <v>13</v>
      </c>
      <c r="D47" s="65">
        <f>VLOOKUP(D38,'Master of Pay'!$B$7:$AI$33,11,)</f>
        <v>17005.296000000002</v>
      </c>
      <c r="E47" s="2" t="s">
        <v>23</v>
      </c>
      <c r="G47" s="2">
        <f>VLOOKUP(D38,'Master of Pay'!$B$7:$AI$33,23,)</f>
        <v>1000</v>
      </c>
      <c r="H47" s="2" t="s">
        <v>111</v>
      </c>
      <c r="J47" s="2">
        <f>VLOOKUP(D38,'Master of Pay'!$B$7:$AI$33,31,)</f>
        <v>500</v>
      </c>
    </row>
    <row r="48" spans="1:10">
      <c r="B48" s="8" t="s">
        <v>14</v>
      </c>
      <c r="D48" s="2">
        <f>IF((D45*0.3)&gt;=12000,12000,D45*0.3)</f>
        <v>7095</v>
      </c>
      <c r="E48" s="2" t="s">
        <v>24</v>
      </c>
      <c r="G48" s="2">
        <f>VLOOKUP(D38,'Master of Pay'!$B$7:$AI$33,24,)</f>
        <v>120</v>
      </c>
      <c r="H48" s="2" t="s">
        <v>20</v>
      </c>
      <c r="J48" s="2">
        <f>VLOOKUP(D38,'Master of Pay'!$B$7:$AI$33,32,)</f>
        <v>0</v>
      </c>
    </row>
    <row r="49" spans="1:10">
      <c r="B49" s="8" t="s">
        <v>176</v>
      </c>
      <c r="D49" s="65">
        <f>VLOOKUP(D38,'Master of Pay'!$B$7:$AI$33,13,)</f>
        <v>610</v>
      </c>
      <c r="E49" s="2" t="s">
        <v>25</v>
      </c>
      <c r="G49" s="2">
        <f>VLOOKUP(D38,'Master of Pay'!$B$7:$AI$33,26,)</f>
        <v>0</v>
      </c>
    </row>
    <row r="50" spans="1:10">
      <c r="B50" s="7" t="s">
        <v>17</v>
      </c>
      <c r="D50" s="65">
        <f>VLOOKUP(D38,'Master of Pay'!$B$7:$AI$33,14,)</f>
        <v>525</v>
      </c>
      <c r="E50" s="2" t="s">
        <v>26</v>
      </c>
      <c r="G50" s="2">
        <f>VLOOKUP(D38,'Master of Pay'!$B$7:$AI$33,25,)</f>
        <v>200</v>
      </c>
    </row>
    <row r="51" spans="1:10">
      <c r="B51" s="7" t="s">
        <v>43</v>
      </c>
      <c r="D51" s="65">
        <f>VLOOKUP(D38,'Master of Pay'!$B$7:$AI$33,15,)</f>
        <v>0</v>
      </c>
      <c r="E51" s="2" t="s">
        <v>20</v>
      </c>
      <c r="G51" s="2">
        <f>VLOOKUP(D38,'Master of Pay'!$B$7:$AI$33,27,)</f>
        <v>0</v>
      </c>
    </row>
    <row r="52" spans="1:10">
      <c r="B52" s="8" t="s">
        <v>44</v>
      </c>
      <c r="D52" s="65">
        <f>VLOOKUP(D38,'Master of Pay'!$B$7:$AI$33,16,)</f>
        <v>500</v>
      </c>
    </row>
    <row r="53" spans="1:10">
      <c r="B53" s="8" t="s">
        <v>45</v>
      </c>
      <c r="D53" s="65">
        <f>VLOOKUP(D38,'Master of Pay'!$B$7:$AI$33,17,)</f>
        <v>0</v>
      </c>
    </row>
    <row r="54" spans="1:10">
      <c r="B54" s="2" t="s">
        <v>46</v>
      </c>
      <c r="D54" s="65">
        <f>VLOOKUP(D38,'Master of Pay'!$B$7:$AI$33,18,)</f>
        <v>0</v>
      </c>
    </row>
    <row r="55" spans="1:10">
      <c r="B55" s="2" t="s">
        <v>20</v>
      </c>
      <c r="D55" s="65">
        <f>VLOOKUP(D38,'Master of Pay'!$B$7:$AI$33,19,)</f>
        <v>0</v>
      </c>
    </row>
    <row r="56" spans="1:10">
      <c r="B56" s="4" t="s">
        <v>29</v>
      </c>
      <c r="C56" s="6"/>
      <c r="D56" s="12">
        <f>SUM(D45:D55)</f>
        <v>55770.796000000002</v>
      </c>
      <c r="E56" s="4" t="s">
        <v>10</v>
      </c>
      <c r="F56" s="6"/>
      <c r="G56" s="4">
        <f>SUM(G45:G53)</f>
        <v>4820</v>
      </c>
      <c r="H56" s="4" t="s">
        <v>11</v>
      </c>
      <c r="I56" s="6"/>
      <c r="J56" s="4">
        <f>SUM(J45:J53)</f>
        <v>5500</v>
      </c>
    </row>
    <row r="58" spans="1:10">
      <c r="B58" s="3" t="s">
        <v>30</v>
      </c>
      <c r="C58" s="3"/>
      <c r="D58" s="13">
        <f>D56-G56-J56</f>
        <v>45450.796000000002</v>
      </c>
    </row>
    <row r="62" spans="1:10" ht="18.75">
      <c r="A62" s="2">
        <v>3</v>
      </c>
      <c r="B62" s="101" t="s">
        <v>0</v>
      </c>
      <c r="C62" s="101"/>
      <c r="D62" s="101"/>
      <c r="E62" s="101"/>
      <c r="F62" s="101"/>
      <c r="G62" s="101"/>
      <c r="H62" s="101"/>
      <c r="I62" s="101"/>
      <c r="J62" s="101"/>
    </row>
    <row r="63" spans="1:10" ht="18.75">
      <c r="B63" s="101" t="s">
        <v>105</v>
      </c>
      <c r="C63" s="101"/>
      <c r="D63" s="101"/>
      <c r="E63" s="101"/>
      <c r="F63" s="101"/>
      <c r="G63" s="101"/>
      <c r="H63" s="101"/>
      <c r="I63" s="101"/>
      <c r="J63" s="101"/>
    </row>
    <row r="64" spans="1:10" ht="15.75">
      <c r="B64" s="104" t="s">
        <v>327</v>
      </c>
      <c r="C64" s="104"/>
      <c r="D64" s="104"/>
      <c r="E64" s="104"/>
      <c r="F64" s="104"/>
      <c r="G64" s="104"/>
      <c r="H64" s="104"/>
      <c r="I64" s="104"/>
      <c r="J64" s="104"/>
    </row>
    <row r="66" spans="2:10" ht="15.75">
      <c r="B66" s="9" t="s">
        <v>6</v>
      </c>
      <c r="D66" s="82" t="str">
        <f>'Master of Pay'!B9</f>
        <v>Code3</v>
      </c>
      <c r="H66" s="9" t="s">
        <v>7</v>
      </c>
      <c r="J66" s="82">
        <f>VLOOKUP(D66,'Master of Pay'!$B$7:$AI$33,5,)</f>
        <v>0</v>
      </c>
    </row>
    <row r="67" spans="2:10" ht="15.75">
      <c r="B67" s="9" t="s">
        <v>2</v>
      </c>
      <c r="D67" s="2" t="str">
        <f>VLOOKUP(D66,'Master of Pay'!$B$7:$AI$33,2,)</f>
        <v>Employee3</v>
      </c>
      <c r="H67" s="9" t="s">
        <v>3</v>
      </c>
      <c r="J67" s="82" t="str">
        <f>VLOOKUP(D66,'Master of Pay'!$B$7:$AI$33,6,)</f>
        <v>AAAAA1236A</v>
      </c>
    </row>
    <row r="68" spans="2:10" ht="15.75">
      <c r="B68" s="9" t="s">
        <v>1</v>
      </c>
      <c r="D68" s="2" t="str">
        <f>VLOOKUP(D66,'Master of Pay'!$B$7:$AI$33,3,)</f>
        <v>EE</v>
      </c>
      <c r="H68" s="9" t="s">
        <v>4</v>
      </c>
      <c r="J68" s="82">
        <f>VLOOKUP(D66,'Master of Pay'!$B$7:$AI$33,7,)</f>
        <v>0</v>
      </c>
    </row>
    <row r="69" spans="2:10" ht="15.75">
      <c r="B69" s="9" t="s">
        <v>5</v>
      </c>
      <c r="D69" s="2" t="str">
        <f>VLOOKUP(D66,'Master of Pay'!$B$7:$AI$33,4,)</f>
        <v>Bank 1113</v>
      </c>
      <c r="H69" s="9" t="s">
        <v>8</v>
      </c>
      <c r="J69" s="82">
        <f>VLOOKUP(D66,'Master of Pay'!$B$7:$AI$33,8,)</f>
        <v>0</v>
      </c>
    </row>
    <row r="71" spans="2:10" ht="15.75">
      <c r="B71" s="105" t="s">
        <v>9</v>
      </c>
      <c r="C71" s="105"/>
      <c r="D71" s="5" t="s">
        <v>28</v>
      </c>
      <c r="E71" s="105" t="s">
        <v>10</v>
      </c>
      <c r="F71" s="105"/>
      <c r="G71" s="5" t="s">
        <v>28</v>
      </c>
      <c r="H71" s="105" t="s">
        <v>11</v>
      </c>
      <c r="I71" s="105"/>
      <c r="J71" s="5" t="s">
        <v>28</v>
      </c>
    </row>
    <row r="73" spans="2:10">
      <c r="B73" s="7" t="s">
        <v>19</v>
      </c>
      <c r="D73" s="2">
        <f>VLOOKUP(D66,'Master of Pay'!$B$7:$AI$33,9,)</f>
        <v>40510</v>
      </c>
      <c r="E73" s="2" t="s">
        <v>21</v>
      </c>
      <c r="G73" s="2">
        <f>VLOOKUP(D66,'Master of Pay'!$B$7:$AI$33,21,)</f>
        <v>0</v>
      </c>
      <c r="H73" s="2" t="s">
        <v>27</v>
      </c>
      <c r="J73" s="2">
        <f>VLOOKUP(D66,'Master of Pay'!$B$7:$AI$33,29,)</f>
        <v>0</v>
      </c>
    </row>
    <row r="74" spans="2:10">
      <c r="B74" s="7" t="s">
        <v>36</v>
      </c>
      <c r="D74" s="66">
        <f>VLOOKUP(D66,'Master of Pay'!$B$7:$AI$33,10,)</f>
        <v>10937.7</v>
      </c>
      <c r="E74" s="2" t="s">
        <v>22</v>
      </c>
      <c r="G74" s="2">
        <f>VLOOKUP(D66,'Master of Pay'!$B$7:$AI$33,22,)</f>
        <v>0</v>
      </c>
      <c r="H74" s="2" t="s">
        <v>172</v>
      </c>
      <c r="J74" s="2">
        <f>VLOOKUP(D66,'Master of Pay'!$B$7:$AI$33,30,)</f>
        <v>0</v>
      </c>
    </row>
    <row r="75" spans="2:10">
      <c r="B75" s="7" t="s">
        <v>13</v>
      </c>
      <c r="D75" s="65">
        <f>VLOOKUP(D66,'Master of Pay'!$B$7:$AI$33,11,)</f>
        <v>29128.310400000002</v>
      </c>
      <c r="E75" s="2" t="s">
        <v>23</v>
      </c>
      <c r="G75" s="2">
        <f>VLOOKUP(D66,'Master of Pay'!$B$7:$AI$33,23,)</f>
        <v>10000</v>
      </c>
      <c r="H75" s="2" t="s">
        <v>111</v>
      </c>
      <c r="J75" s="2">
        <f>VLOOKUP(D66,'Master of Pay'!$B$7:$AI$33,31,)</f>
        <v>0</v>
      </c>
    </row>
    <row r="76" spans="2:10">
      <c r="B76" s="8" t="s">
        <v>14</v>
      </c>
      <c r="D76" s="2">
        <f>IF((D73*0.3)&gt;=12000,12000,D73*0.3)</f>
        <v>12000</v>
      </c>
      <c r="E76" s="2" t="s">
        <v>24</v>
      </c>
      <c r="G76" s="2">
        <f>VLOOKUP(D66,'Master of Pay'!$B$7:$AI$33,24,)</f>
        <v>0</v>
      </c>
      <c r="H76" s="2" t="s">
        <v>20</v>
      </c>
      <c r="J76" s="2">
        <f>VLOOKUP(D66,'Master of Pay'!$B$7:$AI$33,32,)</f>
        <v>0</v>
      </c>
    </row>
    <row r="77" spans="2:10">
      <c r="B77" s="8" t="s">
        <v>176</v>
      </c>
      <c r="D77" s="65">
        <f>VLOOKUP(D66,'Master of Pay'!$B$7:$AI$33,13,)</f>
        <v>0</v>
      </c>
      <c r="E77" s="2" t="s">
        <v>25</v>
      </c>
      <c r="G77" s="2">
        <f>VLOOKUP(D66,'Master of Pay'!$B$7:$AI$33,26,)</f>
        <v>0</v>
      </c>
    </row>
    <row r="78" spans="2:10">
      <c r="B78" s="7" t="s">
        <v>17</v>
      </c>
      <c r="D78" s="65">
        <f>VLOOKUP(D66,'Master of Pay'!$B$7:$AI$33,14,)</f>
        <v>525</v>
      </c>
      <c r="E78" s="2" t="s">
        <v>26</v>
      </c>
      <c r="G78" s="2">
        <f>VLOOKUP(D66,'Master of Pay'!$B$7:$AI$33,25,)</f>
        <v>200</v>
      </c>
    </row>
    <row r="79" spans="2:10">
      <c r="B79" s="7" t="s">
        <v>43</v>
      </c>
      <c r="D79" s="65">
        <f>VLOOKUP(D66,'Master of Pay'!$B$7:$AI$33,15,)</f>
        <v>0</v>
      </c>
      <c r="E79" s="2" t="s">
        <v>20</v>
      </c>
      <c r="G79" s="2">
        <f>VLOOKUP(D66,'Master of Pay'!$B$7:$AI$33,27,)</f>
        <v>17834</v>
      </c>
    </row>
    <row r="80" spans="2:10">
      <c r="B80" s="8" t="s">
        <v>44</v>
      </c>
      <c r="D80" s="65">
        <f>VLOOKUP(D66,'Master of Pay'!$B$7:$AI$33,16,)</f>
        <v>500</v>
      </c>
    </row>
    <row r="81" spans="1:10">
      <c r="B81" s="8" t="s">
        <v>45</v>
      </c>
      <c r="D81" s="65">
        <f>VLOOKUP(D66,'Master of Pay'!$B$7:$AI$33,17,)</f>
        <v>0</v>
      </c>
    </row>
    <row r="82" spans="1:10">
      <c r="B82" s="2" t="s">
        <v>46</v>
      </c>
      <c r="D82" s="65">
        <f>VLOOKUP(D66,'Master of Pay'!$B$7:$AI$33,18,)</f>
        <v>400</v>
      </c>
    </row>
    <row r="83" spans="1:10">
      <c r="B83" s="2" t="s">
        <v>20</v>
      </c>
      <c r="D83" s="65">
        <f>VLOOKUP(D66,'Master of Pay'!$B$7:$AI$33,19,)</f>
        <v>9478</v>
      </c>
    </row>
    <row r="84" spans="1:10">
      <c r="B84" s="4" t="s">
        <v>29</v>
      </c>
      <c r="C84" s="6"/>
      <c r="D84" s="12">
        <f>SUM(D73:D83)</f>
        <v>103479.0104</v>
      </c>
      <c r="E84" s="4" t="s">
        <v>10</v>
      </c>
      <c r="F84" s="6"/>
      <c r="G84" s="4">
        <f>SUM(G73:G81)</f>
        <v>28034</v>
      </c>
      <c r="H84" s="4" t="s">
        <v>11</v>
      </c>
      <c r="I84" s="6"/>
      <c r="J84" s="4">
        <f>SUM(J73:J81)</f>
        <v>0</v>
      </c>
    </row>
    <row r="86" spans="1:10">
      <c r="B86" s="3" t="s">
        <v>30</v>
      </c>
      <c r="C86" s="3"/>
      <c r="D86" s="13">
        <f>D84-G84-J84</f>
        <v>75445.010399999999</v>
      </c>
    </row>
    <row r="88" spans="1:10" ht="18.75">
      <c r="A88" s="2">
        <v>4</v>
      </c>
      <c r="B88" s="101" t="s">
        <v>0</v>
      </c>
      <c r="C88" s="101"/>
      <c r="D88" s="101"/>
      <c r="E88" s="101"/>
      <c r="F88" s="101"/>
      <c r="G88" s="101"/>
      <c r="H88" s="101"/>
      <c r="I88" s="101"/>
      <c r="J88" s="101"/>
    </row>
    <row r="89" spans="1:10" ht="18.75">
      <c r="B89" s="101" t="s">
        <v>105</v>
      </c>
      <c r="C89" s="101"/>
      <c r="D89" s="101"/>
      <c r="E89" s="101"/>
      <c r="F89" s="101"/>
      <c r="G89" s="101"/>
      <c r="H89" s="101"/>
      <c r="I89" s="101"/>
      <c r="J89" s="101"/>
    </row>
    <row r="90" spans="1:10" ht="15.75">
      <c r="B90" s="104" t="s">
        <v>327</v>
      </c>
      <c r="C90" s="104"/>
      <c r="D90" s="104"/>
      <c r="E90" s="104"/>
      <c r="F90" s="104"/>
      <c r="G90" s="104"/>
      <c r="H90" s="104"/>
      <c r="I90" s="104"/>
      <c r="J90" s="104"/>
    </row>
    <row r="92" spans="1:10" ht="15.75">
      <c r="B92" s="9" t="s">
        <v>6</v>
      </c>
      <c r="D92" s="82" t="str">
        <f>'Master of Pay'!B10</f>
        <v>Code4</v>
      </c>
      <c r="H92" s="9" t="s">
        <v>7</v>
      </c>
      <c r="J92" s="82" t="str">
        <f>VLOOKUP(D92,'Master of Pay'!$B$7:$AI$33,5,)</f>
        <v>12646/PR</v>
      </c>
    </row>
    <row r="93" spans="1:10" ht="15.75">
      <c r="B93" s="9" t="s">
        <v>2</v>
      </c>
      <c r="D93" s="2" t="str">
        <f>VLOOKUP(D92,'Master of Pay'!$B$7:$AI$33,2,)</f>
        <v>Employee4</v>
      </c>
      <c r="H93" s="9" t="s">
        <v>3</v>
      </c>
      <c r="J93" s="82" t="str">
        <f>VLOOKUP(D92,'Master of Pay'!$B$7:$AI$33,6,)</f>
        <v>AAAAA1237A</v>
      </c>
    </row>
    <row r="94" spans="1:10" ht="15.75">
      <c r="B94" s="9" t="s">
        <v>1</v>
      </c>
      <c r="D94" s="2" t="str">
        <f>VLOOKUP(D92,'Master of Pay'!$B$7:$AI$33,3,)</f>
        <v>DyEE</v>
      </c>
      <c r="H94" s="9" t="s">
        <v>4</v>
      </c>
      <c r="J94" s="82" t="str">
        <f>VLOOKUP(D92,'Master of Pay'!$B$7:$AI$33,7,)</f>
        <v>900327-A</v>
      </c>
    </row>
    <row r="95" spans="1:10" ht="15.75">
      <c r="B95" s="9" t="s">
        <v>5</v>
      </c>
      <c r="D95" s="2" t="str">
        <f>VLOOKUP(D92,'Master of Pay'!$B$7:$AI$33,4,)</f>
        <v>Bank 1114</v>
      </c>
      <c r="H95" s="9" t="s">
        <v>8</v>
      </c>
      <c r="J95" s="82" t="str">
        <f>VLOOKUP(D92,'Master of Pay'!$B$7:$AI$33,8,)</f>
        <v>23650-49360</v>
      </c>
    </row>
    <row r="97" spans="2:10" ht="15.75">
      <c r="B97" s="105" t="s">
        <v>9</v>
      </c>
      <c r="C97" s="105"/>
      <c r="D97" s="5" t="s">
        <v>28</v>
      </c>
      <c r="E97" s="105" t="s">
        <v>10</v>
      </c>
      <c r="F97" s="105"/>
      <c r="G97" s="5" t="s">
        <v>28</v>
      </c>
      <c r="H97" s="105" t="s">
        <v>11</v>
      </c>
      <c r="I97" s="105"/>
      <c r="J97" s="5" t="s">
        <v>28</v>
      </c>
    </row>
    <row r="99" spans="2:10">
      <c r="B99" s="7" t="s">
        <v>19</v>
      </c>
      <c r="D99" s="2">
        <f>VLOOKUP(D92,'Master of Pay'!$B$7:$AI$33,9,)</f>
        <v>42590</v>
      </c>
      <c r="E99" s="2" t="s">
        <v>21</v>
      </c>
      <c r="G99" s="2">
        <f>VLOOKUP(D92,'Master of Pay'!$B$7:$AI$33,21,)</f>
        <v>5000</v>
      </c>
      <c r="H99" s="2" t="s">
        <v>27</v>
      </c>
      <c r="J99" s="2">
        <f>VLOOKUP(D92,'Master of Pay'!$B$7:$AI$33,29,)</f>
        <v>0</v>
      </c>
    </row>
    <row r="100" spans="2:10">
      <c r="B100" s="7" t="s">
        <v>36</v>
      </c>
      <c r="D100" s="66">
        <f>VLOOKUP(D92,'Master of Pay'!$B$7:$AI$33,10,)</f>
        <v>11499.300000000001</v>
      </c>
      <c r="E100" s="2" t="s">
        <v>22</v>
      </c>
      <c r="G100" s="2">
        <f>VLOOKUP(D92,'Master of Pay'!$B$7:$AI$33,22,)</f>
        <v>600</v>
      </c>
      <c r="H100" s="2" t="s">
        <v>172</v>
      </c>
      <c r="J100" s="2">
        <f>VLOOKUP(D92,'Master of Pay'!$B$7:$AI$33,30,)</f>
        <v>0</v>
      </c>
    </row>
    <row r="101" spans="2:10">
      <c r="B101" s="7" t="s">
        <v>13</v>
      </c>
      <c r="D101" s="65">
        <f>VLOOKUP(D92,'Master of Pay'!$B$7:$AI$33,11,)</f>
        <v>30623.9136</v>
      </c>
      <c r="E101" s="2" t="s">
        <v>23</v>
      </c>
      <c r="G101" s="2">
        <f>VLOOKUP(D92,'Master of Pay'!$B$7:$AI$33,23,)</f>
        <v>12500</v>
      </c>
      <c r="H101" s="2" t="s">
        <v>111</v>
      </c>
      <c r="J101" s="2">
        <f>VLOOKUP(D92,'Master of Pay'!$B$7:$AI$33,31,)</f>
        <v>0</v>
      </c>
    </row>
    <row r="102" spans="2:10">
      <c r="B102" s="8" t="s">
        <v>14</v>
      </c>
      <c r="D102" s="2">
        <f>IF((D99*0.3)&gt;=12000,12000,D99*0.3)</f>
        <v>12000</v>
      </c>
      <c r="E102" s="2" t="s">
        <v>24</v>
      </c>
      <c r="G102" s="2">
        <f>VLOOKUP(D92,'Master of Pay'!$B$7:$AI$33,24,)</f>
        <v>120</v>
      </c>
      <c r="H102" s="2" t="s">
        <v>20</v>
      </c>
      <c r="J102" s="2">
        <f>VLOOKUP(D92,'Master of Pay'!$B$7:$AI$33,32,)</f>
        <v>0</v>
      </c>
    </row>
    <row r="103" spans="2:10">
      <c r="B103" s="8" t="s">
        <v>176</v>
      </c>
      <c r="D103" s="65">
        <f>VLOOKUP(D92,'Master of Pay'!$B$7:$AI$33,13,)</f>
        <v>0</v>
      </c>
      <c r="E103" s="2" t="s">
        <v>25</v>
      </c>
      <c r="G103" s="2">
        <f>VLOOKUP(D92,'Master of Pay'!$B$7:$AI$33,26,)</f>
        <v>0</v>
      </c>
    </row>
    <row r="104" spans="2:10">
      <c r="B104" s="7" t="s">
        <v>17</v>
      </c>
      <c r="D104" s="65">
        <f>VLOOKUP(D92,'Master of Pay'!$B$7:$AI$33,14,)</f>
        <v>525</v>
      </c>
      <c r="E104" s="2" t="s">
        <v>26</v>
      </c>
      <c r="G104" s="2">
        <f>VLOOKUP(D92,'Master of Pay'!$B$7:$AI$33,25,)</f>
        <v>200</v>
      </c>
    </row>
    <row r="105" spans="2:10">
      <c r="B105" s="7" t="s">
        <v>43</v>
      </c>
      <c r="D105" s="65">
        <f>VLOOKUP(D92,'Master of Pay'!$B$7:$AI$33,15,)</f>
        <v>500</v>
      </c>
      <c r="E105" s="2" t="s">
        <v>20</v>
      </c>
      <c r="G105" s="2">
        <f>VLOOKUP(D92,'Master of Pay'!$B$7:$AI$33,27,)</f>
        <v>0</v>
      </c>
    </row>
    <row r="106" spans="2:10">
      <c r="B106" s="8" t="s">
        <v>44</v>
      </c>
      <c r="D106" s="65">
        <f>VLOOKUP(D92,'Master of Pay'!$B$7:$AI$33,16,)</f>
        <v>500</v>
      </c>
    </row>
    <row r="107" spans="2:10">
      <c r="B107" s="8" t="s">
        <v>45</v>
      </c>
      <c r="D107" s="65">
        <f>VLOOKUP(D92,'Master of Pay'!$B$7:$AI$33,17,)</f>
        <v>0</v>
      </c>
    </row>
    <row r="108" spans="2:10">
      <c r="B108" s="2" t="s">
        <v>46</v>
      </c>
      <c r="D108" s="65">
        <f>VLOOKUP(D92,'Master of Pay'!$B$7:$AI$33,18,)</f>
        <v>0</v>
      </c>
    </row>
    <row r="109" spans="2:10">
      <c r="B109" s="2" t="s">
        <v>20</v>
      </c>
      <c r="D109" s="65">
        <f>VLOOKUP(D92,'Master of Pay'!$B$7:$AI$33,19,)</f>
        <v>0</v>
      </c>
    </row>
    <row r="110" spans="2:10">
      <c r="B110" s="4" t="s">
        <v>29</v>
      </c>
      <c r="C110" s="6"/>
      <c r="D110" s="12">
        <f>SUM(D99:D109)</f>
        <v>98238.213600000003</v>
      </c>
      <c r="E110" s="4" t="s">
        <v>10</v>
      </c>
      <c r="F110" s="6"/>
      <c r="G110" s="4">
        <f>SUM(G99:G107)</f>
        <v>18420</v>
      </c>
      <c r="H110" s="4" t="s">
        <v>11</v>
      </c>
      <c r="I110" s="6"/>
      <c r="J110" s="4">
        <f>SUM(J99:J107)</f>
        <v>0</v>
      </c>
    </row>
    <row r="112" spans="2:10">
      <c r="B112" s="3" t="s">
        <v>30</v>
      </c>
      <c r="C112" s="3"/>
      <c r="D112" s="13">
        <f>D110-G110-J110</f>
        <v>79818.213600000003</v>
      </c>
    </row>
    <row r="115" spans="1:10" ht="18.75">
      <c r="A115" s="2">
        <v>5</v>
      </c>
      <c r="B115" s="101" t="s">
        <v>0</v>
      </c>
      <c r="C115" s="101"/>
      <c r="D115" s="101"/>
      <c r="E115" s="101"/>
      <c r="F115" s="101"/>
      <c r="G115" s="101"/>
      <c r="H115" s="101"/>
      <c r="I115" s="101"/>
      <c r="J115" s="101"/>
    </row>
    <row r="116" spans="1:10" ht="18.75">
      <c r="B116" s="101" t="s">
        <v>105</v>
      </c>
      <c r="C116" s="101"/>
      <c r="D116" s="101"/>
      <c r="E116" s="101"/>
      <c r="F116" s="101"/>
      <c r="G116" s="101"/>
      <c r="H116" s="101"/>
      <c r="I116" s="101"/>
      <c r="J116" s="101"/>
    </row>
    <row r="117" spans="1:10" ht="15.75">
      <c r="B117" s="104" t="s">
        <v>327</v>
      </c>
      <c r="C117" s="104"/>
      <c r="D117" s="104"/>
      <c r="E117" s="104"/>
      <c r="F117" s="104"/>
      <c r="G117" s="104"/>
      <c r="H117" s="104"/>
      <c r="I117" s="104"/>
      <c r="J117" s="104"/>
    </row>
    <row r="119" spans="1:10" ht="15.75">
      <c r="B119" s="9" t="s">
        <v>6</v>
      </c>
      <c r="D119" s="82" t="str">
        <f>'Master of Pay'!B11</f>
        <v>Code5</v>
      </c>
      <c r="H119" s="9" t="s">
        <v>7</v>
      </c>
      <c r="J119" s="82" t="str">
        <f>VLOOKUP(D119,'Master of Pay'!$B$7:$AI$33,5,)</f>
        <v>63011/PW</v>
      </c>
    </row>
    <row r="120" spans="1:10" ht="15.75">
      <c r="B120" s="9" t="s">
        <v>2</v>
      </c>
      <c r="D120" s="2" t="str">
        <f>VLOOKUP(D119,'Master of Pay'!$B$7:$AI$33,2,)</f>
        <v>Employee5</v>
      </c>
      <c r="H120" s="9" t="s">
        <v>3</v>
      </c>
      <c r="J120" s="82" t="str">
        <f>VLOOKUP(D119,'Master of Pay'!$B$7:$AI$33,6,)</f>
        <v>AAAAA1238A</v>
      </c>
    </row>
    <row r="121" spans="1:10" ht="15.75">
      <c r="B121" s="9" t="s">
        <v>1</v>
      </c>
      <c r="D121" s="2" t="str">
        <f>VLOOKUP(D119,'Master of Pay'!$B$7:$AI$33,3,)</f>
        <v>DyEE</v>
      </c>
      <c r="H121" s="9" t="s">
        <v>4</v>
      </c>
      <c r="J121" s="82" t="str">
        <f>VLOOKUP(D119,'Master of Pay'!$B$7:$AI$33,7,)</f>
        <v>282225-A</v>
      </c>
    </row>
    <row r="122" spans="1:10" ht="15.75">
      <c r="B122" s="9" t="s">
        <v>5</v>
      </c>
      <c r="D122" s="2" t="str">
        <f>VLOOKUP(D119,'Master of Pay'!$B$7:$AI$33,4,)</f>
        <v>Bank 1115</v>
      </c>
      <c r="H122" s="9" t="s">
        <v>8</v>
      </c>
      <c r="J122" s="82" t="str">
        <f>VLOOKUP(D119,'Master of Pay'!$B$7:$AI$33,8,)</f>
        <v>19050-45850</v>
      </c>
    </row>
    <row r="124" spans="1:10" ht="15.75">
      <c r="B124" s="105" t="s">
        <v>9</v>
      </c>
      <c r="C124" s="105"/>
      <c r="D124" s="5" t="s">
        <v>28</v>
      </c>
      <c r="E124" s="105" t="s">
        <v>10</v>
      </c>
      <c r="F124" s="105"/>
      <c r="G124" s="5" t="s">
        <v>28</v>
      </c>
      <c r="H124" s="105" t="s">
        <v>11</v>
      </c>
      <c r="I124" s="105"/>
      <c r="J124" s="5" t="s">
        <v>28</v>
      </c>
    </row>
    <row r="126" spans="1:10">
      <c r="B126" s="7" t="s">
        <v>19</v>
      </c>
      <c r="D126" s="2">
        <f>VLOOKUP(D119,'Master of Pay'!$B$7:$AI$33,9,)</f>
        <v>36700</v>
      </c>
      <c r="E126" s="2" t="s">
        <v>21</v>
      </c>
      <c r="G126" s="2">
        <f>VLOOKUP(D119,'Master of Pay'!$B$7:$AI$33,21,)</f>
        <v>1000</v>
      </c>
      <c r="H126" s="2" t="s">
        <v>27</v>
      </c>
      <c r="J126" s="2">
        <f>VLOOKUP(D119,'Master of Pay'!$B$7:$AI$33,29,)</f>
        <v>0</v>
      </c>
    </row>
    <row r="127" spans="1:10">
      <c r="B127" s="7" t="s">
        <v>36</v>
      </c>
      <c r="D127" s="66">
        <f>VLOOKUP(D119,'Master of Pay'!$B$7:$AI$33,10,)</f>
        <v>9909</v>
      </c>
      <c r="E127" s="2" t="s">
        <v>22</v>
      </c>
      <c r="G127" s="2">
        <f>VLOOKUP(D119,'Master of Pay'!$B$7:$AI$33,22,)</f>
        <v>150</v>
      </c>
      <c r="H127" s="2" t="s">
        <v>172</v>
      </c>
      <c r="J127" s="2">
        <f>VLOOKUP(D119,'Master of Pay'!$B$7:$AI$33,30,)</f>
        <v>0</v>
      </c>
    </row>
    <row r="128" spans="1:10">
      <c r="B128" s="7" t="s">
        <v>13</v>
      </c>
      <c r="D128" s="65">
        <f>VLOOKUP(D119,'Master of Pay'!$B$7:$AI$33,11,)</f>
        <v>26388.768</v>
      </c>
      <c r="E128" s="2" t="s">
        <v>23</v>
      </c>
      <c r="G128" s="2">
        <f>VLOOKUP(D119,'Master of Pay'!$B$7:$AI$33,23,)</f>
        <v>0</v>
      </c>
      <c r="H128" s="2" t="s">
        <v>111</v>
      </c>
      <c r="J128" s="2">
        <f>VLOOKUP(D119,'Master of Pay'!$B$7:$AI$33,31,)</f>
        <v>0</v>
      </c>
    </row>
    <row r="129" spans="1:10">
      <c r="B129" s="8" t="s">
        <v>14</v>
      </c>
      <c r="D129" s="2">
        <f>IF((D126*0.3)&gt;=12000,12000,D126*0.3)</f>
        <v>11010</v>
      </c>
      <c r="E129" s="2" t="s">
        <v>24</v>
      </c>
      <c r="G129" s="2">
        <f>VLOOKUP(D119,'Master of Pay'!$B$7:$AI$33,24,)</f>
        <v>120</v>
      </c>
      <c r="H129" s="2" t="s">
        <v>20</v>
      </c>
      <c r="J129" s="2">
        <f>VLOOKUP(D119,'Master of Pay'!$B$7:$AI$33,32,)</f>
        <v>0</v>
      </c>
    </row>
    <row r="130" spans="1:10">
      <c r="B130" s="8" t="s">
        <v>176</v>
      </c>
      <c r="D130" s="65">
        <f>VLOOKUP(D119,'Master of Pay'!$B$7:$AI$33,13,)</f>
        <v>0</v>
      </c>
      <c r="E130" s="2" t="s">
        <v>25</v>
      </c>
      <c r="G130" s="2">
        <f>VLOOKUP(D119,'Master of Pay'!$B$7:$AI$33,26,)</f>
        <v>0</v>
      </c>
    </row>
    <row r="131" spans="1:10">
      <c r="B131" s="7" t="s">
        <v>17</v>
      </c>
      <c r="D131" s="65">
        <f>VLOOKUP(D119,'Master of Pay'!$B$7:$AI$33,14,)</f>
        <v>525</v>
      </c>
      <c r="E131" s="2" t="s">
        <v>26</v>
      </c>
      <c r="G131" s="2">
        <f>VLOOKUP(D119,'Master of Pay'!$B$7:$AI$33,25,)</f>
        <v>200</v>
      </c>
    </row>
    <row r="132" spans="1:10">
      <c r="B132" s="7" t="s">
        <v>43</v>
      </c>
      <c r="D132" s="65">
        <f>VLOOKUP(D119,'Master of Pay'!$B$7:$AI$33,15,)</f>
        <v>500</v>
      </c>
      <c r="E132" s="2" t="s">
        <v>20</v>
      </c>
      <c r="G132" s="2">
        <f>VLOOKUP(D119,'Master of Pay'!$B$7:$AI$33,27,)</f>
        <v>0</v>
      </c>
    </row>
    <row r="133" spans="1:10">
      <c r="B133" s="8" t="s">
        <v>44</v>
      </c>
      <c r="D133" s="65">
        <f>VLOOKUP(D119,'Master of Pay'!$B$7:$AI$33,16,)</f>
        <v>500</v>
      </c>
    </row>
    <row r="134" spans="1:10">
      <c r="B134" s="8" t="s">
        <v>45</v>
      </c>
      <c r="D134" s="65">
        <f>VLOOKUP(D119,'Master of Pay'!$B$7:$AI$33,17,)</f>
        <v>0</v>
      </c>
    </row>
    <row r="135" spans="1:10">
      <c r="B135" s="2" t="s">
        <v>46</v>
      </c>
      <c r="D135" s="65">
        <f>VLOOKUP(D119,'Master of Pay'!$B$7:$AI$33,18,)</f>
        <v>0</v>
      </c>
    </row>
    <row r="136" spans="1:10">
      <c r="B136" s="2" t="s">
        <v>20</v>
      </c>
      <c r="D136" s="65">
        <f>VLOOKUP(D119,'Master of Pay'!$B$7:$AI$33,19,)</f>
        <v>0</v>
      </c>
    </row>
    <row r="137" spans="1:10">
      <c r="B137" s="4" t="s">
        <v>29</v>
      </c>
      <c r="C137" s="6"/>
      <c r="D137" s="12">
        <f>SUM(D126:D136)</f>
        <v>85532.767999999996</v>
      </c>
      <c r="E137" s="4" t="s">
        <v>10</v>
      </c>
      <c r="F137" s="6"/>
      <c r="G137" s="4">
        <f>SUM(G126:G134)</f>
        <v>1470</v>
      </c>
      <c r="H137" s="4" t="s">
        <v>11</v>
      </c>
      <c r="I137" s="6"/>
      <c r="J137" s="4">
        <f>SUM(J126:J134)</f>
        <v>0</v>
      </c>
    </row>
    <row r="139" spans="1:10">
      <c r="B139" s="3" t="s">
        <v>30</v>
      </c>
      <c r="C139" s="3"/>
      <c r="D139" s="13">
        <f>D137-G137-J137</f>
        <v>84062.767999999996</v>
      </c>
    </row>
    <row r="141" spans="1:10" ht="18.75">
      <c r="A141" s="2">
        <v>6</v>
      </c>
      <c r="B141" s="101" t="s">
        <v>0</v>
      </c>
      <c r="C141" s="101"/>
      <c r="D141" s="101"/>
      <c r="E141" s="101"/>
      <c r="F141" s="101"/>
      <c r="G141" s="101"/>
      <c r="H141" s="101"/>
      <c r="I141" s="101"/>
      <c r="J141" s="101"/>
    </row>
    <row r="142" spans="1:10" ht="18.75">
      <c r="B142" s="101" t="s">
        <v>105</v>
      </c>
      <c r="C142" s="101"/>
      <c r="D142" s="101"/>
      <c r="E142" s="101"/>
      <c r="F142" s="101"/>
      <c r="G142" s="101"/>
      <c r="H142" s="101"/>
      <c r="I142" s="101"/>
      <c r="J142" s="101"/>
    </row>
    <row r="143" spans="1:10" ht="15.75">
      <c r="B143" s="104" t="s">
        <v>327</v>
      </c>
      <c r="C143" s="104"/>
      <c r="D143" s="104"/>
      <c r="E143" s="104"/>
      <c r="F143" s="104"/>
      <c r="G143" s="104"/>
      <c r="H143" s="104"/>
      <c r="I143" s="104"/>
      <c r="J143" s="104"/>
    </row>
    <row r="145" spans="2:10" ht="15.75">
      <c r="B145" s="9" t="s">
        <v>6</v>
      </c>
      <c r="D145" s="82" t="str">
        <f>'Master of Pay'!B12</f>
        <v>Code6</v>
      </c>
      <c r="H145" s="9" t="s">
        <v>7</v>
      </c>
      <c r="J145" s="82" t="str">
        <f>VLOOKUP(D145,'Master of Pay'!$B$7:$AI$33,5,)</f>
        <v>68877/EDN</v>
      </c>
    </row>
    <row r="146" spans="2:10" ht="15.75">
      <c r="B146" s="9" t="s">
        <v>2</v>
      </c>
      <c r="D146" s="2" t="str">
        <f>VLOOKUP(D145,'Master of Pay'!$B$7:$AI$33,2,)</f>
        <v>Employee6</v>
      </c>
      <c r="H146" s="9" t="s">
        <v>3</v>
      </c>
      <c r="J146" s="82" t="str">
        <f>VLOOKUP(D145,'Master of Pay'!$B$7:$AI$33,6,)</f>
        <v>AAAAA1239A</v>
      </c>
    </row>
    <row r="147" spans="2:10" ht="15.75">
      <c r="B147" s="9" t="s">
        <v>1</v>
      </c>
      <c r="D147" s="2" t="str">
        <f>VLOOKUP(D145,'Master of Pay'!$B$7:$AI$33,3,)</f>
        <v>SAMO</v>
      </c>
      <c r="H147" s="9" t="s">
        <v>4</v>
      </c>
      <c r="J147" s="82">
        <f>VLOOKUP(D145,'Master of Pay'!$B$7:$AI$33,7,)</f>
        <v>272120</v>
      </c>
    </row>
    <row r="148" spans="2:10" ht="15.75">
      <c r="B148" s="9" t="s">
        <v>5</v>
      </c>
      <c r="D148" s="2" t="str">
        <f>VLOOKUP(D145,'Master of Pay'!$B$7:$AI$33,4,)</f>
        <v>Bank 1116</v>
      </c>
      <c r="H148" s="9" t="s">
        <v>8</v>
      </c>
      <c r="J148" s="82">
        <f>VLOOKUP(D145,'Master of Pay'!$B$7:$AI$33,8,)</f>
        <v>0</v>
      </c>
    </row>
    <row r="150" spans="2:10" ht="15.75">
      <c r="B150" s="105" t="s">
        <v>9</v>
      </c>
      <c r="C150" s="105"/>
      <c r="D150" s="5" t="s">
        <v>28</v>
      </c>
      <c r="E150" s="105" t="s">
        <v>10</v>
      </c>
      <c r="F150" s="105"/>
      <c r="G150" s="5" t="s">
        <v>28</v>
      </c>
      <c r="H150" s="105" t="s">
        <v>11</v>
      </c>
      <c r="I150" s="105"/>
      <c r="J150" s="5" t="s">
        <v>28</v>
      </c>
    </row>
    <row r="152" spans="2:10">
      <c r="B152" s="7" t="s">
        <v>19</v>
      </c>
      <c r="D152" s="2">
        <f>VLOOKUP(D145,'Master of Pay'!$B$7:$AI$33,9,)</f>
        <v>19388</v>
      </c>
      <c r="E152" s="2" t="s">
        <v>21</v>
      </c>
      <c r="G152" s="2">
        <f>VLOOKUP(D145,'Master of Pay'!$B$7:$AI$33,21,)</f>
        <v>6000</v>
      </c>
      <c r="H152" s="2" t="s">
        <v>27</v>
      </c>
      <c r="J152" s="2">
        <f>VLOOKUP(D145,'Master of Pay'!$B$7:$AI$33,29,)</f>
        <v>0</v>
      </c>
    </row>
    <row r="153" spans="2:10">
      <c r="B153" s="7" t="s">
        <v>36</v>
      </c>
      <c r="D153" s="66">
        <f>VLOOKUP(D145,'Master of Pay'!$B$7:$AI$33,10,)</f>
        <v>0</v>
      </c>
      <c r="E153" s="2" t="s">
        <v>22</v>
      </c>
      <c r="G153" s="2">
        <f>VLOOKUP(D145,'Master of Pay'!$B$7:$AI$33,22,)</f>
        <v>125</v>
      </c>
      <c r="H153" s="2" t="s">
        <v>172</v>
      </c>
      <c r="J153" s="2">
        <f>VLOOKUP(D145,'Master of Pay'!$B$7:$AI$33,30,)</f>
        <v>0</v>
      </c>
    </row>
    <row r="154" spans="2:10">
      <c r="B154" s="7" t="s">
        <v>13</v>
      </c>
      <c r="D154" s="65">
        <f>VLOOKUP(D145,'Master of Pay'!$B$7:$AI$33,11,)</f>
        <v>38776</v>
      </c>
      <c r="E154" s="2" t="s">
        <v>23</v>
      </c>
      <c r="G154" s="2">
        <f>VLOOKUP(D145,'Master of Pay'!$B$7:$AI$33,23,)</f>
        <v>4000</v>
      </c>
      <c r="H154" s="2" t="s">
        <v>111</v>
      </c>
      <c r="J154" s="2">
        <f>VLOOKUP(D145,'Master of Pay'!$B$7:$AI$33,31,)</f>
        <v>0</v>
      </c>
    </row>
    <row r="155" spans="2:10">
      <c r="B155" s="8" t="s">
        <v>14</v>
      </c>
      <c r="D155" s="2">
        <f>IF((D152*0.3)&gt;=12000,12000,D152*0.3)</f>
        <v>5816.4</v>
      </c>
      <c r="E155" s="2" t="s">
        <v>24</v>
      </c>
      <c r="G155" s="2">
        <f>VLOOKUP(D145,'Master of Pay'!$B$7:$AI$33,24,)</f>
        <v>120</v>
      </c>
      <c r="H155" s="2" t="s">
        <v>20</v>
      </c>
      <c r="J155" s="2">
        <f>VLOOKUP(D145,'Master of Pay'!$B$7:$AI$33,32,)</f>
        <v>0</v>
      </c>
    </row>
    <row r="156" spans="2:10">
      <c r="B156" s="8" t="s">
        <v>176</v>
      </c>
      <c r="D156" s="65">
        <f>VLOOKUP(D145,'Master of Pay'!$B$7:$AI$33,13,)</f>
        <v>0</v>
      </c>
      <c r="E156" s="2" t="s">
        <v>25</v>
      </c>
      <c r="G156" s="2">
        <f>VLOOKUP(D145,'Master of Pay'!$B$7:$AI$33,26,)</f>
        <v>0</v>
      </c>
    </row>
    <row r="157" spans="2:10">
      <c r="B157" s="7" t="s">
        <v>17</v>
      </c>
      <c r="D157" s="65">
        <f>VLOOKUP(D145,'Master of Pay'!$B$7:$AI$33,14,)</f>
        <v>525</v>
      </c>
      <c r="E157" s="2" t="s">
        <v>26</v>
      </c>
      <c r="G157" s="2">
        <f>VLOOKUP(D145,'Master of Pay'!$B$7:$AI$33,25,)</f>
        <v>200</v>
      </c>
    </row>
    <row r="158" spans="2:10">
      <c r="B158" s="7" t="s">
        <v>43</v>
      </c>
      <c r="D158" s="65">
        <f>VLOOKUP(D145,'Master of Pay'!$B$7:$AI$33,15,)</f>
        <v>0</v>
      </c>
      <c r="E158" s="2" t="s">
        <v>20</v>
      </c>
      <c r="G158" s="2">
        <f>VLOOKUP(D145,'Master of Pay'!$B$7:$AI$33,27,)</f>
        <v>0</v>
      </c>
    </row>
    <row r="159" spans="2:10">
      <c r="B159" s="8" t="s">
        <v>44</v>
      </c>
      <c r="D159" s="65">
        <f>VLOOKUP(D145,'Master of Pay'!$B$7:$AI$33,16,)</f>
        <v>500</v>
      </c>
    </row>
    <row r="160" spans="2:10">
      <c r="B160" s="8" t="s">
        <v>45</v>
      </c>
      <c r="D160" s="65">
        <f>VLOOKUP(D145,'Master of Pay'!$B$7:$AI$33,17,)</f>
        <v>0</v>
      </c>
    </row>
    <row r="161" spans="1:10">
      <c r="B161" s="2" t="s">
        <v>46</v>
      </c>
      <c r="D161" s="65">
        <f>VLOOKUP(D145,'Master of Pay'!$B$7:$AI$33,18,)</f>
        <v>0</v>
      </c>
    </row>
    <row r="162" spans="1:10">
      <c r="B162" s="2" t="s">
        <v>20</v>
      </c>
      <c r="D162" s="65">
        <f>VLOOKUP(D145,'Master of Pay'!$B$7:$AI$33,19,)</f>
        <v>0</v>
      </c>
    </row>
    <row r="163" spans="1:10">
      <c r="B163" s="4" t="s">
        <v>29</v>
      </c>
      <c r="C163" s="6"/>
      <c r="D163" s="12">
        <f>SUM(D152:D162)</f>
        <v>65005.4</v>
      </c>
      <c r="E163" s="4" t="s">
        <v>10</v>
      </c>
      <c r="F163" s="6"/>
      <c r="G163" s="4">
        <f>SUM(G152:G160)</f>
        <v>10445</v>
      </c>
      <c r="H163" s="4" t="s">
        <v>11</v>
      </c>
      <c r="I163" s="6"/>
      <c r="J163" s="4">
        <f>SUM(J152:J160)</f>
        <v>0</v>
      </c>
    </row>
    <row r="165" spans="1:10">
      <c r="B165" s="3" t="s">
        <v>30</v>
      </c>
      <c r="C165" s="3"/>
      <c r="D165" s="13">
        <f>D163-G163-J163</f>
        <v>54560.4</v>
      </c>
    </row>
    <row r="168" spans="1:10" ht="18.75">
      <c r="A168" s="2">
        <v>7</v>
      </c>
      <c r="B168" s="101" t="s">
        <v>0</v>
      </c>
      <c r="C168" s="101"/>
      <c r="D168" s="101"/>
      <c r="E168" s="101"/>
      <c r="F168" s="101"/>
      <c r="G168" s="101"/>
      <c r="H168" s="101"/>
      <c r="I168" s="101"/>
      <c r="J168" s="101"/>
    </row>
    <row r="169" spans="1:10" ht="18.75">
      <c r="B169" s="101" t="s">
        <v>105</v>
      </c>
      <c r="C169" s="101"/>
      <c r="D169" s="101"/>
      <c r="E169" s="101"/>
      <c r="F169" s="101"/>
      <c r="G169" s="101"/>
      <c r="H169" s="101"/>
      <c r="I169" s="101"/>
      <c r="J169" s="101"/>
    </row>
    <row r="170" spans="1:10" ht="15.75">
      <c r="B170" s="104" t="s">
        <v>327</v>
      </c>
      <c r="C170" s="104"/>
      <c r="D170" s="104"/>
      <c r="E170" s="104"/>
      <c r="F170" s="104"/>
      <c r="G170" s="104"/>
      <c r="H170" s="104"/>
      <c r="I170" s="104"/>
      <c r="J170" s="104"/>
    </row>
    <row r="172" spans="1:10" ht="15.75">
      <c r="B172" s="9" t="s">
        <v>6</v>
      </c>
      <c r="D172" s="92" t="str">
        <f>'Master of Pay'!B13</f>
        <v>Code7</v>
      </c>
      <c r="H172" s="9" t="s">
        <v>7</v>
      </c>
      <c r="J172" s="82" t="str">
        <f>VLOOKUP(D172,'Master of Pay'!$B$7:$AI$33,5,)</f>
        <v>62070/EDN</v>
      </c>
    </row>
    <row r="173" spans="1:10" ht="15.75">
      <c r="B173" s="9" t="s">
        <v>2</v>
      </c>
      <c r="D173" s="2" t="str">
        <f>VLOOKUP(D172,'Master of Pay'!$B$7:$AI$33,2,)</f>
        <v>Employee7</v>
      </c>
      <c r="H173" s="9" t="s">
        <v>3</v>
      </c>
      <c r="J173" s="82" t="str">
        <f>VLOOKUP(D172,'Master of Pay'!$B$7:$AI$33,6,)</f>
        <v>AAAAA1240A</v>
      </c>
    </row>
    <row r="174" spans="1:10" ht="15.75">
      <c r="B174" s="9" t="s">
        <v>1</v>
      </c>
      <c r="D174" s="2" t="str">
        <f>VLOOKUP(D172,'Master of Pay'!$B$7:$AI$33,3,)</f>
        <v>Administrative Officer</v>
      </c>
      <c r="H174" s="9" t="s">
        <v>4</v>
      </c>
      <c r="J174" s="82" t="str">
        <f>VLOOKUP(D172,'Master of Pay'!$B$7:$AI$33,7,)</f>
        <v>298307-A</v>
      </c>
    </row>
    <row r="175" spans="1:10" ht="15.75">
      <c r="B175" s="9" t="s">
        <v>5</v>
      </c>
      <c r="D175" s="2" t="str">
        <f>VLOOKUP(D172,'Master of Pay'!$B$7:$AI$33,4,)</f>
        <v>Bank 1117</v>
      </c>
      <c r="H175" s="9" t="s">
        <v>8</v>
      </c>
      <c r="J175" s="82" t="str">
        <f>VLOOKUP(D172,'Master of Pay'!$B$7:$AI$33,8,)</f>
        <v>16150-42590</v>
      </c>
    </row>
    <row r="177" spans="2:10" ht="15.75">
      <c r="B177" s="105" t="s">
        <v>9</v>
      </c>
      <c r="C177" s="105"/>
      <c r="D177" s="5" t="s">
        <v>28</v>
      </c>
      <c r="E177" s="105" t="s">
        <v>10</v>
      </c>
      <c r="F177" s="105"/>
      <c r="G177" s="5" t="s">
        <v>28</v>
      </c>
      <c r="H177" s="105" t="s">
        <v>11</v>
      </c>
      <c r="I177" s="105"/>
      <c r="J177" s="5" t="s">
        <v>28</v>
      </c>
    </row>
    <row r="179" spans="2:10">
      <c r="B179" s="7" t="s">
        <v>19</v>
      </c>
      <c r="D179" s="2">
        <f>VLOOKUP(D172,'Master of Pay'!$B$7:$AI$33,9,)</f>
        <v>27000</v>
      </c>
      <c r="E179" s="2" t="s">
        <v>21</v>
      </c>
      <c r="G179" s="2">
        <f>VLOOKUP(D172,'Master of Pay'!$B$7:$AI$33,21,)</f>
        <v>10000</v>
      </c>
      <c r="H179" s="2" t="s">
        <v>27</v>
      </c>
      <c r="J179" s="2">
        <f>VLOOKUP(D172,'Master of Pay'!$B$7:$AI$33,29,)</f>
        <v>0</v>
      </c>
    </row>
    <row r="180" spans="2:10">
      <c r="B180" s="7" t="s">
        <v>36</v>
      </c>
      <c r="D180" s="66">
        <f>VLOOKUP(D172,'Master of Pay'!$B$7:$AI$33,10,)</f>
        <v>7290.0000000000009</v>
      </c>
      <c r="E180" s="2" t="s">
        <v>22</v>
      </c>
      <c r="G180" s="2">
        <f>VLOOKUP(D172,'Master of Pay'!$B$7:$AI$33,22,)</f>
        <v>100</v>
      </c>
      <c r="H180" s="2" t="s">
        <v>172</v>
      </c>
      <c r="J180" s="2">
        <f>VLOOKUP(D172,'Master of Pay'!$B$7:$AI$33,30,)</f>
        <v>0</v>
      </c>
    </row>
    <row r="181" spans="2:10">
      <c r="B181" s="7" t="s">
        <v>13</v>
      </c>
      <c r="D181" s="65">
        <f>VLOOKUP(D172,'Master of Pay'!$B$7:$AI$33,11,)</f>
        <v>19414.080000000002</v>
      </c>
      <c r="E181" s="2" t="s">
        <v>23</v>
      </c>
      <c r="G181" s="2">
        <f>VLOOKUP(D172,'Master of Pay'!$B$7:$AI$33,23,)</f>
        <v>0</v>
      </c>
      <c r="H181" s="2" t="s">
        <v>111</v>
      </c>
      <c r="J181" s="2">
        <f>VLOOKUP(D172,'Master of Pay'!$B$7:$AI$33,31,)</f>
        <v>0</v>
      </c>
    </row>
    <row r="182" spans="2:10">
      <c r="B182" s="8" t="s">
        <v>14</v>
      </c>
      <c r="D182" s="2">
        <f>IF((D179*0.3)&gt;=12000,12000,D179*0.3)</f>
        <v>8100</v>
      </c>
      <c r="E182" s="2" t="s">
        <v>24</v>
      </c>
      <c r="G182" s="2">
        <f>VLOOKUP(D172,'Master of Pay'!$B$7:$AI$33,24,)</f>
        <v>60</v>
      </c>
      <c r="H182" s="2" t="s">
        <v>20</v>
      </c>
      <c r="J182" s="2">
        <f>VLOOKUP(D172,'Master of Pay'!$B$7:$AI$33,32,)</f>
        <v>0</v>
      </c>
    </row>
    <row r="183" spans="2:10">
      <c r="B183" s="8" t="s">
        <v>176</v>
      </c>
      <c r="D183" s="65">
        <f>VLOOKUP(D172,'Master of Pay'!$B$7:$AI$33,13,)</f>
        <v>700</v>
      </c>
      <c r="E183" s="2" t="s">
        <v>25</v>
      </c>
      <c r="G183" s="2">
        <f>VLOOKUP(D172,'Master of Pay'!$B$7:$AI$33,26,)</f>
        <v>0</v>
      </c>
    </row>
    <row r="184" spans="2:10">
      <c r="B184" s="7" t="s">
        <v>17</v>
      </c>
      <c r="D184" s="65">
        <f>VLOOKUP(D172,'Master of Pay'!$B$7:$AI$33,14,)</f>
        <v>525</v>
      </c>
      <c r="E184" s="2" t="s">
        <v>26</v>
      </c>
      <c r="G184" s="2">
        <f>VLOOKUP(D172,'Master of Pay'!$B$7:$AI$33,25,)</f>
        <v>200</v>
      </c>
    </row>
    <row r="185" spans="2:10">
      <c r="B185" s="7" t="s">
        <v>43</v>
      </c>
      <c r="D185" s="65">
        <f>VLOOKUP(D172,'Master of Pay'!$B$7:$AI$33,15,)</f>
        <v>500</v>
      </c>
      <c r="E185" s="2" t="s">
        <v>20</v>
      </c>
      <c r="G185" s="2">
        <f>VLOOKUP(D172,'Master of Pay'!$B$7:$AI$33,27,)</f>
        <v>0</v>
      </c>
    </row>
    <row r="186" spans="2:10">
      <c r="B186" s="8" t="s">
        <v>44</v>
      </c>
      <c r="D186" s="65">
        <f>VLOOKUP(D172,'Master of Pay'!$B$7:$AI$33,16,)</f>
        <v>500</v>
      </c>
    </row>
    <row r="187" spans="2:10">
      <c r="B187" s="8" t="s">
        <v>45</v>
      </c>
      <c r="D187" s="65">
        <f>VLOOKUP(D172,'Master of Pay'!$B$7:$AI$33,17,)</f>
        <v>0</v>
      </c>
    </row>
    <row r="188" spans="2:10">
      <c r="B188" s="2" t="s">
        <v>46</v>
      </c>
      <c r="D188" s="65">
        <f>VLOOKUP(D172,'Master of Pay'!$B$7:$AI$33,18,)</f>
        <v>0</v>
      </c>
    </row>
    <row r="189" spans="2:10">
      <c r="B189" s="2" t="s">
        <v>20</v>
      </c>
      <c r="D189" s="65">
        <f>VLOOKUP(D172,'Master of Pay'!$B$7:$AI$33,19,)</f>
        <v>0</v>
      </c>
    </row>
    <row r="190" spans="2:10">
      <c r="B190" s="4" t="s">
        <v>29</v>
      </c>
      <c r="C190" s="6"/>
      <c r="D190" s="12">
        <f>SUM(D179:D189)</f>
        <v>64029.08</v>
      </c>
      <c r="E190" s="4" t="s">
        <v>10</v>
      </c>
      <c r="F190" s="6"/>
      <c r="G190" s="4">
        <f>SUM(G179:G187)</f>
        <v>10360</v>
      </c>
      <c r="H190" s="4" t="s">
        <v>11</v>
      </c>
      <c r="I190" s="6"/>
      <c r="J190" s="4">
        <f>SUM(J179:J187)</f>
        <v>0</v>
      </c>
    </row>
    <row r="192" spans="2:10">
      <c r="B192" s="3" t="s">
        <v>30</v>
      </c>
      <c r="C192" s="3"/>
      <c r="D192" s="13">
        <f>D190-G190-J190</f>
        <v>53669.08</v>
      </c>
    </row>
    <row r="194" spans="1:10" ht="18.75">
      <c r="A194" s="2">
        <v>8</v>
      </c>
      <c r="B194" s="101" t="s">
        <v>0</v>
      </c>
      <c r="C194" s="101"/>
      <c r="D194" s="101"/>
      <c r="E194" s="101"/>
      <c r="F194" s="101"/>
      <c r="G194" s="101"/>
      <c r="H194" s="101"/>
      <c r="I194" s="101"/>
      <c r="J194" s="101"/>
    </row>
    <row r="195" spans="1:10" ht="18.75">
      <c r="B195" s="101" t="s">
        <v>105</v>
      </c>
      <c r="C195" s="101"/>
      <c r="D195" s="101"/>
      <c r="E195" s="101"/>
      <c r="F195" s="101"/>
      <c r="G195" s="101"/>
      <c r="H195" s="101"/>
      <c r="I195" s="101"/>
      <c r="J195" s="101"/>
    </row>
    <row r="196" spans="1:10" ht="15.75">
      <c r="B196" s="104" t="s">
        <v>327</v>
      </c>
      <c r="C196" s="104"/>
      <c r="D196" s="104"/>
      <c r="E196" s="104"/>
      <c r="F196" s="104"/>
      <c r="G196" s="104"/>
      <c r="H196" s="104"/>
      <c r="I196" s="104"/>
      <c r="J196" s="104"/>
    </row>
    <row r="198" spans="1:10" ht="15.75">
      <c r="B198" s="9" t="s">
        <v>6</v>
      </c>
      <c r="D198" s="82" t="str">
        <f>'Master of Pay'!B14</f>
        <v>Code8</v>
      </c>
      <c r="H198" s="9" t="s">
        <v>7</v>
      </c>
      <c r="J198" s="82">
        <f>VLOOKUP(D198,'Master of Pay'!$B$7:$AI$33,5,)</f>
        <v>8012</v>
      </c>
    </row>
    <row r="199" spans="1:10" ht="15.75">
      <c r="B199" s="9" t="s">
        <v>2</v>
      </c>
      <c r="D199" s="2" t="str">
        <f>VLOOKUP(D198,'Master of Pay'!$B$7:$AI$33,2,)</f>
        <v>Employee8</v>
      </c>
      <c r="H199" s="9" t="s">
        <v>3</v>
      </c>
      <c r="J199" s="82" t="str">
        <f>VLOOKUP(D198,'Master of Pay'!$B$7:$AI$33,6,)</f>
        <v>AAAAA1241A</v>
      </c>
    </row>
    <row r="200" spans="1:10" ht="15.75">
      <c r="B200" s="9" t="s">
        <v>1</v>
      </c>
      <c r="D200" s="2" t="str">
        <f>VLOOKUP(D198,'Master of Pay'!$B$7:$AI$33,3,)</f>
        <v>Asst. PC</v>
      </c>
      <c r="H200" s="9" t="s">
        <v>4</v>
      </c>
      <c r="J200" s="82" t="str">
        <f>VLOOKUP(D198,'Master of Pay'!$B$7:$AI$33,7,)</f>
        <v>L901845</v>
      </c>
    </row>
    <row r="201" spans="1:10" ht="15.75">
      <c r="B201" s="9" t="s">
        <v>5</v>
      </c>
      <c r="D201" s="2" t="str">
        <f>VLOOKUP(D198,'Master of Pay'!$B$7:$AI$33,4,)</f>
        <v>Bank 1118</v>
      </c>
      <c r="H201" s="9" t="s">
        <v>8</v>
      </c>
      <c r="J201" s="82" t="str">
        <f>VLOOKUP(D198,'Master of Pay'!$B$7:$AI$33,8,)</f>
        <v>18030-43630</v>
      </c>
    </row>
    <row r="203" spans="1:10" ht="15.75">
      <c r="B203" s="105" t="s">
        <v>9</v>
      </c>
      <c r="C203" s="105"/>
      <c r="D203" s="5" t="s">
        <v>28</v>
      </c>
      <c r="E203" s="105" t="s">
        <v>10</v>
      </c>
      <c r="F203" s="105"/>
      <c r="G203" s="5" t="s">
        <v>28</v>
      </c>
      <c r="H203" s="105" t="s">
        <v>11</v>
      </c>
      <c r="I203" s="105"/>
      <c r="J203" s="5" t="s">
        <v>28</v>
      </c>
    </row>
    <row r="205" spans="1:10">
      <c r="B205" s="7" t="s">
        <v>19</v>
      </c>
      <c r="D205" s="2">
        <f>VLOOKUP(D198,'Master of Pay'!$B$7:$AI$33,9,)</f>
        <v>23650</v>
      </c>
      <c r="E205" s="2" t="s">
        <v>21</v>
      </c>
      <c r="G205" s="2">
        <f>VLOOKUP(D198,'Master of Pay'!$B$7:$AI$33,21,)</f>
        <v>0</v>
      </c>
      <c r="H205" s="2" t="s">
        <v>27</v>
      </c>
      <c r="J205" s="2">
        <f>VLOOKUP(D198,'Master of Pay'!$B$7:$AI$33,29,)</f>
        <v>0</v>
      </c>
    </row>
    <row r="206" spans="1:10">
      <c r="B206" s="7" t="s">
        <v>36</v>
      </c>
      <c r="D206" s="66">
        <f>VLOOKUP(D198,'Master of Pay'!$B$7:$AI$33,10,)</f>
        <v>6385.5</v>
      </c>
      <c r="E206" s="2" t="s">
        <v>22</v>
      </c>
      <c r="G206" s="2">
        <f>VLOOKUP(D198,'Master of Pay'!$B$7:$AI$33,22,)</f>
        <v>750</v>
      </c>
      <c r="H206" s="2" t="s">
        <v>172</v>
      </c>
      <c r="J206" s="2">
        <f>VLOOKUP(D198,'Master of Pay'!$B$7:$AI$33,30,)</f>
        <v>0</v>
      </c>
    </row>
    <row r="207" spans="1:10">
      <c r="B207" s="7" t="s">
        <v>13</v>
      </c>
      <c r="D207" s="65">
        <f>VLOOKUP(D198,'Master of Pay'!$B$7:$AI$33,11,)</f>
        <v>17005.296000000002</v>
      </c>
      <c r="E207" s="2" t="s">
        <v>23</v>
      </c>
      <c r="G207" s="2">
        <f>VLOOKUP(D198,'Master of Pay'!$B$7:$AI$33,23,)</f>
        <v>0</v>
      </c>
      <c r="H207" s="2" t="s">
        <v>111</v>
      </c>
      <c r="J207" s="2">
        <f>VLOOKUP(D198,'Master of Pay'!$B$7:$AI$33,31,)</f>
        <v>0</v>
      </c>
    </row>
    <row r="208" spans="1:10">
      <c r="B208" s="8" t="s">
        <v>14</v>
      </c>
      <c r="D208" s="2">
        <f>IF((D205*0.3)&gt;=12000,12000,D205*0.3)</f>
        <v>7095</v>
      </c>
      <c r="E208" s="2" t="s">
        <v>24</v>
      </c>
      <c r="G208" s="2">
        <f>VLOOKUP(D198,'Master of Pay'!$B$7:$AI$33,24,)</f>
        <v>120</v>
      </c>
      <c r="H208" s="2" t="s">
        <v>20</v>
      </c>
      <c r="J208" s="2">
        <f>VLOOKUP(D198,'Master of Pay'!$B$7:$AI$33,32,)</f>
        <v>0</v>
      </c>
    </row>
    <row r="209" spans="1:10">
      <c r="B209" s="8" t="s">
        <v>176</v>
      </c>
      <c r="D209" s="65">
        <f>VLOOKUP(D198,'Master of Pay'!$B$7:$AI$33,13,)</f>
        <v>610</v>
      </c>
      <c r="E209" s="2" t="s">
        <v>25</v>
      </c>
      <c r="G209" s="2">
        <f>VLOOKUP(D198,'Master of Pay'!$B$7:$AI$33,26,)</f>
        <v>0</v>
      </c>
    </row>
    <row r="210" spans="1:10">
      <c r="B210" s="7" t="s">
        <v>17</v>
      </c>
      <c r="D210" s="65">
        <f>VLOOKUP(D198,'Master of Pay'!$B$7:$AI$33,14,)</f>
        <v>525</v>
      </c>
      <c r="E210" s="2" t="s">
        <v>26</v>
      </c>
      <c r="G210" s="2">
        <f>VLOOKUP(D198,'Master of Pay'!$B$7:$AI$33,25,)</f>
        <v>200</v>
      </c>
    </row>
    <row r="211" spans="1:10">
      <c r="B211" s="7" t="s">
        <v>43</v>
      </c>
      <c r="D211" s="65">
        <f>VLOOKUP(D198,'Master of Pay'!$B$7:$AI$33,15,)</f>
        <v>0</v>
      </c>
      <c r="E211" s="2" t="s">
        <v>20</v>
      </c>
      <c r="G211" s="2">
        <f>VLOOKUP(D198,'Master of Pay'!$B$7:$AI$33,27,)</f>
        <v>0</v>
      </c>
    </row>
    <row r="212" spans="1:10">
      <c r="B212" s="8" t="s">
        <v>44</v>
      </c>
      <c r="D212" s="65">
        <f>VLOOKUP(D198,'Master of Pay'!$B$7:$AI$33,16,)</f>
        <v>500</v>
      </c>
    </row>
    <row r="213" spans="1:10">
      <c r="B213" s="8" t="s">
        <v>45</v>
      </c>
      <c r="D213" s="65">
        <f>VLOOKUP(D198,'Master of Pay'!$B$7:$AI$33,17,)</f>
        <v>0</v>
      </c>
    </row>
    <row r="214" spans="1:10">
      <c r="B214" s="2" t="s">
        <v>46</v>
      </c>
      <c r="D214" s="65">
        <f>VLOOKUP(D198,'Master of Pay'!$B$7:$AI$33,18,)</f>
        <v>0</v>
      </c>
    </row>
    <row r="215" spans="1:10">
      <c r="B215" s="2" t="s">
        <v>20</v>
      </c>
      <c r="D215" s="65">
        <f>VLOOKUP(D198,'Master of Pay'!$B$7:$AI$33,19,)</f>
        <v>0</v>
      </c>
    </row>
    <row r="216" spans="1:10">
      <c r="B216" s="4" t="s">
        <v>29</v>
      </c>
      <c r="C216" s="6"/>
      <c r="D216" s="12">
        <f>SUM(D205:D215)</f>
        <v>55770.796000000002</v>
      </c>
      <c r="E216" s="4" t="s">
        <v>10</v>
      </c>
      <c r="F216" s="6"/>
      <c r="G216" s="4">
        <f>SUM(G205:G213)</f>
        <v>1070</v>
      </c>
      <c r="H216" s="4" t="s">
        <v>11</v>
      </c>
      <c r="I216" s="6"/>
      <c r="J216" s="4">
        <f>SUM(J205:J213)</f>
        <v>0</v>
      </c>
    </row>
    <row r="218" spans="1:10">
      <c r="B218" s="3" t="s">
        <v>30</v>
      </c>
      <c r="C218" s="3"/>
      <c r="D218" s="13">
        <f>D216-G216-J216</f>
        <v>54700.796000000002</v>
      </c>
    </row>
    <row r="221" spans="1:10" ht="18.75">
      <c r="A221" s="2">
        <v>9</v>
      </c>
      <c r="B221" s="101" t="s">
        <v>0</v>
      </c>
      <c r="C221" s="101"/>
      <c r="D221" s="101"/>
      <c r="E221" s="101"/>
      <c r="F221" s="101"/>
      <c r="G221" s="101"/>
      <c r="H221" s="101"/>
      <c r="I221" s="101"/>
      <c r="J221" s="101"/>
    </row>
    <row r="222" spans="1:10" ht="18.75">
      <c r="B222" s="101" t="s">
        <v>105</v>
      </c>
      <c r="C222" s="101"/>
      <c r="D222" s="101"/>
      <c r="E222" s="101"/>
      <c r="F222" s="101"/>
      <c r="G222" s="101"/>
      <c r="H222" s="101"/>
      <c r="I222" s="101"/>
      <c r="J222" s="101"/>
    </row>
    <row r="223" spans="1:10" ht="15.75">
      <c r="B223" s="104" t="s">
        <v>327</v>
      </c>
      <c r="C223" s="104"/>
      <c r="D223" s="104"/>
      <c r="E223" s="104"/>
      <c r="F223" s="104"/>
      <c r="G223" s="104"/>
      <c r="H223" s="104"/>
      <c r="I223" s="104"/>
      <c r="J223" s="104"/>
    </row>
    <row r="225" spans="2:10" ht="15.75">
      <c r="B225" s="9" t="s">
        <v>6</v>
      </c>
      <c r="D225" s="82" t="str">
        <f>'Master of Pay'!B15</f>
        <v>Code9</v>
      </c>
      <c r="H225" s="9" t="s">
        <v>7</v>
      </c>
      <c r="J225" s="82" t="str">
        <f>VLOOKUP(D225,'Master of Pay'!$B$7:$AI$33,5,)</f>
        <v>52763/EDN</v>
      </c>
    </row>
    <row r="226" spans="2:10" ht="15.75">
      <c r="B226" s="9" t="s">
        <v>2</v>
      </c>
      <c r="D226" s="2" t="str">
        <f>VLOOKUP(D225,'Master of Pay'!$B$7:$AI$33,2,)</f>
        <v>Employee9</v>
      </c>
      <c r="H226" s="9" t="s">
        <v>3</v>
      </c>
      <c r="J226" s="82" t="str">
        <f>VLOOKUP(D225,'Master of Pay'!$B$7:$AI$33,6,)</f>
        <v>AAAAA1242A</v>
      </c>
    </row>
    <row r="227" spans="2:10" ht="15.75">
      <c r="B227" s="9" t="s">
        <v>1</v>
      </c>
      <c r="D227" s="2" t="str">
        <f>VLOOKUP(D225,'Master of Pay'!$B$7:$AI$33,3,)</f>
        <v>RTE Coordinator</v>
      </c>
      <c r="H227" s="9" t="s">
        <v>4</v>
      </c>
      <c r="J227" s="82" t="str">
        <f>VLOOKUP(D225,'Master of Pay'!$B$7:$AI$33,7,)</f>
        <v>238879-A</v>
      </c>
    </row>
    <row r="228" spans="2:10" ht="15.75">
      <c r="B228" s="9" t="s">
        <v>5</v>
      </c>
      <c r="D228" s="2" t="str">
        <f>VLOOKUP(D225,'Master of Pay'!$B$7:$AI$33,4,)</f>
        <v>Bank 1119</v>
      </c>
      <c r="H228" s="9" t="s">
        <v>8</v>
      </c>
      <c r="J228" s="82" t="str">
        <f>VLOOKUP(D225,'Master of Pay'!$B$7:$AI$33,8,)</f>
        <v>18030-43630</v>
      </c>
    </row>
    <row r="230" spans="2:10" ht="15.75">
      <c r="B230" s="105" t="s">
        <v>9</v>
      </c>
      <c r="C230" s="105"/>
      <c r="D230" s="5" t="s">
        <v>28</v>
      </c>
      <c r="E230" s="105" t="s">
        <v>10</v>
      </c>
      <c r="F230" s="105"/>
      <c r="G230" s="5" t="s">
        <v>28</v>
      </c>
      <c r="H230" s="105" t="s">
        <v>11</v>
      </c>
      <c r="I230" s="105"/>
      <c r="J230" s="5" t="s">
        <v>28</v>
      </c>
    </row>
    <row r="232" spans="2:10">
      <c r="B232" s="7" t="s">
        <v>19</v>
      </c>
      <c r="D232" s="2">
        <f>VLOOKUP(D225,'Master of Pay'!$B$7:$AI$33,9,)</f>
        <v>29200</v>
      </c>
      <c r="E232" s="2" t="s">
        <v>21</v>
      </c>
      <c r="G232" s="2">
        <f>VLOOKUP(D225,'Master of Pay'!$B$7:$AI$33,21,)</f>
        <v>3500</v>
      </c>
      <c r="H232" s="2" t="s">
        <v>27</v>
      </c>
      <c r="J232" s="2">
        <f>VLOOKUP(D225,'Master of Pay'!$B$7:$AI$33,29,)</f>
        <v>0</v>
      </c>
    </row>
    <row r="233" spans="2:10">
      <c r="B233" s="7" t="s">
        <v>36</v>
      </c>
      <c r="D233" s="66">
        <f>VLOOKUP(D225,'Master of Pay'!$B$7:$AI$33,10,)</f>
        <v>7884.0000000000009</v>
      </c>
      <c r="E233" s="2" t="s">
        <v>22</v>
      </c>
      <c r="G233" s="2">
        <f>VLOOKUP(D225,'Master of Pay'!$B$7:$AI$33,22,)</f>
        <v>450</v>
      </c>
      <c r="H233" s="2" t="s">
        <v>172</v>
      </c>
      <c r="J233" s="2">
        <f>VLOOKUP(D225,'Master of Pay'!$B$7:$AI$33,30,)</f>
        <v>0</v>
      </c>
    </row>
    <row r="234" spans="2:10">
      <c r="B234" s="7" t="s">
        <v>13</v>
      </c>
      <c r="D234" s="65">
        <f>VLOOKUP(D225,'Master of Pay'!$B$7:$AI$33,11,)</f>
        <v>20995.968000000001</v>
      </c>
      <c r="E234" s="2" t="s">
        <v>23</v>
      </c>
      <c r="G234" s="2">
        <f>VLOOKUP(D225,'Master of Pay'!$B$7:$AI$33,23,)</f>
        <v>0</v>
      </c>
      <c r="H234" s="2" t="s">
        <v>111</v>
      </c>
      <c r="J234" s="2">
        <f>VLOOKUP(D225,'Master of Pay'!$B$7:$AI$33,31,)</f>
        <v>0</v>
      </c>
    </row>
    <row r="235" spans="2:10">
      <c r="B235" s="8" t="s">
        <v>14</v>
      </c>
      <c r="D235" s="2">
        <f>IF((D232*0.3)&gt;=12000,12000,D232*0.3)</f>
        <v>8760</v>
      </c>
      <c r="E235" s="2" t="s">
        <v>24</v>
      </c>
      <c r="G235" s="2">
        <f>VLOOKUP(D225,'Master of Pay'!$B$7:$AI$33,24,)</f>
        <v>120</v>
      </c>
      <c r="H235" s="2" t="s">
        <v>20</v>
      </c>
      <c r="J235" s="2">
        <f>VLOOKUP(D225,'Master of Pay'!$B$7:$AI$33,32,)</f>
        <v>0</v>
      </c>
    </row>
    <row r="236" spans="2:10">
      <c r="B236" s="8" t="s">
        <v>176</v>
      </c>
      <c r="D236" s="65">
        <f>VLOOKUP(D225,'Master of Pay'!$B$7:$AI$33,13,)</f>
        <v>750</v>
      </c>
      <c r="E236" s="2" t="s">
        <v>25</v>
      </c>
      <c r="G236" s="2">
        <f>VLOOKUP(D225,'Master of Pay'!$B$7:$AI$33,26,)</f>
        <v>0</v>
      </c>
    </row>
    <row r="237" spans="2:10">
      <c r="B237" s="7" t="s">
        <v>17</v>
      </c>
      <c r="D237" s="65">
        <f>VLOOKUP(D225,'Master of Pay'!$B$7:$AI$33,14,)</f>
        <v>525</v>
      </c>
      <c r="E237" s="2" t="s">
        <v>26</v>
      </c>
      <c r="G237" s="2">
        <f>VLOOKUP(D225,'Master of Pay'!$B$7:$AI$33,25,)</f>
        <v>200</v>
      </c>
    </row>
    <row r="238" spans="2:10">
      <c r="B238" s="7" t="s">
        <v>43</v>
      </c>
      <c r="D238" s="65">
        <f>VLOOKUP(D225,'Master of Pay'!$B$7:$AI$33,15,)</f>
        <v>500</v>
      </c>
      <c r="E238" s="2" t="s">
        <v>20</v>
      </c>
      <c r="G238" s="2">
        <f>VLOOKUP(D225,'Master of Pay'!$B$7:$AI$33,27,)</f>
        <v>0</v>
      </c>
    </row>
    <row r="239" spans="2:10">
      <c r="B239" s="8" t="s">
        <v>44</v>
      </c>
      <c r="D239" s="65">
        <f>VLOOKUP(D225,'Master of Pay'!$B$7:$AI$33,16,)</f>
        <v>500</v>
      </c>
    </row>
    <row r="240" spans="2:10">
      <c r="B240" s="8" t="s">
        <v>45</v>
      </c>
      <c r="D240" s="65">
        <f>VLOOKUP(D225,'Master of Pay'!$B$7:$AI$33,17,)</f>
        <v>0</v>
      </c>
    </row>
    <row r="241" spans="1:10">
      <c r="B241" s="2" t="s">
        <v>46</v>
      </c>
      <c r="D241" s="65">
        <f>VLOOKUP(D225,'Master of Pay'!$B$7:$AI$33,18,)</f>
        <v>0</v>
      </c>
    </row>
    <row r="242" spans="1:10">
      <c r="B242" s="2" t="s">
        <v>20</v>
      </c>
      <c r="D242" s="65">
        <f>VLOOKUP(D225,'Master of Pay'!$B$7:$AI$33,19,)</f>
        <v>0</v>
      </c>
    </row>
    <row r="243" spans="1:10">
      <c r="B243" s="4" t="s">
        <v>29</v>
      </c>
      <c r="C243" s="6"/>
      <c r="D243" s="12">
        <f>SUM(D232:D242)</f>
        <v>69114.967999999993</v>
      </c>
      <c r="E243" s="4" t="s">
        <v>10</v>
      </c>
      <c r="F243" s="6"/>
      <c r="G243" s="4">
        <f>SUM(G232:G240)</f>
        <v>4270</v>
      </c>
      <c r="H243" s="4" t="s">
        <v>11</v>
      </c>
      <c r="I243" s="6"/>
      <c r="J243" s="4">
        <f>SUM(J232:J240)</f>
        <v>0</v>
      </c>
    </row>
    <row r="245" spans="1:10">
      <c r="B245" s="3" t="s">
        <v>30</v>
      </c>
      <c r="C245" s="3"/>
      <c r="D245" s="13">
        <f>D243-G243-J243</f>
        <v>64844.967999999993</v>
      </c>
    </row>
    <row r="247" spans="1:10" ht="18.75">
      <c r="A247" s="2">
        <v>10</v>
      </c>
      <c r="B247" s="101" t="s">
        <v>0</v>
      </c>
      <c r="C247" s="101"/>
      <c r="D247" s="101"/>
      <c r="E247" s="101"/>
      <c r="F247" s="101"/>
      <c r="G247" s="101"/>
      <c r="H247" s="101"/>
      <c r="I247" s="101"/>
      <c r="J247" s="101"/>
    </row>
    <row r="248" spans="1:10" ht="18.75">
      <c r="B248" s="101" t="s">
        <v>105</v>
      </c>
      <c r="C248" s="101"/>
      <c r="D248" s="101"/>
      <c r="E248" s="101"/>
      <c r="F248" s="101"/>
      <c r="G248" s="101"/>
      <c r="H248" s="101"/>
      <c r="I248" s="101"/>
      <c r="J248" s="101"/>
    </row>
    <row r="249" spans="1:10" ht="15.75">
      <c r="B249" s="104" t="s">
        <v>327</v>
      </c>
      <c r="C249" s="104"/>
      <c r="D249" s="104"/>
      <c r="E249" s="104"/>
      <c r="F249" s="104"/>
      <c r="G249" s="104"/>
      <c r="H249" s="104"/>
      <c r="I249" s="104"/>
      <c r="J249" s="104"/>
    </row>
    <row r="251" spans="1:10" ht="15.75">
      <c r="B251" s="9" t="s">
        <v>6</v>
      </c>
      <c r="D251" s="82" t="str">
        <f>'Master of Pay'!B16</f>
        <v>Code10</v>
      </c>
      <c r="H251" s="9" t="s">
        <v>7</v>
      </c>
      <c r="J251" s="82" t="str">
        <f>VLOOKUP(D251,'Master of Pay'!$B$7:$AI$33,5,)</f>
        <v>94997/EDN</v>
      </c>
    </row>
    <row r="252" spans="1:10" ht="15.75">
      <c r="B252" s="9" t="s">
        <v>2</v>
      </c>
      <c r="D252" s="2" t="str">
        <f>VLOOKUP(D251,'Master of Pay'!$B$7:$AI$33,2,)</f>
        <v>Employee10</v>
      </c>
      <c r="H252" s="9" t="s">
        <v>3</v>
      </c>
      <c r="J252" s="82" t="str">
        <f>VLOOKUP(D251,'Master of Pay'!$B$7:$AI$33,6,)</f>
        <v>AAAAA1243A</v>
      </c>
    </row>
    <row r="253" spans="1:10" ht="15.75">
      <c r="B253" s="9" t="s">
        <v>1</v>
      </c>
      <c r="D253" s="2" t="str">
        <f>VLOOKUP(D251,'Master of Pay'!$B$7:$AI$33,3,)</f>
        <v>OSC Coordinator</v>
      </c>
      <c r="H253" s="9" t="s">
        <v>4</v>
      </c>
      <c r="J253" s="82" t="str">
        <f>VLOOKUP(D251,'Master of Pay'!$B$7:$AI$33,7,)</f>
        <v>67943-B</v>
      </c>
    </row>
    <row r="254" spans="1:10" ht="15.75">
      <c r="B254" s="9" t="s">
        <v>5</v>
      </c>
      <c r="D254" s="2" t="str">
        <f>VLOOKUP(D251,'Master of Pay'!$B$7:$AI$33,4,)</f>
        <v>Bank 1120</v>
      </c>
      <c r="H254" s="9" t="s">
        <v>8</v>
      </c>
      <c r="J254" s="82" t="str">
        <f>VLOOKUP(D251,'Master of Pay'!$B$7:$AI$33,8,)</f>
        <v>15600-39100</v>
      </c>
    </row>
    <row r="256" spans="1:10" ht="15.75">
      <c r="B256" s="105" t="s">
        <v>9</v>
      </c>
      <c r="C256" s="105"/>
      <c r="D256" s="5" t="s">
        <v>28</v>
      </c>
      <c r="E256" s="105" t="s">
        <v>10</v>
      </c>
      <c r="F256" s="105"/>
      <c r="G256" s="5" t="s">
        <v>28</v>
      </c>
      <c r="H256" s="105" t="s">
        <v>11</v>
      </c>
      <c r="I256" s="105"/>
      <c r="J256" s="5" t="s">
        <v>28</v>
      </c>
    </row>
    <row r="258" spans="2:10">
      <c r="B258" s="7" t="s">
        <v>19</v>
      </c>
      <c r="D258" s="2">
        <f>VLOOKUP(D251,'Master of Pay'!$B$7:$AI$33,9,)</f>
        <v>23610</v>
      </c>
      <c r="E258" s="2" t="s">
        <v>21</v>
      </c>
      <c r="G258" s="2">
        <f>VLOOKUP(D251,'Master of Pay'!$B$7:$AI$33,21,)</f>
        <v>5000</v>
      </c>
      <c r="H258" s="2" t="s">
        <v>27</v>
      </c>
      <c r="J258" s="2">
        <f>VLOOKUP(D251,'Master of Pay'!$B$7:$AI$33,29,)</f>
        <v>0</v>
      </c>
    </row>
    <row r="259" spans="2:10">
      <c r="B259" s="7" t="s">
        <v>36</v>
      </c>
      <c r="D259" s="66">
        <f>VLOOKUP(D251,'Master of Pay'!$B$7:$AI$33,10,)</f>
        <v>0</v>
      </c>
      <c r="E259" s="2" t="s">
        <v>22</v>
      </c>
      <c r="G259" s="2">
        <f>VLOOKUP(D251,'Master of Pay'!$B$7:$AI$33,22,)</f>
        <v>750</v>
      </c>
      <c r="H259" s="2" t="s">
        <v>172</v>
      </c>
      <c r="J259" s="2">
        <f>VLOOKUP(D251,'Master of Pay'!$B$7:$AI$33,30,)</f>
        <v>0</v>
      </c>
    </row>
    <row r="260" spans="2:10">
      <c r="B260" s="7" t="s">
        <v>13</v>
      </c>
      <c r="D260" s="65">
        <f>VLOOKUP(D251,'Master of Pay'!$B$7:$AI$33,11,)</f>
        <v>23610</v>
      </c>
      <c r="E260" s="2" t="s">
        <v>23</v>
      </c>
      <c r="G260" s="2">
        <f>VLOOKUP(D251,'Master of Pay'!$B$7:$AI$33,23,)</f>
        <v>0</v>
      </c>
      <c r="H260" s="2" t="s">
        <v>111</v>
      </c>
      <c r="J260" s="2">
        <f>VLOOKUP(D251,'Master of Pay'!$B$7:$AI$33,31,)</f>
        <v>0</v>
      </c>
    </row>
    <row r="261" spans="2:10">
      <c r="B261" s="8" t="s">
        <v>14</v>
      </c>
      <c r="D261" s="2">
        <f>IF((D258*0.3)&gt;=12000,12000,D258*0.3)</f>
        <v>7083</v>
      </c>
      <c r="E261" s="2" t="s">
        <v>24</v>
      </c>
      <c r="G261" s="2">
        <f>VLOOKUP(D251,'Master of Pay'!$B$7:$AI$33,24,)</f>
        <v>120</v>
      </c>
      <c r="H261" s="2" t="s">
        <v>20</v>
      </c>
      <c r="J261" s="2">
        <f>VLOOKUP(D251,'Master of Pay'!$B$7:$AI$33,32,)</f>
        <v>0</v>
      </c>
    </row>
    <row r="262" spans="2:10">
      <c r="B262" s="8" t="s">
        <v>176</v>
      </c>
      <c r="D262" s="65">
        <f>VLOOKUP(D251,'Master of Pay'!$B$7:$AI$33,13,)</f>
        <v>690</v>
      </c>
      <c r="E262" s="2" t="s">
        <v>25</v>
      </c>
      <c r="G262" s="2">
        <f>VLOOKUP(D251,'Master of Pay'!$B$7:$AI$33,26,)</f>
        <v>0</v>
      </c>
    </row>
    <row r="263" spans="2:10">
      <c r="B263" s="7" t="s">
        <v>17</v>
      </c>
      <c r="D263" s="65">
        <f>VLOOKUP(D251,'Master of Pay'!$B$7:$AI$33,14,)</f>
        <v>525</v>
      </c>
      <c r="E263" s="2" t="s">
        <v>26</v>
      </c>
      <c r="G263" s="2">
        <f>VLOOKUP(D251,'Master of Pay'!$B$7:$AI$33,25,)</f>
        <v>200</v>
      </c>
    </row>
    <row r="264" spans="2:10">
      <c r="B264" s="7" t="s">
        <v>43</v>
      </c>
      <c r="D264" s="65">
        <f>VLOOKUP(D251,'Master of Pay'!$B$7:$AI$33,15,)</f>
        <v>0</v>
      </c>
      <c r="E264" s="2" t="s">
        <v>20</v>
      </c>
      <c r="G264" s="2">
        <f>VLOOKUP(D251,'Master of Pay'!$B$7:$AI$33,27,)</f>
        <v>0</v>
      </c>
    </row>
    <row r="265" spans="2:10">
      <c r="B265" s="8" t="s">
        <v>44</v>
      </c>
      <c r="D265" s="65">
        <f>VLOOKUP(D251,'Master of Pay'!$B$7:$AI$33,16,)</f>
        <v>500</v>
      </c>
    </row>
    <row r="266" spans="2:10">
      <c r="B266" s="8" t="s">
        <v>45</v>
      </c>
      <c r="D266" s="65">
        <f>VLOOKUP(D251,'Master of Pay'!$B$7:$AI$33,17,)</f>
        <v>0</v>
      </c>
    </row>
    <row r="267" spans="2:10">
      <c r="B267" s="2" t="s">
        <v>46</v>
      </c>
      <c r="D267" s="65">
        <f>VLOOKUP(D251,'Master of Pay'!$B$7:$AI$33,18,)</f>
        <v>0</v>
      </c>
    </row>
    <row r="268" spans="2:10">
      <c r="B268" s="2" t="s">
        <v>20</v>
      </c>
      <c r="D268" s="65">
        <f>VLOOKUP(D251,'Master of Pay'!$B$7:$AI$33,19,)</f>
        <v>0</v>
      </c>
    </row>
    <row r="269" spans="2:10">
      <c r="B269" s="4" t="s">
        <v>29</v>
      </c>
      <c r="C269" s="6"/>
      <c r="D269" s="12">
        <f>SUM(D258:D268)</f>
        <v>56018</v>
      </c>
      <c r="E269" s="4" t="s">
        <v>10</v>
      </c>
      <c r="F269" s="6"/>
      <c r="G269" s="4">
        <f>SUM(G258:G266)</f>
        <v>6070</v>
      </c>
      <c r="H269" s="4" t="s">
        <v>11</v>
      </c>
      <c r="I269" s="6"/>
      <c r="J269" s="4">
        <f>SUM(J258:J266)</f>
        <v>0</v>
      </c>
    </row>
    <row r="271" spans="2:10">
      <c r="B271" s="3" t="s">
        <v>30</v>
      </c>
      <c r="C271" s="3"/>
      <c r="D271" s="13">
        <f>D269-G269-J269</f>
        <v>49948</v>
      </c>
    </row>
    <row r="274" spans="1:10" ht="18.75">
      <c r="A274" s="2">
        <v>11</v>
      </c>
      <c r="B274" s="101" t="s">
        <v>0</v>
      </c>
      <c r="C274" s="101"/>
      <c r="D274" s="101"/>
      <c r="E274" s="101"/>
      <c r="F274" s="101"/>
      <c r="G274" s="101"/>
      <c r="H274" s="101"/>
      <c r="I274" s="101"/>
      <c r="J274" s="101"/>
    </row>
    <row r="275" spans="1:10" ht="18.75">
      <c r="B275" s="101" t="s">
        <v>105</v>
      </c>
      <c r="C275" s="101"/>
      <c r="D275" s="101"/>
      <c r="E275" s="101"/>
      <c r="F275" s="101"/>
      <c r="G275" s="101"/>
      <c r="H275" s="101"/>
      <c r="I275" s="101"/>
      <c r="J275" s="101"/>
    </row>
    <row r="276" spans="1:10" ht="15.75">
      <c r="B276" s="104" t="s">
        <v>327</v>
      </c>
      <c r="C276" s="104"/>
      <c r="D276" s="104"/>
      <c r="E276" s="104"/>
      <c r="F276" s="104"/>
      <c r="G276" s="104"/>
      <c r="H276" s="104"/>
      <c r="I276" s="104"/>
      <c r="J276" s="104"/>
    </row>
    <row r="278" spans="1:10" ht="15.75">
      <c r="B278" s="9" t="s">
        <v>6</v>
      </c>
      <c r="D278" s="82" t="str">
        <f>'Master of Pay'!B17</f>
        <v>Code11</v>
      </c>
      <c r="H278" s="9" t="s">
        <v>7</v>
      </c>
      <c r="J278" s="82" t="str">
        <f>VLOOKUP(D278,'Master of Pay'!$B$7:$AI$33,5,)</f>
        <v>7903/COOP</v>
      </c>
    </row>
    <row r="279" spans="1:10" ht="15.75">
      <c r="B279" s="9" t="s">
        <v>2</v>
      </c>
      <c r="D279" s="2" t="str">
        <f>VLOOKUP(D278,'Master of Pay'!$B$7:$AI$33,2,)</f>
        <v>Employee11</v>
      </c>
      <c r="H279" s="9" t="s">
        <v>3</v>
      </c>
      <c r="J279" s="82" t="str">
        <f>VLOOKUP(D278,'Master of Pay'!$B$7:$AI$33,6,)</f>
        <v>AAAAA1244A</v>
      </c>
    </row>
    <row r="280" spans="1:10" ht="15.75">
      <c r="B280" s="9" t="s">
        <v>1</v>
      </c>
      <c r="D280" s="2" t="str">
        <f>VLOOKUP(D278,'Master of Pay'!$B$7:$AI$33,3,)</f>
        <v>RTE Coordinator</v>
      </c>
      <c r="H280" s="9" t="s">
        <v>4</v>
      </c>
      <c r="J280" s="82" t="str">
        <f>VLOOKUP(D278,'Master of Pay'!$B$7:$AI$33,7,)</f>
        <v>2592272-A</v>
      </c>
    </row>
    <row r="281" spans="1:10" ht="15.75">
      <c r="B281" s="9" t="s">
        <v>5</v>
      </c>
      <c r="D281" s="2" t="str">
        <f>VLOOKUP(D278,'Master of Pay'!$B$7:$AI$33,4,)</f>
        <v>Bank 1121</v>
      </c>
      <c r="H281" s="9" t="s">
        <v>8</v>
      </c>
      <c r="J281" s="82" t="str">
        <f>VLOOKUP(D278,'Master of Pay'!$B$7:$AI$33,8,)</f>
        <v>14860-39540</v>
      </c>
    </row>
    <row r="283" spans="1:10" ht="15.75">
      <c r="B283" s="105" t="s">
        <v>9</v>
      </c>
      <c r="C283" s="105"/>
      <c r="D283" s="5" t="s">
        <v>28</v>
      </c>
      <c r="E283" s="105" t="s">
        <v>10</v>
      </c>
      <c r="F283" s="105"/>
      <c r="G283" s="5" t="s">
        <v>28</v>
      </c>
      <c r="H283" s="105" t="s">
        <v>11</v>
      </c>
      <c r="I283" s="105"/>
      <c r="J283" s="5" t="s">
        <v>28</v>
      </c>
    </row>
    <row r="285" spans="1:10">
      <c r="B285" s="7" t="s">
        <v>19</v>
      </c>
      <c r="D285" s="2">
        <f>VLOOKUP(D278,'Master of Pay'!$B$7:$AI$33,9,)</f>
        <v>27000</v>
      </c>
      <c r="E285" s="2" t="s">
        <v>21</v>
      </c>
      <c r="G285" s="2">
        <f>VLOOKUP(D278,'Master of Pay'!$B$7:$AI$33,21,)</f>
        <v>12000</v>
      </c>
      <c r="H285" s="2" t="s">
        <v>27</v>
      </c>
      <c r="J285" s="2">
        <f>VLOOKUP(D278,'Master of Pay'!$B$7:$AI$33,29,)</f>
        <v>0</v>
      </c>
    </row>
    <row r="286" spans="1:10">
      <c r="B286" s="7" t="s">
        <v>36</v>
      </c>
      <c r="D286" s="66">
        <f>VLOOKUP(D278,'Master of Pay'!$B$7:$AI$33,10,)</f>
        <v>7290.0000000000009</v>
      </c>
      <c r="E286" s="2" t="s">
        <v>22</v>
      </c>
      <c r="G286" s="2">
        <f>VLOOKUP(D278,'Master of Pay'!$B$7:$AI$33,22,)</f>
        <v>450</v>
      </c>
      <c r="H286" s="2" t="s">
        <v>172</v>
      </c>
      <c r="J286" s="2">
        <f>VLOOKUP(D278,'Master of Pay'!$B$7:$AI$33,30,)</f>
        <v>0</v>
      </c>
    </row>
    <row r="287" spans="1:10">
      <c r="B287" s="7" t="s">
        <v>13</v>
      </c>
      <c r="D287" s="65">
        <f>VLOOKUP(D278,'Master of Pay'!$B$7:$AI$33,11,)</f>
        <v>19414.080000000002</v>
      </c>
      <c r="E287" s="2" t="s">
        <v>23</v>
      </c>
      <c r="G287" s="2">
        <f>VLOOKUP(D278,'Master of Pay'!$B$7:$AI$33,23,)</f>
        <v>0</v>
      </c>
      <c r="H287" s="2" t="s">
        <v>111</v>
      </c>
      <c r="J287" s="2">
        <f>VLOOKUP(D278,'Master of Pay'!$B$7:$AI$33,31,)</f>
        <v>0</v>
      </c>
    </row>
    <row r="288" spans="1:10">
      <c r="B288" s="8" t="s">
        <v>14</v>
      </c>
      <c r="D288" s="2">
        <f>IF((D285*0.3)&gt;=12000,12000,D285*0.3)</f>
        <v>8100</v>
      </c>
      <c r="E288" s="2" t="s">
        <v>24</v>
      </c>
      <c r="G288" s="2">
        <f>VLOOKUP(D278,'Master of Pay'!$B$7:$AI$33,24,)</f>
        <v>60</v>
      </c>
      <c r="H288" s="2" t="s">
        <v>20</v>
      </c>
      <c r="J288" s="2">
        <f>VLOOKUP(D278,'Master of Pay'!$B$7:$AI$33,32,)</f>
        <v>0</v>
      </c>
    </row>
    <row r="289" spans="1:10">
      <c r="B289" s="8" t="s">
        <v>176</v>
      </c>
      <c r="D289" s="65">
        <f>VLOOKUP(D278,'Master of Pay'!$B$7:$AI$33,13,)</f>
        <v>700</v>
      </c>
      <c r="E289" s="2" t="s">
        <v>25</v>
      </c>
      <c r="G289" s="2">
        <f>VLOOKUP(D278,'Master of Pay'!$B$7:$AI$33,26,)</f>
        <v>0</v>
      </c>
    </row>
    <row r="290" spans="1:10">
      <c r="B290" s="7" t="s">
        <v>17</v>
      </c>
      <c r="D290" s="65">
        <f>VLOOKUP(D278,'Master of Pay'!$B$7:$AI$33,14,)</f>
        <v>525</v>
      </c>
      <c r="E290" s="2" t="s">
        <v>26</v>
      </c>
      <c r="G290" s="2">
        <f>VLOOKUP(D278,'Master of Pay'!$B$7:$AI$33,25,)</f>
        <v>200</v>
      </c>
    </row>
    <row r="291" spans="1:10">
      <c r="B291" s="7" t="s">
        <v>43</v>
      </c>
      <c r="D291" s="65">
        <f>VLOOKUP(D278,'Master of Pay'!$B$7:$AI$33,15,)</f>
        <v>500</v>
      </c>
      <c r="E291" s="2" t="s">
        <v>20</v>
      </c>
      <c r="G291" s="2">
        <f>VLOOKUP(D278,'Master of Pay'!$B$7:$AI$33,27,)</f>
        <v>0</v>
      </c>
    </row>
    <row r="292" spans="1:10">
      <c r="B292" s="8" t="s">
        <v>44</v>
      </c>
      <c r="D292" s="65">
        <f>VLOOKUP(D278,'Master of Pay'!$B$7:$AI$33,16,)</f>
        <v>500</v>
      </c>
    </row>
    <row r="293" spans="1:10">
      <c r="B293" s="8" t="s">
        <v>45</v>
      </c>
      <c r="D293" s="65">
        <f>VLOOKUP(D278,'Master of Pay'!$B$7:$AI$33,17,)</f>
        <v>170</v>
      </c>
    </row>
    <row r="294" spans="1:10">
      <c r="B294" s="2" t="s">
        <v>46</v>
      </c>
      <c r="D294" s="65">
        <f>VLOOKUP(D278,'Master of Pay'!$B$7:$AI$33,18,)</f>
        <v>0</v>
      </c>
    </row>
    <row r="295" spans="1:10">
      <c r="B295" s="2" t="s">
        <v>20</v>
      </c>
      <c r="D295" s="65">
        <f>VLOOKUP(D278,'Master of Pay'!$B$7:$AI$33,19,)</f>
        <v>0</v>
      </c>
    </row>
    <row r="296" spans="1:10">
      <c r="B296" s="4" t="s">
        <v>29</v>
      </c>
      <c r="C296" s="6"/>
      <c r="D296" s="12">
        <f>SUM(D285:D295)</f>
        <v>64199.08</v>
      </c>
      <c r="E296" s="4" t="s">
        <v>10</v>
      </c>
      <c r="F296" s="6"/>
      <c r="G296" s="4">
        <f>SUM(G285:G293)</f>
        <v>12710</v>
      </c>
      <c r="H296" s="4" t="s">
        <v>11</v>
      </c>
      <c r="I296" s="6"/>
      <c r="J296" s="4">
        <f>SUM(J285:J293)</f>
        <v>0</v>
      </c>
    </row>
    <row r="298" spans="1:10">
      <c r="B298" s="3" t="s">
        <v>30</v>
      </c>
      <c r="C298" s="3"/>
      <c r="D298" s="13">
        <f>D296-G296-J296</f>
        <v>51489.08</v>
      </c>
    </row>
    <row r="300" spans="1:10" ht="18.75">
      <c r="A300" s="2">
        <v>12</v>
      </c>
      <c r="B300" s="101" t="s">
        <v>0</v>
      </c>
      <c r="C300" s="101"/>
      <c r="D300" s="101"/>
      <c r="E300" s="101"/>
      <c r="F300" s="101"/>
      <c r="G300" s="101"/>
      <c r="H300" s="101"/>
      <c r="I300" s="101"/>
      <c r="J300" s="101"/>
    </row>
    <row r="301" spans="1:10" ht="18.75">
      <c r="B301" s="101" t="s">
        <v>105</v>
      </c>
      <c r="C301" s="101"/>
      <c r="D301" s="101"/>
      <c r="E301" s="101"/>
      <c r="F301" s="101"/>
      <c r="G301" s="101"/>
      <c r="H301" s="101"/>
      <c r="I301" s="101"/>
      <c r="J301" s="101"/>
    </row>
    <row r="302" spans="1:10" ht="15.75">
      <c r="B302" s="104" t="s">
        <v>327</v>
      </c>
      <c r="C302" s="104"/>
      <c r="D302" s="104"/>
      <c r="E302" s="104"/>
      <c r="F302" s="104"/>
      <c r="G302" s="104"/>
      <c r="H302" s="104"/>
      <c r="I302" s="104"/>
      <c r="J302" s="104"/>
    </row>
    <row r="304" spans="1:10" ht="15.75">
      <c r="B304" s="9" t="s">
        <v>6</v>
      </c>
      <c r="D304" s="82" t="str">
        <f>'Master of Pay'!B18</f>
        <v>Code12</v>
      </c>
      <c r="H304" s="9" t="s">
        <v>7</v>
      </c>
      <c r="J304" s="82" t="str">
        <f>VLOOKUP(D304,'Master of Pay'!$B$7:$AI$33,5,)</f>
        <v>9544/COOP</v>
      </c>
    </row>
    <row r="305" spans="2:10" ht="15.75">
      <c r="B305" s="9" t="s">
        <v>2</v>
      </c>
      <c r="D305" s="2" t="str">
        <f>VLOOKUP(D304,'Master of Pay'!$B$7:$AI$33,2,)</f>
        <v>Employee12</v>
      </c>
      <c r="H305" s="9" t="s">
        <v>3</v>
      </c>
      <c r="J305" s="82" t="str">
        <f>VLOOKUP(D304,'Master of Pay'!$B$7:$AI$33,6,)</f>
        <v>AAAAA1245A</v>
      </c>
    </row>
    <row r="306" spans="2:10" ht="15.75">
      <c r="B306" s="9" t="s">
        <v>1</v>
      </c>
      <c r="D306" s="2" t="str">
        <f>VLOOKUP(D304,'Master of Pay'!$B$7:$AI$33,3,)</f>
        <v>SCMO</v>
      </c>
      <c r="H306" s="9" t="s">
        <v>4</v>
      </c>
      <c r="J306" s="82" t="str">
        <f>VLOOKUP(D304,'Master of Pay'!$B$7:$AI$33,7,)</f>
        <v>663854-A</v>
      </c>
    </row>
    <row r="307" spans="2:10" ht="15.75">
      <c r="B307" s="9" t="s">
        <v>5</v>
      </c>
      <c r="D307" s="2" t="str">
        <f>VLOOKUP(D304,'Master of Pay'!$B$7:$AI$33,4,)</f>
        <v>Bank 1122</v>
      </c>
      <c r="H307" s="9" t="s">
        <v>8</v>
      </c>
      <c r="J307" s="82" t="str">
        <f>VLOOKUP(D304,'Master of Pay'!$B$7:$AI$33,8,)</f>
        <v>18030-43630</v>
      </c>
    </row>
    <row r="309" spans="2:10" ht="15.75">
      <c r="B309" s="105" t="s">
        <v>9</v>
      </c>
      <c r="C309" s="105"/>
      <c r="D309" s="5" t="s">
        <v>28</v>
      </c>
      <c r="E309" s="105" t="s">
        <v>10</v>
      </c>
      <c r="F309" s="105"/>
      <c r="G309" s="5" t="s">
        <v>28</v>
      </c>
      <c r="H309" s="105" t="s">
        <v>11</v>
      </c>
      <c r="I309" s="105"/>
      <c r="J309" s="5" t="s">
        <v>28</v>
      </c>
    </row>
    <row r="311" spans="2:10">
      <c r="B311" s="7" t="s">
        <v>19</v>
      </c>
      <c r="D311" s="2">
        <f>VLOOKUP(D304,'Master of Pay'!$B$7:$AI$33,9,)</f>
        <v>24300</v>
      </c>
      <c r="E311" s="2" t="s">
        <v>21</v>
      </c>
      <c r="G311" s="2">
        <f>VLOOKUP(D304,'Master of Pay'!$B$7:$AI$33,21,)</f>
        <v>5000</v>
      </c>
      <c r="H311" s="2" t="s">
        <v>27</v>
      </c>
      <c r="J311" s="2">
        <f>VLOOKUP(D304,'Master of Pay'!$B$7:$AI$33,29,)</f>
        <v>0</v>
      </c>
    </row>
    <row r="312" spans="2:10">
      <c r="B312" s="7" t="s">
        <v>36</v>
      </c>
      <c r="D312" s="66">
        <f>VLOOKUP(D304,'Master of Pay'!$B$7:$AI$33,10,)</f>
        <v>6561</v>
      </c>
      <c r="E312" s="2" t="s">
        <v>22</v>
      </c>
      <c r="G312" s="2">
        <f>VLOOKUP(D304,'Master of Pay'!$B$7:$AI$33,22,)</f>
        <v>150</v>
      </c>
      <c r="H312" s="2" t="s">
        <v>172</v>
      </c>
      <c r="J312" s="2">
        <f>VLOOKUP(D304,'Master of Pay'!$B$7:$AI$33,30,)</f>
        <v>0</v>
      </c>
    </row>
    <row r="313" spans="2:10">
      <c r="B313" s="7" t="s">
        <v>13</v>
      </c>
      <c r="D313" s="65">
        <f>VLOOKUP(D304,'Master of Pay'!$B$7:$AI$33,11,)</f>
        <v>17472.671999999999</v>
      </c>
      <c r="E313" s="2" t="s">
        <v>23</v>
      </c>
      <c r="G313" s="2">
        <f>VLOOKUP(D304,'Master of Pay'!$B$7:$AI$33,23,)</f>
        <v>0</v>
      </c>
      <c r="H313" s="2" t="s">
        <v>111</v>
      </c>
      <c r="J313" s="2">
        <f>VLOOKUP(D304,'Master of Pay'!$B$7:$AI$33,31,)</f>
        <v>0</v>
      </c>
    </row>
    <row r="314" spans="2:10">
      <c r="B314" s="8" t="s">
        <v>14</v>
      </c>
      <c r="D314" s="2">
        <f>IF((D311*0.3)&gt;=12000,12000,D311*0.3)</f>
        <v>7290</v>
      </c>
      <c r="E314" s="2" t="s">
        <v>24</v>
      </c>
      <c r="G314" s="2">
        <f>VLOOKUP(D304,'Master of Pay'!$B$7:$AI$33,24,)</f>
        <v>60</v>
      </c>
      <c r="H314" s="2" t="s">
        <v>185</v>
      </c>
      <c r="J314" s="2">
        <f>VLOOKUP(D304,'Master of Pay'!$B$7:$AI$33,32,)</f>
        <v>396</v>
      </c>
    </row>
    <row r="315" spans="2:10">
      <c r="B315" s="8" t="s">
        <v>176</v>
      </c>
      <c r="D315" s="65">
        <f>VLOOKUP(D304,'Master of Pay'!$B$7:$AI$33,13,)</f>
        <v>650</v>
      </c>
      <c r="E315" s="2" t="s">
        <v>25</v>
      </c>
      <c r="G315" s="2">
        <f>VLOOKUP(D304,'Master of Pay'!$B$7:$AI$33,26,)</f>
        <v>0</v>
      </c>
      <c r="H315" s="2" t="s">
        <v>122</v>
      </c>
    </row>
    <row r="316" spans="2:10">
      <c r="B316" s="7" t="s">
        <v>17</v>
      </c>
      <c r="D316" s="65">
        <f>VLOOKUP(D304,'Master of Pay'!$B$7:$AI$33,14,)</f>
        <v>525</v>
      </c>
      <c r="E316" s="2" t="s">
        <v>26</v>
      </c>
      <c r="G316" s="2">
        <f>VLOOKUP(D304,'Master of Pay'!$B$7:$AI$33,25,)</f>
        <v>200</v>
      </c>
    </row>
    <row r="317" spans="2:10">
      <c r="B317" s="7" t="s">
        <v>43</v>
      </c>
      <c r="D317" s="65">
        <f>VLOOKUP(D304,'Master of Pay'!$B$7:$AI$33,15,)</f>
        <v>500</v>
      </c>
      <c r="E317" s="2" t="s">
        <v>20</v>
      </c>
      <c r="G317" s="2">
        <f>VLOOKUP(D304,'Master of Pay'!$B$7:$AI$33,27,)</f>
        <v>0</v>
      </c>
    </row>
    <row r="318" spans="2:10">
      <c r="B318" s="8" t="s">
        <v>44</v>
      </c>
      <c r="D318" s="65">
        <f>VLOOKUP(D304,'Master of Pay'!$B$7:$AI$33,16,)</f>
        <v>500</v>
      </c>
    </row>
    <row r="319" spans="2:10">
      <c r="B319" s="8" t="s">
        <v>45</v>
      </c>
      <c r="D319" s="65">
        <f>VLOOKUP(D304,'Master of Pay'!$B$7:$AI$33,17,)</f>
        <v>0</v>
      </c>
    </row>
    <row r="320" spans="2:10">
      <c r="B320" s="2" t="s">
        <v>46</v>
      </c>
      <c r="D320" s="65">
        <f>VLOOKUP(D304,'Master of Pay'!$B$7:$AI$33,18,)</f>
        <v>0</v>
      </c>
    </row>
    <row r="321" spans="1:10">
      <c r="B321" s="2" t="s">
        <v>20</v>
      </c>
      <c r="D321" s="65">
        <f>VLOOKUP(D304,'Master of Pay'!$B$7:$AI$33,19,)</f>
        <v>0</v>
      </c>
    </row>
    <row r="322" spans="1:10">
      <c r="B322" s="4" t="s">
        <v>29</v>
      </c>
      <c r="C322" s="6"/>
      <c r="D322" s="12">
        <f>SUM(D311:D321)</f>
        <v>57798.671999999999</v>
      </c>
      <c r="E322" s="4" t="s">
        <v>10</v>
      </c>
      <c r="F322" s="6"/>
      <c r="G322" s="4">
        <f>SUM(G311:G319)</f>
        <v>5410</v>
      </c>
      <c r="H322" s="4" t="s">
        <v>11</v>
      </c>
      <c r="I322" s="6"/>
      <c r="J322" s="4">
        <f>SUM(J311:J319)</f>
        <v>396</v>
      </c>
    </row>
    <row r="324" spans="1:10">
      <c r="B324" s="3" t="s">
        <v>30</v>
      </c>
      <c r="C324" s="3"/>
      <c r="D324" s="13">
        <f>D322-G322-J322</f>
        <v>51992.671999999999</v>
      </c>
    </row>
    <row r="327" spans="1:10" ht="18.75">
      <c r="A327" s="2">
        <v>13</v>
      </c>
      <c r="B327" s="101" t="s">
        <v>0</v>
      </c>
      <c r="C327" s="101"/>
      <c r="D327" s="101"/>
      <c r="E327" s="101"/>
      <c r="F327" s="101"/>
      <c r="G327" s="101"/>
      <c r="H327" s="101"/>
      <c r="I327" s="101"/>
      <c r="J327" s="101"/>
    </row>
    <row r="328" spans="1:10" ht="18.75">
      <c r="B328" s="101" t="s">
        <v>105</v>
      </c>
      <c r="C328" s="101"/>
      <c r="D328" s="101"/>
      <c r="E328" s="101"/>
      <c r="F328" s="101"/>
      <c r="G328" s="101"/>
      <c r="H328" s="101"/>
      <c r="I328" s="101"/>
      <c r="J328" s="101"/>
    </row>
    <row r="329" spans="1:10" ht="15.75">
      <c r="B329" s="104" t="s">
        <v>327</v>
      </c>
      <c r="C329" s="104"/>
      <c r="D329" s="104"/>
      <c r="E329" s="104"/>
      <c r="F329" s="104"/>
      <c r="G329" s="104"/>
      <c r="H329" s="104"/>
      <c r="I329" s="104"/>
      <c r="J329" s="104"/>
    </row>
    <row r="331" spans="1:10" ht="15.75">
      <c r="B331" s="9" t="s">
        <v>6</v>
      </c>
      <c r="D331" s="82" t="str">
        <f>'Master of Pay'!B19</f>
        <v>Code13</v>
      </c>
      <c r="H331" s="9" t="s">
        <v>7</v>
      </c>
      <c r="J331" s="82">
        <f>VLOOKUP(D331,'Master of Pay'!$B$7:$AI$33,5,)</f>
        <v>0</v>
      </c>
    </row>
    <row r="332" spans="1:10" ht="15.75">
      <c r="B332" s="9" t="s">
        <v>2</v>
      </c>
      <c r="D332" s="2" t="str">
        <f>VLOOKUP(D331,'Master of Pay'!$B$7:$AI$33,2,)</f>
        <v>Employee13</v>
      </c>
      <c r="H332" s="9" t="s">
        <v>3</v>
      </c>
      <c r="J332" s="82" t="str">
        <f>VLOOKUP(D331,'Master of Pay'!$B$7:$AI$33,6,)</f>
        <v>AAAAA1246A</v>
      </c>
    </row>
    <row r="333" spans="1:10" ht="15.75">
      <c r="B333" s="9" t="s">
        <v>1</v>
      </c>
      <c r="D333" s="2" t="str">
        <f>VLOOKUP(D331,'Master of Pay'!$B$7:$AI$33,3,)</f>
        <v>AMO(U)</v>
      </c>
      <c r="H333" s="9" t="s">
        <v>4</v>
      </c>
      <c r="J333" s="82" t="str">
        <f>VLOOKUP(D331,'Master of Pay'!$B$7:$AI$33,7,)</f>
        <v>L-1201996-A</v>
      </c>
    </row>
    <row r="334" spans="1:10" ht="15.75">
      <c r="B334" s="9" t="s">
        <v>5</v>
      </c>
      <c r="D334" s="2" t="str">
        <f>VLOOKUP(D331,'Master of Pay'!$B$7:$AI$33,4,)</f>
        <v>Bank 1123</v>
      </c>
      <c r="H334" s="9" t="s">
        <v>8</v>
      </c>
      <c r="J334" s="82" t="str">
        <f>VLOOKUP(D331,'Master of Pay'!$B$7:$AI$33,8,)</f>
        <v>18030-43630</v>
      </c>
    </row>
    <row r="336" spans="1:10" ht="15.75">
      <c r="B336" s="105" t="s">
        <v>9</v>
      </c>
      <c r="C336" s="105"/>
      <c r="D336" s="5" t="s">
        <v>28</v>
      </c>
      <c r="E336" s="105" t="s">
        <v>10</v>
      </c>
      <c r="F336" s="105"/>
      <c r="G336" s="5" t="s">
        <v>28</v>
      </c>
      <c r="H336" s="105" t="s">
        <v>11</v>
      </c>
      <c r="I336" s="105"/>
      <c r="J336" s="5" t="s">
        <v>28</v>
      </c>
    </row>
    <row r="338" spans="2:10">
      <c r="B338" s="7" t="s">
        <v>19</v>
      </c>
      <c r="D338" s="2">
        <f>VLOOKUP(D331,'Master of Pay'!$B$7:$AI$33,9,)</f>
        <v>42590</v>
      </c>
      <c r="E338" s="2" t="s">
        <v>21</v>
      </c>
      <c r="G338" s="2">
        <f>VLOOKUP(D331,'Master of Pay'!$B$7:$AI$33,21,)</f>
        <v>0</v>
      </c>
      <c r="H338" s="2" t="s">
        <v>27</v>
      </c>
      <c r="J338" s="2">
        <f>VLOOKUP(D331,'Master of Pay'!$B$7:$AI$33,29,)</f>
        <v>0</v>
      </c>
    </row>
    <row r="339" spans="2:10">
      <c r="B339" s="7" t="s">
        <v>36</v>
      </c>
      <c r="D339" s="66">
        <f>VLOOKUP(D331,'Master of Pay'!$B$7:$AI$33,10,)</f>
        <v>11499.300000000001</v>
      </c>
      <c r="E339" s="2" t="s">
        <v>22</v>
      </c>
      <c r="G339" s="2">
        <f>VLOOKUP(D331,'Master of Pay'!$B$7:$AI$33,22,)</f>
        <v>150</v>
      </c>
      <c r="H339" s="2" t="s">
        <v>172</v>
      </c>
      <c r="J339" s="2">
        <f>VLOOKUP(D331,'Master of Pay'!$B$7:$AI$33,30,)</f>
        <v>0</v>
      </c>
    </row>
    <row r="340" spans="2:10">
      <c r="B340" s="7" t="s">
        <v>13</v>
      </c>
      <c r="D340" s="65">
        <f>VLOOKUP(D331,'Master of Pay'!$B$7:$AI$33,11,)</f>
        <v>30623.9136</v>
      </c>
      <c r="E340" s="2" t="s">
        <v>23</v>
      </c>
      <c r="G340" s="2">
        <f>VLOOKUP(D331,'Master of Pay'!$B$7:$AI$33,23,)</f>
        <v>0</v>
      </c>
      <c r="H340" s="2" t="s">
        <v>111</v>
      </c>
      <c r="J340" s="2">
        <f>VLOOKUP(D331,'Master of Pay'!$B$7:$AI$33,31,)</f>
        <v>0</v>
      </c>
    </row>
    <row r="341" spans="2:10">
      <c r="B341" s="8" t="s">
        <v>14</v>
      </c>
      <c r="D341" s="2">
        <f>IF((D338*0.3)&gt;=12000,12000,D338*0.3)</f>
        <v>12000</v>
      </c>
      <c r="E341" s="2" t="s">
        <v>24</v>
      </c>
      <c r="G341" s="2">
        <f>VLOOKUP(D331,'Master of Pay'!$B$7:$AI$33,24,)</f>
        <v>120</v>
      </c>
      <c r="H341" s="2" t="s">
        <v>20</v>
      </c>
      <c r="J341" s="2">
        <f>VLOOKUP(D331,'Master of Pay'!$B$7:$AI$33,32,)</f>
        <v>0</v>
      </c>
    </row>
    <row r="342" spans="2:10">
      <c r="B342" s="8" t="s">
        <v>176</v>
      </c>
      <c r="D342" s="65">
        <f>VLOOKUP(D331,'Master of Pay'!$B$7:$AI$33,13,)</f>
        <v>1040</v>
      </c>
      <c r="E342" s="2" t="s">
        <v>25</v>
      </c>
      <c r="G342" s="2">
        <f>VLOOKUP(D331,'Master of Pay'!$B$7:$AI$33,26,)</f>
        <v>0</v>
      </c>
    </row>
    <row r="343" spans="2:10">
      <c r="B343" s="7" t="s">
        <v>17</v>
      </c>
      <c r="D343" s="65">
        <f>VLOOKUP(D331,'Master of Pay'!$B$7:$AI$33,14,)</f>
        <v>525</v>
      </c>
      <c r="E343" s="2" t="s">
        <v>26</v>
      </c>
      <c r="G343" s="2">
        <f>VLOOKUP(D331,'Master of Pay'!$B$7:$AI$33,25,)</f>
        <v>200</v>
      </c>
    </row>
    <row r="344" spans="2:10">
      <c r="B344" s="7" t="s">
        <v>43</v>
      </c>
      <c r="D344" s="65">
        <f>VLOOKUP(D331,'Master of Pay'!$B$7:$AI$33,15,)</f>
        <v>500</v>
      </c>
      <c r="E344" s="2" t="s">
        <v>20</v>
      </c>
      <c r="G344" s="2">
        <f>VLOOKUP(D331,'Master of Pay'!$B$7:$AI$33,27,)</f>
        <v>0</v>
      </c>
    </row>
    <row r="345" spans="2:10">
      <c r="B345" s="8" t="s">
        <v>44</v>
      </c>
      <c r="D345" s="65">
        <f>VLOOKUP(D331,'Master of Pay'!$B$7:$AI$33,16,)</f>
        <v>500</v>
      </c>
    </row>
    <row r="346" spans="2:10">
      <c r="B346" s="8" t="s">
        <v>45</v>
      </c>
      <c r="D346" s="65">
        <f>VLOOKUP(D331,'Master of Pay'!$B$7:$AI$33,17,)</f>
        <v>0</v>
      </c>
    </row>
    <row r="347" spans="2:10">
      <c r="B347" s="2" t="s">
        <v>46</v>
      </c>
      <c r="D347" s="65">
        <f>VLOOKUP(D331,'Master of Pay'!$B$7:$AI$33,18,)</f>
        <v>0</v>
      </c>
    </row>
    <row r="348" spans="2:10">
      <c r="B348" s="2" t="s">
        <v>20</v>
      </c>
      <c r="D348" s="65">
        <f>VLOOKUP(D331,'Master of Pay'!$B$7:$AI$33,19,)</f>
        <v>0</v>
      </c>
    </row>
    <row r="349" spans="2:10">
      <c r="B349" s="4" t="s">
        <v>29</v>
      </c>
      <c r="C349" s="6"/>
      <c r="D349" s="12">
        <f>SUM(D338:D348)</f>
        <v>99278.213600000003</v>
      </c>
      <c r="E349" s="4" t="s">
        <v>10</v>
      </c>
      <c r="F349" s="6"/>
      <c r="G349" s="4">
        <f>SUM(G338:G346)</f>
        <v>470</v>
      </c>
      <c r="H349" s="4" t="s">
        <v>11</v>
      </c>
      <c r="I349" s="6"/>
      <c r="J349" s="4">
        <f>SUM(J338:J346)</f>
        <v>0</v>
      </c>
    </row>
    <row r="351" spans="2:10">
      <c r="B351" s="3" t="s">
        <v>30</v>
      </c>
      <c r="C351" s="3"/>
      <c r="D351" s="13">
        <f>D349-G349-J349</f>
        <v>98808.213600000003</v>
      </c>
    </row>
    <row r="353" spans="1:10" ht="18.75">
      <c r="A353" s="2">
        <v>14</v>
      </c>
      <c r="B353" s="101" t="s">
        <v>0</v>
      </c>
      <c r="C353" s="101"/>
      <c r="D353" s="101"/>
      <c r="E353" s="101"/>
      <c r="F353" s="101"/>
      <c r="G353" s="101"/>
      <c r="H353" s="101"/>
      <c r="I353" s="101"/>
      <c r="J353" s="101"/>
    </row>
    <row r="354" spans="1:10" ht="18.75">
      <c r="B354" s="101" t="s">
        <v>105</v>
      </c>
      <c r="C354" s="101"/>
      <c r="D354" s="101"/>
      <c r="E354" s="101"/>
      <c r="F354" s="101"/>
      <c r="G354" s="101"/>
      <c r="H354" s="101"/>
      <c r="I354" s="101"/>
      <c r="J354" s="101"/>
    </row>
    <row r="355" spans="1:10" ht="15.75">
      <c r="B355" s="104" t="s">
        <v>327</v>
      </c>
      <c r="C355" s="104"/>
      <c r="D355" s="104"/>
      <c r="E355" s="104"/>
      <c r="F355" s="104"/>
      <c r="G355" s="104"/>
      <c r="H355" s="104"/>
      <c r="I355" s="104"/>
      <c r="J355" s="104"/>
    </row>
    <row r="357" spans="1:10" ht="15.75">
      <c r="B357" s="9" t="s">
        <v>6</v>
      </c>
      <c r="D357" s="82" t="str">
        <f>'Master of Pay'!B20</f>
        <v>Code14</v>
      </c>
      <c r="H357" s="9" t="s">
        <v>7</v>
      </c>
      <c r="J357" s="82" t="str">
        <f>VLOOKUP(D357,'Master of Pay'!$B$7:$AI$33,5,)</f>
        <v>8375/COOP</v>
      </c>
    </row>
    <row r="358" spans="1:10" ht="15.75">
      <c r="B358" s="9" t="s">
        <v>2</v>
      </c>
      <c r="D358" s="2" t="str">
        <f>VLOOKUP(D357,'Master of Pay'!$B$7:$AI$33,2,)</f>
        <v>Employee14</v>
      </c>
      <c r="H358" s="9" t="s">
        <v>3</v>
      </c>
      <c r="J358" s="82" t="str">
        <f>VLOOKUP(D357,'Master of Pay'!$B$7:$AI$33,6,)</f>
        <v>AAAAA1247A</v>
      </c>
    </row>
    <row r="359" spans="1:10" ht="15.75">
      <c r="B359" s="9" t="s">
        <v>1</v>
      </c>
      <c r="D359" s="2" t="str">
        <f>VLOOKUP(D357,'Master of Pay'!$B$7:$AI$33,3,)</f>
        <v>AS,KGBV</v>
      </c>
      <c r="H359" s="9" t="s">
        <v>4</v>
      </c>
      <c r="J359" s="82" t="str">
        <f>VLOOKUP(D357,'Master of Pay'!$B$7:$AI$33,7,)</f>
        <v>284449-ABC</v>
      </c>
    </row>
    <row r="360" spans="1:10" ht="15.75">
      <c r="B360" s="9" t="s">
        <v>5</v>
      </c>
      <c r="D360" s="2" t="str">
        <f>VLOOKUP(D357,'Master of Pay'!$B$7:$AI$33,4,)</f>
        <v>Bank 1124</v>
      </c>
      <c r="H360" s="9" t="s">
        <v>8</v>
      </c>
      <c r="J360" s="82">
        <f>VLOOKUP(D357,'Master of Pay'!$B$7:$AI$33,8,)</f>
        <v>0</v>
      </c>
    </row>
    <row r="362" spans="1:10" ht="15.75">
      <c r="B362" s="105" t="s">
        <v>9</v>
      </c>
      <c r="C362" s="105"/>
      <c r="D362" s="5" t="s">
        <v>28</v>
      </c>
      <c r="E362" s="105" t="s">
        <v>10</v>
      </c>
      <c r="F362" s="105"/>
      <c r="G362" s="5" t="s">
        <v>28</v>
      </c>
      <c r="H362" s="105" t="s">
        <v>11</v>
      </c>
      <c r="I362" s="105"/>
      <c r="J362" s="5" t="s">
        <v>28</v>
      </c>
    </row>
    <row r="364" spans="1:10">
      <c r="B364" s="7" t="s">
        <v>19</v>
      </c>
      <c r="D364" s="2">
        <f>VLOOKUP(D357,'Master of Pay'!$B$7:$AI$33,9,)</f>
        <v>24300</v>
      </c>
      <c r="E364" s="2" t="s">
        <v>21</v>
      </c>
      <c r="G364" s="2">
        <f>VLOOKUP(D357,'Master of Pay'!$B$7:$AI$33,21,)</f>
        <v>10000</v>
      </c>
      <c r="H364" s="2" t="s">
        <v>27</v>
      </c>
      <c r="J364" s="2">
        <f>VLOOKUP(D357,'Master of Pay'!$B$7:$AI$33,29,)</f>
        <v>0</v>
      </c>
    </row>
    <row r="365" spans="1:10">
      <c r="B365" s="7" t="s">
        <v>36</v>
      </c>
      <c r="D365" s="66">
        <f>VLOOKUP(D357,'Master of Pay'!$B$7:$AI$33,10,)</f>
        <v>6561</v>
      </c>
      <c r="E365" s="2" t="s">
        <v>22</v>
      </c>
      <c r="G365" s="2">
        <f>VLOOKUP(D357,'Master of Pay'!$B$7:$AI$33,22,)</f>
        <v>750</v>
      </c>
      <c r="H365" s="2" t="s">
        <v>172</v>
      </c>
      <c r="J365" s="2">
        <f>VLOOKUP(D357,'Master of Pay'!$B$7:$AI$33,30,)</f>
        <v>0</v>
      </c>
    </row>
    <row r="366" spans="1:10">
      <c r="B366" s="7" t="s">
        <v>13</v>
      </c>
      <c r="D366" s="65">
        <f>VLOOKUP(D357,'Master of Pay'!$B$7:$AI$33,11,)</f>
        <v>17472.671999999999</v>
      </c>
      <c r="E366" s="2" t="s">
        <v>23</v>
      </c>
      <c r="G366" s="2">
        <f>VLOOKUP(D357,'Master of Pay'!$B$7:$AI$33,23,)</f>
        <v>0</v>
      </c>
      <c r="H366" s="2" t="s">
        <v>111</v>
      </c>
      <c r="J366" s="2">
        <f>VLOOKUP(D357,'Master of Pay'!$B$7:$AI$33,31,)</f>
        <v>0</v>
      </c>
    </row>
    <row r="367" spans="1:10">
      <c r="B367" s="8" t="s">
        <v>14</v>
      </c>
      <c r="D367" s="2">
        <f>IF((D364*0.3)&gt;=12000,12000,D364*0.3)</f>
        <v>7290</v>
      </c>
      <c r="E367" s="2" t="s">
        <v>24</v>
      </c>
      <c r="G367" s="2">
        <f>VLOOKUP(D357,'Master of Pay'!$B$7:$AI$33,24,)</f>
        <v>120</v>
      </c>
      <c r="H367" s="2" t="s">
        <v>20</v>
      </c>
      <c r="J367" s="2">
        <f>VLOOKUP(D357,'Master of Pay'!$B$7:$AI$33,32,)</f>
        <v>0</v>
      </c>
    </row>
    <row r="368" spans="1:10">
      <c r="B368" s="8" t="s">
        <v>176</v>
      </c>
      <c r="D368" s="65">
        <f>VLOOKUP(D357,'Master of Pay'!$B$7:$AI$33,13,)</f>
        <v>610</v>
      </c>
      <c r="E368" s="2" t="s">
        <v>25</v>
      </c>
      <c r="G368" s="2">
        <f>VLOOKUP(D357,'Master of Pay'!$B$7:$AI$33,26,)</f>
        <v>0</v>
      </c>
    </row>
    <row r="369" spans="1:10">
      <c r="B369" s="7" t="s">
        <v>17</v>
      </c>
      <c r="D369" s="65">
        <f>VLOOKUP(D357,'Master of Pay'!$B$7:$AI$33,14,)</f>
        <v>525</v>
      </c>
      <c r="E369" s="2" t="s">
        <v>26</v>
      </c>
      <c r="G369" s="2">
        <f>VLOOKUP(D357,'Master of Pay'!$B$7:$AI$33,25,)</f>
        <v>200</v>
      </c>
    </row>
    <row r="370" spans="1:10">
      <c r="B370" s="7" t="s">
        <v>43</v>
      </c>
      <c r="D370" s="65">
        <f>VLOOKUP(D357,'Master of Pay'!$B$7:$AI$33,15,)</f>
        <v>500</v>
      </c>
      <c r="E370" s="2" t="s">
        <v>20</v>
      </c>
      <c r="G370" s="2">
        <f>VLOOKUP(D357,'Master of Pay'!$B$7:$AI$33,27,)</f>
        <v>0</v>
      </c>
    </row>
    <row r="371" spans="1:10">
      <c r="B371" s="8" t="s">
        <v>44</v>
      </c>
      <c r="D371" s="65">
        <f>VLOOKUP(D357,'Master of Pay'!$B$7:$AI$33,16,)</f>
        <v>500</v>
      </c>
    </row>
    <row r="372" spans="1:10">
      <c r="B372" s="8" t="s">
        <v>45</v>
      </c>
      <c r="D372" s="65">
        <f>VLOOKUP(D357,'Master of Pay'!$B$7:$AI$33,17,)</f>
        <v>30</v>
      </c>
    </row>
    <row r="373" spans="1:10">
      <c r="B373" s="2" t="s">
        <v>46</v>
      </c>
      <c r="D373" s="65">
        <f>VLOOKUP(D357,'Master of Pay'!$B$7:$AI$33,18,)</f>
        <v>0</v>
      </c>
    </row>
    <row r="374" spans="1:10">
      <c r="B374" s="2" t="s">
        <v>20</v>
      </c>
      <c r="D374" s="65">
        <f>VLOOKUP(D357,'Master of Pay'!$B$7:$AI$33,19,)</f>
        <v>0</v>
      </c>
    </row>
    <row r="375" spans="1:10">
      <c r="B375" s="4" t="s">
        <v>29</v>
      </c>
      <c r="C375" s="6"/>
      <c r="D375" s="12">
        <f>SUM(D364:D374)</f>
        <v>57788.671999999999</v>
      </c>
      <c r="E375" s="4" t="s">
        <v>10</v>
      </c>
      <c r="F375" s="6"/>
      <c r="G375" s="4">
        <f>SUM(G364:G372)</f>
        <v>11070</v>
      </c>
      <c r="H375" s="4" t="s">
        <v>11</v>
      </c>
      <c r="I375" s="6"/>
      <c r="J375" s="4">
        <f>SUM(J364:J372)</f>
        <v>0</v>
      </c>
    </row>
    <row r="377" spans="1:10">
      <c r="B377" s="3" t="s">
        <v>30</v>
      </c>
      <c r="C377" s="3"/>
      <c r="D377" s="13">
        <f>D375-G375-J375</f>
        <v>46718.671999999999</v>
      </c>
    </row>
    <row r="380" spans="1:10" ht="18.75">
      <c r="A380" s="2">
        <v>15</v>
      </c>
      <c r="B380" s="101" t="s">
        <v>0</v>
      </c>
      <c r="C380" s="101"/>
      <c r="D380" s="101"/>
      <c r="E380" s="101"/>
      <c r="F380" s="101"/>
      <c r="G380" s="101"/>
      <c r="H380" s="101"/>
      <c r="I380" s="101"/>
      <c r="J380" s="101"/>
    </row>
    <row r="381" spans="1:10" ht="18.75">
      <c r="B381" s="101" t="s">
        <v>105</v>
      </c>
      <c r="C381" s="101"/>
      <c r="D381" s="101"/>
      <c r="E381" s="101"/>
      <c r="F381" s="101"/>
      <c r="G381" s="101"/>
      <c r="H381" s="101"/>
      <c r="I381" s="101"/>
      <c r="J381" s="101"/>
    </row>
    <row r="382" spans="1:10" ht="15.75">
      <c r="B382" s="104" t="s">
        <v>327</v>
      </c>
      <c r="C382" s="104"/>
      <c r="D382" s="104"/>
      <c r="E382" s="104"/>
      <c r="F382" s="104"/>
      <c r="G382" s="104"/>
      <c r="H382" s="104"/>
      <c r="I382" s="104"/>
      <c r="J382" s="104"/>
    </row>
    <row r="384" spans="1:10" ht="15.75">
      <c r="B384" s="9" t="s">
        <v>6</v>
      </c>
      <c r="D384" s="82" t="str">
        <f>'Master of Pay'!B21</f>
        <v>Code15</v>
      </c>
      <c r="H384" s="9" t="s">
        <v>7</v>
      </c>
      <c r="J384" s="82" t="str">
        <f>VLOOKUP(D384,'Master of Pay'!$B$7:$AI$33,5,)</f>
        <v>73925/EDN</v>
      </c>
    </row>
    <row r="385" spans="2:10" ht="15.75">
      <c r="B385" s="9" t="s">
        <v>2</v>
      </c>
      <c r="D385" s="2" t="str">
        <f>VLOOKUP(D384,'Master of Pay'!$B$7:$AI$33,2,)</f>
        <v>Employee15</v>
      </c>
      <c r="H385" s="9" t="s">
        <v>3</v>
      </c>
      <c r="J385" s="82" t="str">
        <f>VLOOKUP(D384,'Master of Pay'!$B$7:$AI$33,6,)</f>
        <v>AAAAA1248A</v>
      </c>
    </row>
    <row r="386" spans="2:10" ht="15.75">
      <c r="B386" s="9" t="s">
        <v>1</v>
      </c>
      <c r="D386" s="2" t="str">
        <f>VLOOKUP(D384,'Master of Pay'!$B$7:$AI$33,3,)</f>
        <v>Dy SO</v>
      </c>
      <c r="H386" s="9" t="s">
        <v>4</v>
      </c>
      <c r="J386" s="82" t="str">
        <f>VLOOKUP(D384,'Master of Pay'!$B$7:$AI$33,7,)</f>
        <v>301041-A</v>
      </c>
    </row>
    <row r="387" spans="2:10" ht="15.75">
      <c r="B387" s="9" t="s">
        <v>5</v>
      </c>
      <c r="D387" s="2" t="str">
        <f>VLOOKUP(D384,'Master of Pay'!$B$7:$AI$33,4,)</f>
        <v>Bank 1125</v>
      </c>
      <c r="H387" s="9" t="s">
        <v>8</v>
      </c>
      <c r="J387" s="82" t="str">
        <f>VLOOKUP(D384,'Master of Pay'!$B$7:$AI$33,8,)</f>
        <v>14860-39540</v>
      </c>
    </row>
    <row r="389" spans="2:10" ht="15.75">
      <c r="B389" s="105" t="s">
        <v>9</v>
      </c>
      <c r="C389" s="105"/>
      <c r="D389" s="5" t="s">
        <v>28</v>
      </c>
      <c r="E389" s="105" t="s">
        <v>10</v>
      </c>
      <c r="F389" s="105"/>
      <c r="G389" s="5" t="s">
        <v>28</v>
      </c>
      <c r="H389" s="105" t="s">
        <v>11</v>
      </c>
      <c r="I389" s="105"/>
      <c r="J389" s="5" t="s">
        <v>28</v>
      </c>
    </row>
    <row r="391" spans="2:10">
      <c r="B391" s="7" t="s">
        <v>19</v>
      </c>
      <c r="D391" s="2">
        <f>VLOOKUP(D384,'Master of Pay'!$B$7:$AI$33,9,)</f>
        <v>23650</v>
      </c>
      <c r="E391" s="2" t="s">
        <v>21</v>
      </c>
      <c r="G391" s="2">
        <f>VLOOKUP(D384,'Master of Pay'!$B$7:$AI$33,21,)</f>
        <v>15000</v>
      </c>
      <c r="H391" s="2" t="s">
        <v>27</v>
      </c>
      <c r="J391" s="2">
        <f>VLOOKUP(D384,'Master of Pay'!$B$7:$AI$33,29,)</f>
        <v>0</v>
      </c>
    </row>
    <row r="392" spans="2:10">
      <c r="B392" s="7" t="s">
        <v>36</v>
      </c>
      <c r="D392" s="66">
        <f>VLOOKUP(D384,'Master of Pay'!$B$7:$AI$33,10,)</f>
        <v>6385.5</v>
      </c>
      <c r="E392" s="2" t="s">
        <v>22</v>
      </c>
      <c r="G392" s="2">
        <f>VLOOKUP(D384,'Master of Pay'!$B$7:$AI$33,22,)</f>
        <v>4350</v>
      </c>
      <c r="H392" s="2" t="s">
        <v>172</v>
      </c>
      <c r="J392" s="2">
        <f>VLOOKUP(D384,'Master of Pay'!$B$7:$AI$33,30,)</f>
        <v>0</v>
      </c>
    </row>
    <row r="393" spans="2:10">
      <c r="B393" s="7" t="s">
        <v>13</v>
      </c>
      <c r="D393" s="65">
        <f>VLOOKUP(D384,'Master of Pay'!$B$7:$AI$33,11,)</f>
        <v>17005.296000000002</v>
      </c>
      <c r="E393" s="2" t="s">
        <v>23</v>
      </c>
      <c r="G393" s="2">
        <f>VLOOKUP(D384,'Master of Pay'!$B$7:$AI$33,23,)</f>
        <v>0</v>
      </c>
      <c r="H393" s="2" t="s">
        <v>111</v>
      </c>
      <c r="J393" s="2">
        <f>VLOOKUP(D384,'Master of Pay'!$B$7:$AI$33,31,)</f>
        <v>0</v>
      </c>
    </row>
    <row r="394" spans="2:10">
      <c r="B394" s="8" t="s">
        <v>14</v>
      </c>
      <c r="D394" s="2">
        <f>IF((D391*0.3)&gt;=12000,12000,D391*0.3)</f>
        <v>7095</v>
      </c>
      <c r="E394" s="2" t="s">
        <v>24</v>
      </c>
      <c r="G394" s="2">
        <f>VLOOKUP(D384,'Master of Pay'!$B$7:$AI$33,24,)</f>
        <v>60</v>
      </c>
      <c r="H394" s="2" t="s">
        <v>20</v>
      </c>
      <c r="J394" s="2">
        <f>VLOOKUP(D384,'Master of Pay'!$B$7:$AI$33,32,)</f>
        <v>0</v>
      </c>
    </row>
    <row r="395" spans="2:10">
      <c r="B395" s="8" t="s">
        <v>176</v>
      </c>
      <c r="D395" s="65">
        <f>VLOOKUP(D384,'Master of Pay'!$B$7:$AI$33,13,)</f>
        <v>610</v>
      </c>
      <c r="E395" s="2" t="s">
        <v>25</v>
      </c>
      <c r="G395" s="2">
        <f>VLOOKUP(D384,'Master of Pay'!$B$7:$AI$33,26,)</f>
        <v>0</v>
      </c>
    </row>
    <row r="396" spans="2:10">
      <c r="B396" s="7" t="s">
        <v>17</v>
      </c>
      <c r="D396" s="65">
        <f>VLOOKUP(D384,'Master of Pay'!$B$7:$AI$33,14,)</f>
        <v>525</v>
      </c>
      <c r="E396" s="2" t="s">
        <v>26</v>
      </c>
      <c r="G396" s="2">
        <f>VLOOKUP(D384,'Master of Pay'!$B$7:$AI$33,25,)</f>
        <v>200</v>
      </c>
    </row>
    <row r="397" spans="2:10">
      <c r="B397" s="7" t="s">
        <v>43</v>
      </c>
      <c r="D397" s="65">
        <f>VLOOKUP(D384,'Master of Pay'!$B$7:$AI$33,15,)</f>
        <v>500</v>
      </c>
      <c r="E397" s="2" t="s">
        <v>20</v>
      </c>
      <c r="G397" s="2">
        <f>VLOOKUP(D384,'Master of Pay'!$B$7:$AI$33,27,)</f>
        <v>0</v>
      </c>
    </row>
    <row r="398" spans="2:10">
      <c r="B398" s="8" t="s">
        <v>44</v>
      </c>
      <c r="D398" s="65">
        <f>VLOOKUP(D384,'Master of Pay'!$B$7:$AI$33,16,)</f>
        <v>500</v>
      </c>
    </row>
    <row r="399" spans="2:10">
      <c r="B399" s="8" t="s">
        <v>45</v>
      </c>
      <c r="D399" s="65">
        <f>VLOOKUP(D384,'Master of Pay'!$B$7:$AI$33,17,)</f>
        <v>60</v>
      </c>
    </row>
    <row r="400" spans="2:10">
      <c r="B400" s="2" t="s">
        <v>46</v>
      </c>
      <c r="D400" s="65">
        <f>VLOOKUP(D384,'Master of Pay'!$B$7:$AI$33,18,)</f>
        <v>0</v>
      </c>
    </row>
    <row r="401" spans="1:10">
      <c r="B401" s="2" t="s">
        <v>20</v>
      </c>
      <c r="D401" s="65">
        <f>VLOOKUP(D384,'Master of Pay'!$B$7:$AI$33,19,)</f>
        <v>0</v>
      </c>
    </row>
    <row r="402" spans="1:10">
      <c r="B402" s="4" t="s">
        <v>29</v>
      </c>
      <c r="C402" s="6"/>
      <c r="D402" s="12">
        <f>SUM(D391:D401)</f>
        <v>56330.796000000002</v>
      </c>
      <c r="E402" s="4" t="s">
        <v>10</v>
      </c>
      <c r="F402" s="6"/>
      <c r="G402" s="4">
        <f>SUM(G391:G399)</f>
        <v>19610</v>
      </c>
      <c r="H402" s="4" t="s">
        <v>11</v>
      </c>
      <c r="I402" s="6"/>
      <c r="J402" s="4">
        <f>SUM(J391:J399)</f>
        <v>0</v>
      </c>
    </row>
    <row r="404" spans="1:10">
      <c r="B404" s="3" t="s">
        <v>30</v>
      </c>
      <c r="C404" s="3"/>
      <c r="D404" s="13">
        <f>D402-G402-J402</f>
        <v>36720.796000000002</v>
      </c>
    </row>
    <row r="406" spans="1:10" ht="18.75">
      <c r="A406" s="2">
        <v>16</v>
      </c>
      <c r="B406" s="101" t="s">
        <v>0</v>
      </c>
      <c r="C406" s="101"/>
      <c r="D406" s="101"/>
      <c r="E406" s="101"/>
      <c r="F406" s="101"/>
      <c r="G406" s="101"/>
      <c r="H406" s="101"/>
      <c r="I406" s="101"/>
      <c r="J406" s="101"/>
    </row>
    <row r="407" spans="1:10" ht="18.75">
      <c r="B407" s="101" t="s">
        <v>105</v>
      </c>
      <c r="C407" s="101"/>
      <c r="D407" s="101"/>
      <c r="E407" s="101"/>
      <c r="F407" s="101"/>
      <c r="G407" s="101"/>
      <c r="H407" s="101"/>
      <c r="I407" s="101"/>
      <c r="J407" s="101"/>
    </row>
    <row r="408" spans="1:10" ht="15.75">
      <c r="B408" s="104" t="s">
        <v>327</v>
      </c>
      <c r="C408" s="104"/>
      <c r="D408" s="104"/>
      <c r="E408" s="104"/>
      <c r="F408" s="104"/>
      <c r="G408" s="104"/>
      <c r="H408" s="104"/>
      <c r="I408" s="104"/>
      <c r="J408" s="104"/>
    </row>
    <row r="410" spans="1:10" ht="15.75">
      <c r="B410" s="9" t="s">
        <v>6</v>
      </c>
      <c r="D410" s="82" t="str">
        <f>'Master of Pay'!B22</f>
        <v>Code16</v>
      </c>
      <c r="H410" s="9" t="s">
        <v>7</v>
      </c>
      <c r="J410" s="82">
        <f>VLOOKUP(D410,'Master of Pay'!$B$7:$AI$33,5,)</f>
        <v>0</v>
      </c>
    </row>
    <row r="411" spans="1:10" ht="15.75">
      <c r="B411" s="9" t="s">
        <v>2</v>
      </c>
      <c r="D411" s="2" t="str">
        <f>VLOOKUP(D410,'Master of Pay'!$B$7:$AI$33,2,)</f>
        <v>Employee16</v>
      </c>
      <c r="H411" s="9" t="s">
        <v>3</v>
      </c>
      <c r="J411" s="82" t="str">
        <f>VLOOKUP(D410,'Master of Pay'!$B$7:$AI$33,6,)</f>
        <v>AAAAA1111A</v>
      </c>
    </row>
    <row r="412" spans="1:10" ht="15.75">
      <c r="B412" s="9" t="s">
        <v>1</v>
      </c>
      <c r="D412" s="2" t="str">
        <f>VLOOKUP(D410,'Master of Pay'!$B$7:$AI$33,3,)</f>
        <v>ASO</v>
      </c>
      <c r="H412" s="9" t="s">
        <v>4</v>
      </c>
      <c r="J412" s="82" t="str">
        <f>VLOOKUP(D410,'Master of Pay'!$B$7:$AI$33,7,)</f>
        <v>L-904895-A</v>
      </c>
    </row>
    <row r="413" spans="1:10" ht="15.75">
      <c r="B413" s="9" t="s">
        <v>5</v>
      </c>
      <c r="D413" s="2" t="str">
        <f>VLOOKUP(D410,'Master of Pay'!$B$7:$AI$33,4,)</f>
        <v>Bank 1126</v>
      </c>
      <c r="H413" s="9" t="s">
        <v>8</v>
      </c>
      <c r="J413" s="82" t="str">
        <f>VLOOKUP(D410,'Master of Pay'!$B$7:$AI$33,8,)</f>
        <v>11530-33200</v>
      </c>
    </row>
    <row r="415" spans="1:10" ht="15.75">
      <c r="B415" s="105" t="s">
        <v>9</v>
      </c>
      <c r="C415" s="105"/>
      <c r="D415" s="5" t="s">
        <v>28</v>
      </c>
      <c r="E415" s="105" t="s">
        <v>10</v>
      </c>
      <c r="F415" s="105"/>
      <c r="G415" s="5" t="s">
        <v>28</v>
      </c>
      <c r="H415" s="105" t="s">
        <v>11</v>
      </c>
      <c r="I415" s="105"/>
      <c r="J415" s="5" t="s">
        <v>28</v>
      </c>
    </row>
    <row r="417" spans="2:10">
      <c r="B417" s="7" t="s">
        <v>19</v>
      </c>
      <c r="D417" s="2">
        <f>VLOOKUP(D410,'Master of Pay'!$B$7:$AI$33,9,)</f>
        <v>16600</v>
      </c>
      <c r="E417" s="2" t="s">
        <v>21</v>
      </c>
      <c r="G417" s="2">
        <f>VLOOKUP(D410,'Master of Pay'!$B$7:$AI$33,21,)</f>
        <v>0</v>
      </c>
      <c r="H417" s="2" t="s">
        <v>27</v>
      </c>
      <c r="J417" s="2">
        <f>VLOOKUP(D410,'Master of Pay'!$B$7:$AI$33,29,)</f>
        <v>0</v>
      </c>
    </row>
    <row r="418" spans="2:10">
      <c r="B418" s="7" t="s">
        <v>36</v>
      </c>
      <c r="D418" s="66">
        <f>VLOOKUP(D410,'Master of Pay'!$B$7:$AI$33,10,)</f>
        <v>4482</v>
      </c>
      <c r="E418" s="2" t="s">
        <v>22</v>
      </c>
      <c r="G418" s="2">
        <f>VLOOKUP(D410,'Master of Pay'!$B$7:$AI$33,22,)</f>
        <v>200</v>
      </c>
      <c r="H418" s="2" t="s">
        <v>172</v>
      </c>
      <c r="J418" s="2">
        <f>VLOOKUP(D410,'Master of Pay'!$B$7:$AI$33,30,)</f>
        <v>0</v>
      </c>
    </row>
    <row r="419" spans="2:10">
      <c r="B419" s="7" t="s">
        <v>13</v>
      </c>
      <c r="D419" s="65">
        <f>VLOOKUP(D410,'Master of Pay'!$B$7:$AI$33,11,)</f>
        <v>11936.064</v>
      </c>
      <c r="E419" s="2" t="s">
        <v>23</v>
      </c>
      <c r="G419" s="2">
        <f>VLOOKUP(D410,'Master of Pay'!$B$7:$AI$33,23,)</f>
        <v>0</v>
      </c>
      <c r="H419" s="2" t="s">
        <v>111</v>
      </c>
      <c r="J419" s="2">
        <f>VLOOKUP(D410,'Master of Pay'!$B$7:$AI$33,31,)</f>
        <v>0</v>
      </c>
    </row>
    <row r="420" spans="2:10">
      <c r="B420" s="8" t="s">
        <v>14</v>
      </c>
      <c r="D420" s="2">
        <f>IF((D417*0.3)&gt;=12000,12000,D417*0.3)</f>
        <v>4980</v>
      </c>
      <c r="E420" s="2" t="s">
        <v>24</v>
      </c>
      <c r="G420" s="2">
        <f>VLOOKUP(D410,'Master of Pay'!$B$7:$AI$33,24,)</f>
        <v>30</v>
      </c>
      <c r="H420" s="2" t="s">
        <v>20</v>
      </c>
      <c r="J420" s="2">
        <f>VLOOKUP(D410,'Master of Pay'!$B$7:$AI$33,32,)</f>
        <v>0</v>
      </c>
    </row>
    <row r="421" spans="2:10">
      <c r="B421" s="8" t="s">
        <v>176</v>
      </c>
      <c r="D421" s="65">
        <f>VLOOKUP(D410,'Master of Pay'!$B$7:$AI$33,13,)</f>
        <v>450</v>
      </c>
      <c r="E421" s="2" t="s">
        <v>25</v>
      </c>
      <c r="G421" s="2">
        <f>VLOOKUP(D410,'Master of Pay'!$B$7:$AI$33,26,)</f>
        <v>0</v>
      </c>
    </row>
    <row r="422" spans="2:10">
      <c r="B422" s="7" t="s">
        <v>17</v>
      </c>
      <c r="D422" s="65">
        <f>VLOOKUP(D410,'Master of Pay'!$B$7:$AI$33,14,)</f>
        <v>350</v>
      </c>
      <c r="E422" s="2" t="s">
        <v>26</v>
      </c>
      <c r="G422" s="2">
        <f>VLOOKUP(D410,'Master of Pay'!$B$7:$AI$33,25,)</f>
        <v>200</v>
      </c>
    </row>
    <row r="423" spans="2:10">
      <c r="B423" s="7" t="s">
        <v>43</v>
      </c>
      <c r="D423" s="65">
        <f>VLOOKUP(D410,'Master of Pay'!$B$7:$AI$33,15,)</f>
        <v>500</v>
      </c>
      <c r="E423" s="2" t="s">
        <v>20</v>
      </c>
      <c r="G423" s="2">
        <f>VLOOKUP(D410,'Master of Pay'!$B$7:$AI$33,27,)</f>
        <v>0</v>
      </c>
    </row>
    <row r="424" spans="2:10">
      <c r="B424" s="8" t="s">
        <v>44</v>
      </c>
      <c r="D424" s="65">
        <f>VLOOKUP(D410,'Master of Pay'!$B$7:$AI$33,16,)</f>
        <v>500</v>
      </c>
    </row>
    <row r="425" spans="2:10">
      <c r="B425" s="8" t="s">
        <v>45</v>
      </c>
      <c r="D425" s="65">
        <f>VLOOKUP(D410,'Master of Pay'!$B$7:$AI$33,17,)</f>
        <v>0</v>
      </c>
    </row>
    <row r="426" spans="2:10">
      <c r="B426" s="2" t="s">
        <v>46</v>
      </c>
      <c r="D426" s="65">
        <f>VLOOKUP(D410,'Master of Pay'!$B$7:$AI$33,18,)</f>
        <v>0</v>
      </c>
    </row>
    <row r="427" spans="2:10">
      <c r="B427" s="2" t="s">
        <v>20</v>
      </c>
      <c r="D427" s="65">
        <f>VLOOKUP(D410,'Master of Pay'!$B$7:$AI$33,19,)</f>
        <v>0</v>
      </c>
    </row>
    <row r="428" spans="2:10">
      <c r="B428" s="4" t="s">
        <v>29</v>
      </c>
      <c r="C428" s="6"/>
      <c r="D428" s="12">
        <f>SUM(D417:D427)</f>
        <v>39798.063999999998</v>
      </c>
      <c r="E428" s="4" t="s">
        <v>10</v>
      </c>
      <c r="F428" s="6"/>
      <c r="G428" s="4">
        <f>SUM(G417:G425)</f>
        <v>430</v>
      </c>
      <c r="H428" s="4" t="s">
        <v>11</v>
      </c>
      <c r="I428" s="6"/>
      <c r="J428" s="4">
        <f>SUM(J417:J425)</f>
        <v>0</v>
      </c>
    </row>
    <row r="430" spans="2:10">
      <c r="B430" s="3" t="s">
        <v>30</v>
      </c>
      <c r="C430" s="3"/>
      <c r="D430" s="13">
        <f>D428-G428-J428</f>
        <v>39368.063999999998</v>
      </c>
    </row>
    <row r="433" spans="1:10" ht="18.75">
      <c r="A433" s="2">
        <v>17</v>
      </c>
      <c r="B433" s="101" t="s">
        <v>0</v>
      </c>
      <c r="C433" s="101"/>
      <c r="D433" s="101"/>
      <c r="E433" s="101"/>
      <c r="F433" s="101"/>
      <c r="G433" s="101"/>
      <c r="H433" s="101"/>
      <c r="I433" s="101"/>
      <c r="J433" s="101"/>
    </row>
    <row r="434" spans="1:10" ht="18.75">
      <c r="B434" s="101" t="s">
        <v>105</v>
      </c>
      <c r="C434" s="101"/>
      <c r="D434" s="101"/>
      <c r="E434" s="101"/>
      <c r="F434" s="101"/>
      <c r="G434" s="101"/>
      <c r="H434" s="101"/>
      <c r="I434" s="101"/>
      <c r="J434" s="101"/>
    </row>
    <row r="435" spans="1:10" ht="15.75">
      <c r="B435" s="104" t="s">
        <v>327</v>
      </c>
      <c r="C435" s="104"/>
      <c r="D435" s="104"/>
      <c r="E435" s="104"/>
      <c r="F435" s="104"/>
      <c r="G435" s="104"/>
      <c r="H435" s="104"/>
      <c r="I435" s="104"/>
      <c r="J435" s="104"/>
    </row>
    <row r="437" spans="1:10" ht="15.75">
      <c r="B437" s="9" t="s">
        <v>6</v>
      </c>
      <c r="D437" s="82" t="str">
        <f>'Master of Pay'!B23</f>
        <v>Code17</v>
      </c>
      <c r="H437" s="9" t="s">
        <v>7</v>
      </c>
      <c r="J437" s="82" t="str">
        <f>VLOOKUP(D437,'Master of Pay'!$B$7:$AI$33,5,)</f>
        <v>75808/EDN</v>
      </c>
    </row>
    <row r="438" spans="1:10" ht="15.75">
      <c r="B438" s="9" t="s">
        <v>2</v>
      </c>
      <c r="D438" s="2" t="str">
        <f>VLOOKUP(D437,'Master of Pay'!$B$7:$AI$33,2,)</f>
        <v>Employee17</v>
      </c>
      <c r="H438" s="9" t="s">
        <v>3</v>
      </c>
      <c r="J438" s="82" t="str">
        <f>VLOOKUP(D437,'Master of Pay'!$B$7:$AI$33,6,)</f>
        <v>AAAAA1112A</v>
      </c>
    </row>
    <row r="439" spans="1:10" ht="15.75">
      <c r="B439" s="9" t="s">
        <v>1</v>
      </c>
      <c r="D439" s="2" t="str">
        <f>VLOOKUP(D437,'Master of Pay'!$B$7:$AI$33,3,)</f>
        <v>Superintendent</v>
      </c>
      <c r="H439" s="9" t="s">
        <v>4</v>
      </c>
      <c r="J439" s="82" t="str">
        <f>VLOOKUP(D437,'Master of Pay'!$B$7:$AI$33,7,)</f>
        <v>649756-AB</v>
      </c>
    </row>
    <row r="440" spans="1:10" ht="15.75">
      <c r="B440" s="9" t="s">
        <v>5</v>
      </c>
      <c r="D440" s="2" t="str">
        <f>VLOOKUP(D437,'Master of Pay'!$B$7:$AI$33,4,)</f>
        <v>Bank 1127</v>
      </c>
      <c r="H440" s="9" t="s">
        <v>8</v>
      </c>
      <c r="J440" s="82" t="str">
        <f>VLOOKUP(D437,'Master of Pay'!$B$7:$AI$33,8,)</f>
        <v>14860-39540</v>
      </c>
    </row>
    <row r="442" spans="1:10" ht="15.75">
      <c r="B442" s="105" t="s">
        <v>9</v>
      </c>
      <c r="C442" s="105"/>
      <c r="D442" s="5" t="s">
        <v>28</v>
      </c>
      <c r="E442" s="105" t="s">
        <v>10</v>
      </c>
      <c r="F442" s="105"/>
      <c r="G442" s="5" t="s">
        <v>28</v>
      </c>
      <c r="H442" s="105" t="s">
        <v>11</v>
      </c>
      <c r="I442" s="105"/>
      <c r="J442" s="5" t="s">
        <v>28</v>
      </c>
    </row>
    <row r="444" spans="1:10">
      <c r="B444" s="7" t="s">
        <v>19</v>
      </c>
      <c r="D444" s="2">
        <f>VLOOKUP(D437,'Master of Pay'!$B$7:$AI$33,9,)</f>
        <v>21250</v>
      </c>
      <c r="E444" s="2" t="s">
        <v>21</v>
      </c>
      <c r="G444" s="2">
        <f>VLOOKUP(D437,'Master of Pay'!$B$7:$AI$33,21,)</f>
        <v>5000</v>
      </c>
      <c r="H444" s="2" t="s">
        <v>27</v>
      </c>
      <c r="J444" s="2">
        <f>VLOOKUP(D437,'Master of Pay'!$B$7:$AI$33,29,)</f>
        <v>0</v>
      </c>
    </row>
    <row r="445" spans="1:10">
      <c r="B445" s="7" t="s">
        <v>36</v>
      </c>
      <c r="D445" s="66">
        <f>VLOOKUP(D437,'Master of Pay'!$B$7:$AI$33,10,)</f>
        <v>5737.5</v>
      </c>
      <c r="E445" s="2" t="s">
        <v>22</v>
      </c>
      <c r="G445" s="2">
        <f>VLOOKUP(D437,'Master of Pay'!$B$7:$AI$33,22,)</f>
        <v>750</v>
      </c>
      <c r="H445" s="2" t="s">
        <v>172</v>
      </c>
      <c r="J445" s="2">
        <f>VLOOKUP(D437,'Master of Pay'!$B$7:$AI$33,30,)</f>
        <v>0</v>
      </c>
    </row>
    <row r="446" spans="1:10">
      <c r="B446" s="7" t="s">
        <v>13</v>
      </c>
      <c r="D446" s="65">
        <f>VLOOKUP(D437,'Master of Pay'!$B$7:$AI$33,11,)</f>
        <v>15279.6</v>
      </c>
      <c r="E446" s="2" t="s">
        <v>23</v>
      </c>
      <c r="G446" s="2">
        <f>VLOOKUP(D437,'Master of Pay'!$B$7:$AI$33,23,)</f>
        <v>0</v>
      </c>
      <c r="H446" s="2" t="s">
        <v>111</v>
      </c>
      <c r="J446" s="2">
        <f>VLOOKUP(D437,'Master of Pay'!$B$7:$AI$33,31,)</f>
        <v>0</v>
      </c>
    </row>
    <row r="447" spans="1:10">
      <c r="B447" s="8" t="s">
        <v>14</v>
      </c>
      <c r="D447" s="2">
        <f>IF((D444*0.3)&gt;=12000,12000,D444*0.3)</f>
        <v>6375</v>
      </c>
      <c r="E447" s="2" t="s">
        <v>24</v>
      </c>
      <c r="G447" s="2">
        <f>VLOOKUP(D437,'Master of Pay'!$B$7:$AI$33,24,)</f>
        <v>60</v>
      </c>
      <c r="H447" s="2" t="s">
        <v>20</v>
      </c>
      <c r="J447" s="2">
        <f>VLOOKUP(D437,'Master of Pay'!$B$7:$AI$33,32,)</f>
        <v>0</v>
      </c>
    </row>
    <row r="448" spans="1:10">
      <c r="B448" s="8" t="s">
        <v>176</v>
      </c>
      <c r="D448" s="65">
        <f>VLOOKUP(D437,'Master of Pay'!$B$7:$AI$33,13,)</f>
        <v>570</v>
      </c>
      <c r="E448" s="2" t="s">
        <v>25</v>
      </c>
      <c r="G448" s="2">
        <f>VLOOKUP(D437,'Master of Pay'!$B$7:$AI$33,26,)</f>
        <v>0</v>
      </c>
    </row>
    <row r="449" spans="1:10">
      <c r="B449" s="7" t="s">
        <v>17</v>
      </c>
      <c r="D449" s="65">
        <f>VLOOKUP(D437,'Master of Pay'!$B$7:$AI$33,14,)</f>
        <v>525</v>
      </c>
      <c r="E449" s="2" t="s">
        <v>26</v>
      </c>
      <c r="G449" s="2">
        <f>VLOOKUP(D437,'Master of Pay'!$B$7:$AI$33,25,)</f>
        <v>200</v>
      </c>
    </row>
    <row r="450" spans="1:10">
      <c r="B450" s="7" t="s">
        <v>43</v>
      </c>
      <c r="D450" s="65">
        <f>VLOOKUP(D437,'Master of Pay'!$B$7:$AI$33,15,)</f>
        <v>500</v>
      </c>
      <c r="E450" s="2" t="s">
        <v>20</v>
      </c>
      <c r="G450" s="2">
        <f>VLOOKUP(D437,'Master of Pay'!$B$7:$AI$33,27,)</f>
        <v>0</v>
      </c>
    </row>
    <row r="451" spans="1:10">
      <c r="B451" s="8" t="s">
        <v>44</v>
      </c>
      <c r="D451" s="65">
        <f>VLOOKUP(D437,'Master of Pay'!$B$7:$AI$33,16,)</f>
        <v>500</v>
      </c>
    </row>
    <row r="452" spans="1:10">
      <c r="B452" s="8" t="s">
        <v>45</v>
      </c>
      <c r="D452" s="65">
        <f>VLOOKUP(D437,'Master of Pay'!$B$7:$AI$33,17,)</f>
        <v>50</v>
      </c>
    </row>
    <row r="453" spans="1:10">
      <c r="B453" s="2" t="s">
        <v>46</v>
      </c>
      <c r="D453" s="65">
        <f>VLOOKUP(D437,'Master of Pay'!$B$7:$AI$33,18,)</f>
        <v>0</v>
      </c>
    </row>
    <row r="454" spans="1:10">
      <c r="B454" s="2" t="s">
        <v>20</v>
      </c>
      <c r="D454" s="65">
        <f>VLOOKUP(D437,'Master of Pay'!$B$7:$AI$33,19,)</f>
        <v>0</v>
      </c>
    </row>
    <row r="455" spans="1:10">
      <c r="B455" s="4" t="s">
        <v>29</v>
      </c>
      <c r="C455" s="6"/>
      <c r="D455" s="12">
        <f>SUM(D444:D454)</f>
        <v>50787.1</v>
      </c>
      <c r="E455" s="4" t="s">
        <v>10</v>
      </c>
      <c r="F455" s="6"/>
      <c r="G455" s="4">
        <f>SUM(G444:G452)</f>
        <v>6010</v>
      </c>
      <c r="H455" s="4" t="s">
        <v>11</v>
      </c>
      <c r="I455" s="6"/>
      <c r="J455" s="4">
        <f>SUM(J444:J452)</f>
        <v>0</v>
      </c>
    </row>
    <row r="457" spans="1:10">
      <c r="B457" s="3" t="s">
        <v>30</v>
      </c>
      <c r="C457" s="3"/>
      <c r="D457" s="13">
        <f>D455-G455-J455</f>
        <v>44777.1</v>
      </c>
    </row>
    <row r="459" spans="1:10" ht="18.75">
      <c r="A459" s="2">
        <v>18</v>
      </c>
      <c r="B459" s="101" t="s">
        <v>0</v>
      </c>
      <c r="C459" s="101"/>
      <c r="D459" s="101"/>
      <c r="E459" s="101"/>
      <c r="F459" s="101"/>
      <c r="G459" s="101"/>
      <c r="H459" s="101"/>
      <c r="I459" s="101"/>
      <c r="J459" s="101"/>
    </row>
    <row r="460" spans="1:10" ht="18.75">
      <c r="B460" s="101" t="s">
        <v>105</v>
      </c>
      <c r="C460" s="101"/>
      <c r="D460" s="101"/>
      <c r="E460" s="101"/>
      <c r="F460" s="101"/>
      <c r="G460" s="101"/>
      <c r="H460" s="101"/>
      <c r="I460" s="101"/>
      <c r="J460" s="101"/>
    </row>
    <row r="461" spans="1:10" ht="15.75">
      <c r="B461" s="104" t="s">
        <v>327</v>
      </c>
      <c r="C461" s="104"/>
      <c r="D461" s="104"/>
      <c r="E461" s="104"/>
      <c r="F461" s="104"/>
      <c r="G461" s="104"/>
      <c r="H461" s="104"/>
      <c r="I461" s="104"/>
      <c r="J461" s="104"/>
    </row>
    <row r="463" spans="1:10" ht="15.75">
      <c r="B463" s="9" t="s">
        <v>6</v>
      </c>
      <c r="D463" s="82" t="str">
        <f>'Master of Pay'!B24</f>
        <v>Code18</v>
      </c>
      <c r="H463" s="9" t="s">
        <v>7</v>
      </c>
      <c r="J463" s="82" t="str">
        <f>VLOOKUP(D463,'Master of Pay'!$B$7:$AI$33,5,)</f>
        <v>60757/EDN</v>
      </c>
    </row>
    <row r="464" spans="1:10" ht="15.75">
      <c r="B464" s="9" t="s">
        <v>2</v>
      </c>
      <c r="D464" s="2" t="str">
        <f>VLOOKUP(D463,'Master of Pay'!$B$7:$AI$33,2,)</f>
        <v>Employee18</v>
      </c>
      <c r="H464" s="9" t="s">
        <v>3</v>
      </c>
      <c r="J464" s="82" t="str">
        <f>VLOOKUP(D463,'Master of Pay'!$B$7:$AI$33,6,)</f>
        <v>AAAAA1113A</v>
      </c>
    </row>
    <row r="465" spans="2:10" ht="15.75">
      <c r="B465" s="9" t="s">
        <v>1</v>
      </c>
      <c r="D465" s="2" t="str">
        <f>VLOOKUP(D463,'Master of Pay'!$B$7:$AI$33,3,)</f>
        <v>Superintendent</v>
      </c>
      <c r="H465" s="9" t="s">
        <v>4</v>
      </c>
      <c r="J465" s="82" t="str">
        <f>VLOOKUP(D463,'Master of Pay'!$B$7:$AI$33,7,)</f>
        <v>256334-AB</v>
      </c>
    </row>
    <row r="466" spans="2:10" ht="15.75">
      <c r="B466" s="9" t="s">
        <v>5</v>
      </c>
      <c r="D466" s="2" t="str">
        <f>VLOOKUP(D463,'Master of Pay'!$B$7:$AI$33,4,)</f>
        <v>Bank 1128</v>
      </c>
      <c r="H466" s="9" t="s">
        <v>8</v>
      </c>
      <c r="J466" s="82" t="str">
        <f>VLOOKUP(D463,'Master of Pay'!$B$7:$AI$33,8,)</f>
        <v>14860-39540</v>
      </c>
    </row>
    <row r="468" spans="2:10" ht="15.75">
      <c r="B468" s="105" t="s">
        <v>9</v>
      </c>
      <c r="C468" s="105"/>
      <c r="D468" s="5" t="s">
        <v>28</v>
      </c>
      <c r="E468" s="105" t="s">
        <v>10</v>
      </c>
      <c r="F468" s="105"/>
      <c r="G468" s="5" t="s">
        <v>28</v>
      </c>
      <c r="H468" s="105" t="s">
        <v>11</v>
      </c>
      <c r="I468" s="105"/>
      <c r="J468" s="5" t="s">
        <v>28</v>
      </c>
    </row>
    <row r="470" spans="2:10">
      <c r="B470" s="7" t="s">
        <v>19</v>
      </c>
      <c r="D470" s="2">
        <f>VLOOKUP(D463,'Master of Pay'!$B$7:$AI$33,9,)</f>
        <v>25600</v>
      </c>
      <c r="E470" s="2" t="s">
        <v>21</v>
      </c>
      <c r="G470" s="2">
        <f>VLOOKUP(D463,'Master of Pay'!$B$7:$AI$33,21,)</f>
        <v>7000</v>
      </c>
      <c r="H470" s="2" t="s">
        <v>27</v>
      </c>
      <c r="J470" s="2">
        <f>VLOOKUP(D463,'Master of Pay'!$B$7:$AI$33,29,)</f>
        <v>0</v>
      </c>
    </row>
    <row r="471" spans="2:10">
      <c r="B471" s="7" t="s">
        <v>36</v>
      </c>
      <c r="D471" s="66">
        <f>VLOOKUP(D463,'Master of Pay'!$B$7:$AI$33,10,)</f>
        <v>6912</v>
      </c>
      <c r="E471" s="2" t="s">
        <v>22</v>
      </c>
      <c r="G471" s="2">
        <f>VLOOKUP(D463,'Master of Pay'!$B$7:$AI$33,22,)</f>
        <v>100</v>
      </c>
      <c r="H471" s="2" t="s">
        <v>177</v>
      </c>
      <c r="J471" s="2">
        <f>VLOOKUP(D463,'Master of Pay'!$B$7:$AI$33,30,)</f>
        <v>1200</v>
      </c>
    </row>
    <row r="472" spans="2:10">
      <c r="B472" s="7" t="s">
        <v>13</v>
      </c>
      <c r="D472" s="65">
        <f>VLOOKUP(D463,'Master of Pay'!$B$7:$AI$33,11,)</f>
        <v>18407.423999999999</v>
      </c>
      <c r="E472" s="2" t="s">
        <v>23</v>
      </c>
      <c r="G472" s="2">
        <f>VLOOKUP(D463,'Master of Pay'!$B$7:$AI$33,23,)</f>
        <v>2000</v>
      </c>
      <c r="H472" s="2" t="s">
        <v>111</v>
      </c>
      <c r="J472" s="2">
        <f>VLOOKUP(D463,'Master of Pay'!$B$7:$AI$33,31,)</f>
        <v>0</v>
      </c>
    </row>
    <row r="473" spans="2:10">
      <c r="B473" s="8" t="s">
        <v>14</v>
      </c>
      <c r="D473" s="2">
        <f>IF((D470*0.3)&gt;=12000,12000,D470*0.3)</f>
        <v>7680</v>
      </c>
      <c r="E473" s="2" t="s">
        <v>24</v>
      </c>
      <c r="G473" s="2">
        <f>VLOOKUP(D463,'Master of Pay'!$B$7:$AI$33,24,)</f>
        <v>60</v>
      </c>
      <c r="H473" s="2" t="s">
        <v>20</v>
      </c>
      <c r="J473" s="2">
        <f>VLOOKUP(D463,'Master of Pay'!$B$7:$AI$33,32,)</f>
        <v>0</v>
      </c>
    </row>
    <row r="474" spans="2:10">
      <c r="B474" s="8" t="s">
        <v>176</v>
      </c>
      <c r="D474" s="65">
        <f>VLOOKUP(D463,'Master of Pay'!$B$7:$AI$33,13,)</f>
        <v>650</v>
      </c>
      <c r="E474" s="2" t="s">
        <v>25</v>
      </c>
      <c r="G474" s="2">
        <f>VLOOKUP(D463,'Master of Pay'!$B$7:$AI$33,26,)</f>
        <v>0</v>
      </c>
    </row>
    <row r="475" spans="2:10">
      <c r="B475" s="7" t="s">
        <v>17</v>
      </c>
      <c r="D475" s="65">
        <f>VLOOKUP(D463,'Master of Pay'!$B$7:$AI$33,14,)</f>
        <v>525</v>
      </c>
      <c r="E475" s="2" t="s">
        <v>26</v>
      </c>
      <c r="G475" s="2">
        <f>VLOOKUP(D463,'Master of Pay'!$B$7:$AI$33,25,)</f>
        <v>200</v>
      </c>
    </row>
    <row r="476" spans="2:10">
      <c r="B476" s="7" t="s">
        <v>43</v>
      </c>
      <c r="D476" s="65">
        <f>VLOOKUP(D463,'Master of Pay'!$B$7:$AI$33,15,)</f>
        <v>500</v>
      </c>
      <c r="E476" s="2" t="s">
        <v>20</v>
      </c>
      <c r="G476" s="2">
        <f>VLOOKUP(D463,'Master of Pay'!$B$7:$AI$33,27,)</f>
        <v>0</v>
      </c>
    </row>
    <row r="477" spans="2:10">
      <c r="B477" s="8" t="s">
        <v>44</v>
      </c>
      <c r="D477" s="65">
        <f>VLOOKUP(D463,'Master of Pay'!$B$7:$AI$33,16,)</f>
        <v>500</v>
      </c>
    </row>
    <row r="478" spans="2:10">
      <c r="B478" s="8" t="s">
        <v>45</v>
      </c>
      <c r="D478" s="65">
        <f>VLOOKUP(D463,'Master of Pay'!$B$7:$AI$33,17,)</f>
        <v>30</v>
      </c>
    </row>
    <row r="479" spans="2:10">
      <c r="B479" s="2" t="s">
        <v>46</v>
      </c>
      <c r="D479" s="65">
        <f>VLOOKUP(D463,'Master of Pay'!$B$7:$AI$33,18,)</f>
        <v>0</v>
      </c>
    </row>
    <row r="480" spans="2:10">
      <c r="B480" s="2" t="s">
        <v>20</v>
      </c>
      <c r="D480" s="65">
        <f>VLOOKUP(D463,'Master of Pay'!$B$7:$AI$33,19,)</f>
        <v>0</v>
      </c>
    </row>
    <row r="481" spans="1:10">
      <c r="B481" s="4" t="s">
        <v>29</v>
      </c>
      <c r="C481" s="6"/>
      <c r="D481" s="12">
        <f>SUM(D470:D480)</f>
        <v>60804.423999999999</v>
      </c>
      <c r="E481" s="4" t="s">
        <v>10</v>
      </c>
      <c r="F481" s="6"/>
      <c r="G481" s="4">
        <f>SUM(G470:G478)</f>
        <v>9360</v>
      </c>
      <c r="H481" s="4" t="s">
        <v>11</v>
      </c>
      <c r="I481" s="6"/>
      <c r="J481" s="4">
        <f>SUM(J470:J478)</f>
        <v>1200</v>
      </c>
    </row>
    <row r="483" spans="1:10">
      <c r="B483" s="3" t="s">
        <v>30</v>
      </c>
      <c r="C483" s="3"/>
      <c r="D483" s="13">
        <f>D481-G481-J481</f>
        <v>50244.423999999999</v>
      </c>
    </row>
    <row r="486" spans="1:10" ht="18.75">
      <c r="A486" s="2">
        <v>19</v>
      </c>
      <c r="B486" s="101" t="s">
        <v>0</v>
      </c>
      <c r="C486" s="101"/>
      <c r="D486" s="101"/>
      <c r="E486" s="101"/>
      <c r="F486" s="101"/>
      <c r="G486" s="101"/>
      <c r="H486" s="101"/>
      <c r="I486" s="101"/>
      <c r="J486" s="101"/>
    </row>
    <row r="487" spans="1:10" ht="18.75">
      <c r="B487" s="101" t="s">
        <v>105</v>
      </c>
      <c r="C487" s="101"/>
      <c r="D487" s="101"/>
      <c r="E487" s="101"/>
      <c r="F487" s="101"/>
      <c r="G487" s="101"/>
      <c r="H487" s="101"/>
      <c r="I487" s="101"/>
      <c r="J487" s="101"/>
    </row>
    <row r="488" spans="1:10" ht="15.75">
      <c r="B488" s="104" t="s">
        <v>327</v>
      </c>
      <c r="C488" s="104"/>
      <c r="D488" s="104"/>
      <c r="E488" s="104"/>
      <c r="F488" s="104"/>
      <c r="G488" s="104"/>
      <c r="H488" s="104"/>
      <c r="I488" s="104"/>
      <c r="J488" s="104"/>
    </row>
    <row r="490" spans="1:10" ht="15.75">
      <c r="B490" s="9" t="s">
        <v>6</v>
      </c>
      <c r="D490" s="82" t="str">
        <f>'Master of Pay'!B25</f>
        <v>Code19</v>
      </c>
      <c r="H490" s="9" t="s">
        <v>7</v>
      </c>
      <c r="J490" s="82" t="str">
        <f>VLOOKUP(D490,'Master of Pay'!$B$7:$AI$33,5,)</f>
        <v>81159/EDN</v>
      </c>
    </row>
    <row r="491" spans="1:10" ht="15.75">
      <c r="B491" s="9" t="s">
        <v>2</v>
      </c>
      <c r="D491" s="2" t="str">
        <f>VLOOKUP(D490,'Master of Pay'!$B$7:$AI$33,2,)</f>
        <v>Employee19</v>
      </c>
      <c r="H491" s="9" t="s">
        <v>3</v>
      </c>
      <c r="J491" s="82" t="str">
        <f>VLOOKUP(D490,'Master of Pay'!$B$7:$AI$33,6,)</f>
        <v>AAAAA1114A</v>
      </c>
    </row>
    <row r="492" spans="1:10" ht="15.75">
      <c r="B492" s="9" t="s">
        <v>1</v>
      </c>
      <c r="D492" s="2" t="str">
        <f>VLOOKUP(D490,'Master of Pay'!$B$7:$AI$33,3,)</f>
        <v>Superintendent</v>
      </c>
      <c r="H492" s="9" t="s">
        <v>4</v>
      </c>
      <c r="J492" s="82" t="str">
        <f>VLOOKUP(D490,'Master of Pay'!$B$7:$AI$33,7,)</f>
        <v>311325-ABC</v>
      </c>
    </row>
    <row r="493" spans="1:10" ht="15.75">
      <c r="B493" s="9" t="s">
        <v>5</v>
      </c>
      <c r="D493" s="2" t="str">
        <f>VLOOKUP(D490,'Master of Pay'!$B$7:$AI$33,4,)</f>
        <v>Bank 1129</v>
      </c>
      <c r="H493" s="9" t="s">
        <v>8</v>
      </c>
      <c r="J493" s="82" t="str">
        <f>VLOOKUP(D490,'Master of Pay'!$B$7:$AI$33,8,)</f>
        <v>14860-39540</v>
      </c>
    </row>
    <row r="495" spans="1:10" ht="15.75">
      <c r="B495" s="105" t="s">
        <v>9</v>
      </c>
      <c r="C495" s="105"/>
      <c r="D495" s="5" t="s">
        <v>28</v>
      </c>
      <c r="E495" s="105" t="s">
        <v>10</v>
      </c>
      <c r="F495" s="105"/>
      <c r="G495" s="5" t="s">
        <v>28</v>
      </c>
      <c r="H495" s="105" t="s">
        <v>11</v>
      </c>
      <c r="I495" s="105"/>
      <c r="J495" s="5" t="s">
        <v>28</v>
      </c>
    </row>
    <row r="497" spans="1:10">
      <c r="B497" s="7" t="s">
        <v>19</v>
      </c>
      <c r="D497" s="2">
        <f>VLOOKUP(D490,'Master of Pay'!$B$7:$AI$33,9,)</f>
        <v>25600</v>
      </c>
      <c r="E497" s="2" t="s">
        <v>21</v>
      </c>
      <c r="G497" s="2">
        <f>VLOOKUP(D490,'Master of Pay'!$B$7:$AI$33,21,)</f>
        <v>2000</v>
      </c>
      <c r="H497" s="2" t="s">
        <v>27</v>
      </c>
      <c r="J497" s="2">
        <f>VLOOKUP(D490,'Master of Pay'!$B$7:$AI$33,29,)</f>
        <v>0</v>
      </c>
    </row>
    <row r="498" spans="1:10">
      <c r="B498" s="7" t="s">
        <v>36</v>
      </c>
      <c r="D498" s="66">
        <f>VLOOKUP(D490,'Master of Pay'!$B$7:$AI$33,10,)</f>
        <v>6912</v>
      </c>
      <c r="E498" s="2" t="s">
        <v>22</v>
      </c>
      <c r="G498" s="2">
        <f>VLOOKUP(D490,'Master of Pay'!$B$7:$AI$33,22,)</f>
        <v>200</v>
      </c>
      <c r="H498" s="2" t="s">
        <v>172</v>
      </c>
      <c r="J498" s="2">
        <f>VLOOKUP(D490,'Master of Pay'!$B$7:$AI$33,30,)</f>
        <v>0</v>
      </c>
    </row>
    <row r="499" spans="1:10">
      <c r="B499" s="7" t="s">
        <v>13</v>
      </c>
      <c r="D499" s="65">
        <f>VLOOKUP(D490,'Master of Pay'!$B$7:$AI$33,11,)</f>
        <v>18407.423999999999</v>
      </c>
      <c r="E499" s="2" t="s">
        <v>23</v>
      </c>
      <c r="G499" s="2">
        <f>VLOOKUP(D490,'Master of Pay'!$B$7:$AI$33,23,)</f>
        <v>0</v>
      </c>
      <c r="H499" s="2" t="s">
        <v>111</v>
      </c>
      <c r="J499" s="2">
        <f>VLOOKUP(D490,'Master of Pay'!$B$7:$AI$33,31,)</f>
        <v>0</v>
      </c>
    </row>
    <row r="500" spans="1:10">
      <c r="B500" s="8" t="s">
        <v>14</v>
      </c>
      <c r="D500" s="2">
        <f>IF((D497*0.3)&gt;=12000,12000,D497*0.3)</f>
        <v>7680</v>
      </c>
      <c r="E500" s="2" t="s">
        <v>24</v>
      </c>
      <c r="G500" s="2">
        <f>VLOOKUP(D490,'Master of Pay'!$B$7:$AI$33,24,)</f>
        <v>60</v>
      </c>
      <c r="H500" s="2" t="s">
        <v>20</v>
      </c>
      <c r="J500" s="2">
        <f>VLOOKUP(D490,'Master of Pay'!$B$7:$AI$33,32,)</f>
        <v>0</v>
      </c>
    </row>
    <row r="501" spans="1:10">
      <c r="B501" s="8" t="s">
        <v>176</v>
      </c>
      <c r="D501" s="65">
        <f>VLOOKUP(D490,'Master of Pay'!$B$7:$AI$33,13,)</f>
        <v>650</v>
      </c>
      <c r="E501" s="2" t="s">
        <v>25</v>
      </c>
      <c r="G501" s="2">
        <f>VLOOKUP(D490,'Master of Pay'!$B$7:$AI$33,26,)</f>
        <v>0</v>
      </c>
    </row>
    <row r="502" spans="1:10">
      <c r="B502" s="7" t="s">
        <v>17</v>
      </c>
      <c r="D502" s="65">
        <f>VLOOKUP(D490,'Master of Pay'!$B$7:$AI$33,14,)</f>
        <v>525</v>
      </c>
      <c r="E502" s="2" t="s">
        <v>26</v>
      </c>
      <c r="G502" s="2">
        <f>VLOOKUP(D490,'Master of Pay'!$B$7:$AI$33,25,)</f>
        <v>200</v>
      </c>
    </row>
    <row r="503" spans="1:10">
      <c r="B503" s="7" t="s">
        <v>43</v>
      </c>
      <c r="D503" s="65">
        <f>VLOOKUP(D490,'Master of Pay'!$B$7:$AI$33,15,)</f>
        <v>500</v>
      </c>
      <c r="E503" s="2" t="s">
        <v>20</v>
      </c>
      <c r="G503" s="2">
        <f>VLOOKUP(D490,'Master of Pay'!$B$7:$AI$33,27,)</f>
        <v>0</v>
      </c>
    </row>
    <row r="504" spans="1:10">
      <c r="B504" s="8" t="s">
        <v>44</v>
      </c>
      <c r="D504" s="65">
        <f>VLOOKUP(D490,'Master of Pay'!$B$7:$AI$33,16,)</f>
        <v>500</v>
      </c>
    </row>
    <row r="505" spans="1:10">
      <c r="B505" s="8" t="s">
        <v>45</v>
      </c>
      <c r="D505" s="65">
        <f>VLOOKUP(D490,'Master of Pay'!$B$7:$AI$33,17,)</f>
        <v>30</v>
      </c>
    </row>
    <row r="506" spans="1:10">
      <c r="B506" s="2" t="s">
        <v>46</v>
      </c>
      <c r="D506" s="65">
        <f>VLOOKUP(D490,'Master of Pay'!$B$7:$AI$33,18,)</f>
        <v>0</v>
      </c>
    </row>
    <row r="507" spans="1:10">
      <c r="B507" s="2" t="s">
        <v>20</v>
      </c>
      <c r="D507" s="65">
        <f>VLOOKUP(D490,'Master of Pay'!$B$7:$AI$33,19,)</f>
        <v>0</v>
      </c>
    </row>
    <row r="508" spans="1:10">
      <c r="B508" s="4" t="s">
        <v>29</v>
      </c>
      <c r="C508" s="6"/>
      <c r="D508" s="12">
        <f>SUM(D497:D507)</f>
        <v>60804.423999999999</v>
      </c>
      <c r="E508" s="4" t="s">
        <v>10</v>
      </c>
      <c r="F508" s="6"/>
      <c r="G508" s="4">
        <f>SUM(G497:G505)</f>
        <v>2460</v>
      </c>
      <c r="H508" s="4" t="s">
        <v>11</v>
      </c>
      <c r="I508" s="6"/>
      <c r="J508" s="4">
        <f>SUM(J497:J505)</f>
        <v>0</v>
      </c>
    </row>
    <row r="510" spans="1:10">
      <c r="B510" s="3" t="s">
        <v>30</v>
      </c>
      <c r="C510" s="3"/>
      <c r="D510" s="13">
        <f>D508-G508-J508</f>
        <v>58344.423999999999</v>
      </c>
    </row>
    <row r="512" spans="1:10" ht="18.75">
      <c r="A512" s="2">
        <v>20</v>
      </c>
      <c r="B512" s="101" t="s">
        <v>0</v>
      </c>
      <c r="C512" s="101"/>
      <c r="D512" s="101"/>
      <c r="E512" s="101"/>
      <c r="F512" s="101"/>
      <c r="G512" s="101"/>
      <c r="H512" s="101"/>
      <c r="I512" s="101"/>
      <c r="J512" s="101"/>
    </row>
    <row r="513" spans="2:10" ht="18.75">
      <c r="B513" s="101" t="s">
        <v>105</v>
      </c>
      <c r="C513" s="101"/>
      <c r="D513" s="101"/>
      <c r="E513" s="101"/>
      <c r="F513" s="101"/>
      <c r="G513" s="101"/>
      <c r="H513" s="101"/>
      <c r="I513" s="101"/>
      <c r="J513" s="101"/>
    </row>
    <row r="514" spans="2:10" ht="15.75">
      <c r="B514" s="104" t="s">
        <v>327</v>
      </c>
      <c r="C514" s="104"/>
      <c r="D514" s="104"/>
      <c r="E514" s="104"/>
      <c r="F514" s="104"/>
      <c r="G514" s="104"/>
      <c r="H514" s="104"/>
      <c r="I514" s="104"/>
      <c r="J514" s="104"/>
    </row>
    <row r="516" spans="2:10" ht="15.75">
      <c r="B516" s="9" t="s">
        <v>6</v>
      </c>
      <c r="D516" s="82" t="str">
        <f>'Master of Pay'!B26</f>
        <v>Code20</v>
      </c>
      <c r="H516" s="9" t="s">
        <v>7</v>
      </c>
      <c r="J516" s="82" t="str">
        <f>VLOOKUP(D516,'Master of Pay'!$B$7:$AI$33,5,)</f>
        <v>68531/EDN</v>
      </c>
    </row>
    <row r="517" spans="2:10" ht="15.75">
      <c r="B517" s="9" t="s">
        <v>2</v>
      </c>
      <c r="D517" s="2" t="str">
        <f>VLOOKUP(D516,'Master of Pay'!$B$7:$AI$33,2,)</f>
        <v>Employee20</v>
      </c>
      <c r="H517" s="9" t="s">
        <v>3</v>
      </c>
      <c r="J517" s="82" t="str">
        <f>VLOOKUP(D516,'Master of Pay'!$B$7:$AI$33,6,)</f>
        <v>AAAAA1115A</v>
      </c>
    </row>
    <row r="518" spans="2:10" ht="15.75">
      <c r="B518" s="9" t="s">
        <v>1</v>
      </c>
      <c r="D518" s="2" t="str">
        <f>VLOOKUP(D516,'Master of Pay'!$B$7:$AI$33,3,)</f>
        <v>Superintendent</v>
      </c>
      <c r="H518" s="9" t="s">
        <v>4</v>
      </c>
      <c r="J518" s="82">
        <f>VLOOKUP(D516,'Master of Pay'!$B$7:$AI$33,7,)</f>
        <v>300091</v>
      </c>
    </row>
    <row r="519" spans="2:10" ht="15.75">
      <c r="B519" s="9" t="s">
        <v>5</v>
      </c>
      <c r="D519" s="2" t="str">
        <f>VLOOKUP(D516,'Master of Pay'!$B$7:$AI$33,4,)</f>
        <v>Bank 1130</v>
      </c>
      <c r="H519" s="9" t="s">
        <v>8</v>
      </c>
      <c r="J519" s="82" t="str">
        <f>VLOOKUP(D516,'Master of Pay'!$B$7:$AI$33,8,)</f>
        <v>14860-39540</v>
      </c>
    </row>
    <row r="521" spans="2:10" ht="15.75">
      <c r="B521" s="105" t="s">
        <v>9</v>
      </c>
      <c r="C521" s="105"/>
      <c r="D521" s="5" t="s">
        <v>28</v>
      </c>
      <c r="E521" s="105" t="s">
        <v>10</v>
      </c>
      <c r="F521" s="105"/>
      <c r="G521" s="5" t="s">
        <v>28</v>
      </c>
      <c r="H521" s="105" t="s">
        <v>11</v>
      </c>
      <c r="I521" s="105"/>
      <c r="J521" s="5" t="s">
        <v>28</v>
      </c>
    </row>
    <row r="523" spans="2:10">
      <c r="B523" s="7" t="s">
        <v>19</v>
      </c>
      <c r="D523" s="2">
        <f>VLOOKUP(D516,'Master of Pay'!$B$7:$AI$33,9,)</f>
        <v>22430</v>
      </c>
      <c r="E523" s="2" t="s">
        <v>21</v>
      </c>
      <c r="G523" s="2">
        <f>VLOOKUP(D516,'Master of Pay'!$B$7:$AI$33,21,)</f>
        <v>10000</v>
      </c>
      <c r="H523" s="2" t="s">
        <v>27</v>
      </c>
      <c r="J523" s="2">
        <f>VLOOKUP(D516,'Master of Pay'!$B$7:$AI$33,29,)</f>
        <v>0</v>
      </c>
    </row>
    <row r="524" spans="2:10">
      <c r="B524" s="7" t="s">
        <v>36</v>
      </c>
      <c r="D524" s="66">
        <f>VLOOKUP(D516,'Master of Pay'!$B$7:$AI$33,10,)</f>
        <v>6056.1</v>
      </c>
      <c r="E524" s="2" t="s">
        <v>22</v>
      </c>
      <c r="G524" s="2">
        <f>VLOOKUP(D516,'Master of Pay'!$B$7:$AI$33,22,)</f>
        <v>75</v>
      </c>
      <c r="H524" s="2" t="s">
        <v>172</v>
      </c>
      <c r="J524" s="2">
        <f>VLOOKUP(D516,'Master of Pay'!$B$7:$AI$33,30,)</f>
        <v>0</v>
      </c>
    </row>
    <row r="525" spans="2:10">
      <c r="B525" s="7" t="s">
        <v>13</v>
      </c>
      <c r="D525" s="65">
        <f>VLOOKUP(D516,'Master of Pay'!$B$7:$AI$33,11,)</f>
        <v>16128.0672</v>
      </c>
      <c r="E525" s="2" t="s">
        <v>23</v>
      </c>
      <c r="G525" s="2">
        <f>VLOOKUP(D516,'Master of Pay'!$B$7:$AI$33,23,)</f>
        <v>1000</v>
      </c>
      <c r="H525" s="2" t="s">
        <v>111</v>
      </c>
      <c r="J525" s="2">
        <f>VLOOKUP(D516,'Master of Pay'!$B$7:$AI$33,31,)</f>
        <v>0</v>
      </c>
    </row>
    <row r="526" spans="2:10">
      <c r="B526" s="8" t="s">
        <v>14</v>
      </c>
      <c r="D526" s="2">
        <f>IF((D523*0.3)&gt;=12000,12000,D523*0.3)</f>
        <v>6729</v>
      </c>
      <c r="E526" s="2" t="s">
        <v>24</v>
      </c>
      <c r="G526" s="2">
        <f>VLOOKUP(D516,'Master of Pay'!$B$7:$AI$33,24,)</f>
        <v>60</v>
      </c>
      <c r="H526" s="2" t="s">
        <v>20</v>
      </c>
      <c r="J526" s="2">
        <f>VLOOKUP(D516,'Master of Pay'!$B$7:$AI$33,32,)</f>
        <v>0</v>
      </c>
    </row>
    <row r="527" spans="2:10">
      <c r="B527" s="8" t="s">
        <v>176</v>
      </c>
      <c r="D527" s="65">
        <f>VLOOKUP(D516,'Master of Pay'!$B$7:$AI$33,13,)</f>
        <v>610</v>
      </c>
      <c r="E527" s="2" t="s">
        <v>25</v>
      </c>
      <c r="G527" s="2">
        <f>VLOOKUP(D516,'Master of Pay'!$B$7:$AI$33,26,)</f>
        <v>0</v>
      </c>
    </row>
    <row r="528" spans="2:10">
      <c r="B528" s="7" t="s">
        <v>17</v>
      </c>
      <c r="D528" s="65">
        <f>VLOOKUP(D516,'Master of Pay'!$B$7:$AI$33,14,)</f>
        <v>525</v>
      </c>
      <c r="E528" s="2" t="s">
        <v>26</v>
      </c>
      <c r="G528" s="2">
        <f>VLOOKUP(D516,'Master of Pay'!$B$7:$AI$33,25,)</f>
        <v>200</v>
      </c>
    </row>
    <row r="529" spans="1:10">
      <c r="B529" s="7" t="s">
        <v>43</v>
      </c>
      <c r="D529" s="65">
        <f>VLOOKUP(D516,'Master of Pay'!$B$7:$AI$33,15,)</f>
        <v>500</v>
      </c>
      <c r="E529" s="2" t="s">
        <v>20</v>
      </c>
      <c r="G529" s="2">
        <f>VLOOKUP(D516,'Master of Pay'!$B$7:$AI$33,27,)</f>
        <v>0</v>
      </c>
    </row>
    <row r="530" spans="1:10">
      <c r="B530" s="8" t="s">
        <v>44</v>
      </c>
      <c r="D530" s="65">
        <f>VLOOKUP(D516,'Master of Pay'!$B$7:$AI$33,16,)</f>
        <v>500</v>
      </c>
    </row>
    <row r="531" spans="1:10">
      <c r="B531" s="8" t="s">
        <v>45</v>
      </c>
      <c r="D531" s="65">
        <f>VLOOKUP(D516,'Master of Pay'!$B$7:$AI$33,17,)</f>
        <v>60</v>
      </c>
    </row>
    <row r="532" spans="1:10">
      <c r="B532" s="2" t="s">
        <v>46</v>
      </c>
      <c r="D532" s="65">
        <f>VLOOKUP(D516,'Master of Pay'!$B$7:$AI$33,18,)</f>
        <v>0</v>
      </c>
    </row>
    <row r="533" spans="1:10">
      <c r="B533" s="2" t="s">
        <v>20</v>
      </c>
      <c r="D533" s="65">
        <f>VLOOKUP(D516,'Master of Pay'!$B$7:$AI$33,19,)</f>
        <v>0</v>
      </c>
    </row>
    <row r="534" spans="1:10">
      <c r="B534" s="4" t="s">
        <v>29</v>
      </c>
      <c r="C534" s="6"/>
      <c r="D534" s="12">
        <f>SUM(D523:D533)</f>
        <v>53538.167199999996</v>
      </c>
      <c r="E534" s="4" t="s">
        <v>10</v>
      </c>
      <c r="F534" s="6"/>
      <c r="G534" s="4">
        <f>SUM(G523:G531)</f>
        <v>11335</v>
      </c>
      <c r="H534" s="4" t="s">
        <v>11</v>
      </c>
      <c r="I534" s="6"/>
      <c r="J534" s="4">
        <f>SUM(J523:J531)</f>
        <v>0</v>
      </c>
    </row>
    <row r="536" spans="1:10">
      <c r="B536" s="3" t="s">
        <v>30</v>
      </c>
      <c r="C536" s="3"/>
      <c r="D536" s="13">
        <f>D534-G534-J534</f>
        <v>42203.167199999996</v>
      </c>
    </row>
    <row r="539" spans="1:10" ht="18.75">
      <c r="A539" s="2">
        <v>21</v>
      </c>
      <c r="B539" s="101" t="s">
        <v>0</v>
      </c>
      <c r="C539" s="101"/>
      <c r="D539" s="101"/>
      <c r="E539" s="101"/>
      <c r="F539" s="101"/>
      <c r="G539" s="101"/>
      <c r="H539" s="101"/>
      <c r="I539" s="101"/>
      <c r="J539" s="101"/>
    </row>
    <row r="540" spans="1:10" ht="18.75">
      <c r="B540" s="101" t="s">
        <v>105</v>
      </c>
      <c r="C540" s="101"/>
      <c r="D540" s="101"/>
      <c r="E540" s="101"/>
      <c r="F540" s="101"/>
      <c r="G540" s="101"/>
      <c r="H540" s="101"/>
      <c r="I540" s="101"/>
      <c r="J540" s="101"/>
    </row>
    <row r="541" spans="1:10" ht="15.75">
      <c r="B541" s="104" t="s">
        <v>327</v>
      </c>
      <c r="C541" s="104"/>
      <c r="D541" s="104"/>
      <c r="E541" s="104"/>
      <c r="F541" s="104"/>
      <c r="G541" s="104"/>
      <c r="H541" s="104"/>
      <c r="I541" s="104"/>
      <c r="J541" s="104"/>
    </row>
    <row r="543" spans="1:10" ht="15.75">
      <c r="B543" s="9" t="s">
        <v>6</v>
      </c>
      <c r="D543" s="82" t="str">
        <f>'Master of Pay'!B27</f>
        <v>Code21</v>
      </c>
      <c r="H543" s="9" t="s">
        <v>7</v>
      </c>
      <c r="J543" s="82" t="str">
        <f>VLOOKUP(D543,'Master of Pay'!$B$7:$AI$33,5,)</f>
        <v>98300/EDN</v>
      </c>
    </row>
    <row r="544" spans="1:10" ht="15.75">
      <c r="B544" s="9" t="s">
        <v>2</v>
      </c>
      <c r="D544" s="2" t="str">
        <f>VLOOKUP(D543,'Master of Pay'!$B$7:$AI$33,2,)</f>
        <v>Employee21</v>
      </c>
      <c r="H544" s="9" t="s">
        <v>3</v>
      </c>
      <c r="J544" s="82" t="str">
        <f>VLOOKUP(D543,'Master of Pay'!$B$7:$AI$33,6,)</f>
        <v>AAAAA1116A</v>
      </c>
    </row>
    <row r="545" spans="2:10" ht="15.75">
      <c r="B545" s="9" t="s">
        <v>1</v>
      </c>
      <c r="D545" s="2" t="str">
        <f>VLOOKUP(D543,'Master of Pay'!$B$7:$AI$33,3,)</f>
        <v>Superintendent</v>
      </c>
      <c r="H545" s="9" t="s">
        <v>4</v>
      </c>
      <c r="J545" s="82" t="str">
        <f>VLOOKUP(D543,'Master of Pay'!$B$7:$AI$33,7,)</f>
        <v>324875-A</v>
      </c>
    </row>
    <row r="546" spans="2:10" ht="15.75">
      <c r="B546" s="9" t="s">
        <v>5</v>
      </c>
      <c r="D546" s="2" t="str">
        <f>VLOOKUP(D543,'Master of Pay'!$B$7:$AI$33,4,)</f>
        <v>Bank 1131</v>
      </c>
      <c r="H546" s="9" t="s">
        <v>8</v>
      </c>
      <c r="J546" s="82" t="str">
        <f>VLOOKUP(D543,'Master of Pay'!$B$7:$AI$33,8,)</f>
        <v>10900-31550.</v>
      </c>
    </row>
    <row r="548" spans="2:10" ht="15.75">
      <c r="B548" s="105" t="s">
        <v>9</v>
      </c>
      <c r="C548" s="105"/>
      <c r="D548" s="5" t="s">
        <v>28</v>
      </c>
      <c r="E548" s="105" t="s">
        <v>10</v>
      </c>
      <c r="F548" s="105"/>
      <c r="G548" s="5" t="s">
        <v>28</v>
      </c>
      <c r="H548" s="105" t="s">
        <v>11</v>
      </c>
      <c r="I548" s="105"/>
      <c r="J548" s="5" t="s">
        <v>28</v>
      </c>
    </row>
    <row r="550" spans="2:10">
      <c r="B550" s="7" t="s">
        <v>19</v>
      </c>
      <c r="D550" s="2">
        <f>VLOOKUP(D543,'Master of Pay'!$B$7:$AI$33,9,)</f>
        <v>16600</v>
      </c>
      <c r="E550" s="2" t="s">
        <v>21</v>
      </c>
      <c r="G550" s="2">
        <f>VLOOKUP(D543,'Master of Pay'!$B$7:$AI$33,21,)</f>
        <v>10000</v>
      </c>
      <c r="H550" s="2" t="s">
        <v>27</v>
      </c>
      <c r="J550" s="2">
        <f>VLOOKUP(D543,'Master of Pay'!$B$7:$AI$33,29,)</f>
        <v>0</v>
      </c>
    </row>
    <row r="551" spans="2:10">
      <c r="B551" s="7" t="s">
        <v>36</v>
      </c>
      <c r="D551" s="66">
        <f>VLOOKUP(D543,'Master of Pay'!$B$7:$AI$33,10,)</f>
        <v>4482</v>
      </c>
      <c r="E551" s="2" t="s">
        <v>22</v>
      </c>
      <c r="G551" s="2">
        <f>VLOOKUP(D543,'Master of Pay'!$B$7:$AI$33,22,)</f>
        <v>250</v>
      </c>
      <c r="H551" s="2" t="s">
        <v>172</v>
      </c>
      <c r="J551" s="2">
        <f>VLOOKUP(D543,'Master of Pay'!$B$7:$AI$33,30,)</f>
        <v>0</v>
      </c>
    </row>
    <row r="552" spans="2:10">
      <c r="B552" s="7" t="s">
        <v>13</v>
      </c>
      <c r="D552" s="65">
        <f>VLOOKUP(D543,'Master of Pay'!$B$7:$AI$33,11,)</f>
        <v>11936.064</v>
      </c>
      <c r="E552" s="2" t="s">
        <v>23</v>
      </c>
      <c r="G552" s="2">
        <f>VLOOKUP(D543,'Master of Pay'!$B$7:$AI$33,23,)</f>
        <v>0</v>
      </c>
      <c r="H552" s="2" t="s">
        <v>111</v>
      </c>
      <c r="J552" s="2">
        <f>VLOOKUP(D543,'Master of Pay'!$B$7:$AI$33,31,)</f>
        <v>0</v>
      </c>
    </row>
    <row r="553" spans="2:10">
      <c r="B553" s="8" t="s">
        <v>14</v>
      </c>
      <c r="D553" s="2">
        <f>IF((D550*0.3)&gt;=12000,12000,D550*0.3)</f>
        <v>4980</v>
      </c>
      <c r="E553" s="2" t="s">
        <v>24</v>
      </c>
      <c r="G553" s="2">
        <f>VLOOKUP(D543,'Master of Pay'!$B$7:$AI$33,24,)</f>
        <v>60</v>
      </c>
      <c r="H553" s="2" t="s">
        <v>20</v>
      </c>
      <c r="J553" s="2">
        <f>VLOOKUP(D543,'Master of Pay'!$B$7:$AI$33,32,)</f>
        <v>0</v>
      </c>
    </row>
    <row r="554" spans="2:10">
      <c r="B554" s="8" t="s">
        <v>176</v>
      </c>
      <c r="D554" s="65">
        <f>VLOOKUP(D543,'Master of Pay'!$B$7:$AI$33,13,)</f>
        <v>450</v>
      </c>
      <c r="E554" s="2" t="s">
        <v>25</v>
      </c>
      <c r="G554" s="2">
        <f>VLOOKUP(D543,'Master of Pay'!$B$7:$AI$33,26,)</f>
        <v>0</v>
      </c>
    </row>
    <row r="555" spans="2:10">
      <c r="B555" s="7" t="s">
        <v>17</v>
      </c>
      <c r="D555" s="65">
        <f>VLOOKUP(D543,'Master of Pay'!$B$7:$AI$33,14,)</f>
        <v>350</v>
      </c>
      <c r="E555" s="2" t="s">
        <v>26</v>
      </c>
      <c r="G555" s="2">
        <f>VLOOKUP(D543,'Master of Pay'!$B$7:$AI$33,25,)</f>
        <v>200</v>
      </c>
    </row>
    <row r="556" spans="2:10">
      <c r="B556" s="7" t="s">
        <v>43</v>
      </c>
      <c r="D556" s="65">
        <f>VLOOKUP(D543,'Master of Pay'!$B$7:$AI$33,15,)</f>
        <v>500</v>
      </c>
      <c r="E556" s="2" t="s">
        <v>20</v>
      </c>
      <c r="G556" s="2">
        <f>VLOOKUP(D543,'Master of Pay'!$B$7:$AI$33,27,)</f>
        <v>0</v>
      </c>
    </row>
    <row r="557" spans="2:10">
      <c r="B557" s="8" t="s">
        <v>44</v>
      </c>
      <c r="D557" s="65">
        <f>VLOOKUP(D543,'Master of Pay'!$B$7:$AI$33,16,)</f>
        <v>500</v>
      </c>
    </row>
    <row r="558" spans="2:10">
      <c r="B558" s="8" t="s">
        <v>45</v>
      </c>
      <c r="D558" s="65">
        <f>VLOOKUP(D543,'Master of Pay'!$B$7:$AI$33,17,)</f>
        <v>0</v>
      </c>
    </row>
    <row r="559" spans="2:10">
      <c r="B559" s="2" t="s">
        <v>46</v>
      </c>
      <c r="D559" s="65">
        <f>VLOOKUP(D543,'Master of Pay'!$B$7:$AI$33,18,)</f>
        <v>0</v>
      </c>
    </row>
    <row r="560" spans="2:10">
      <c r="B560" s="2" t="s">
        <v>20</v>
      </c>
      <c r="D560" s="65">
        <f>VLOOKUP(D543,'Master of Pay'!$B$7:$AI$33,19,)</f>
        <v>0</v>
      </c>
    </row>
    <row r="561" spans="1:10">
      <c r="B561" s="4" t="s">
        <v>29</v>
      </c>
      <c r="C561" s="6"/>
      <c r="D561" s="12">
        <f>SUM(D550:D560)</f>
        <v>39798.063999999998</v>
      </c>
      <c r="E561" s="4" t="s">
        <v>10</v>
      </c>
      <c r="F561" s="6"/>
      <c r="G561" s="4">
        <f>SUM(G550:G558)</f>
        <v>10510</v>
      </c>
      <c r="H561" s="4" t="s">
        <v>11</v>
      </c>
      <c r="I561" s="6"/>
      <c r="J561" s="4">
        <f>SUM(J550:J558)</f>
        <v>0</v>
      </c>
    </row>
    <row r="563" spans="1:10">
      <c r="B563" s="3" t="s">
        <v>30</v>
      </c>
      <c r="C563" s="3"/>
      <c r="D563" s="13">
        <f>D561-G561-J561</f>
        <v>29288.063999999998</v>
      </c>
    </row>
    <row r="565" spans="1:10" ht="18.75">
      <c r="A565" s="2">
        <v>22</v>
      </c>
      <c r="B565" s="101" t="s">
        <v>0</v>
      </c>
      <c r="C565" s="101"/>
      <c r="D565" s="101"/>
      <c r="E565" s="101"/>
      <c r="F565" s="101"/>
      <c r="G565" s="101"/>
      <c r="H565" s="101"/>
      <c r="I565" s="101"/>
      <c r="J565" s="101"/>
    </row>
    <row r="566" spans="1:10" ht="18.75">
      <c r="B566" s="101" t="s">
        <v>105</v>
      </c>
      <c r="C566" s="101"/>
      <c r="D566" s="101"/>
      <c r="E566" s="101"/>
      <c r="F566" s="101"/>
      <c r="G566" s="101"/>
      <c r="H566" s="101"/>
      <c r="I566" s="101"/>
      <c r="J566" s="101"/>
    </row>
    <row r="567" spans="1:10" ht="15.75">
      <c r="B567" s="104" t="s">
        <v>327</v>
      </c>
      <c r="C567" s="104"/>
      <c r="D567" s="104"/>
      <c r="E567" s="104"/>
      <c r="F567" s="104"/>
      <c r="G567" s="104"/>
      <c r="H567" s="104"/>
      <c r="I567" s="104"/>
      <c r="J567" s="104"/>
    </row>
    <row r="569" spans="1:10" ht="15.75">
      <c r="B569" s="9" t="s">
        <v>6</v>
      </c>
      <c r="D569" s="82" t="str">
        <f>'Master of Pay'!B28</f>
        <v>Code22</v>
      </c>
      <c r="H569" s="9" t="s">
        <v>7</v>
      </c>
      <c r="J569" s="82" t="str">
        <f>VLOOKUP(D569,'Master of Pay'!$B$7:$AI$33,5,)</f>
        <v>73289/EDN</v>
      </c>
    </row>
    <row r="570" spans="1:10" ht="15.75">
      <c r="B570" s="9" t="s">
        <v>2</v>
      </c>
      <c r="D570" s="2" t="str">
        <f>VLOOKUP(D569,'Master of Pay'!$B$7:$AI$33,2,)</f>
        <v>Employee22</v>
      </c>
      <c r="H570" s="9" t="s">
        <v>3</v>
      </c>
      <c r="J570" s="82" t="str">
        <f>VLOOKUP(D569,'Master of Pay'!$B$7:$AI$33,6,)</f>
        <v>AAAAA1117A</v>
      </c>
    </row>
    <row r="571" spans="1:10" ht="15.75">
      <c r="B571" s="9" t="s">
        <v>1</v>
      </c>
      <c r="D571" s="2" t="str">
        <f>VLOOKUP(D569,'Master of Pay'!$B$7:$AI$33,3,)</f>
        <v>Superintendent</v>
      </c>
      <c r="H571" s="9" t="s">
        <v>4</v>
      </c>
      <c r="J571" s="82" t="str">
        <f>VLOOKUP(D569,'Master of Pay'!$B$7:$AI$33,7,)</f>
        <v>283749-AB</v>
      </c>
    </row>
    <row r="572" spans="1:10" ht="15.75">
      <c r="B572" s="9" t="s">
        <v>5</v>
      </c>
      <c r="D572" s="2" t="str">
        <f>VLOOKUP(D569,'Master of Pay'!$B$7:$AI$33,4,)</f>
        <v>Bank 1132</v>
      </c>
      <c r="H572" s="9" t="s">
        <v>8</v>
      </c>
      <c r="J572" s="82" t="str">
        <f>VLOOKUP(D569,'Master of Pay'!$B$7:$AI$33,8,)</f>
        <v>11530-33200</v>
      </c>
    </row>
    <row r="574" spans="1:10" ht="15.75">
      <c r="B574" s="105" t="s">
        <v>9</v>
      </c>
      <c r="C574" s="105"/>
      <c r="D574" s="5" t="s">
        <v>28</v>
      </c>
      <c r="E574" s="105" t="s">
        <v>10</v>
      </c>
      <c r="F574" s="105"/>
      <c r="G574" s="5" t="s">
        <v>28</v>
      </c>
      <c r="H574" s="105" t="s">
        <v>11</v>
      </c>
      <c r="I574" s="105"/>
      <c r="J574" s="5" t="s">
        <v>28</v>
      </c>
    </row>
    <row r="576" spans="1:10">
      <c r="B576" s="7" t="s">
        <v>19</v>
      </c>
      <c r="D576" s="2">
        <f>VLOOKUP(D569,'Master of Pay'!$B$7:$AI$33,9,)</f>
        <v>21820</v>
      </c>
      <c r="E576" s="2" t="s">
        <v>21</v>
      </c>
      <c r="G576" s="2">
        <f>VLOOKUP(D569,'Master of Pay'!$B$7:$AI$33,21,)</f>
        <v>5000</v>
      </c>
      <c r="H576" s="2" t="s">
        <v>27</v>
      </c>
      <c r="J576" s="2">
        <f>VLOOKUP(D569,'Master of Pay'!$B$7:$AI$33,29,)</f>
        <v>0</v>
      </c>
    </row>
    <row r="577" spans="1:10">
      <c r="B577" s="7" t="s">
        <v>36</v>
      </c>
      <c r="D577" s="66">
        <f>VLOOKUP(D569,'Master of Pay'!$B$7:$AI$33,10,)</f>
        <v>5891.4000000000005</v>
      </c>
      <c r="E577" s="2" t="s">
        <v>22</v>
      </c>
      <c r="G577" s="2">
        <f>VLOOKUP(D569,'Master of Pay'!$B$7:$AI$33,22,)</f>
        <v>750</v>
      </c>
      <c r="H577" s="2" t="s">
        <v>172</v>
      </c>
      <c r="J577" s="2">
        <f>VLOOKUP(D569,'Master of Pay'!$B$7:$AI$33,30,)</f>
        <v>0</v>
      </c>
    </row>
    <row r="578" spans="1:10">
      <c r="B578" s="7" t="s">
        <v>13</v>
      </c>
      <c r="D578" s="65">
        <f>VLOOKUP(D569,'Master of Pay'!$B$7:$AI$33,11,)</f>
        <v>15689.452800000001</v>
      </c>
      <c r="E578" s="2" t="s">
        <v>23</v>
      </c>
      <c r="G578" s="2">
        <f>VLOOKUP(D569,'Master of Pay'!$B$7:$AI$33,23,)</f>
        <v>0</v>
      </c>
      <c r="H578" s="2" t="s">
        <v>111</v>
      </c>
      <c r="J578" s="2">
        <f>VLOOKUP(D569,'Master of Pay'!$B$7:$AI$33,31,)</f>
        <v>0</v>
      </c>
    </row>
    <row r="579" spans="1:10">
      <c r="B579" s="8" t="s">
        <v>14</v>
      </c>
      <c r="D579" s="2">
        <f>IF((D576*0.3)&gt;=12000,12000,D576*0.3)</f>
        <v>6546</v>
      </c>
      <c r="E579" s="2" t="s">
        <v>24</v>
      </c>
      <c r="G579" s="2">
        <f>VLOOKUP(D569,'Master of Pay'!$B$7:$AI$33,24,)</f>
        <v>60</v>
      </c>
      <c r="H579" s="2" t="s">
        <v>20</v>
      </c>
      <c r="J579" s="2">
        <f>VLOOKUP(D569,'Master of Pay'!$B$7:$AI$33,32,)</f>
        <v>0</v>
      </c>
    </row>
    <row r="580" spans="1:10">
      <c r="B580" s="8" t="s">
        <v>176</v>
      </c>
      <c r="D580" s="65">
        <f>VLOOKUP(D569,'Master of Pay'!$B$7:$AI$33,13,)</f>
        <v>570</v>
      </c>
      <c r="E580" s="2" t="s">
        <v>25</v>
      </c>
      <c r="G580" s="2">
        <f>VLOOKUP(D569,'Master of Pay'!$B$7:$AI$33,26,)</f>
        <v>0</v>
      </c>
    </row>
    <row r="581" spans="1:10">
      <c r="B581" s="7" t="s">
        <v>17</v>
      </c>
      <c r="D581" s="65">
        <f>VLOOKUP(D569,'Master of Pay'!$B$7:$AI$33,14,)</f>
        <v>525</v>
      </c>
      <c r="E581" s="2" t="s">
        <v>26</v>
      </c>
      <c r="G581" s="2">
        <f>VLOOKUP(D569,'Master of Pay'!$B$7:$AI$33,25,)</f>
        <v>200</v>
      </c>
    </row>
    <row r="582" spans="1:10">
      <c r="B582" s="7" t="s">
        <v>43</v>
      </c>
      <c r="D582" s="65">
        <f>VLOOKUP(D569,'Master of Pay'!$B$7:$AI$33,15,)</f>
        <v>500</v>
      </c>
      <c r="E582" s="2" t="s">
        <v>20</v>
      </c>
      <c r="G582" s="2">
        <f>VLOOKUP(D569,'Master of Pay'!$B$7:$AI$33,27,)</f>
        <v>0</v>
      </c>
    </row>
    <row r="583" spans="1:10">
      <c r="B583" s="8" t="s">
        <v>44</v>
      </c>
      <c r="D583" s="65">
        <f>VLOOKUP(D569,'Master of Pay'!$B$7:$AI$33,16,)</f>
        <v>500</v>
      </c>
    </row>
    <row r="584" spans="1:10">
      <c r="B584" s="8" t="s">
        <v>45</v>
      </c>
      <c r="D584" s="65">
        <f>VLOOKUP(D569,'Master of Pay'!$B$7:$AI$33,17,)</f>
        <v>30</v>
      </c>
    </row>
    <row r="585" spans="1:10">
      <c r="B585" s="2" t="s">
        <v>46</v>
      </c>
      <c r="D585" s="65">
        <f>VLOOKUP(D569,'Master of Pay'!$B$7:$AI$33,18,)</f>
        <v>0</v>
      </c>
    </row>
    <row r="586" spans="1:10">
      <c r="B586" s="2" t="s">
        <v>20</v>
      </c>
      <c r="D586" s="65">
        <f>VLOOKUP(D569,'Master of Pay'!$B$7:$AI$33,19,)</f>
        <v>0</v>
      </c>
    </row>
    <row r="587" spans="1:10">
      <c r="B587" s="4" t="s">
        <v>29</v>
      </c>
      <c r="C587" s="6"/>
      <c r="D587" s="12">
        <f>SUM(D576:D586)</f>
        <v>52071.852800000001</v>
      </c>
      <c r="E587" s="4" t="s">
        <v>10</v>
      </c>
      <c r="F587" s="6"/>
      <c r="G587" s="4">
        <f>SUM(G576:G584)</f>
        <v>6010</v>
      </c>
      <c r="H587" s="4" t="s">
        <v>11</v>
      </c>
      <c r="I587" s="6"/>
      <c r="J587" s="4">
        <f>SUM(J576:J584)</f>
        <v>0</v>
      </c>
    </row>
    <row r="589" spans="1:10">
      <c r="B589" s="3" t="s">
        <v>30</v>
      </c>
      <c r="C589" s="3"/>
      <c r="D589" s="13">
        <f>D587-G587-J587</f>
        <v>46061.852800000001</v>
      </c>
    </row>
    <row r="592" spans="1:10" ht="18.75">
      <c r="A592" s="2">
        <v>23</v>
      </c>
      <c r="B592" s="101" t="s">
        <v>0</v>
      </c>
      <c r="C592" s="101"/>
      <c r="D592" s="101"/>
      <c r="E592" s="101"/>
      <c r="F592" s="101"/>
      <c r="G592" s="101"/>
      <c r="H592" s="101"/>
      <c r="I592" s="101"/>
      <c r="J592" s="101"/>
    </row>
    <row r="593" spans="2:10" ht="18.75">
      <c r="B593" s="101" t="s">
        <v>105</v>
      </c>
      <c r="C593" s="101"/>
      <c r="D593" s="101"/>
      <c r="E593" s="101"/>
      <c r="F593" s="101"/>
      <c r="G593" s="101"/>
      <c r="H593" s="101"/>
      <c r="I593" s="101"/>
      <c r="J593" s="101"/>
    </row>
    <row r="594" spans="2:10" ht="15.75">
      <c r="B594" s="104" t="s">
        <v>327</v>
      </c>
      <c r="C594" s="104"/>
      <c r="D594" s="104"/>
      <c r="E594" s="104"/>
      <c r="F594" s="104"/>
      <c r="G594" s="104"/>
      <c r="H594" s="104"/>
      <c r="I594" s="104"/>
      <c r="J594" s="104"/>
    </row>
    <row r="596" spans="2:10" ht="15.75">
      <c r="B596" s="9" t="s">
        <v>6</v>
      </c>
      <c r="D596" s="82" t="str">
        <f>'Master of Pay'!B29</f>
        <v>Code23</v>
      </c>
      <c r="H596" s="9" t="s">
        <v>7</v>
      </c>
      <c r="J596" s="82" t="str">
        <f>VLOOKUP(D596,'Master of Pay'!$B$7:$AI$33,5,)</f>
        <v>9569/Z</v>
      </c>
    </row>
    <row r="597" spans="2:10" ht="15.75">
      <c r="B597" s="9" t="s">
        <v>2</v>
      </c>
      <c r="D597" s="2" t="str">
        <f>VLOOKUP(D596,'Master of Pay'!$B$7:$AI$33,2,)</f>
        <v>Employee23</v>
      </c>
      <c r="H597" s="9" t="s">
        <v>3</v>
      </c>
      <c r="J597" s="82" t="str">
        <f>VLOOKUP(D596,'Master of Pay'!$B$7:$AI$33,6,)</f>
        <v>AAAAA1118A</v>
      </c>
    </row>
    <row r="598" spans="2:10" ht="15.75">
      <c r="B598" s="9" t="s">
        <v>1</v>
      </c>
      <c r="D598" s="2" t="str">
        <f>VLOOKUP(D596,'Master of Pay'!$B$7:$AI$33,3,)</f>
        <v>Superintendent</v>
      </c>
      <c r="H598" s="9" t="s">
        <v>4</v>
      </c>
      <c r="J598" s="82" t="str">
        <f>VLOOKUP(D596,'Master of Pay'!$B$7:$AI$33,7,)</f>
        <v>1100198/L</v>
      </c>
    </row>
    <row r="599" spans="2:10" ht="15.75">
      <c r="B599" s="9" t="s">
        <v>5</v>
      </c>
      <c r="D599" s="2" t="str">
        <f>VLOOKUP(D596,'Master of Pay'!$B$7:$AI$33,4,)</f>
        <v>Bank 1133</v>
      </c>
      <c r="H599" s="9" t="s">
        <v>8</v>
      </c>
      <c r="J599" s="82">
        <f>VLOOKUP(D596,'Master of Pay'!$B$7:$AI$33,8,)</f>
        <v>0</v>
      </c>
    </row>
    <row r="601" spans="2:10" ht="15.75">
      <c r="B601" s="105" t="s">
        <v>9</v>
      </c>
      <c r="C601" s="105"/>
      <c r="D601" s="5" t="s">
        <v>28</v>
      </c>
      <c r="E601" s="105" t="s">
        <v>10</v>
      </c>
      <c r="F601" s="105"/>
      <c r="G601" s="5" t="s">
        <v>28</v>
      </c>
      <c r="H601" s="105" t="s">
        <v>11</v>
      </c>
      <c r="I601" s="105"/>
      <c r="J601" s="5" t="s">
        <v>28</v>
      </c>
    </row>
    <row r="603" spans="2:10">
      <c r="B603" s="7" t="s">
        <v>19</v>
      </c>
      <c r="D603" s="2">
        <f>VLOOKUP(D596,'Master of Pay'!$B$7:$AI$33,9,)</f>
        <v>24980</v>
      </c>
      <c r="E603" s="2" t="s">
        <v>21</v>
      </c>
      <c r="G603" s="2">
        <f>VLOOKUP(D596,'Master of Pay'!$B$7:$AI$33,21,)</f>
        <v>500</v>
      </c>
      <c r="H603" s="2" t="s">
        <v>27</v>
      </c>
      <c r="J603" s="2">
        <f>VLOOKUP(D596,'Master of Pay'!$B$7:$AI$33,29,)</f>
        <v>0</v>
      </c>
    </row>
    <row r="604" spans="2:10">
      <c r="B604" s="7" t="s">
        <v>36</v>
      </c>
      <c r="D604" s="66">
        <f>VLOOKUP(D596,'Master of Pay'!$B$7:$AI$33,10,)</f>
        <v>6744.6</v>
      </c>
      <c r="E604" s="2" t="s">
        <v>22</v>
      </c>
      <c r="G604" s="2">
        <f>VLOOKUP(D596,'Master of Pay'!$B$7:$AI$33,22,)</f>
        <v>350</v>
      </c>
      <c r="H604" s="2" t="s">
        <v>172</v>
      </c>
      <c r="J604" s="2">
        <f>VLOOKUP(D596,'Master of Pay'!$B$7:$AI$33,30,)</f>
        <v>0</v>
      </c>
    </row>
    <row r="605" spans="2:10">
      <c r="B605" s="7" t="s">
        <v>13</v>
      </c>
      <c r="D605" s="65">
        <f>VLOOKUP(D596,'Master of Pay'!$B$7:$AI$33,11,)</f>
        <v>17961.619200000001</v>
      </c>
      <c r="E605" s="2" t="s">
        <v>23</v>
      </c>
      <c r="G605" s="2">
        <f>VLOOKUP(D596,'Master of Pay'!$B$7:$AI$33,23,)</f>
        <v>0</v>
      </c>
      <c r="H605" s="2" t="s">
        <v>111</v>
      </c>
      <c r="J605" s="2">
        <f>VLOOKUP(D596,'Master of Pay'!$B$7:$AI$33,31,)</f>
        <v>0</v>
      </c>
    </row>
    <row r="606" spans="2:10">
      <c r="B606" s="8" t="s">
        <v>14</v>
      </c>
      <c r="D606" s="2">
        <f>IF((D603*0.3)&gt;=12000,12000,D603*0.3)</f>
        <v>7494</v>
      </c>
      <c r="E606" s="2" t="s">
        <v>24</v>
      </c>
      <c r="G606" s="2">
        <f>VLOOKUP(D596,'Master of Pay'!$B$7:$AI$33,24,)</f>
        <v>60</v>
      </c>
      <c r="H606" s="2" t="s">
        <v>20</v>
      </c>
      <c r="J606" s="2">
        <f>VLOOKUP(D596,'Master of Pay'!$B$7:$AI$33,32,)</f>
        <v>0</v>
      </c>
    </row>
    <row r="607" spans="2:10">
      <c r="B607" s="8" t="s">
        <v>176</v>
      </c>
      <c r="D607" s="65">
        <f>VLOOKUP(D596,'Master of Pay'!$B$7:$AI$33,13,)</f>
        <v>650</v>
      </c>
      <c r="E607" s="2" t="s">
        <v>25</v>
      </c>
      <c r="G607" s="2">
        <f>VLOOKUP(D596,'Master of Pay'!$B$7:$AI$33,26,)</f>
        <v>0</v>
      </c>
    </row>
    <row r="608" spans="2:10">
      <c r="B608" s="7" t="s">
        <v>17</v>
      </c>
      <c r="D608" s="65">
        <f>VLOOKUP(D596,'Master of Pay'!$B$7:$AI$33,14,)</f>
        <v>1575</v>
      </c>
      <c r="E608" s="2" t="s">
        <v>26</v>
      </c>
      <c r="G608" s="2">
        <f>VLOOKUP(D596,'Master of Pay'!$B$7:$AI$33,25,)</f>
        <v>200</v>
      </c>
    </row>
    <row r="609" spans="1:10">
      <c r="B609" s="7" t="s">
        <v>43</v>
      </c>
      <c r="D609" s="65">
        <f>VLOOKUP(D596,'Master of Pay'!$B$7:$AI$33,15,)</f>
        <v>500</v>
      </c>
      <c r="E609" s="2" t="s">
        <v>20</v>
      </c>
      <c r="G609" s="2">
        <f>VLOOKUP(D596,'Master of Pay'!$B$7:$AI$33,27,)</f>
        <v>0</v>
      </c>
    </row>
    <row r="610" spans="1:10">
      <c r="B610" s="8" t="s">
        <v>44</v>
      </c>
      <c r="D610" s="65">
        <f>VLOOKUP(D596,'Master of Pay'!$B$7:$AI$33,16,)</f>
        <v>500</v>
      </c>
    </row>
    <row r="611" spans="1:10">
      <c r="B611" s="8" t="s">
        <v>45</v>
      </c>
      <c r="D611" s="65">
        <f>VLOOKUP(D596,'Master of Pay'!$B$7:$AI$33,17,)</f>
        <v>0</v>
      </c>
    </row>
    <row r="612" spans="1:10">
      <c r="B612" s="2" t="s">
        <v>46</v>
      </c>
      <c r="D612" s="65">
        <f>VLOOKUP(D596,'Master of Pay'!$B$7:$AI$33,18,)</f>
        <v>0</v>
      </c>
    </row>
    <row r="613" spans="1:10">
      <c r="B613" s="2" t="s">
        <v>20</v>
      </c>
      <c r="D613" s="65">
        <f>VLOOKUP(D596,'Master of Pay'!$B$7:$AI$33,19,)</f>
        <v>0</v>
      </c>
    </row>
    <row r="614" spans="1:10">
      <c r="B614" s="4" t="s">
        <v>29</v>
      </c>
      <c r="C614" s="6"/>
      <c r="D614" s="12">
        <f>SUM(D603:D613)</f>
        <v>60405.2192</v>
      </c>
      <c r="E614" s="4" t="s">
        <v>10</v>
      </c>
      <c r="F614" s="6"/>
      <c r="G614" s="4">
        <f>SUM(G603:G611)</f>
        <v>1110</v>
      </c>
      <c r="H614" s="4" t="s">
        <v>11</v>
      </c>
      <c r="I614" s="6"/>
      <c r="J614" s="4">
        <f>SUM(J603:J611)</f>
        <v>0</v>
      </c>
    </row>
    <row r="616" spans="1:10">
      <c r="B616" s="3" t="s">
        <v>30</v>
      </c>
      <c r="C616" s="3"/>
      <c r="D616" s="13">
        <f>D614-G614-J614</f>
        <v>59295.2192</v>
      </c>
    </row>
    <row r="618" spans="1:10" ht="18.75">
      <c r="A618" s="2">
        <v>24</v>
      </c>
      <c r="B618" s="101" t="s">
        <v>0</v>
      </c>
      <c r="C618" s="101"/>
      <c r="D618" s="101"/>
      <c r="E618" s="101"/>
      <c r="F618" s="101"/>
      <c r="G618" s="101"/>
      <c r="H618" s="101"/>
      <c r="I618" s="101"/>
      <c r="J618" s="101"/>
    </row>
    <row r="619" spans="1:10" ht="18.75">
      <c r="B619" s="101" t="s">
        <v>105</v>
      </c>
      <c r="C619" s="101"/>
      <c r="D619" s="101"/>
      <c r="E619" s="101"/>
      <c r="F619" s="101"/>
      <c r="G619" s="101"/>
      <c r="H619" s="101"/>
      <c r="I619" s="101"/>
      <c r="J619" s="101"/>
    </row>
    <row r="620" spans="1:10" ht="15.75">
      <c r="B620" s="104" t="s">
        <v>327</v>
      </c>
      <c r="C620" s="104"/>
      <c r="D620" s="104"/>
      <c r="E620" s="104"/>
      <c r="F620" s="104"/>
      <c r="G620" s="104"/>
      <c r="H620" s="104"/>
      <c r="I620" s="104"/>
      <c r="J620" s="104"/>
    </row>
    <row r="622" spans="1:10" ht="15.75">
      <c r="B622" s="9" t="s">
        <v>6</v>
      </c>
      <c r="D622" s="82" t="str">
        <f>'Master of Pay'!B30</f>
        <v>Code24</v>
      </c>
      <c r="H622" s="9" t="s">
        <v>7</v>
      </c>
      <c r="J622" s="82">
        <f>VLOOKUP(D622,'Master of Pay'!$B$7:$AI$33,5,)</f>
        <v>0</v>
      </c>
    </row>
    <row r="623" spans="1:10" ht="15.75">
      <c r="B623" s="9" t="s">
        <v>2</v>
      </c>
      <c r="D623" s="2" t="str">
        <f>VLOOKUP(D622,'Master of Pay'!$B$7:$AI$33,2,)</f>
        <v>Employee24</v>
      </c>
      <c r="H623" s="9" t="s">
        <v>3</v>
      </c>
      <c r="J623" s="82" t="str">
        <f>VLOOKUP(D622,'Master of Pay'!$B$7:$AI$33,6,)</f>
        <v>AAAAA1119A</v>
      </c>
    </row>
    <row r="624" spans="1:10" ht="15.75">
      <c r="B624" s="9" t="s">
        <v>1</v>
      </c>
      <c r="D624" s="2" t="str">
        <f>VLOOKUP(D622,'Master of Pay'!$B$7:$AI$33,3,)</f>
        <v>Superintendent</v>
      </c>
      <c r="H624" s="9" t="s">
        <v>4</v>
      </c>
      <c r="J624" s="82">
        <f>VLOOKUP(D622,'Master of Pay'!$B$7:$AI$33,7,)</f>
        <v>0</v>
      </c>
    </row>
    <row r="625" spans="2:10" ht="15.75">
      <c r="B625" s="9" t="s">
        <v>5</v>
      </c>
      <c r="D625" s="2" t="str">
        <f>VLOOKUP(D622,'Master of Pay'!$B$7:$AI$33,4,)</f>
        <v>Bank 1134</v>
      </c>
      <c r="H625" s="9" t="s">
        <v>8</v>
      </c>
      <c r="J625" s="82">
        <f>VLOOKUP(D622,'Master of Pay'!$B$7:$AI$33,8,)</f>
        <v>0</v>
      </c>
    </row>
    <row r="627" spans="2:10" ht="15.75">
      <c r="B627" s="105" t="s">
        <v>9</v>
      </c>
      <c r="C627" s="105"/>
      <c r="D627" s="5" t="s">
        <v>28</v>
      </c>
      <c r="E627" s="105" t="s">
        <v>10</v>
      </c>
      <c r="F627" s="105"/>
      <c r="G627" s="5" t="s">
        <v>28</v>
      </c>
      <c r="H627" s="105" t="s">
        <v>11</v>
      </c>
      <c r="I627" s="105"/>
      <c r="J627" s="5" t="s">
        <v>28</v>
      </c>
    </row>
    <row r="629" spans="2:10">
      <c r="B629" s="7" t="s">
        <v>19</v>
      </c>
      <c r="D629" s="2">
        <f>VLOOKUP(D622,'Master of Pay'!$B$7:$AI$33,9,)</f>
        <v>40510</v>
      </c>
      <c r="E629" s="2" t="s">
        <v>21</v>
      </c>
      <c r="G629" s="2">
        <f>VLOOKUP(D622,'Master of Pay'!$B$7:$AI$33,21,)</f>
        <v>0</v>
      </c>
      <c r="H629" s="2" t="s">
        <v>27</v>
      </c>
      <c r="J629" s="2">
        <f>VLOOKUP(D622,'Master of Pay'!$B$7:$AI$33,29,)</f>
        <v>0</v>
      </c>
    </row>
    <row r="630" spans="2:10">
      <c r="B630" s="7" t="s">
        <v>36</v>
      </c>
      <c r="D630" s="66">
        <f>VLOOKUP(D622,'Master of Pay'!$B$7:$AI$33,10,)</f>
        <v>10937.7</v>
      </c>
      <c r="E630" s="2" t="s">
        <v>22</v>
      </c>
      <c r="G630" s="2">
        <f>VLOOKUP(D622,'Master of Pay'!$B$7:$AI$33,22,)</f>
        <v>0</v>
      </c>
      <c r="H630" s="2" t="s">
        <v>172</v>
      </c>
      <c r="J630" s="2">
        <f>VLOOKUP(D622,'Master of Pay'!$B$7:$AI$33,30,)</f>
        <v>0</v>
      </c>
    </row>
    <row r="631" spans="2:10">
      <c r="B631" s="7" t="s">
        <v>13</v>
      </c>
      <c r="D631" s="65">
        <f>VLOOKUP(D622,'Master of Pay'!$B$7:$AI$33,11,)</f>
        <v>29128.310400000002</v>
      </c>
      <c r="E631" s="2" t="s">
        <v>23</v>
      </c>
      <c r="G631" s="2">
        <f>VLOOKUP(D622,'Master of Pay'!$B$7:$AI$33,23,)</f>
        <v>0</v>
      </c>
      <c r="H631" s="2" t="s">
        <v>111</v>
      </c>
      <c r="J631" s="2">
        <f>VLOOKUP(D622,'Master of Pay'!$B$7:$AI$33,31,)</f>
        <v>0</v>
      </c>
    </row>
    <row r="632" spans="2:10">
      <c r="B632" s="8" t="s">
        <v>14</v>
      </c>
      <c r="D632" s="2">
        <f>IF((D629*0.3)&gt;=12000,12000,D629*0.3)</f>
        <v>12000</v>
      </c>
      <c r="E632" s="2" t="s">
        <v>24</v>
      </c>
      <c r="G632" s="2">
        <f>VLOOKUP(D622,'Master of Pay'!$B$7:$AI$33,24,)</f>
        <v>0</v>
      </c>
      <c r="H632" s="2" t="s">
        <v>20</v>
      </c>
      <c r="J632" s="2">
        <f>VLOOKUP(D622,'Master of Pay'!$B$7:$AI$33,32,)</f>
        <v>0</v>
      </c>
    </row>
    <row r="633" spans="2:10">
      <c r="B633" s="8" t="s">
        <v>176</v>
      </c>
      <c r="D633" s="65">
        <f>VLOOKUP(D622,'Master of Pay'!$B$7:$AI$33,13,)</f>
        <v>970</v>
      </c>
      <c r="E633" s="2" t="s">
        <v>25</v>
      </c>
      <c r="G633" s="2">
        <f>VLOOKUP(D622,'Master of Pay'!$B$7:$AI$33,26,)</f>
        <v>0</v>
      </c>
    </row>
    <row r="634" spans="2:10">
      <c r="B634" s="7" t="s">
        <v>17</v>
      </c>
      <c r="D634" s="65">
        <f>VLOOKUP(D622,'Master of Pay'!$B$7:$AI$33,14,)</f>
        <v>1555</v>
      </c>
      <c r="E634" s="2" t="s">
        <v>26</v>
      </c>
      <c r="G634" s="2">
        <f>VLOOKUP(D622,'Master of Pay'!$B$7:$AI$33,25,)</f>
        <v>200</v>
      </c>
    </row>
    <row r="635" spans="2:10">
      <c r="B635" s="7" t="s">
        <v>43</v>
      </c>
      <c r="D635" s="65">
        <f>VLOOKUP(D622,'Master of Pay'!$B$7:$AI$33,15,)</f>
        <v>500</v>
      </c>
      <c r="E635" s="2" t="s">
        <v>20</v>
      </c>
      <c r="G635" s="2">
        <f>VLOOKUP(D622,'Master of Pay'!$B$7:$AI$33,27,)</f>
        <v>0</v>
      </c>
    </row>
    <row r="636" spans="2:10">
      <c r="B636" s="8" t="s">
        <v>44</v>
      </c>
      <c r="D636" s="65">
        <f>VLOOKUP(D622,'Master of Pay'!$B$7:$AI$33,16,)</f>
        <v>500</v>
      </c>
    </row>
    <row r="637" spans="2:10">
      <c r="B637" s="8" t="s">
        <v>45</v>
      </c>
      <c r="D637" s="65">
        <f>VLOOKUP(D622,'Master of Pay'!$B$7:$AI$33,17,)</f>
        <v>70</v>
      </c>
    </row>
    <row r="638" spans="2:10">
      <c r="B638" s="2" t="s">
        <v>46</v>
      </c>
      <c r="D638" s="65">
        <f>VLOOKUP(D622,'Master of Pay'!$B$7:$AI$33,18,)</f>
        <v>0</v>
      </c>
    </row>
    <row r="639" spans="2:10">
      <c r="B639" s="2" t="s">
        <v>20</v>
      </c>
      <c r="D639" s="65">
        <f>VLOOKUP(D622,'Master of Pay'!$B$7:$AI$33,19,)</f>
        <v>0</v>
      </c>
    </row>
    <row r="640" spans="2:10">
      <c r="B640" s="4" t="s">
        <v>29</v>
      </c>
      <c r="C640" s="6"/>
      <c r="D640" s="12">
        <f>SUM(D629:D639)</f>
        <v>96171.010399999999</v>
      </c>
      <c r="E640" s="4" t="s">
        <v>10</v>
      </c>
      <c r="F640" s="6"/>
      <c r="G640" s="4">
        <f>SUM(G629:G637)</f>
        <v>200</v>
      </c>
      <c r="H640" s="4" t="s">
        <v>11</v>
      </c>
      <c r="I640" s="6"/>
      <c r="J640" s="4">
        <f>SUM(J629:J637)</f>
        <v>0</v>
      </c>
    </row>
    <row r="642" spans="1:10">
      <c r="B642" s="3" t="s">
        <v>30</v>
      </c>
      <c r="C642" s="3"/>
      <c r="D642" s="13">
        <f>D640-G640-J640</f>
        <v>95971.010399999999</v>
      </c>
    </row>
    <row r="645" spans="1:10" ht="18.75">
      <c r="A645" s="2">
        <v>25</v>
      </c>
      <c r="B645" s="101" t="s">
        <v>0</v>
      </c>
      <c r="C645" s="101"/>
      <c r="D645" s="101"/>
      <c r="E645" s="101"/>
      <c r="F645" s="101"/>
      <c r="G645" s="101"/>
      <c r="H645" s="101"/>
      <c r="I645" s="101"/>
      <c r="J645" s="101"/>
    </row>
    <row r="646" spans="1:10" ht="18.75">
      <c r="B646" s="101" t="s">
        <v>105</v>
      </c>
      <c r="C646" s="101"/>
      <c r="D646" s="101"/>
      <c r="E646" s="101"/>
      <c r="F646" s="101"/>
      <c r="G646" s="101"/>
      <c r="H646" s="101"/>
      <c r="I646" s="101"/>
      <c r="J646" s="101"/>
    </row>
    <row r="647" spans="1:10" ht="15.75">
      <c r="B647" s="104" t="s">
        <v>327</v>
      </c>
      <c r="C647" s="104"/>
      <c r="D647" s="104"/>
      <c r="E647" s="104"/>
      <c r="F647" s="104"/>
      <c r="G647" s="104"/>
      <c r="H647" s="104"/>
      <c r="I647" s="104"/>
      <c r="J647" s="104"/>
    </row>
    <row r="649" spans="1:10" ht="15.75">
      <c r="B649" s="9" t="s">
        <v>6</v>
      </c>
      <c r="D649" s="82" t="str">
        <f>'Master of Pay'!B31</f>
        <v>Code25</v>
      </c>
      <c r="H649" s="9" t="s">
        <v>7</v>
      </c>
      <c r="J649" s="82" t="str">
        <f>VLOOKUP(D649,'Master of Pay'!$B$7:$AI$33,5,)</f>
        <v>84962/EDN</v>
      </c>
    </row>
    <row r="650" spans="1:10" ht="15.75">
      <c r="B650" s="9" t="s">
        <v>2</v>
      </c>
      <c r="D650" s="2" t="str">
        <f>VLOOKUP(D649,'Master of Pay'!$B$7:$AI$33,2,)</f>
        <v>Employee25</v>
      </c>
      <c r="H650" s="9" t="s">
        <v>3</v>
      </c>
      <c r="J650" s="82" t="str">
        <f>VLOOKUP(D649,'Master of Pay'!$B$7:$AI$33,6,)</f>
        <v>AAAAA1120A</v>
      </c>
    </row>
    <row r="651" spans="1:10" ht="15.75">
      <c r="B651" s="9" t="s">
        <v>1</v>
      </c>
      <c r="D651" s="2" t="str">
        <f>VLOOKUP(D649,'Master of Pay'!$B$7:$AI$33,3,)</f>
        <v>Superintendent</v>
      </c>
      <c r="H651" s="9" t="s">
        <v>4</v>
      </c>
      <c r="J651" s="82">
        <f>VLOOKUP(D649,'Master of Pay'!$B$7:$AI$33,7,)</f>
        <v>312843</v>
      </c>
    </row>
    <row r="652" spans="1:10" ht="15.75">
      <c r="B652" s="9" t="s">
        <v>5</v>
      </c>
      <c r="D652" s="2" t="str">
        <f>VLOOKUP(D649,'Master of Pay'!$B$7:$AI$33,4,)</f>
        <v>Bank 1135</v>
      </c>
      <c r="H652" s="9" t="s">
        <v>8</v>
      </c>
      <c r="J652" s="82" t="str">
        <f>VLOOKUP(D649,'Master of Pay'!$B$7:$AI$33,8,)</f>
        <v>14860-39540</v>
      </c>
    </row>
    <row r="654" spans="1:10" ht="15.75">
      <c r="B654" s="105" t="s">
        <v>9</v>
      </c>
      <c r="C654" s="105"/>
      <c r="D654" s="5" t="s">
        <v>28</v>
      </c>
      <c r="E654" s="105" t="s">
        <v>10</v>
      </c>
      <c r="F654" s="105"/>
      <c r="G654" s="5" t="s">
        <v>28</v>
      </c>
      <c r="H654" s="105" t="s">
        <v>11</v>
      </c>
      <c r="I654" s="105"/>
      <c r="J654" s="5" t="s">
        <v>28</v>
      </c>
    </row>
    <row r="656" spans="1:10">
      <c r="B656" s="7" t="s">
        <v>19</v>
      </c>
      <c r="D656" s="2">
        <f>VLOOKUP(D649,'Master of Pay'!$B$7:$AI$33,9,)</f>
        <v>16150</v>
      </c>
      <c r="E656" s="2" t="s">
        <v>21</v>
      </c>
      <c r="G656" s="2">
        <f>VLOOKUP(D649,'Master of Pay'!$B$7:$AI$33,21,)</f>
        <v>5000</v>
      </c>
      <c r="H656" s="2" t="s">
        <v>27</v>
      </c>
      <c r="J656" s="2">
        <f>VLOOKUP(D649,'Master of Pay'!$B$7:$AI$33,29,)</f>
        <v>0</v>
      </c>
    </row>
    <row r="657" spans="1:10">
      <c r="B657" s="7" t="s">
        <v>36</v>
      </c>
      <c r="D657" s="66">
        <f>VLOOKUP(D649,'Master of Pay'!$B$7:$AI$33,10,)</f>
        <v>4360.5</v>
      </c>
      <c r="E657" s="2" t="s">
        <v>22</v>
      </c>
      <c r="G657" s="2">
        <f>VLOOKUP(D649,'Master of Pay'!$B$7:$AI$33,22,)</f>
        <v>450</v>
      </c>
      <c r="H657" s="2" t="s">
        <v>172</v>
      </c>
      <c r="J657" s="2">
        <f>VLOOKUP(D649,'Master of Pay'!$B$7:$AI$33,30,)</f>
        <v>0</v>
      </c>
    </row>
    <row r="658" spans="1:10">
      <c r="B658" s="7" t="s">
        <v>13</v>
      </c>
      <c r="D658" s="65">
        <f>VLOOKUP(D649,'Master of Pay'!$B$7:$AI$33,11,)</f>
        <v>11612.496000000001</v>
      </c>
      <c r="E658" s="2" t="s">
        <v>23</v>
      </c>
      <c r="G658" s="2">
        <f>VLOOKUP(D649,'Master of Pay'!$B$7:$AI$33,23,)</f>
        <v>0</v>
      </c>
      <c r="H658" s="2" t="s">
        <v>111</v>
      </c>
      <c r="J658" s="2">
        <f>VLOOKUP(D649,'Master of Pay'!$B$7:$AI$33,31,)</f>
        <v>0</v>
      </c>
    </row>
    <row r="659" spans="1:10">
      <c r="B659" s="8" t="s">
        <v>14</v>
      </c>
      <c r="D659" s="2">
        <f>IF((D656*0.3)&gt;=12000,12000,D656*0.3)</f>
        <v>4845</v>
      </c>
      <c r="E659" s="2" t="s">
        <v>24</v>
      </c>
      <c r="G659" s="2">
        <f>VLOOKUP(D649,'Master of Pay'!$B$7:$AI$33,24,)</f>
        <v>60</v>
      </c>
      <c r="H659" s="2" t="s">
        <v>20</v>
      </c>
      <c r="J659" s="2">
        <f>VLOOKUP(D649,'Master of Pay'!$B$7:$AI$33,32,)</f>
        <v>0</v>
      </c>
    </row>
    <row r="660" spans="1:10">
      <c r="B660" s="8" t="s">
        <v>176</v>
      </c>
      <c r="D660" s="65">
        <f>VLOOKUP(D649,'Master of Pay'!$B$7:$AI$33,13,)</f>
        <v>450</v>
      </c>
      <c r="E660" s="2" t="s">
        <v>25</v>
      </c>
      <c r="G660" s="2">
        <f>VLOOKUP(D649,'Master of Pay'!$B$7:$AI$33,26,)</f>
        <v>0</v>
      </c>
    </row>
    <row r="661" spans="1:10">
      <c r="B661" s="7" t="s">
        <v>17</v>
      </c>
      <c r="D661" s="65">
        <f>VLOOKUP(D649,'Master of Pay'!$B$7:$AI$33,14,)</f>
        <v>350</v>
      </c>
      <c r="E661" s="2" t="s">
        <v>26</v>
      </c>
      <c r="G661" s="2">
        <f>VLOOKUP(D649,'Master of Pay'!$B$7:$AI$33,25,)</f>
        <v>200</v>
      </c>
    </row>
    <row r="662" spans="1:10">
      <c r="B662" s="7" t="s">
        <v>43</v>
      </c>
      <c r="D662" s="65">
        <f>VLOOKUP(D649,'Master of Pay'!$B$7:$AI$33,15,)</f>
        <v>500</v>
      </c>
      <c r="E662" s="2" t="s">
        <v>20</v>
      </c>
      <c r="G662" s="2">
        <f>VLOOKUP(D649,'Master of Pay'!$B$7:$AI$33,27,)</f>
        <v>0</v>
      </c>
    </row>
    <row r="663" spans="1:10">
      <c r="B663" s="8" t="s">
        <v>44</v>
      </c>
      <c r="D663" s="65">
        <f>VLOOKUP(D649,'Master of Pay'!$B$7:$AI$33,16,)</f>
        <v>500</v>
      </c>
    </row>
    <row r="664" spans="1:10">
      <c r="B664" s="8" t="s">
        <v>45</v>
      </c>
      <c r="D664" s="65">
        <f>VLOOKUP(D649,'Master of Pay'!$B$7:$AI$33,17,)</f>
        <v>40</v>
      </c>
    </row>
    <row r="665" spans="1:10">
      <c r="B665" s="2" t="s">
        <v>46</v>
      </c>
      <c r="D665" s="65">
        <f>VLOOKUP(D649,'Master of Pay'!$B$7:$AI$33,18,)</f>
        <v>0</v>
      </c>
    </row>
    <row r="666" spans="1:10">
      <c r="B666" s="2" t="s">
        <v>20</v>
      </c>
      <c r="D666" s="65">
        <f>VLOOKUP(D649,'Master of Pay'!$B$7:$AI$33,19,)</f>
        <v>0</v>
      </c>
    </row>
    <row r="667" spans="1:10">
      <c r="B667" s="4" t="s">
        <v>29</v>
      </c>
      <c r="C667" s="6"/>
      <c r="D667" s="12">
        <f>SUM(D656:D666)</f>
        <v>38807.995999999999</v>
      </c>
      <c r="E667" s="4" t="s">
        <v>10</v>
      </c>
      <c r="F667" s="6"/>
      <c r="G667" s="4">
        <f>SUM(G656:G664)</f>
        <v>5710</v>
      </c>
      <c r="H667" s="4" t="s">
        <v>11</v>
      </c>
      <c r="I667" s="6"/>
      <c r="J667" s="4">
        <f>SUM(J656:J664)</f>
        <v>0</v>
      </c>
    </row>
    <row r="669" spans="1:10">
      <c r="B669" s="3" t="s">
        <v>30</v>
      </c>
      <c r="C669" s="3"/>
      <c r="D669" s="13">
        <f>D667-G667-J667</f>
        <v>33097.995999999999</v>
      </c>
    </row>
    <row r="671" spans="1:10" ht="18.75">
      <c r="A671" s="2">
        <v>26</v>
      </c>
      <c r="B671" s="101" t="s">
        <v>0</v>
      </c>
      <c r="C671" s="101"/>
      <c r="D671" s="101"/>
      <c r="E671" s="101"/>
      <c r="F671" s="101"/>
      <c r="G671" s="101"/>
      <c r="H671" s="101"/>
      <c r="I671" s="101"/>
      <c r="J671" s="101"/>
    </row>
    <row r="672" spans="1:10" ht="18.75">
      <c r="B672" s="101" t="s">
        <v>105</v>
      </c>
      <c r="C672" s="101"/>
      <c r="D672" s="101"/>
      <c r="E672" s="101"/>
      <c r="F672" s="101"/>
      <c r="G672" s="101"/>
      <c r="H672" s="101"/>
      <c r="I672" s="101"/>
      <c r="J672" s="101"/>
    </row>
    <row r="673" spans="2:10" ht="15.75">
      <c r="B673" s="104" t="s">
        <v>327</v>
      </c>
      <c r="C673" s="104"/>
      <c r="D673" s="104"/>
      <c r="E673" s="104"/>
      <c r="F673" s="104"/>
      <c r="G673" s="104"/>
      <c r="H673" s="104"/>
      <c r="I673" s="104"/>
      <c r="J673" s="104"/>
    </row>
    <row r="675" spans="2:10" ht="15.75">
      <c r="B675" s="9" t="s">
        <v>6</v>
      </c>
      <c r="D675" s="82" t="str">
        <f>'Master of Pay'!B32</f>
        <v>Code26</v>
      </c>
      <c r="H675" s="9" t="s">
        <v>7</v>
      </c>
      <c r="J675" s="82" t="str">
        <f>VLOOKUP(D675,'Master of Pay'!$B$7:$AI$33,5,)</f>
        <v>75638/EDN</v>
      </c>
    </row>
    <row r="676" spans="2:10" ht="15.75">
      <c r="B676" s="9" t="s">
        <v>2</v>
      </c>
      <c r="D676" s="2" t="str">
        <f>VLOOKUP(D675,'Master of Pay'!$B$7:$AI$33,2,)</f>
        <v>Employee26</v>
      </c>
      <c r="H676" s="9" t="s">
        <v>3</v>
      </c>
      <c r="J676" s="82" t="str">
        <f>VLOOKUP(D675,'Master of Pay'!$B$7:$AI$33,6,)</f>
        <v>AAAAA1121A</v>
      </c>
    </row>
    <row r="677" spans="2:10" ht="15.75">
      <c r="B677" s="9" t="s">
        <v>1</v>
      </c>
      <c r="D677" s="2" t="str">
        <f>VLOOKUP(D675,'Master of Pay'!$B$7:$AI$33,3,)</f>
        <v>Sr Asst</v>
      </c>
      <c r="H677" s="9" t="s">
        <v>4</v>
      </c>
      <c r="J677" s="82" t="str">
        <f>VLOOKUP(D675,'Master of Pay'!$B$7:$AI$33,7,)</f>
        <v>286025-A</v>
      </c>
    </row>
    <row r="678" spans="2:10" ht="15.75">
      <c r="B678" s="9" t="s">
        <v>5</v>
      </c>
      <c r="D678" s="2" t="str">
        <f>VLOOKUP(D675,'Master of Pay'!$B$7:$AI$33,4,)</f>
        <v>Bank 1136</v>
      </c>
      <c r="H678" s="9" t="s">
        <v>8</v>
      </c>
      <c r="J678" s="82" t="str">
        <f>VLOOKUP(D675,'Master of Pay'!$B$7:$AI$33,8,)</f>
        <v>6030-31250</v>
      </c>
    </row>
    <row r="680" spans="2:10" ht="15.75">
      <c r="B680" s="105" t="s">
        <v>9</v>
      </c>
      <c r="C680" s="105"/>
      <c r="D680" s="5" t="s">
        <v>28</v>
      </c>
      <c r="E680" s="105" t="s">
        <v>10</v>
      </c>
      <c r="F680" s="105"/>
      <c r="G680" s="5" t="s">
        <v>28</v>
      </c>
      <c r="H680" s="105" t="s">
        <v>11</v>
      </c>
      <c r="I680" s="105"/>
      <c r="J680" s="5" t="s">
        <v>28</v>
      </c>
    </row>
    <row r="682" spans="2:10">
      <c r="B682" s="7" t="s">
        <v>19</v>
      </c>
      <c r="D682" s="2">
        <f>VLOOKUP(D675,'Master of Pay'!$B$7:$AI$33,9,)</f>
        <v>6030</v>
      </c>
      <c r="E682" s="2" t="s">
        <v>21</v>
      </c>
      <c r="G682" s="2">
        <f>VLOOKUP(D675,'Master of Pay'!$B$7:$AI$33,21,)</f>
        <v>5000</v>
      </c>
      <c r="H682" s="2" t="s">
        <v>27</v>
      </c>
      <c r="J682" s="2">
        <f>VLOOKUP(D675,'Master of Pay'!$B$7:$AI$33,29,)</f>
        <v>2500</v>
      </c>
    </row>
    <row r="683" spans="2:10">
      <c r="B683" s="7" t="s">
        <v>36</v>
      </c>
      <c r="D683" s="66">
        <f>VLOOKUP(D675,'Master of Pay'!$B$7:$AI$33,10,)</f>
        <v>1628.1000000000001</v>
      </c>
      <c r="E683" s="2" t="s">
        <v>22</v>
      </c>
      <c r="G683" s="2">
        <f>VLOOKUP(D675,'Master of Pay'!$B$7:$AI$33,22,)</f>
        <v>350</v>
      </c>
      <c r="H683" s="2" t="s">
        <v>172</v>
      </c>
      <c r="J683" s="2">
        <f>VLOOKUP(D675,'Master of Pay'!$B$7:$AI$33,30,)</f>
        <v>0</v>
      </c>
    </row>
    <row r="684" spans="2:10">
      <c r="B684" s="7" t="s">
        <v>13</v>
      </c>
      <c r="D684" s="65">
        <f>VLOOKUP(D675,'Master of Pay'!$B$7:$AI$33,11,)</f>
        <v>0</v>
      </c>
      <c r="E684" s="2" t="s">
        <v>23</v>
      </c>
      <c r="G684" s="2">
        <f>VLOOKUP(D675,'Master of Pay'!$B$7:$AI$33,23,)</f>
        <v>1000</v>
      </c>
      <c r="H684" s="2" t="s">
        <v>111</v>
      </c>
      <c r="J684" s="2">
        <f>VLOOKUP(D675,'Master of Pay'!$B$7:$AI$33,31,)</f>
        <v>0</v>
      </c>
    </row>
    <row r="685" spans="2:10">
      <c r="B685" s="8" t="s">
        <v>14</v>
      </c>
      <c r="D685" s="2">
        <f>IF((D682*0.3)&gt;=12000,12000,D682*0.3)</f>
        <v>1809</v>
      </c>
      <c r="E685" s="2" t="s">
        <v>24</v>
      </c>
      <c r="G685" s="2">
        <f>VLOOKUP(D675,'Master of Pay'!$B$7:$AI$33,24,)</f>
        <v>30</v>
      </c>
      <c r="H685" s="2" t="s">
        <v>20</v>
      </c>
      <c r="J685" s="2">
        <f>VLOOKUP(D675,'Master of Pay'!$B$7:$AI$33,32,)</f>
        <v>0</v>
      </c>
    </row>
    <row r="686" spans="2:10">
      <c r="B686" s="8" t="s">
        <v>176</v>
      </c>
      <c r="D686" s="65">
        <f>VLOOKUP(D675,'Master of Pay'!$B$7:$AI$33,13,)</f>
        <v>570</v>
      </c>
      <c r="E686" s="2" t="s">
        <v>25</v>
      </c>
      <c r="G686" s="2">
        <f>VLOOKUP(D675,'Master of Pay'!$B$7:$AI$33,26,)</f>
        <v>0</v>
      </c>
    </row>
    <row r="687" spans="2:10">
      <c r="B687" s="7" t="s">
        <v>17</v>
      </c>
      <c r="D687" s="65">
        <f>VLOOKUP(D675,'Master of Pay'!$B$7:$AI$33,14,)</f>
        <v>525</v>
      </c>
      <c r="E687" s="2" t="s">
        <v>26</v>
      </c>
      <c r="G687" s="2">
        <f>VLOOKUP(D675,'Master of Pay'!$B$7:$AI$33,25,)</f>
        <v>0</v>
      </c>
    </row>
    <row r="688" spans="2:10">
      <c r="B688" s="7" t="s">
        <v>43</v>
      </c>
      <c r="D688" s="65">
        <f>VLOOKUP(D675,'Master of Pay'!$B$7:$AI$33,15,)</f>
        <v>500</v>
      </c>
      <c r="E688" s="2" t="s">
        <v>20</v>
      </c>
      <c r="G688" s="2">
        <f>VLOOKUP(D675,'Master of Pay'!$B$7:$AI$33,27,)</f>
        <v>0</v>
      </c>
    </row>
    <row r="689" spans="1:10">
      <c r="B689" s="8" t="s">
        <v>44</v>
      </c>
      <c r="D689" s="65">
        <f>VLOOKUP(D675,'Master of Pay'!$B$7:$AI$33,16,)</f>
        <v>500</v>
      </c>
    </row>
    <row r="690" spans="1:10">
      <c r="B690" s="8" t="s">
        <v>45</v>
      </c>
      <c r="D690" s="65">
        <f>VLOOKUP(D675,'Master of Pay'!$B$7:$AI$33,17,)</f>
        <v>30</v>
      </c>
    </row>
    <row r="691" spans="1:10">
      <c r="B691" s="2" t="s">
        <v>46</v>
      </c>
      <c r="D691" s="65">
        <f>VLOOKUP(D675,'Master of Pay'!$B$7:$AI$33,18,)</f>
        <v>0</v>
      </c>
    </row>
    <row r="692" spans="1:10">
      <c r="B692" s="2" t="s">
        <v>20</v>
      </c>
      <c r="D692" s="65">
        <f>VLOOKUP(D675,'Master of Pay'!$B$7:$AI$33,19,)</f>
        <v>0</v>
      </c>
    </row>
    <row r="693" spans="1:10">
      <c r="B693" s="4" t="s">
        <v>29</v>
      </c>
      <c r="C693" s="6"/>
      <c r="D693" s="12">
        <f>SUM(D682:D692)</f>
        <v>11592.1</v>
      </c>
      <c r="E693" s="4" t="s">
        <v>10</v>
      </c>
      <c r="F693" s="6"/>
      <c r="G693" s="4">
        <f>SUM(G682:G690)</f>
        <v>6380</v>
      </c>
      <c r="H693" s="4" t="s">
        <v>11</v>
      </c>
      <c r="I693" s="6"/>
      <c r="J693" s="4">
        <f>SUM(J682:J690)</f>
        <v>2500</v>
      </c>
    </row>
    <row r="695" spans="1:10">
      <c r="B695" s="3" t="s">
        <v>30</v>
      </c>
      <c r="C695" s="3"/>
      <c r="D695" s="13">
        <f>D693-G693-J693</f>
        <v>2712.1000000000004</v>
      </c>
    </row>
    <row r="698" spans="1:10" ht="18.75">
      <c r="A698" s="2">
        <v>27</v>
      </c>
      <c r="B698" s="101" t="s">
        <v>0</v>
      </c>
      <c r="C698" s="101"/>
      <c r="D698" s="101"/>
      <c r="E698" s="101"/>
      <c r="F698" s="101"/>
      <c r="G698" s="101"/>
      <c r="H698" s="101"/>
      <c r="I698" s="101"/>
      <c r="J698" s="101"/>
    </row>
    <row r="699" spans="1:10" ht="18.75">
      <c r="B699" s="101" t="s">
        <v>105</v>
      </c>
      <c r="C699" s="101"/>
      <c r="D699" s="101"/>
      <c r="E699" s="101"/>
      <c r="F699" s="101"/>
      <c r="G699" s="101"/>
      <c r="H699" s="101"/>
      <c r="I699" s="101"/>
      <c r="J699" s="101"/>
    </row>
    <row r="700" spans="1:10" ht="15.75">
      <c r="B700" s="104" t="s">
        <v>327</v>
      </c>
      <c r="C700" s="104"/>
      <c r="D700" s="104"/>
      <c r="E700" s="104"/>
      <c r="F700" s="104"/>
      <c r="G700" s="104"/>
      <c r="H700" s="104"/>
      <c r="I700" s="104"/>
      <c r="J700" s="104"/>
    </row>
    <row r="702" spans="1:10" ht="15.75">
      <c r="B702" s="9" t="s">
        <v>6</v>
      </c>
      <c r="D702" s="82" t="str">
        <f>'Master of Pay'!B33</f>
        <v>Code27</v>
      </c>
      <c r="H702" s="9" t="s">
        <v>7</v>
      </c>
      <c r="J702" s="82">
        <f>VLOOKUP(D702,'Master of Pay'!$B$7:$AI$33,5,)</f>
        <v>0</v>
      </c>
    </row>
    <row r="703" spans="1:10" ht="15.75">
      <c r="B703" s="9" t="s">
        <v>2</v>
      </c>
      <c r="D703" s="2" t="str">
        <f>VLOOKUP(D702,'Master of Pay'!$B$7:$AI$33,2,)</f>
        <v>Employee27</v>
      </c>
      <c r="H703" s="9" t="s">
        <v>3</v>
      </c>
      <c r="J703" s="82" t="str">
        <f>VLOOKUP(D702,'Master of Pay'!$B$7:$AI$33,6,)</f>
        <v>AAAAA1122A</v>
      </c>
    </row>
    <row r="704" spans="1:10" ht="15.75">
      <c r="B704" s="9" t="s">
        <v>1</v>
      </c>
      <c r="D704" s="2" t="str">
        <f>VLOOKUP(D702,'Master of Pay'!$B$7:$AI$33,3,)</f>
        <v>IED-Co</v>
      </c>
      <c r="H704" s="9" t="s">
        <v>4</v>
      </c>
      <c r="J704" s="82">
        <f>VLOOKUP(D702,'Master of Pay'!$B$7:$AI$33,7,)</f>
        <v>0</v>
      </c>
    </row>
    <row r="705" spans="2:10" ht="15.75">
      <c r="B705" s="9" t="s">
        <v>5</v>
      </c>
      <c r="D705" s="2" t="str">
        <f>VLOOKUP(D702,'Master of Pay'!$B$7:$AI$33,4,)</f>
        <v>Bank 1137</v>
      </c>
      <c r="H705" s="9" t="s">
        <v>8</v>
      </c>
      <c r="J705" s="82" t="str">
        <f>VLOOKUP(D702,'Master of Pay'!$B$7:$AI$33,8,)</f>
        <v>6030-31250</v>
      </c>
    </row>
    <row r="707" spans="2:10" ht="15.75">
      <c r="B707" s="105" t="s">
        <v>9</v>
      </c>
      <c r="C707" s="105"/>
      <c r="D707" s="5" t="s">
        <v>28</v>
      </c>
      <c r="E707" s="105" t="s">
        <v>10</v>
      </c>
      <c r="F707" s="105"/>
      <c r="G707" s="5" t="s">
        <v>28</v>
      </c>
      <c r="H707" s="105" t="s">
        <v>11</v>
      </c>
      <c r="I707" s="105"/>
      <c r="J707" s="5" t="s">
        <v>28</v>
      </c>
    </row>
    <row r="709" spans="2:10">
      <c r="B709" s="7" t="s">
        <v>19</v>
      </c>
      <c r="D709" s="2">
        <f>VLOOKUP(D702,'Master of Pay'!$B$7:$AI$33,9,)</f>
        <v>7150</v>
      </c>
      <c r="E709" s="2" t="s">
        <v>21</v>
      </c>
      <c r="G709" s="2">
        <f>VLOOKUP(D702,'Master of Pay'!$B$7:$AI$33,21,)</f>
        <v>0</v>
      </c>
      <c r="H709" s="2" t="s">
        <v>27</v>
      </c>
      <c r="J709" s="2">
        <f>VLOOKUP(D702,'Master of Pay'!$B$7:$AI$33,29,)</f>
        <v>0</v>
      </c>
    </row>
    <row r="710" spans="2:10">
      <c r="B710" s="7" t="s">
        <v>36</v>
      </c>
      <c r="D710" s="66">
        <f>VLOOKUP(D702,'Master of Pay'!$B$7:$AI$33,10,)</f>
        <v>1930.5000000000002</v>
      </c>
      <c r="E710" s="2" t="s">
        <v>22</v>
      </c>
      <c r="G710" s="2">
        <f>VLOOKUP(D702,'Master of Pay'!$B$7:$AI$33,22,)</f>
        <v>0</v>
      </c>
      <c r="H710" s="2" t="s">
        <v>172</v>
      </c>
      <c r="J710" s="2">
        <f>VLOOKUP(D702,'Master of Pay'!$B$7:$AI$33,30,)</f>
        <v>0</v>
      </c>
    </row>
    <row r="711" spans="2:10">
      <c r="B711" s="7" t="s">
        <v>13</v>
      </c>
      <c r="D711" s="65">
        <f>VLOOKUP(D702,'Master of Pay'!$B$7:$AI$33,11,)</f>
        <v>5141.1360000000004</v>
      </c>
      <c r="E711" s="2" t="s">
        <v>23</v>
      </c>
      <c r="G711" s="2">
        <f>VLOOKUP(D702,'Master of Pay'!$B$7:$AI$33,23,)</f>
        <v>0</v>
      </c>
      <c r="H711" s="2" t="s">
        <v>111</v>
      </c>
      <c r="J711" s="2">
        <f>VLOOKUP(D702,'Master of Pay'!$B$7:$AI$33,31,)</f>
        <v>0</v>
      </c>
    </row>
    <row r="712" spans="2:10">
      <c r="B712" s="8" t="s">
        <v>14</v>
      </c>
      <c r="D712" s="2">
        <f>IF((D709*0.3)&gt;=12000,12000,D709*0.3)</f>
        <v>2145</v>
      </c>
      <c r="E712" s="2" t="s">
        <v>24</v>
      </c>
      <c r="G712" s="2">
        <f>VLOOKUP(D702,'Master of Pay'!$B$7:$AI$33,24,)</f>
        <v>0</v>
      </c>
      <c r="H712" s="2" t="s">
        <v>20</v>
      </c>
      <c r="J712" s="2">
        <f>VLOOKUP(D702,'Master of Pay'!$B$7:$AI$33,32,)</f>
        <v>0</v>
      </c>
    </row>
    <row r="713" spans="2:10">
      <c r="B713" s="8" t="s">
        <v>176</v>
      </c>
      <c r="D713" s="65">
        <f>VLOOKUP(D702,'Master of Pay'!$B$7:$AI$33,13,)</f>
        <v>650</v>
      </c>
      <c r="E713" s="2" t="s">
        <v>25</v>
      </c>
      <c r="G713" s="2">
        <f>VLOOKUP(D702,'Master of Pay'!$B$7:$AI$33,26,)</f>
        <v>0</v>
      </c>
    </row>
    <row r="714" spans="2:10">
      <c r="B714" s="7" t="s">
        <v>17</v>
      </c>
      <c r="D714" s="65">
        <f>VLOOKUP(D702,'Master of Pay'!$B$7:$AI$33,14,)</f>
        <v>525</v>
      </c>
      <c r="E714" s="2" t="s">
        <v>26</v>
      </c>
      <c r="G714" s="2">
        <f>VLOOKUP(D702,'Master of Pay'!$B$7:$AI$33,25,)</f>
        <v>150</v>
      </c>
    </row>
    <row r="715" spans="2:10">
      <c r="B715" s="7" t="s">
        <v>43</v>
      </c>
      <c r="D715" s="65">
        <f>VLOOKUP(D702,'Master of Pay'!$B$7:$AI$33,15,)</f>
        <v>500</v>
      </c>
      <c r="E715" s="2" t="s">
        <v>20</v>
      </c>
      <c r="G715" s="2">
        <f>VLOOKUP(D702,'Master of Pay'!$B$7:$AI$33,27,)</f>
        <v>0</v>
      </c>
    </row>
    <row r="716" spans="2:10">
      <c r="B716" s="8" t="s">
        <v>44</v>
      </c>
      <c r="D716" s="65">
        <f>VLOOKUP(D702,'Master of Pay'!$B$7:$AI$33,16,)</f>
        <v>500</v>
      </c>
    </row>
    <row r="717" spans="2:10">
      <c r="B717" s="8" t="s">
        <v>45</v>
      </c>
      <c r="D717" s="65">
        <f>VLOOKUP(D702,'Master of Pay'!$B$7:$AI$33,17,)</f>
        <v>0</v>
      </c>
    </row>
    <row r="718" spans="2:10">
      <c r="B718" s="2" t="s">
        <v>46</v>
      </c>
      <c r="D718" s="65">
        <f>VLOOKUP(D702,'Master of Pay'!$B$7:$AI$33,18,)</f>
        <v>0</v>
      </c>
    </row>
    <row r="719" spans="2:10">
      <c r="B719" s="2" t="s">
        <v>20</v>
      </c>
      <c r="D719" s="65">
        <f>VLOOKUP(D702,'Master of Pay'!$B$7:$AI$33,19,)</f>
        <v>0</v>
      </c>
    </row>
    <row r="720" spans="2:10">
      <c r="B720" s="4" t="s">
        <v>29</v>
      </c>
      <c r="C720" s="6"/>
      <c r="D720" s="12">
        <f>SUM(D709:D719)</f>
        <v>18541.635999999999</v>
      </c>
      <c r="E720" s="4" t="s">
        <v>10</v>
      </c>
      <c r="F720" s="6"/>
      <c r="G720" s="4">
        <f>SUM(G709:G717)</f>
        <v>150</v>
      </c>
      <c r="H720" s="4" t="s">
        <v>11</v>
      </c>
      <c r="I720" s="6"/>
      <c r="J720" s="4">
        <f>SUM(J709:J717)</f>
        <v>0</v>
      </c>
    </row>
    <row r="722" spans="2:4">
      <c r="B722" s="3" t="s">
        <v>30</v>
      </c>
      <c r="C722" s="3"/>
      <c r="D722" s="13">
        <f>D720-G720-J720</f>
        <v>18391.635999999999</v>
      </c>
    </row>
  </sheetData>
  <sheetProtection password="CC3D" sheet="1" formatCells="0" formatColumns="0" formatRows="0" insertColumns="0" insertRows="0" insertHyperlinks="0" deleteColumns="0" deleteRows="0" sort="0" autoFilter="0" pivotTables="0"/>
  <mergeCells count="163">
    <mergeCell ref="B601:C601"/>
    <mergeCell ref="E601:F601"/>
    <mergeCell ref="H601:I601"/>
    <mergeCell ref="B698:J698"/>
    <mergeCell ref="B699:J699"/>
    <mergeCell ref="B707:C707"/>
    <mergeCell ref="E707:F707"/>
    <mergeCell ref="H707:I707"/>
    <mergeCell ref="B618:J618"/>
    <mergeCell ref="B619:J619"/>
    <mergeCell ref="B620:J620"/>
    <mergeCell ref="B627:C627"/>
    <mergeCell ref="E627:F627"/>
    <mergeCell ref="H627:I627"/>
    <mergeCell ref="B645:J645"/>
    <mergeCell ref="B646:J646"/>
    <mergeCell ref="B647:J647"/>
    <mergeCell ref="B700:J700"/>
    <mergeCell ref="B654:C654"/>
    <mergeCell ref="E654:F654"/>
    <mergeCell ref="H654:I654"/>
    <mergeCell ref="B671:J671"/>
    <mergeCell ref="B488:J488"/>
    <mergeCell ref="B407:J407"/>
    <mergeCell ref="B408:J408"/>
    <mergeCell ref="B415:C415"/>
    <mergeCell ref="B672:J672"/>
    <mergeCell ref="B673:J673"/>
    <mergeCell ref="B680:C680"/>
    <mergeCell ref="E680:F680"/>
    <mergeCell ref="H680:I680"/>
    <mergeCell ref="B539:J539"/>
    <mergeCell ref="B540:J540"/>
    <mergeCell ref="B548:C548"/>
    <mergeCell ref="E548:F548"/>
    <mergeCell ref="H548:I548"/>
    <mergeCell ref="B574:C574"/>
    <mergeCell ref="E574:F574"/>
    <mergeCell ref="H574:I574"/>
    <mergeCell ref="B592:J592"/>
    <mergeCell ref="B565:J565"/>
    <mergeCell ref="B566:J566"/>
    <mergeCell ref="B567:J567"/>
    <mergeCell ref="B541:J541"/>
    <mergeCell ref="B593:J593"/>
    <mergeCell ref="B594:J594"/>
    <mergeCell ref="E283:F283"/>
    <mergeCell ref="H283:I283"/>
    <mergeCell ref="B300:J300"/>
    <mergeCell ref="B309:C309"/>
    <mergeCell ref="E309:F309"/>
    <mergeCell ref="H309:I309"/>
    <mergeCell ref="B327:J327"/>
    <mergeCell ref="B301:J301"/>
    <mergeCell ref="B302:J302"/>
    <mergeCell ref="B495:C495"/>
    <mergeCell ref="E495:F495"/>
    <mergeCell ref="H495:I495"/>
    <mergeCell ref="B512:J512"/>
    <mergeCell ref="B513:J513"/>
    <mergeCell ref="B514:J514"/>
    <mergeCell ref="B521:C521"/>
    <mergeCell ref="E521:F521"/>
    <mergeCell ref="H521:I521"/>
    <mergeCell ref="B150:C150"/>
    <mergeCell ref="E150:F150"/>
    <mergeCell ref="H150:I150"/>
    <mergeCell ref="B196:J196"/>
    <mergeCell ref="B177:C177"/>
    <mergeCell ref="E177:F177"/>
    <mergeCell ref="H177:I177"/>
    <mergeCell ref="B194:J194"/>
    <mergeCell ref="B195:J195"/>
    <mergeCell ref="E415:F415"/>
    <mergeCell ref="H415:I415"/>
    <mergeCell ref="B433:J433"/>
    <mergeCell ref="B434:J434"/>
    <mergeCell ref="B435:J435"/>
    <mergeCell ref="B442:C442"/>
    <mergeCell ref="E442:F442"/>
    <mergeCell ref="H442:I442"/>
    <mergeCell ref="B459:J459"/>
    <mergeCell ref="B460:J460"/>
    <mergeCell ref="B461:J461"/>
    <mergeCell ref="B468:C468"/>
    <mergeCell ref="E468:F468"/>
    <mergeCell ref="H468:I468"/>
    <mergeCell ref="B486:J486"/>
    <mergeCell ref="B487:J487"/>
    <mergeCell ref="E33:F33"/>
    <mergeCell ref="B7:J7"/>
    <mergeCell ref="B9:J9"/>
    <mergeCell ref="B16:C16"/>
    <mergeCell ref="E16:F16"/>
    <mergeCell ref="H16:I16"/>
    <mergeCell ref="B8:J8"/>
    <mergeCell ref="B90:J90"/>
    <mergeCell ref="B169:J169"/>
    <mergeCell ref="B34:J34"/>
    <mergeCell ref="B36:J36"/>
    <mergeCell ref="B43:C43"/>
    <mergeCell ref="E43:F43"/>
    <mergeCell ref="B62:J62"/>
    <mergeCell ref="B63:J63"/>
    <mergeCell ref="B64:J64"/>
    <mergeCell ref="B71:C71"/>
    <mergeCell ref="E71:F71"/>
    <mergeCell ref="H71:I71"/>
    <mergeCell ref="B35:J35"/>
    <mergeCell ref="H43:I43"/>
    <mergeCell ref="B88:J88"/>
    <mergeCell ref="B97:C97"/>
    <mergeCell ref="E97:F97"/>
    <mergeCell ref="B143:J143"/>
    <mergeCell ref="B328:J328"/>
    <mergeCell ref="H97:I97"/>
    <mergeCell ref="B115:J115"/>
    <mergeCell ref="B124:C124"/>
    <mergeCell ref="E124:F124"/>
    <mergeCell ref="H124:I124"/>
    <mergeCell ref="B116:J116"/>
    <mergeCell ref="B117:J117"/>
    <mergeCell ref="B89:J89"/>
    <mergeCell ref="H203:I203"/>
    <mergeCell ref="B203:C203"/>
    <mergeCell ref="E203:F203"/>
    <mergeCell ref="B170:J170"/>
    <mergeCell ref="B142:J142"/>
    <mergeCell ref="B168:J168"/>
    <mergeCell ref="B141:J141"/>
    <mergeCell ref="B329:J329"/>
    <mergeCell ref="B336:C336"/>
    <mergeCell ref="E336:F336"/>
    <mergeCell ref="H336:I336"/>
    <mergeCell ref="B353:J353"/>
    <mergeCell ref="B362:C362"/>
    <mergeCell ref="E362:F362"/>
    <mergeCell ref="H362:I362"/>
    <mergeCell ref="B221:J221"/>
    <mergeCell ref="B230:C230"/>
    <mergeCell ref="E230:F230"/>
    <mergeCell ref="H230:I230"/>
    <mergeCell ref="B247:J247"/>
    <mergeCell ref="B248:J248"/>
    <mergeCell ref="B256:C256"/>
    <mergeCell ref="E256:F256"/>
    <mergeCell ref="H256:I256"/>
    <mergeCell ref="B249:J249"/>
    <mergeCell ref="B222:J222"/>
    <mergeCell ref="B223:J223"/>
    <mergeCell ref="B274:J274"/>
    <mergeCell ref="B283:C283"/>
    <mergeCell ref="B275:J275"/>
    <mergeCell ref="B276:J276"/>
    <mergeCell ref="B406:J406"/>
    <mergeCell ref="B381:J381"/>
    <mergeCell ref="B382:J382"/>
    <mergeCell ref="B380:J380"/>
    <mergeCell ref="B389:C389"/>
    <mergeCell ref="E389:F389"/>
    <mergeCell ref="H389:I389"/>
    <mergeCell ref="B354:J354"/>
    <mergeCell ref="B355:J355"/>
  </mergeCells>
  <pageMargins left="0.36" right="0.17" top="0.31" bottom="0.3" header="0.17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topLeftCell="A7" workbookViewId="0">
      <selection activeCell="C20" sqref="C20"/>
    </sheetView>
  </sheetViews>
  <sheetFormatPr defaultRowHeight="15"/>
  <cols>
    <col min="1" max="1" width="5" bestFit="1" customWidth="1"/>
    <col min="2" max="2" width="8.5703125" bestFit="1" customWidth="1"/>
    <col min="3" max="3" width="23" customWidth="1"/>
    <col min="4" max="4" width="7.140625" customWidth="1"/>
    <col min="5" max="5" width="5.5703125" customWidth="1"/>
  </cols>
  <sheetData>
    <row r="1" spans="1:5">
      <c r="A1" s="107" t="s">
        <v>143</v>
      </c>
      <c r="B1" s="107"/>
      <c r="C1" s="107"/>
      <c r="D1" s="107"/>
      <c r="E1" s="107"/>
    </row>
    <row r="2" spans="1:5">
      <c r="A2" s="107" t="s">
        <v>158</v>
      </c>
      <c r="B2" s="107"/>
      <c r="C2" s="107"/>
      <c r="D2" s="107"/>
      <c r="E2" s="107"/>
    </row>
    <row r="3" spans="1:5">
      <c r="A3" s="108" t="s">
        <v>180</v>
      </c>
      <c r="B3" s="108"/>
      <c r="C3" s="108"/>
      <c r="D3" s="108"/>
      <c r="E3" s="108"/>
    </row>
    <row r="4" spans="1:5" ht="26.25">
      <c r="A4" s="48" t="s">
        <v>145</v>
      </c>
      <c r="B4" s="49" t="s">
        <v>162</v>
      </c>
      <c r="C4" s="50" t="s">
        <v>148</v>
      </c>
      <c r="D4" s="51" t="s">
        <v>122</v>
      </c>
      <c r="E4" s="48" t="s">
        <v>163</v>
      </c>
    </row>
    <row r="5" spans="1:5">
      <c r="A5" s="52">
        <v>1</v>
      </c>
      <c r="B5" s="99" t="s">
        <v>284</v>
      </c>
      <c r="C5" s="53" t="str">
        <f>VLOOKUP(B5,'Master of Pay'!$B$7:$AH$33,2,)</f>
        <v>Employee1</v>
      </c>
      <c r="D5" s="53">
        <f>VLOOKUP(B5,'Master of Pay'!$B$7:$AH$33,24,)</f>
        <v>120</v>
      </c>
      <c r="E5" s="52" t="s">
        <v>164</v>
      </c>
    </row>
    <row r="6" spans="1:5">
      <c r="A6" s="52">
        <v>2</v>
      </c>
      <c r="B6" s="99" t="s">
        <v>285</v>
      </c>
      <c r="C6" s="53" t="str">
        <f>VLOOKUP(B6,'Master of Pay'!$B$7:$AH$33,2,)</f>
        <v>Employee2</v>
      </c>
      <c r="D6" s="53">
        <f>VLOOKUP(B6,'Master of Pay'!$B$7:$AH$33,24,)</f>
        <v>120</v>
      </c>
      <c r="E6" s="52" t="s">
        <v>164</v>
      </c>
    </row>
    <row r="7" spans="1:5">
      <c r="A7" s="52">
        <v>3</v>
      </c>
      <c r="B7" s="99" t="s">
        <v>286</v>
      </c>
      <c r="C7" s="53" t="str">
        <f>VLOOKUP(B7,'Master of Pay'!$B$7:$AH$33,2,)</f>
        <v>Employee3</v>
      </c>
      <c r="D7" s="53">
        <f>VLOOKUP(B7,'Master of Pay'!$B$7:$AH$33,24,)</f>
        <v>0</v>
      </c>
      <c r="E7" s="52" t="s">
        <v>164</v>
      </c>
    </row>
    <row r="8" spans="1:5">
      <c r="A8" s="52">
        <v>4</v>
      </c>
      <c r="B8" s="99" t="s">
        <v>287</v>
      </c>
      <c r="C8" s="53" t="str">
        <f>VLOOKUP(B8,'Master of Pay'!$B$7:$AH$33,2,)</f>
        <v>Employee4</v>
      </c>
      <c r="D8" s="53">
        <f>VLOOKUP(B8,'Master of Pay'!$B$7:$AH$33,24,)</f>
        <v>120</v>
      </c>
      <c r="E8" s="52" t="s">
        <v>164</v>
      </c>
    </row>
    <row r="9" spans="1:5">
      <c r="A9" s="52">
        <v>5</v>
      </c>
      <c r="B9" s="99" t="s">
        <v>288</v>
      </c>
      <c r="C9" s="53" t="str">
        <f>VLOOKUP(B9,'Master of Pay'!$B$7:$AH$33,2,)</f>
        <v>Employee5</v>
      </c>
      <c r="D9" s="53">
        <f>VLOOKUP(B9,'Master of Pay'!$B$7:$AH$33,24,)</f>
        <v>120</v>
      </c>
      <c r="E9" s="52" t="s">
        <v>164</v>
      </c>
    </row>
    <row r="10" spans="1:5">
      <c r="A10" s="52">
        <v>6</v>
      </c>
      <c r="B10" s="99" t="s">
        <v>289</v>
      </c>
      <c r="C10" s="53" t="str">
        <f>VLOOKUP(B10,'Master of Pay'!$B$7:$AH$33,2,)</f>
        <v>Employee6</v>
      </c>
      <c r="D10" s="53">
        <f>VLOOKUP(B10,'Master of Pay'!$B$7:$AH$33,24,)</f>
        <v>120</v>
      </c>
      <c r="E10" s="52" t="s">
        <v>164</v>
      </c>
    </row>
    <row r="11" spans="1:5">
      <c r="A11" s="52">
        <v>7</v>
      </c>
      <c r="B11" s="99" t="s">
        <v>290</v>
      </c>
      <c r="C11" s="53" t="str">
        <f>VLOOKUP(B11,'Master of Pay'!$B$7:$AH$33,2,)</f>
        <v>Employee7</v>
      </c>
      <c r="D11" s="53">
        <f>VLOOKUP(B11,'Master of Pay'!$B$7:$AH$33,24,)</f>
        <v>60</v>
      </c>
      <c r="E11" s="52" t="s">
        <v>164</v>
      </c>
    </row>
    <row r="12" spans="1:5">
      <c r="A12" s="52">
        <v>8</v>
      </c>
      <c r="B12" s="99" t="s">
        <v>291</v>
      </c>
      <c r="C12" s="53" t="str">
        <f>VLOOKUP(B12,'Master of Pay'!$B$7:$AH$33,2,)</f>
        <v>Employee8</v>
      </c>
      <c r="D12" s="53">
        <f>VLOOKUP(B12,'Master of Pay'!$B$7:$AH$33,24,)</f>
        <v>120</v>
      </c>
      <c r="E12" s="52" t="s">
        <v>164</v>
      </c>
    </row>
    <row r="13" spans="1:5">
      <c r="A13" s="52">
        <v>9</v>
      </c>
      <c r="B13" s="99" t="s">
        <v>292</v>
      </c>
      <c r="C13" s="53" t="str">
        <f>VLOOKUP(B13,'Master of Pay'!$B$7:$AH$33,2,)</f>
        <v>Employee9</v>
      </c>
      <c r="D13" s="53">
        <f>VLOOKUP(B13,'Master of Pay'!$B$7:$AH$33,24,)</f>
        <v>120</v>
      </c>
      <c r="E13" s="52" t="s">
        <v>164</v>
      </c>
    </row>
    <row r="14" spans="1:5">
      <c r="A14" s="52">
        <v>10</v>
      </c>
      <c r="B14" s="99" t="s">
        <v>293</v>
      </c>
      <c r="C14" s="53" t="str">
        <f>VLOOKUP(B14,'Master of Pay'!$B$7:$AH$33,2,)</f>
        <v>Employee10</v>
      </c>
      <c r="D14" s="53">
        <f>VLOOKUP(B14,'Master of Pay'!$B$7:$AH$33,24,)</f>
        <v>120</v>
      </c>
      <c r="E14" s="52" t="s">
        <v>164</v>
      </c>
    </row>
    <row r="15" spans="1:5">
      <c r="A15" s="54"/>
      <c r="B15" s="99"/>
      <c r="C15" s="55" t="s">
        <v>165</v>
      </c>
      <c r="D15" s="51">
        <f>SUM(D5:D14)</f>
        <v>1020</v>
      </c>
      <c r="E15" s="52"/>
    </row>
    <row r="16" spans="1:5">
      <c r="A16" s="52">
        <v>11</v>
      </c>
      <c r="B16" s="99" t="s">
        <v>294</v>
      </c>
      <c r="C16" s="53" t="str">
        <f>VLOOKUP(B16,'Master of Pay'!$B$7:$AH$33,2,)</f>
        <v>Employee11</v>
      </c>
      <c r="D16" s="53">
        <f>VLOOKUP(B16,'Master of Pay'!$B$7:$AH$33,24,)</f>
        <v>60</v>
      </c>
      <c r="E16" s="52" t="s">
        <v>166</v>
      </c>
    </row>
    <row r="17" spans="1:5">
      <c r="A17" s="52">
        <v>12</v>
      </c>
      <c r="B17" s="99" t="s">
        <v>295</v>
      </c>
      <c r="C17" s="53" t="str">
        <f>VLOOKUP(B17,'Master of Pay'!$B$7:$AH$33,2,)</f>
        <v>Employee12</v>
      </c>
      <c r="D17" s="53">
        <f>VLOOKUP(B17,'Master of Pay'!$B$7:$AH$33,24,)</f>
        <v>60</v>
      </c>
      <c r="E17" s="52" t="s">
        <v>166</v>
      </c>
    </row>
    <row r="18" spans="1:5">
      <c r="A18" s="52">
        <v>13</v>
      </c>
      <c r="B18" s="99" t="s">
        <v>296</v>
      </c>
      <c r="C18" s="53" t="str">
        <f>VLOOKUP(B18,'Master of Pay'!$B$7:$AH$33,2,)</f>
        <v>Employee13</v>
      </c>
      <c r="D18" s="53">
        <f>VLOOKUP(B18,'Master of Pay'!$B$7:$AH$33,24,)</f>
        <v>120</v>
      </c>
      <c r="E18" s="52" t="s">
        <v>166</v>
      </c>
    </row>
    <row r="19" spans="1:5">
      <c r="A19" s="52">
        <v>14</v>
      </c>
      <c r="B19" s="99" t="s">
        <v>297</v>
      </c>
      <c r="C19" s="53" t="str">
        <f>VLOOKUP(B19,'Master of Pay'!$B$7:$AH$33,2,)</f>
        <v>Employee14</v>
      </c>
      <c r="D19" s="53">
        <f>VLOOKUP(B19,'Master of Pay'!$B$7:$AH$33,24,)</f>
        <v>120</v>
      </c>
      <c r="E19" s="52" t="s">
        <v>166</v>
      </c>
    </row>
    <row r="20" spans="1:5">
      <c r="A20" s="52">
        <v>15</v>
      </c>
      <c r="B20" s="99" t="s">
        <v>298</v>
      </c>
      <c r="C20" s="53" t="str">
        <f>VLOOKUP(B20,'Master of Pay'!$B$7:$AH$33,2,)</f>
        <v>Employee15</v>
      </c>
      <c r="D20" s="53">
        <f>VLOOKUP(B20,'Master of Pay'!$B$7:$AH$33,24,)</f>
        <v>60</v>
      </c>
      <c r="E20" s="52" t="s">
        <v>166</v>
      </c>
    </row>
    <row r="21" spans="1:5">
      <c r="A21" s="52">
        <v>16</v>
      </c>
      <c r="B21" s="99" t="s">
        <v>299</v>
      </c>
      <c r="C21" s="53" t="str">
        <f>VLOOKUP(B21,'Master of Pay'!$B$7:$AH$33,2,)</f>
        <v>Employee16</v>
      </c>
      <c r="D21" s="53">
        <f>VLOOKUP(B21,'Master of Pay'!$B$7:$AH$33,24,)</f>
        <v>30</v>
      </c>
      <c r="E21" s="52" t="s">
        <v>166</v>
      </c>
    </row>
    <row r="22" spans="1:5">
      <c r="A22" s="52">
        <v>17</v>
      </c>
      <c r="B22" s="99" t="s">
        <v>300</v>
      </c>
      <c r="C22" s="53" t="str">
        <f>VLOOKUP(B22,'Master of Pay'!$B$7:$AH$33,2,)</f>
        <v>Employee17</v>
      </c>
      <c r="D22" s="53">
        <f>VLOOKUP(B22,'Master of Pay'!$B$7:$AH$33,24,)</f>
        <v>60</v>
      </c>
      <c r="E22" s="52" t="s">
        <v>166</v>
      </c>
    </row>
    <row r="23" spans="1:5">
      <c r="A23" s="52">
        <v>18</v>
      </c>
      <c r="B23" s="99" t="s">
        <v>301</v>
      </c>
      <c r="C23" s="53" t="str">
        <f>VLOOKUP(B23,'Master of Pay'!$B$7:$AH$33,2,)</f>
        <v>Employee18</v>
      </c>
      <c r="D23" s="53">
        <f>VLOOKUP(B23,'Master of Pay'!$B$7:$AH$33,24,)</f>
        <v>60</v>
      </c>
      <c r="E23" s="52" t="s">
        <v>166</v>
      </c>
    </row>
    <row r="24" spans="1:5">
      <c r="A24" s="52">
        <v>19</v>
      </c>
      <c r="B24" s="99" t="s">
        <v>302</v>
      </c>
      <c r="C24" s="53" t="str">
        <f>VLOOKUP(B24,'Master of Pay'!$B$7:$AH$33,2,)</f>
        <v>Employee19</v>
      </c>
      <c r="D24" s="53">
        <f>VLOOKUP(B24,'Master of Pay'!$B$7:$AH$33,24,)</f>
        <v>60</v>
      </c>
      <c r="E24" s="52" t="s">
        <v>166</v>
      </c>
    </row>
    <row r="25" spans="1:5">
      <c r="A25" s="52">
        <v>20</v>
      </c>
      <c r="B25" s="99" t="s">
        <v>303</v>
      </c>
      <c r="C25" s="53" t="str">
        <f>VLOOKUP(B25,'Master of Pay'!$B$7:$AH$33,2,)</f>
        <v>Employee20</v>
      </c>
      <c r="D25" s="53">
        <f>VLOOKUP(B25,'Master of Pay'!$B$7:$AH$33,24,)</f>
        <v>60</v>
      </c>
      <c r="E25" s="52" t="s">
        <v>166</v>
      </c>
    </row>
    <row r="26" spans="1:5">
      <c r="A26" s="52">
        <v>21</v>
      </c>
      <c r="B26" s="99" t="s">
        <v>304</v>
      </c>
      <c r="C26" s="53" t="str">
        <f>VLOOKUP(B26,'Master of Pay'!$B$7:$AH$33,2,)</f>
        <v>Employee21</v>
      </c>
      <c r="D26" s="53">
        <f>VLOOKUP(B26,'Master of Pay'!$B$7:$AH$33,24,)</f>
        <v>60</v>
      </c>
      <c r="E26" s="52" t="s">
        <v>166</v>
      </c>
    </row>
    <row r="27" spans="1:5">
      <c r="A27" s="54"/>
      <c r="B27" s="99"/>
      <c r="C27" s="56" t="s">
        <v>167</v>
      </c>
      <c r="D27" s="51">
        <f>SUM(D16:D26)</f>
        <v>750</v>
      </c>
      <c r="E27" s="52"/>
    </row>
    <row r="28" spans="1:5">
      <c r="A28" s="52">
        <v>22</v>
      </c>
      <c r="B28" s="99" t="s">
        <v>305</v>
      </c>
      <c r="C28" s="53" t="str">
        <f>VLOOKUP(B28,'Master of Pay'!$B$7:$AH$33,2,)</f>
        <v>Employee22</v>
      </c>
      <c r="D28" s="53">
        <f>VLOOKUP(B28,'Master of Pay'!$B$7:$AH$33,24,)</f>
        <v>60</v>
      </c>
      <c r="E28" s="52" t="s">
        <v>168</v>
      </c>
    </row>
    <row r="29" spans="1:5">
      <c r="A29" s="52">
        <v>23</v>
      </c>
      <c r="B29" s="99" t="s">
        <v>306</v>
      </c>
      <c r="C29" s="53" t="str">
        <f>VLOOKUP(B29,'Master of Pay'!$B$7:$AH$33,2,)</f>
        <v>Employee23</v>
      </c>
      <c r="D29" s="53">
        <f>VLOOKUP(B29,'Master of Pay'!$B$7:$AH$33,24,)</f>
        <v>60</v>
      </c>
      <c r="E29" s="52" t="s">
        <v>168</v>
      </c>
    </row>
    <row r="30" spans="1:5">
      <c r="A30" s="57"/>
      <c r="B30" s="58"/>
      <c r="C30" s="53" t="e">
        <f>VLOOKUP(B30,'Master of Pay'!$B$7:$AH$33,2,)</f>
        <v>#N/A</v>
      </c>
      <c r="D30" s="53">
        <f>SUM(D28:D29)</f>
        <v>120</v>
      </c>
      <c r="E30" s="54"/>
    </row>
    <row r="31" spans="1:5">
      <c r="A31" s="109" t="s">
        <v>169</v>
      </c>
      <c r="B31" s="110"/>
      <c r="C31" s="111"/>
      <c r="D31" s="51">
        <f>+D15+D27+D30</f>
        <v>1890</v>
      </c>
      <c r="E31" s="59"/>
    </row>
    <row r="32" spans="1:5">
      <c r="A32" s="60" t="s">
        <v>170</v>
      </c>
      <c r="B32" s="61"/>
      <c r="C32" s="62"/>
      <c r="D32" s="60"/>
      <c r="E32" s="63"/>
    </row>
  </sheetData>
  <mergeCells count="4">
    <mergeCell ref="A1:E1"/>
    <mergeCell ref="A2:E2"/>
    <mergeCell ref="A3:E3"/>
    <mergeCell ref="A31:C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opLeftCell="A10" workbookViewId="0">
      <selection activeCell="G28" sqref="G28"/>
    </sheetView>
  </sheetViews>
  <sheetFormatPr defaultRowHeight="15"/>
  <cols>
    <col min="1" max="1" width="4" customWidth="1"/>
    <col min="2" max="2" width="7" customWidth="1"/>
    <col min="3" max="3" width="8.28515625" customWidth="1"/>
    <col min="4" max="4" width="12.7109375" customWidth="1"/>
    <col min="5" max="5" width="6.7109375" customWidth="1"/>
    <col min="6" max="6" width="5.85546875" customWidth="1"/>
    <col min="7" max="7" width="6.85546875" customWidth="1"/>
  </cols>
  <sheetData>
    <row r="1" spans="1:7">
      <c r="A1" s="112" t="s">
        <v>143</v>
      </c>
      <c r="B1" s="112"/>
      <c r="C1" s="112"/>
      <c r="D1" s="112"/>
      <c r="E1" s="112"/>
      <c r="F1" s="112"/>
      <c r="G1" s="112"/>
    </row>
    <row r="2" spans="1:7">
      <c r="A2" s="112" t="s">
        <v>144</v>
      </c>
      <c r="B2" s="112"/>
      <c r="C2" s="112"/>
      <c r="D2" s="112"/>
      <c r="E2" s="112"/>
      <c r="F2" s="112"/>
      <c r="G2" s="112"/>
    </row>
    <row r="3" spans="1:7">
      <c r="A3" s="113" t="s">
        <v>178</v>
      </c>
      <c r="B3" s="113"/>
      <c r="C3" s="113"/>
      <c r="D3" s="113"/>
      <c r="E3" s="113"/>
      <c r="F3" s="113"/>
      <c r="G3" s="113"/>
    </row>
    <row r="4" spans="1:7" ht="39">
      <c r="A4" s="37" t="s">
        <v>145</v>
      </c>
      <c r="B4" s="38" t="s">
        <v>146</v>
      </c>
      <c r="C4" s="37" t="s">
        <v>147</v>
      </c>
      <c r="D4" s="39" t="s">
        <v>148</v>
      </c>
      <c r="E4" s="40" t="s">
        <v>149</v>
      </c>
      <c r="F4" s="40" t="s">
        <v>150</v>
      </c>
      <c r="G4" s="37" t="s">
        <v>151</v>
      </c>
    </row>
    <row r="5" spans="1:7">
      <c r="A5" s="41">
        <v>1</v>
      </c>
      <c r="B5" s="42" t="s">
        <v>284</v>
      </c>
      <c r="C5" s="41" t="s">
        <v>97</v>
      </c>
      <c r="D5" s="41" t="str">
        <f>VLOOKUP(B5,'Master of Pay'!$B$7:$AH$33,2,)</f>
        <v>Employee1</v>
      </c>
      <c r="E5" s="41">
        <f>VLOOKUP(B5,'Master of Pay'!$B$7:$AH$33,21,)</f>
        <v>1000</v>
      </c>
      <c r="F5" s="41">
        <f>VLOOKUP(B5,'Master of Pay'!$B$7:$AH$33,29,)</f>
        <v>0</v>
      </c>
      <c r="G5" s="41">
        <f>E5+F5</f>
        <v>1000</v>
      </c>
    </row>
    <row r="6" spans="1:7">
      <c r="A6" s="41">
        <v>2</v>
      </c>
      <c r="B6" s="42" t="s">
        <v>285</v>
      </c>
      <c r="C6" s="41" t="s">
        <v>73</v>
      </c>
      <c r="D6" s="41" t="str">
        <f>VLOOKUP(B6,'Master of Pay'!$B$7:$AH$33,2,)</f>
        <v>Employee2</v>
      </c>
      <c r="E6" s="41">
        <f>VLOOKUP(B6,'Master of Pay'!$B$7:$AH$33,21,)</f>
        <v>2500</v>
      </c>
      <c r="F6" s="41">
        <f>VLOOKUP(B6,'Master of Pay'!$B$7:$AH$33,29,)</f>
        <v>5000</v>
      </c>
      <c r="G6" s="41">
        <f t="shared" ref="G6:G24" si="0">E6+F6</f>
        <v>7500</v>
      </c>
    </row>
    <row r="7" spans="1:7">
      <c r="A7" s="41">
        <v>3</v>
      </c>
      <c r="B7" s="42" t="s">
        <v>286</v>
      </c>
      <c r="C7" s="41" t="s">
        <v>89</v>
      </c>
      <c r="D7" s="41" t="str">
        <f>VLOOKUP(B7,'Master of Pay'!$B$7:$AH$33,2,)</f>
        <v>Employee3</v>
      </c>
      <c r="E7" s="41">
        <f>VLOOKUP(B7,'Master of Pay'!$B$7:$AH$33,21,)</f>
        <v>0</v>
      </c>
      <c r="F7" s="41">
        <f>VLOOKUP(B7,'Master of Pay'!$B$7:$AH$33,29,)</f>
        <v>0</v>
      </c>
      <c r="G7" s="41">
        <f t="shared" si="0"/>
        <v>0</v>
      </c>
    </row>
    <row r="8" spans="1:7">
      <c r="A8" s="41">
        <v>4</v>
      </c>
      <c r="B8" s="42" t="s">
        <v>287</v>
      </c>
      <c r="C8" s="41" t="s">
        <v>92</v>
      </c>
      <c r="D8" s="41" t="str">
        <f>VLOOKUP(B8,'Master of Pay'!$B$7:$AH$33,2,)</f>
        <v>Employee4</v>
      </c>
      <c r="E8" s="41">
        <f>VLOOKUP(B8,'Master of Pay'!$B$7:$AH$33,21,)</f>
        <v>5000</v>
      </c>
      <c r="F8" s="41">
        <f>VLOOKUP(B8,'Master of Pay'!$B$7:$AH$33,29,)</f>
        <v>0</v>
      </c>
      <c r="G8" s="41">
        <f t="shared" si="0"/>
        <v>5000</v>
      </c>
    </row>
    <row r="9" spans="1:7">
      <c r="A9" s="41">
        <v>5</v>
      </c>
      <c r="B9" s="42" t="s">
        <v>288</v>
      </c>
      <c r="C9" s="41" t="s">
        <v>154</v>
      </c>
      <c r="D9" s="41" t="str">
        <f>VLOOKUP(B9,'Master of Pay'!$B$7:$AH$33,2,)</f>
        <v>Employee5</v>
      </c>
      <c r="E9" s="41">
        <f>VLOOKUP(B9,'Master of Pay'!$B$7:$AH$33,21,)</f>
        <v>1000</v>
      </c>
      <c r="F9" s="41">
        <f>VLOOKUP(B9,'Master of Pay'!$B$7:$AH$33,29,)</f>
        <v>0</v>
      </c>
      <c r="G9" s="41">
        <f t="shared" si="0"/>
        <v>1000</v>
      </c>
    </row>
    <row r="10" spans="1:7">
      <c r="A10" s="41">
        <v>6</v>
      </c>
      <c r="B10" s="42" t="s">
        <v>289</v>
      </c>
      <c r="C10" s="41" t="s">
        <v>70</v>
      </c>
      <c r="D10" s="41" t="str">
        <f>VLOOKUP(B10,'Master of Pay'!$B$7:$AH$33,2,)</f>
        <v>Employee6</v>
      </c>
      <c r="E10" s="41">
        <f>VLOOKUP(B10,'Master of Pay'!$B$7:$AH$33,21,)</f>
        <v>6000</v>
      </c>
      <c r="F10" s="41">
        <f>VLOOKUP(B10,'Master of Pay'!$B$7:$AH$33,29,)</f>
        <v>0</v>
      </c>
      <c r="G10" s="41">
        <f t="shared" si="0"/>
        <v>6000</v>
      </c>
    </row>
    <row r="11" spans="1:7">
      <c r="A11" s="41">
        <v>7</v>
      </c>
      <c r="B11" s="42" t="s">
        <v>290</v>
      </c>
      <c r="C11" s="41" t="s">
        <v>64</v>
      </c>
      <c r="D11" s="41" t="str">
        <f>VLOOKUP(B11,'Master of Pay'!$B$7:$AH$33,2,)</f>
        <v>Employee7</v>
      </c>
      <c r="E11" s="41">
        <f>VLOOKUP(B11,'Master of Pay'!$B$7:$AH$33,21,)</f>
        <v>10000</v>
      </c>
      <c r="F11" s="41">
        <f>VLOOKUP(B11,'Master of Pay'!$B$7:$AH$33,29,)</f>
        <v>0</v>
      </c>
      <c r="G11" s="41">
        <f t="shared" si="0"/>
        <v>10000</v>
      </c>
    </row>
    <row r="12" spans="1:7">
      <c r="A12" s="41">
        <v>8</v>
      </c>
      <c r="B12" s="42" t="s">
        <v>291</v>
      </c>
      <c r="C12" s="41" t="s">
        <v>61</v>
      </c>
      <c r="D12" s="41" t="str">
        <f>VLOOKUP(B12,'Master of Pay'!$B$7:$AH$33,2,)</f>
        <v>Employee8</v>
      </c>
      <c r="E12" s="41">
        <f>VLOOKUP(B12,'Master of Pay'!$B$7:$AH$33,21,)</f>
        <v>0</v>
      </c>
      <c r="F12" s="41">
        <f>VLOOKUP(B12,'Master of Pay'!$B$7:$AH$33,29,)</f>
        <v>0</v>
      </c>
      <c r="G12" s="41">
        <f t="shared" si="0"/>
        <v>0</v>
      </c>
    </row>
    <row r="13" spans="1:7">
      <c r="A13" s="41">
        <v>9</v>
      </c>
      <c r="B13" s="42" t="s">
        <v>292</v>
      </c>
      <c r="C13" s="41" t="s">
        <v>157</v>
      </c>
      <c r="D13" s="41" t="str">
        <f>VLOOKUP(B13,'Master of Pay'!$B$7:$AH$33,2,)</f>
        <v>Employee9</v>
      </c>
      <c r="E13" s="41">
        <f>VLOOKUP(B13,'Master of Pay'!$B$7:$AH$33,21,)</f>
        <v>3500</v>
      </c>
      <c r="F13" s="41">
        <f>VLOOKUP(B13,'Master of Pay'!$B$7:$AH$33,29,)</f>
        <v>0</v>
      </c>
      <c r="G13" s="41">
        <f t="shared" si="0"/>
        <v>3500</v>
      </c>
    </row>
    <row r="14" spans="1:7">
      <c r="A14" s="41">
        <v>10</v>
      </c>
      <c r="B14" s="42" t="s">
        <v>293</v>
      </c>
      <c r="C14" s="41" t="s">
        <v>99</v>
      </c>
      <c r="D14" s="41" t="str">
        <f>VLOOKUP(B14,'Master of Pay'!$B$7:$AH$33,2,)</f>
        <v>Employee10</v>
      </c>
      <c r="E14" s="41">
        <f>VLOOKUP(B14,'Master of Pay'!$B$7:$AH$33,21,)</f>
        <v>5000</v>
      </c>
      <c r="F14" s="41">
        <f>VLOOKUP(B14,'Master of Pay'!$B$7:$AH$33,29,)</f>
        <v>0</v>
      </c>
      <c r="G14" s="41">
        <f t="shared" si="0"/>
        <v>5000</v>
      </c>
    </row>
    <row r="15" spans="1:7">
      <c r="A15" s="41">
        <v>11</v>
      </c>
      <c r="B15" s="42" t="s">
        <v>294</v>
      </c>
      <c r="C15" s="41" t="s">
        <v>155</v>
      </c>
      <c r="D15" s="41" t="str">
        <f>VLOOKUP(B15,'Master of Pay'!$B$7:$AH$33,2,)</f>
        <v>Employee11</v>
      </c>
      <c r="E15" s="41">
        <f>VLOOKUP(B15,'Master of Pay'!$B$7:$AH$33,21,)</f>
        <v>12000</v>
      </c>
      <c r="F15" s="41">
        <f>VLOOKUP(B15,'Master of Pay'!$B$7:$AH$33,29,)</f>
        <v>0</v>
      </c>
      <c r="G15" s="41">
        <f t="shared" si="0"/>
        <v>12000</v>
      </c>
    </row>
    <row r="16" spans="1:7">
      <c r="A16" s="41">
        <v>12</v>
      </c>
      <c r="B16" s="42" t="s">
        <v>295</v>
      </c>
      <c r="C16" s="41" t="s">
        <v>153</v>
      </c>
      <c r="D16" s="41" t="str">
        <f>VLOOKUP(B16,'Master of Pay'!$B$7:$AH$33,2,)</f>
        <v>Employee12</v>
      </c>
      <c r="E16" s="41">
        <f>VLOOKUP(B16,'Master of Pay'!$B$7:$AH$33,21,)</f>
        <v>5000</v>
      </c>
      <c r="F16" s="41">
        <f>VLOOKUP(B16,'Master of Pay'!$B$7:$AH$33,29,)</f>
        <v>0</v>
      </c>
      <c r="G16" s="41">
        <f t="shared" si="0"/>
        <v>5000</v>
      </c>
    </row>
    <row r="17" spans="1:10" ht="16.5" customHeight="1">
      <c r="A17" s="85">
        <v>13</v>
      </c>
      <c r="B17" s="42" t="s">
        <v>296</v>
      </c>
      <c r="C17" s="85" t="s">
        <v>82</v>
      </c>
      <c r="D17" s="41" t="str">
        <f>VLOOKUP(B17,'Master of Pay'!$B$7:$AH$33,2,)</f>
        <v>Employee13</v>
      </c>
      <c r="E17" s="41">
        <f>VLOOKUP(B17,'Master of Pay'!$B$7:$AH$33,21,)</f>
        <v>0</v>
      </c>
      <c r="F17" s="41">
        <f>VLOOKUP(B17,'Master of Pay'!$B$7:$AH$33,29,)</f>
        <v>0</v>
      </c>
      <c r="G17" s="41">
        <f t="shared" si="0"/>
        <v>0</v>
      </c>
    </row>
    <row r="18" spans="1:10">
      <c r="A18" s="41">
        <v>14</v>
      </c>
      <c r="B18" s="42" t="s">
        <v>297</v>
      </c>
      <c r="C18" s="41" t="s">
        <v>84</v>
      </c>
      <c r="D18" s="41" t="str">
        <f>VLOOKUP(B18,'Master of Pay'!$B$7:$AH$33,2,)</f>
        <v>Employee14</v>
      </c>
      <c r="E18" s="41">
        <f>VLOOKUP(B18,'Master of Pay'!$B$7:$AH$33,21,)</f>
        <v>10000</v>
      </c>
      <c r="F18" s="41">
        <f>VLOOKUP(B18,'Master of Pay'!$B$7:$AH$33,29,)</f>
        <v>0</v>
      </c>
      <c r="G18" s="41">
        <f t="shared" si="0"/>
        <v>10000</v>
      </c>
    </row>
    <row r="19" spans="1:10" ht="15.75">
      <c r="A19" s="41">
        <v>15</v>
      </c>
      <c r="B19" s="42" t="s">
        <v>298</v>
      </c>
      <c r="C19" s="41" t="s">
        <v>87</v>
      </c>
      <c r="D19" s="41" t="str">
        <f>VLOOKUP(B19,'Master of Pay'!$B$7:$AH$33,2,)</f>
        <v>Employee15</v>
      </c>
      <c r="E19" s="41">
        <f>VLOOKUP(B19,'Master of Pay'!$B$7:$AH$33,21,)</f>
        <v>15000</v>
      </c>
      <c r="F19" s="41">
        <f>VLOOKUP(B19,'Master of Pay'!$B$7:$AH$33,29,)</f>
        <v>0</v>
      </c>
      <c r="G19" s="41">
        <f t="shared" si="0"/>
        <v>15000</v>
      </c>
      <c r="J19" s="84"/>
    </row>
    <row r="20" spans="1:10">
      <c r="A20" s="41">
        <v>16</v>
      </c>
      <c r="B20" s="42" t="s">
        <v>299</v>
      </c>
      <c r="C20" s="41" t="s">
        <v>152</v>
      </c>
      <c r="D20" s="41" t="str">
        <f>VLOOKUP(B20,'Master of Pay'!$B$7:$AH$33,2,)</f>
        <v>Employee16</v>
      </c>
      <c r="E20" s="41">
        <f>VLOOKUP(B20,'Master of Pay'!$B$7:$AH$33,21,)</f>
        <v>0</v>
      </c>
      <c r="F20" s="41">
        <f>VLOOKUP(B20,'Master of Pay'!$B$7:$AH$33,29,)</f>
        <v>0</v>
      </c>
      <c r="G20" s="41">
        <f t="shared" si="0"/>
        <v>0</v>
      </c>
    </row>
    <row r="21" spans="1:10">
      <c r="A21" s="41">
        <v>17</v>
      </c>
      <c r="B21" s="42" t="s">
        <v>300</v>
      </c>
      <c r="C21" s="41" t="s">
        <v>76</v>
      </c>
      <c r="D21" s="41" t="str">
        <f>VLOOKUP(B21,'Master of Pay'!$B$7:$AH$33,2,)</f>
        <v>Employee17</v>
      </c>
      <c r="E21" s="41">
        <f>VLOOKUP(B21,'Master of Pay'!$B$7:$AH$33,21,)</f>
        <v>5000</v>
      </c>
      <c r="F21" s="41">
        <f>VLOOKUP(B21,'Master of Pay'!$B$7:$AH$33,29,)</f>
        <v>0</v>
      </c>
      <c r="G21" s="41">
        <f t="shared" si="0"/>
        <v>5000</v>
      </c>
    </row>
    <row r="22" spans="1:10">
      <c r="A22" s="41">
        <v>18</v>
      </c>
      <c r="B22" s="42" t="s">
        <v>301</v>
      </c>
      <c r="C22" s="41" t="s">
        <v>79</v>
      </c>
      <c r="D22" s="41" t="str">
        <f>VLOOKUP(B22,'Master of Pay'!$B$7:$AH$33,2,)</f>
        <v>Employee18</v>
      </c>
      <c r="E22" s="41">
        <f>VLOOKUP(B22,'Master of Pay'!$B$7:$AH$33,21,)</f>
        <v>7000</v>
      </c>
      <c r="F22" s="41">
        <f>VLOOKUP(B22,'Master of Pay'!$B$7:$AH$33,29,)</f>
        <v>0</v>
      </c>
      <c r="G22" s="41">
        <f t="shared" si="0"/>
        <v>7000</v>
      </c>
    </row>
    <row r="23" spans="1:10">
      <c r="A23" s="41">
        <v>19</v>
      </c>
      <c r="B23" s="42" t="s">
        <v>302</v>
      </c>
      <c r="C23" s="41" t="s">
        <v>75</v>
      </c>
      <c r="D23" s="41" t="str">
        <f>VLOOKUP(B23,'Master of Pay'!$B$7:$AH$33,2,)</f>
        <v>Employee19</v>
      </c>
      <c r="E23" s="41">
        <f>VLOOKUP(B23,'Master of Pay'!$B$7:$AH$33,21,)</f>
        <v>2000</v>
      </c>
      <c r="F23" s="41">
        <f>VLOOKUP(B23,'Master of Pay'!$B$7:$AH$33,29,)</f>
        <v>0</v>
      </c>
      <c r="G23" s="41">
        <f t="shared" si="0"/>
        <v>2000</v>
      </c>
    </row>
    <row r="24" spans="1:10">
      <c r="A24" s="41">
        <v>20</v>
      </c>
      <c r="B24" s="42" t="s">
        <v>303</v>
      </c>
      <c r="C24" s="41" t="s">
        <v>101</v>
      </c>
      <c r="D24" s="41" t="str">
        <f>VLOOKUP(B24,'Master of Pay'!$B$7:$AH$33,2,)</f>
        <v>Employee20</v>
      </c>
      <c r="E24" s="41">
        <f>VLOOKUP(B24,'Master of Pay'!$B$7:$AH$33,21,)</f>
        <v>10000</v>
      </c>
      <c r="F24" s="41">
        <f>VLOOKUP(B24,'Master of Pay'!$B$7:$AH$33,29,)</f>
        <v>0</v>
      </c>
      <c r="G24" s="41">
        <f t="shared" si="0"/>
        <v>10000</v>
      </c>
    </row>
    <row r="25" spans="1:10">
      <c r="A25" s="114" t="s">
        <v>156</v>
      </c>
      <c r="B25" s="114"/>
      <c r="C25" s="114"/>
      <c r="D25" s="114"/>
      <c r="E25" s="36">
        <f>SUM(E5:E24)</f>
        <v>100000</v>
      </c>
      <c r="F25" s="36">
        <f>SUM(F5:F24)</f>
        <v>5000</v>
      </c>
      <c r="G25" s="43">
        <f>SUM(G5:G24)</f>
        <v>105000</v>
      </c>
    </row>
    <row r="26" spans="1:10">
      <c r="B26" s="32"/>
      <c r="D26" s="10"/>
    </row>
  </sheetData>
  <mergeCells count="4">
    <mergeCell ref="A1:G1"/>
    <mergeCell ref="A2:G2"/>
    <mergeCell ref="A3:G3"/>
    <mergeCell ref="A25:D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topLeftCell="A19" zoomScale="130" zoomScaleNormal="130" workbookViewId="0">
      <selection activeCell="F34" sqref="F34"/>
    </sheetView>
  </sheetViews>
  <sheetFormatPr defaultRowHeight="15"/>
  <cols>
    <col min="1" max="1" width="4.42578125" customWidth="1"/>
    <col min="2" max="2" width="8.140625" bestFit="1" customWidth="1"/>
    <col min="3" max="3" width="9" customWidth="1"/>
    <col min="4" max="4" width="11.7109375" customWidth="1"/>
    <col min="5" max="5" width="6.7109375" customWidth="1"/>
    <col min="6" max="6" width="5" customWidth="1"/>
    <col min="7" max="7" width="5.85546875" customWidth="1"/>
  </cols>
  <sheetData>
    <row r="1" spans="1:7">
      <c r="A1" s="112" t="s">
        <v>143</v>
      </c>
      <c r="B1" s="112"/>
      <c r="C1" s="112"/>
      <c r="D1" s="112"/>
      <c r="E1" s="112"/>
      <c r="F1" s="112"/>
      <c r="G1" s="112"/>
    </row>
    <row r="2" spans="1:7">
      <c r="A2" s="112" t="s">
        <v>158</v>
      </c>
      <c r="B2" s="112"/>
      <c r="C2" s="112"/>
      <c r="D2" s="112"/>
      <c r="E2" s="112"/>
      <c r="F2" s="112"/>
      <c r="G2" s="112"/>
    </row>
    <row r="3" spans="1:7">
      <c r="A3" s="113" t="s">
        <v>179</v>
      </c>
      <c r="B3" s="113"/>
      <c r="C3" s="113"/>
      <c r="D3" s="113"/>
      <c r="E3" s="113"/>
      <c r="F3" s="113"/>
      <c r="G3" s="113"/>
    </row>
    <row r="4" spans="1:7" ht="26.25">
      <c r="A4" s="37" t="s">
        <v>145</v>
      </c>
      <c r="B4" s="38" t="s">
        <v>146</v>
      </c>
      <c r="C4" s="37" t="s">
        <v>159</v>
      </c>
      <c r="D4" s="39" t="s">
        <v>148</v>
      </c>
      <c r="E4" s="98" t="s">
        <v>160</v>
      </c>
      <c r="F4" s="44" t="s">
        <v>161</v>
      </c>
      <c r="G4" s="37" t="s">
        <v>151</v>
      </c>
    </row>
    <row r="5" spans="1:7" ht="11.25" customHeight="1">
      <c r="A5" s="85">
        <v>1</v>
      </c>
      <c r="B5" s="42" t="s">
        <v>284</v>
      </c>
      <c r="C5" s="86">
        <v>247666</v>
      </c>
      <c r="D5" s="87" t="str">
        <f>VLOOKUP(B5,'Master of Pay'!$B$7:$AH$33,2,)</f>
        <v>Employee1</v>
      </c>
      <c r="E5" s="87">
        <f>VLOOKUP(B5,'Master of Pay'!$B$7:$AH$33,22,)</f>
        <v>750</v>
      </c>
      <c r="F5" s="46"/>
      <c r="G5" s="46"/>
    </row>
    <row r="6" spans="1:7" ht="11.25" customHeight="1">
      <c r="A6" s="85">
        <v>2</v>
      </c>
      <c r="B6" s="42" t="s">
        <v>285</v>
      </c>
      <c r="C6" s="86" t="s">
        <v>74</v>
      </c>
      <c r="D6" s="87" t="str">
        <f>VLOOKUP(B6,'Master of Pay'!$B$7:$AH$33,2,)</f>
        <v>Employee2</v>
      </c>
      <c r="E6" s="87">
        <f>VLOOKUP(B6,'Master of Pay'!$B$7:$AH$33,22,)</f>
        <v>1000</v>
      </c>
      <c r="F6" s="46"/>
      <c r="G6" s="46"/>
    </row>
    <row r="7" spans="1:7" ht="11.25" customHeight="1">
      <c r="A7" s="85">
        <v>3</v>
      </c>
      <c r="B7" s="42" t="s">
        <v>286</v>
      </c>
      <c r="C7" s="86" t="s">
        <v>90</v>
      </c>
      <c r="D7" s="87" t="str">
        <f>VLOOKUP(B7,'Master of Pay'!$B$7:$AH$33,2,)</f>
        <v>Employee3</v>
      </c>
      <c r="E7" s="87">
        <f>VLOOKUP(B7,'Master of Pay'!$B$7:$AH$33,22,)</f>
        <v>0</v>
      </c>
      <c r="F7" s="46"/>
      <c r="G7" s="46"/>
    </row>
    <row r="8" spans="1:7" ht="11.25" customHeight="1">
      <c r="A8" s="85">
        <v>4</v>
      </c>
      <c r="B8" s="42" t="s">
        <v>287</v>
      </c>
      <c r="C8" s="86" t="s">
        <v>93</v>
      </c>
      <c r="D8" s="87" t="str">
        <f>VLOOKUP(B8,'Master of Pay'!$B$7:$AH$33,2,)</f>
        <v>Employee4</v>
      </c>
      <c r="E8" s="87">
        <f>VLOOKUP(B8,'Master of Pay'!$B$7:$AH$33,22,)</f>
        <v>600</v>
      </c>
      <c r="F8" s="46"/>
      <c r="G8" s="46"/>
    </row>
    <row r="9" spans="1:7" ht="11.25" customHeight="1">
      <c r="A9" s="85">
        <v>5</v>
      </c>
      <c r="B9" s="42" t="s">
        <v>288</v>
      </c>
      <c r="C9" s="86">
        <v>272120</v>
      </c>
      <c r="D9" s="87" t="str">
        <f>VLOOKUP(B9,'Master of Pay'!$B$7:$AH$33,2,)</f>
        <v>Employee5</v>
      </c>
      <c r="E9" s="87">
        <f>VLOOKUP(B9,'Master of Pay'!$B$7:$AH$33,22,)</f>
        <v>150</v>
      </c>
      <c r="F9" s="46"/>
      <c r="G9" s="46"/>
    </row>
    <row r="10" spans="1:7" ht="11.25" customHeight="1">
      <c r="A10" s="85">
        <v>6</v>
      </c>
      <c r="B10" s="42" t="s">
        <v>289</v>
      </c>
      <c r="C10" s="86" t="s">
        <v>71</v>
      </c>
      <c r="D10" s="87" t="str">
        <f>VLOOKUP(B10,'Master of Pay'!$B$7:$AH$33,2,)</f>
        <v>Employee6</v>
      </c>
      <c r="E10" s="87">
        <f>VLOOKUP(B10,'Master of Pay'!$B$7:$AH$33,22,)</f>
        <v>125</v>
      </c>
      <c r="F10" s="46"/>
      <c r="G10" s="46"/>
    </row>
    <row r="11" spans="1:7" ht="11.25" customHeight="1">
      <c r="A11" s="85">
        <v>7</v>
      </c>
      <c r="B11" s="42" t="s">
        <v>290</v>
      </c>
      <c r="C11" s="86" t="s">
        <v>96</v>
      </c>
      <c r="D11" s="87" t="str">
        <f>VLOOKUP(B11,'Master of Pay'!$B$7:$AH$33,2,)</f>
        <v>Employee7</v>
      </c>
      <c r="E11" s="87">
        <f>VLOOKUP(B11,'Master of Pay'!$B$7:$AH$33,22,)</f>
        <v>100</v>
      </c>
      <c r="F11" s="46"/>
      <c r="G11" s="46"/>
    </row>
    <row r="12" spans="1:7" ht="11.25" customHeight="1">
      <c r="A12" s="85">
        <v>8</v>
      </c>
      <c r="B12" s="42" t="s">
        <v>291</v>
      </c>
      <c r="C12" s="86" t="s">
        <v>65</v>
      </c>
      <c r="D12" s="87" t="str">
        <f>VLOOKUP(B12,'Master of Pay'!$B$7:$AH$33,2,)</f>
        <v>Employee8</v>
      </c>
      <c r="E12" s="87">
        <f>VLOOKUP(B12,'Master of Pay'!$B$7:$AH$33,22,)</f>
        <v>750</v>
      </c>
      <c r="F12" s="46"/>
      <c r="G12" s="46"/>
    </row>
    <row r="13" spans="1:7" ht="11.25" customHeight="1">
      <c r="A13" s="85">
        <v>9</v>
      </c>
      <c r="B13" s="42" t="s">
        <v>292</v>
      </c>
      <c r="C13" s="86" t="s">
        <v>62</v>
      </c>
      <c r="D13" s="87" t="str">
        <f>VLOOKUP(B13,'Master of Pay'!$B$7:$AH$33,2,)</f>
        <v>Employee9</v>
      </c>
      <c r="E13" s="87">
        <f>VLOOKUP(B13,'Master of Pay'!$B$7:$AH$33,22,)</f>
        <v>450</v>
      </c>
      <c r="F13" s="46"/>
      <c r="G13" s="46"/>
    </row>
    <row r="14" spans="1:7" ht="11.25" customHeight="1">
      <c r="A14" s="85">
        <v>10</v>
      </c>
      <c r="B14" s="42" t="s">
        <v>293</v>
      </c>
      <c r="C14" s="86" t="s">
        <v>68</v>
      </c>
      <c r="D14" s="87" t="str">
        <f>VLOOKUP(B14,'Master of Pay'!$B$7:$AH$33,2,)</f>
        <v>Employee10</v>
      </c>
      <c r="E14" s="87">
        <f>VLOOKUP(B14,'Master of Pay'!$B$7:$AH$33,22,)</f>
        <v>750</v>
      </c>
      <c r="F14" s="46"/>
      <c r="G14" s="46"/>
    </row>
    <row r="15" spans="1:7" ht="11.25" customHeight="1">
      <c r="A15" s="85">
        <v>11</v>
      </c>
      <c r="B15" s="42" t="s">
        <v>294</v>
      </c>
      <c r="C15" s="86" t="s">
        <v>100</v>
      </c>
      <c r="D15" s="87" t="str">
        <f>VLOOKUP(B15,'Master of Pay'!$B$7:$AH$33,2,)</f>
        <v>Employee11</v>
      </c>
      <c r="E15" s="87">
        <f>VLOOKUP(B15,'Master of Pay'!$B$7:$AH$33,22,)</f>
        <v>450</v>
      </c>
      <c r="F15" s="46"/>
      <c r="G15" s="46"/>
    </row>
    <row r="16" spans="1:7" ht="11.25" customHeight="1">
      <c r="A16" s="85">
        <v>12</v>
      </c>
      <c r="B16" s="42" t="s">
        <v>295</v>
      </c>
      <c r="C16" s="86" t="s">
        <v>98</v>
      </c>
      <c r="D16" s="87" t="str">
        <f>VLOOKUP(B16,'Master of Pay'!$B$7:$AH$33,2,)</f>
        <v>Employee12</v>
      </c>
      <c r="E16" s="87">
        <f>VLOOKUP(B16,'Master of Pay'!$B$7:$AH$33,22,)</f>
        <v>150</v>
      </c>
      <c r="F16" s="46"/>
      <c r="G16" s="46"/>
    </row>
    <row r="17" spans="1:7" ht="11.25" customHeight="1">
      <c r="A17" s="85">
        <v>13</v>
      </c>
      <c r="B17" s="42" t="s">
        <v>296</v>
      </c>
      <c r="C17" s="86" t="s">
        <v>107</v>
      </c>
      <c r="D17" s="87" t="str">
        <f>VLOOKUP(B17,'Master of Pay'!$B$7:$AH$33,2,)</f>
        <v>Employee13</v>
      </c>
      <c r="E17" s="87">
        <f>VLOOKUP(B17,'Master of Pay'!$B$7:$AH$33,22,)</f>
        <v>150</v>
      </c>
      <c r="F17" s="46"/>
      <c r="G17" s="46"/>
    </row>
    <row r="18" spans="1:7" ht="11.25" customHeight="1">
      <c r="A18" s="85">
        <v>14</v>
      </c>
      <c r="B18" s="42" t="s">
        <v>297</v>
      </c>
      <c r="C18" s="86" t="s">
        <v>103</v>
      </c>
      <c r="D18" s="87" t="str">
        <f>VLOOKUP(B18,'Master of Pay'!$B$7:$AH$33,2,)</f>
        <v>Employee14</v>
      </c>
      <c r="E18" s="87">
        <f>VLOOKUP(B18,'Master of Pay'!$B$7:$AH$33,22,)</f>
        <v>750</v>
      </c>
      <c r="F18" s="46"/>
      <c r="G18" s="46"/>
    </row>
    <row r="19" spans="1:7" ht="11.25" customHeight="1">
      <c r="A19" s="85">
        <v>15</v>
      </c>
      <c r="B19" s="42" t="s">
        <v>298</v>
      </c>
      <c r="C19" s="86" t="s">
        <v>95</v>
      </c>
      <c r="D19" s="87" t="str">
        <f>VLOOKUP(B19,'Master of Pay'!$B$7:$AH$33,2,)</f>
        <v>Employee15</v>
      </c>
      <c r="E19" s="87">
        <f>VLOOKUP(B19,'Master of Pay'!$B$7:$AH$33,22,)</f>
        <v>4350</v>
      </c>
      <c r="F19" s="46"/>
      <c r="G19" s="46"/>
    </row>
    <row r="20" spans="1:7" ht="11.25" customHeight="1">
      <c r="A20" s="85">
        <v>16</v>
      </c>
      <c r="B20" s="42" t="s">
        <v>299</v>
      </c>
      <c r="C20" s="86" t="s">
        <v>83</v>
      </c>
      <c r="D20" s="87" t="str">
        <f>VLOOKUP(B20,'Master of Pay'!$B$7:$AH$33,2,)</f>
        <v>Employee16</v>
      </c>
      <c r="E20" s="87">
        <f>VLOOKUP(B20,'Master of Pay'!$B$7:$AH$33,22,)</f>
        <v>200</v>
      </c>
      <c r="F20" s="46"/>
      <c r="G20" s="46"/>
    </row>
    <row r="21" spans="1:7" ht="11.25" customHeight="1">
      <c r="A21" s="85">
        <v>17</v>
      </c>
      <c r="B21" s="42" t="s">
        <v>300</v>
      </c>
      <c r="C21" s="86" t="s">
        <v>85</v>
      </c>
      <c r="D21" s="87" t="str">
        <f>VLOOKUP(B21,'Master of Pay'!$B$7:$AH$33,2,)</f>
        <v>Employee17</v>
      </c>
      <c r="E21" s="87">
        <f>VLOOKUP(B21,'Master of Pay'!$B$7:$AH$33,22,)</f>
        <v>750</v>
      </c>
      <c r="F21" s="46"/>
      <c r="G21" s="46"/>
    </row>
    <row r="22" spans="1:7" ht="11.25" customHeight="1">
      <c r="A22" s="85">
        <v>18</v>
      </c>
      <c r="B22" s="42" t="s">
        <v>301</v>
      </c>
      <c r="C22" s="86" t="s">
        <v>88</v>
      </c>
      <c r="D22" s="87" t="str">
        <f>VLOOKUP(B22,'Master of Pay'!$B$7:$AH$33,2,)</f>
        <v>Employee18</v>
      </c>
      <c r="E22" s="87">
        <f>VLOOKUP(B22,'Master of Pay'!$B$7:$AH$33,22,)</f>
        <v>100</v>
      </c>
      <c r="F22" s="46"/>
      <c r="G22" s="46"/>
    </row>
    <row r="23" spans="1:7" ht="11.25" customHeight="1">
      <c r="A23" s="85">
        <v>19</v>
      </c>
      <c r="B23" s="42" t="s">
        <v>302</v>
      </c>
      <c r="C23" s="86">
        <v>300091</v>
      </c>
      <c r="D23" s="87" t="str">
        <f>VLOOKUP(B23,'Master of Pay'!$B$7:$AH$33,2,)</f>
        <v>Employee19</v>
      </c>
      <c r="E23" s="87">
        <f>VLOOKUP(B23,'Master of Pay'!$B$7:$AH$33,22,)</f>
        <v>200</v>
      </c>
      <c r="F23" s="46"/>
      <c r="G23" s="46"/>
    </row>
    <row r="24" spans="1:7" ht="11.25" customHeight="1">
      <c r="A24" s="85">
        <v>20</v>
      </c>
      <c r="B24" s="42" t="s">
        <v>303</v>
      </c>
      <c r="C24" s="86" t="s">
        <v>77</v>
      </c>
      <c r="D24" s="87" t="str">
        <f>VLOOKUP(B24,'Master of Pay'!$B$7:$AH$33,2,)</f>
        <v>Employee20</v>
      </c>
      <c r="E24" s="87">
        <f>VLOOKUP(B24,'Master of Pay'!$B$7:$AH$33,22,)</f>
        <v>75</v>
      </c>
      <c r="F24" s="46"/>
      <c r="G24" s="46"/>
    </row>
    <row r="25" spans="1:7" ht="11.25" customHeight="1">
      <c r="A25" s="85">
        <v>21</v>
      </c>
      <c r="B25" s="42" t="s">
        <v>304</v>
      </c>
      <c r="C25" s="86" t="s">
        <v>80</v>
      </c>
      <c r="D25" s="87" t="str">
        <f>VLOOKUP(B25,'Master of Pay'!$B$7:$AH$33,2,)</f>
        <v>Employee21</v>
      </c>
      <c r="E25" s="87">
        <f>VLOOKUP(B25,'Master of Pay'!$B$7:$AH$33,22,)</f>
        <v>250</v>
      </c>
      <c r="F25" s="46"/>
      <c r="G25" s="46"/>
    </row>
    <row r="26" spans="1:7" ht="11.25" customHeight="1">
      <c r="A26" s="85">
        <v>22</v>
      </c>
      <c r="B26" s="42" t="s">
        <v>305</v>
      </c>
      <c r="C26" s="86" t="s">
        <v>108</v>
      </c>
      <c r="D26" s="87" t="str">
        <f>VLOOKUP(B26,'Master of Pay'!$B$7:$AH$33,2,)</f>
        <v>Employee22</v>
      </c>
      <c r="E26" s="87">
        <f>VLOOKUP(B26,'Master of Pay'!$B$7:$AH$33,22,)</f>
        <v>750</v>
      </c>
      <c r="F26" s="46"/>
      <c r="G26" s="46"/>
    </row>
    <row r="27" spans="1:7" ht="11.25" customHeight="1">
      <c r="A27" s="85">
        <v>23</v>
      </c>
      <c r="B27" s="42" t="s">
        <v>306</v>
      </c>
      <c r="C27" s="86">
        <v>312843</v>
      </c>
      <c r="D27" s="87" t="str">
        <f>VLOOKUP(B27,'Master of Pay'!$B$7:$AH$33,2,)</f>
        <v>Employee23</v>
      </c>
      <c r="E27" s="87">
        <f>VLOOKUP(B27,'Master of Pay'!$B$7:$AH$33,22,)</f>
        <v>350</v>
      </c>
      <c r="F27" s="46"/>
      <c r="G27" s="46"/>
    </row>
    <row r="28" spans="1:7" ht="11.25" customHeight="1">
      <c r="A28" s="85">
        <v>24</v>
      </c>
      <c r="B28" s="42" t="s">
        <v>307</v>
      </c>
      <c r="C28" s="86" t="s">
        <v>102</v>
      </c>
      <c r="D28" s="87" t="str">
        <f>VLOOKUP(B28,'Master of Pay'!$B$7:$AH$33,2,)</f>
        <v>Employee24</v>
      </c>
      <c r="E28" s="87">
        <f>VLOOKUP(B28,'Master of Pay'!$B$7:$AH$33,22,)</f>
        <v>0</v>
      </c>
      <c r="F28" s="46"/>
      <c r="G28" s="46"/>
    </row>
    <row r="29" spans="1:7" ht="11.25" customHeight="1">
      <c r="A29" s="115" t="s">
        <v>156</v>
      </c>
      <c r="B29" s="115"/>
      <c r="C29" s="115"/>
      <c r="D29" s="115"/>
      <c r="E29" s="87">
        <f>SUM(E5:E28)</f>
        <v>13200</v>
      </c>
      <c r="F29" s="47">
        <f>SUM(F12:F28)</f>
        <v>0</v>
      </c>
      <c r="G29" s="47">
        <f>E29</f>
        <v>13200</v>
      </c>
    </row>
    <row r="30" spans="1:7">
      <c r="B30" s="32"/>
      <c r="D30" s="10"/>
    </row>
  </sheetData>
  <mergeCells count="4">
    <mergeCell ref="A1:G1"/>
    <mergeCell ref="A2:G2"/>
    <mergeCell ref="A3:G3"/>
    <mergeCell ref="A29:D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2"/>
  <sheetViews>
    <sheetView topLeftCell="A16" workbookViewId="0">
      <selection activeCell="A36" sqref="A36"/>
    </sheetView>
  </sheetViews>
  <sheetFormatPr defaultRowHeight="15"/>
  <cols>
    <col min="1" max="1" width="5" bestFit="1" customWidth="1"/>
    <col min="2" max="2" width="8.140625" bestFit="1" customWidth="1"/>
    <col min="3" max="3" width="17.5703125" customWidth="1"/>
    <col min="4" max="4" width="9.42578125" customWidth="1"/>
  </cols>
  <sheetData>
    <row r="1" spans="1:4">
      <c r="A1" s="116" t="s">
        <v>143</v>
      </c>
      <c r="B1" s="116"/>
      <c r="C1" s="116"/>
      <c r="D1" s="116"/>
    </row>
    <row r="2" spans="1:4">
      <c r="A2" s="116" t="s">
        <v>158</v>
      </c>
      <c r="B2" s="116"/>
      <c r="C2" s="116"/>
      <c r="D2" s="116"/>
    </row>
    <row r="3" spans="1:4">
      <c r="A3" s="117" t="s">
        <v>181</v>
      </c>
      <c r="B3" s="117"/>
      <c r="C3" s="117"/>
      <c r="D3" s="117"/>
    </row>
    <row r="4" spans="1:4" ht="26.25">
      <c r="A4" s="37" t="s">
        <v>145</v>
      </c>
      <c r="B4" s="38" t="s">
        <v>146</v>
      </c>
      <c r="C4" s="39" t="s">
        <v>148</v>
      </c>
      <c r="D4" s="64" t="s">
        <v>122</v>
      </c>
    </row>
    <row r="5" spans="1:4">
      <c r="A5" s="27">
        <v>1</v>
      </c>
      <c r="B5" s="124" t="s">
        <v>284</v>
      </c>
      <c r="C5" s="27" t="str">
        <f>VLOOKUP(B5,'Master of Pay'!$B$7:$AH$33,2,)</f>
        <v>Employee1</v>
      </c>
      <c r="D5" s="27">
        <f>VLOOKUP(B5,'Master of Pay'!$B$7:$AH$33,25,)</f>
        <v>150</v>
      </c>
    </row>
    <row r="6" spans="1:4">
      <c r="A6" s="27">
        <v>2</v>
      </c>
      <c r="B6" s="124" t="s">
        <v>285</v>
      </c>
      <c r="C6" s="27" t="str">
        <f>VLOOKUP(B6,'Master of Pay'!$B$7:$AH$33,2,)</f>
        <v>Employee2</v>
      </c>
      <c r="D6" s="27">
        <f>VLOOKUP(B6,'Master of Pay'!$B$7:$AH$33,25,)</f>
        <v>200</v>
      </c>
    </row>
    <row r="7" spans="1:4">
      <c r="A7" s="27">
        <v>3</v>
      </c>
      <c r="B7" s="124" t="s">
        <v>286</v>
      </c>
      <c r="C7" s="27" t="str">
        <f>VLOOKUP(B7,'Master of Pay'!$B$7:$AH$33,2,)</f>
        <v>Employee3</v>
      </c>
      <c r="D7" s="27">
        <f>VLOOKUP(B7,'Master of Pay'!$B$7:$AH$33,25,)</f>
        <v>200</v>
      </c>
    </row>
    <row r="8" spans="1:4">
      <c r="A8" s="27">
        <v>4</v>
      </c>
      <c r="B8" s="124" t="s">
        <v>287</v>
      </c>
      <c r="C8" s="27" t="str">
        <f>VLOOKUP(B8,'Master of Pay'!$B$7:$AH$33,2,)</f>
        <v>Employee4</v>
      </c>
      <c r="D8" s="27">
        <f>VLOOKUP(B8,'Master of Pay'!$B$7:$AH$33,25,)</f>
        <v>200</v>
      </c>
    </row>
    <row r="9" spans="1:4">
      <c r="A9" s="27">
        <v>5</v>
      </c>
      <c r="B9" s="124" t="s">
        <v>288</v>
      </c>
      <c r="C9" s="27" t="str">
        <f>VLOOKUP(B9,'Master of Pay'!$B$7:$AH$33,2,)</f>
        <v>Employee5</v>
      </c>
      <c r="D9" s="27">
        <f>VLOOKUP(B9,'Master of Pay'!$B$7:$AH$33,25,)</f>
        <v>200</v>
      </c>
    </row>
    <row r="10" spans="1:4">
      <c r="A10" s="27">
        <v>6</v>
      </c>
      <c r="B10" s="124" t="s">
        <v>289</v>
      </c>
      <c r="C10" s="27" t="str">
        <f>VLOOKUP(B10,'Master of Pay'!$B$7:$AH$33,2,)</f>
        <v>Employee6</v>
      </c>
      <c r="D10" s="27">
        <f>VLOOKUP(B10,'Master of Pay'!$B$7:$AH$33,25,)</f>
        <v>200</v>
      </c>
    </row>
    <row r="11" spans="1:4">
      <c r="A11" s="27">
        <v>7</v>
      </c>
      <c r="B11" s="124" t="s">
        <v>290</v>
      </c>
      <c r="C11" s="27" t="str">
        <f>VLOOKUP(B11,'Master of Pay'!$B$7:$AH$33,2,)</f>
        <v>Employee7</v>
      </c>
      <c r="D11" s="27">
        <f>VLOOKUP(B11,'Master of Pay'!$B$7:$AH$33,25,)</f>
        <v>200</v>
      </c>
    </row>
    <row r="12" spans="1:4">
      <c r="A12" s="27">
        <v>8</v>
      </c>
      <c r="B12" s="124" t="s">
        <v>291</v>
      </c>
      <c r="C12" s="27" t="str">
        <f>VLOOKUP(B12,'Master of Pay'!$B$7:$AH$33,2,)</f>
        <v>Employee8</v>
      </c>
      <c r="D12" s="27">
        <f>VLOOKUP(B12,'Master of Pay'!$B$7:$AH$33,25,)</f>
        <v>200</v>
      </c>
    </row>
    <row r="13" spans="1:4">
      <c r="A13" s="27">
        <v>9</v>
      </c>
      <c r="B13" s="124" t="s">
        <v>292</v>
      </c>
      <c r="C13" s="27" t="str">
        <f>VLOOKUP(B13,'Master of Pay'!$B$7:$AH$33,2,)</f>
        <v>Employee9</v>
      </c>
      <c r="D13" s="27">
        <f>VLOOKUP(B13,'Master of Pay'!$B$7:$AH$33,25,)</f>
        <v>200</v>
      </c>
    </row>
    <row r="14" spans="1:4">
      <c r="A14" s="27">
        <v>10</v>
      </c>
      <c r="B14" s="124" t="s">
        <v>293</v>
      </c>
      <c r="C14" s="27" t="str">
        <f>VLOOKUP(B14,'Master of Pay'!$B$7:$AH$33,2,)</f>
        <v>Employee10</v>
      </c>
      <c r="D14" s="27">
        <f>VLOOKUP(B14,'Master of Pay'!$B$7:$AH$33,25,)</f>
        <v>200</v>
      </c>
    </row>
    <row r="15" spans="1:4">
      <c r="A15" s="27">
        <v>11</v>
      </c>
      <c r="B15" s="124" t="s">
        <v>294</v>
      </c>
      <c r="C15" s="27" t="str">
        <f>VLOOKUP(B15,'Master of Pay'!$B$7:$AH$33,2,)</f>
        <v>Employee11</v>
      </c>
      <c r="D15" s="27">
        <f>VLOOKUP(B15,'Master of Pay'!$B$7:$AH$33,25,)</f>
        <v>200</v>
      </c>
    </row>
    <row r="16" spans="1:4">
      <c r="A16" s="27">
        <v>12</v>
      </c>
      <c r="B16" s="124" t="s">
        <v>295</v>
      </c>
      <c r="C16" s="27" t="str">
        <f>VLOOKUP(B16,'Master of Pay'!$B$7:$AH$33,2,)</f>
        <v>Employee12</v>
      </c>
      <c r="D16" s="27">
        <f>VLOOKUP(B16,'Master of Pay'!$B$7:$AH$33,25,)</f>
        <v>200</v>
      </c>
    </row>
    <row r="17" spans="1:4">
      <c r="A17" s="27">
        <v>13</v>
      </c>
      <c r="B17" s="124" t="s">
        <v>296</v>
      </c>
      <c r="C17" s="27" t="str">
        <f>VLOOKUP(B17,'Master of Pay'!$B$7:$AH$33,2,)</f>
        <v>Employee13</v>
      </c>
      <c r="D17" s="27">
        <f>VLOOKUP(B17,'Master of Pay'!$B$7:$AH$33,25,)</f>
        <v>200</v>
      </c>
    </row>
    <row r="18" spans="1:4">
      <c r="A18" s="27">
        <v>14</v>
      </c>
      <c r="B18" s="124" t="s">
        <v>297</v>
      </c>
      <c r="C18" s="27" t="str">
        <f>VLOOKUP(B18,'Master of Pay'!$B$7:$AH$33,2,)</f>
        <v>Employee14</v>
      </c>
      <c r="D18" s="27">
        <f>VLOOKUP(B18,'Master of Pay'!$B$7:$AH$33,25,)</f>
        <v>200</v>
      </c>
    </row>
    <row r="19" spans="1:4">
      <c r="A19" s="27">
        <v>15</v>
      </c>
      <c r="B19" s="124" t="s">
        <v>298</v>
      </c>
      <c r="C19" s="27" t="str">
        <f>VLOOKUP(B19,'Master of Pay'!$B$7:$AH$33,2,)</f>
        <v>Employee15</v>
      </c>
      <c r="D19" s="27">
        <f>VLOOKUP(B19,'Master of Pay'!$B$7:$AH$33,25,)</f>
        <v>200</v>
      </c>
    </row>
    <row r="20" spans="1:4">
      <c r="A20" s="27">
        <v>16</v>
      </c>
      <c r="B20" s="124" t="s">
        <v>299</v>
      </c>
      <c r="C20" s="27" t="str">
        <f>VLOOKUP(B20,'Master of Pay'!$B$7:$AH$33,2,)</f>
        <v>Employee16</v>
      </c>
      <c r="D20" s="27">
        <f>VLOOKUP(B20,'Master of Pay'!$B$7:$AH$33,25,)</f>
        <v>200</v>
      </c>
    </row>
    <row r="21" spans="1:4">
      <c r="A21" s="27">
        <v>17</v>
      </c>
      <c r="B21" s="124" t="s">
        <v>300</v>
      </c>
      <c r="C21" s="27" t="str">
        <f>VLOOKUP(B21,'Master of Pay'!$B$7:$AH$33,2,)</f>
        <v>Employee17</v>
      </c>
      <c r="D21" s="27">
        <f>VLOOKUP(B21,'Master of Pay'!$B$7:$AH$33,25,)</f>
        <v>200</v>
      </c>
    </row>
    <row r="22" spans="1:4">
      <c r="A22" s="27">
        <v>18</v>
      </c>
      <c r="B22" s="124" t="s">
        <v>301</v>
      </c>
      <c r="C22" s="27" t="str">
        <f>VLOOKUP(B22,'Master of Pay'!$B$7:$AH$33,2,)</f>
        <v>Employee18</v>
      </c>
      <c r="D22" s="27">
        <f>VLOOKUP(B22,'Master of Pay'!$B$7:$AH$33,25,)</f>
        <v>200</v>
      </c>
    </row>
    <row r="23" spans="1:4" ht="27.75" customHeight="1">
      <c r="A23" s="83">
        <v>19</v>
      </c>
      <c r="B23" s="124" t="s">
        <v>302</v>
      </c>
      <c r="C23" s="27" t="str">
        <f>VLOOKUP(B23,'Master of Pay'!$B$7:$AH$33,2,)</f>
        <v>Employee19</v>
      </c>
      <c r="D23" s="27">
        <f>VLOOKUP(B23,'Master of Pay'!$B$7:$AH$33,25,)</f>
        <v>200</v>
      </c>
    </row>
    <row r="24" spans="1:4">
      <c r="A24" s="27">
        <v>20</v>
      </c>
      <c r="B24" s="124" t="s">
        <v>303</v>
      </c>
      <c r="C24" s="27" t="str">
        <f>VLOOKUP(B24,'Master of Pay'!$B$7:$AH$33,2,)</f>
        <v>Employee20</v>
      </c>
      <c r="D24" s="27">
        <f>VLOOKUP(B24,'Master of Pay'!$B$7:$AH$33,25,)</f>
        <v>200</v>
      </c>
    </row>
    <row r="25" spans="1:4">
      <c r="A25" s="27">
        <v>21</v>
      </c>
      <c r="B25" s="124" t="s">
        <v>304</v>
      </c>
      <c r="C25" s="27" t="str">
        <f>VLOOKUP(B25,'Master of Pay'!$B$7:$AH$33,2,)</f>
        <v>Employee21</v>
      </c>
      <c r="D25" s="27">
        <f>VLOOKUP(B25,'Master of Pay'!$B$7:$AH$33,25,)</f>
        <v>200</v>
      </c>
    </row>
    <row r="26" spans="1:4">
      <c r="A26" s="27">
        <v>22</v>
      </c>
      <c r="B26" s="124" t="s">
        <v>305</v>
      </c>
      <c r="C26" s="27" t="str">
        <f>VLOOKUP(B26,'Master of Pay'!$B$7:$AH$33,2,)</f>
        <v>Employee22</v>
      </c>
      <c r="D26" s="27">
        <f>VLOOKUP(B26,'Master of Pay'!$B$7:$AH$33,25,)</f>
        <v>200</v>
      </c>
    </row>
    <row r="27" spans="1:4">
      <c r="A27" s="27">
        <v>23</v>
      </c>
      <c r="B27" s="124" t="s">
        <v>306</v>
      </c>
      <c r="C27" s="27" t="str">
        <f>VLOOKUP(B27,'Master of Pay'!$B$7:$AH$33,2,)</f>
        <v>Employee23</v>
      </c>
      <c r="D27" s="27">
        <f>VLOOKUP(B27,'Master of Pay'!$B$7:$AH$33,25,)</f>
        <v>200</v>
      </c>
    </row>
    <row r="28" spans="1:4">
      <c r="A28" s="27">
        <v>24</v>
      </c>
      <c r="B28" s="124" t="s">
        <v>307</v>
      </c>
      <c r="C28" s="27" t="str">
        <f>VLOOKUP(B28,'Master of Pay'!$B$7:$AH$33,2,)</f>
        <v>Employee24</v>
      </c>
      <c r="D28" s="27">
        <f>VLOOKUP(B28,'Master of Pay'!$B$7:$AH$33,25,)</f>
        <v>200</v>
      </c>
    </row>
    <row r="29" spans="1:4">
      <c r="A29" s="27">
        <v>25</v>
      </c>
      <c r="B29" s="124" t="s">
        <v>308</v>
      </c>
      <c r="C29" s="27" t="str">
        <f>VLOOKUP(B29,'Master of Pay'!$B$7:$AH$33,2,)</f>
        <v>Employee25</v>
      </c>
      <c r="D29" s="27">
        <f>VLOOKUP(B29,'Master of Pay'!$B$7:$AH$33,25,)</f>
        <v>200</v>
      </c>
    </row>
    <row r="30" spans="1:4">
      <c r="A30" s="27">
        <v>26</v>
      </c>
      <c r="B30" s="124" t="s">
        <v>309</v>
      </c>
      <c r="C30" s="27" t="str">
        <f>VLOOKUP(B30,'Master of Pay'!$B$7:$AH$33,2,)</f>
        <v>Employee26</v>
      </c>
      <c r="D30" s="27">
        <f>VLOOKUP(B30,'Master of Pay'!$B$7:$AH$33,25,)</f>
        <v>0</v>
      </c>
    </row>
    <row r="31" spans="1:4">
      <c r="A31" s="27">
        <v>27</v>
      </c>
      <c r="B31" s="124" t="s">
        <v>310</v>
      </c>
      <c r="C31" s="27" t="str">
        <f>VLOOKUP(B31,'Master of Pay'!$B$7:$AH$33,2,)</f>
        <v>Employee27</v>
      </c>
      <c r="D31" s="27">
        <v>600</v>
      </c>
    </row>
    <row r="32" spans="1:4">
      <c r="A32" s="118" t="s">
        <v>156</v>
      </c>
      <c r="B32" s="118"/>
      <c r="C32" s="118"/>
      <c r="D32" s="27">
        <f>SUM(D5:D31)</f>
        <v>5550</v>
      </c>
    </row>
  </sheetData>
  <mergeCells count="4">
    <mergeCell ref="A1:D1"/>
    <mergeCell ref="A2:D2"/>
    <mergeCell ref="A3:D3"/>
    <mergeCell ref="A32:C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topLeftCell="A3" workbookViewId="0">
      <selection activeCell="F13" sqref="F13"/>
    </sheetView>
  </sheetViews>
  <sheetFormatPr defaultRowHeight="15"/>
  <cols>
    <col min="1" max="1" width="4.7109375" customWidth="1"/>
    <col min="2" max="2" width="20.140625" customWidth="1"/>
    <col min="3" max="3" width="13.140625" customWidth="1"/>
    <col min="4" max="4" width="15.7109375" customWidth="1"/>
    <col min="5" max="5" width="6.140625" customWidth="1"/>
  </cols>
  <sheetData>
    <row r="1" spans="1:5">
      <c r="A1" s="119" t="s">
        <v>143</v>
      </c>
      <c r="B1" s="119"/>
      <c r="C1" s="119"/>
      <c r="D1" s="119"/>
      <c r="E1" s="119"/>
    </row>
    <row r="2" spans="1:5">
      <c r="A2" s="119" t="s">
        <v>158</v>
      </c>
      <c r="B2" s="119"/>
      <c r="C2" s="119"/>
      <c r="D2" s="119"/>
      <c r="E2" s="119"/>
    </row>
    <row r="3" spans="1:5">
      <c r="A3" s="120" t="s">
        <v>182</v>
      </c>
      <c r="B3" s="120"/>
      <c r="C3" s="120"/>
      <c r="D3" s="120"/>
      <c r="E3" s="120"/>
    </row>
    <row r="4" spans="1:5" ht="22.5">
      <c r="A4" s="47" t="s">
        <v>145</v>
      </c>
      <c r="B4" s="47" t="s">
        <v>31</v>
      </c>
      <c r="C4" s="88" t="s">
        <v>148</v>
      </c>
      <c r="D4" s="47" t="s">
        <v>171</v>
      </c>
      <c r="E4" s="47" t="s">
        <v>122</v>
      </c>
    </row>
    <row r="5" spans="1:5">
      <c r="A5" s="45">
        <v>1</v>
      </c>
      <c r="B5" s="45" t="str">
        <f>'Master of Pay'!B8</f>
        <v>Code2</v>
      </c>
      <c r="C5" s="45" t="str">
        <f>VLOOKUP(B5,'Master of Pay'!$B$7:$AH$33,2,)</f>
        <v>Employee2</v>
      </c>
      <c r="D5" s="45" t="str">
        <f>VLOOKUP(B5,'Master of Pay'!$B$7:$AH$33,6,)</f>
        <v>AAAAA1235A</v>
      </c>
      <c r="E5" s="45">
        <f>VLOOKUP(B5,'Master of Pay'!$B$7:$AH$33,23,)</f>
        <v>1000</v>
      </c>
    </row>
    <row r="6" spans="1:5">
      <c r="A6" s="45">
        <v>2</v>
      </c>
      <c r="B6" s="45" t="str">
        <f>'Master of Pay'!B10</f>
        <v>Code4</v>
      </c>
      <c r="C6" s="45" t="str">
        <f>VLOOKUP(B6,'Master of Pay'!$B$7:$AH$33,2,)</f>
        <v>Employee4</v>
      </c>
      <c r="D6" s="45" t="str">
        <f>VLOOKUP(B6,'Master of Pay'!$B$7:$AH$33,6,)</f>
        <v>AAAAA1237A</v>
      </c>
      <c r="E6" s="45">
        <f>VLOOKUP(B6,'Master of Pay'!$B$7:$AH$33,23,)</f>
        <v>12500</v>
      </c>
    </row>
    <row r="7" spans="1:5">
      <c r="A7" s="45">
        <v>3</v>
      </c>
      <c r="B7" s="45" t="str">
        <f>'Master of Pay'!B12</f>
        <v>Code6</v>
      </c>
      <c r="C7" s="45" t="str">
        <f>VLOOKUP(B7,'Master of Pay'!$B$7:$AH$33,2,)</f>
        <v>Employee6</v>
      </c>
      <c r="D7" s="45" t="str">
        <f>VLOOKUP(B7,'Master of Pay'!$B$7:$AH$33,6,)</f>
        <v>AAAAA1239A</v>
      </c>
      <c r="E7" s="45">
        <f>VLOOKUP(B7,'Master of Pay'!$B$7:$AH$33,23,)</f>
        <v>4000</v>
      </c>
    </row>
    <row r="8" spans="1:5">
      <c r="A8" s="45">
        <v>4</v>
      </c>
      <c r="B8" s="45" t="str">
        <f>'Master of Pay'!B24</f>
        <v>Code18</v>
      </c>
      <c r="C8" s="45" t="str">
        <f>VLOOKUP(B8,'Master of Pay'!$B$7:$AH$33,2,)</f>
        <v>Employee18</v>
      </c>
      <c r="D8" s="45" t="str">
        <f>VLOOKUP(B8,'Master of Pay'!$B$7:$AH$33,6,)</f>
        <v>AAAAA1113A</v>
      </c>
      <c r="E8" s="45">
        <f>VLOOKUP(B8,'Master of Pay'!$B$7:$AH$33,23,)</f>
        <v>2000</v>
      </c>
    </row>
    <row r="9" spans="1:5">
      <c r="A9" s="45">
        <v>5</v>
      </c>
      <c r="B9" s="45" t="str">
        <f>'Master of Pay'!B26</f>
        <v>Code20</v>
      </c>
      <c r="C9" s="45" t="str">
        <f>VLOOKUP(B9,'Master of Pay'!$B$7:$AH$33,2,)</f>
        <v>Employee20</v>
      </c>
      <c r="D9" s="45" t="str">
        <f>VLOOKUP(B9,'Master of Pay'!$B$7:$AH$33,6,)</f>
        <v>AAAAA1115A</v>
      </c>
      <c r="E9" s="45">
        <f>VLOOKUP(B9,'Master of Pay'!$B$7:$AH$33,23,)</f>
        <v>1000</v>
      </c>
    </row>
    <row r="10" spans="1:5">
      <c r="A10" s="45">
        <v>6</v>
      </c>
      <c r="B10" s="45" t="s">
        <v>309</v>
      </c>
      <c r="C10" s="45" t="str">
        <f>VLOOKUP(B10,'Master of Pay'!$B$7:$AH$33,2,)</f>
        <v>Employee26</v>
      </c>
      <c r="D10" s="45" t="str">
        <f>VLOOKUP(B10,'Master of Pay'!$B$7:$AH$33,6,)</f>
        <v>AAAAA1121A</v>
      </c>
      <c r="E10" s="45">
        <f>VLOOKUP(B10,'Master of Pay'!$B$7:$AH$33,23,)</f>
        <v>1000</v>
      </c>
    </row>
    <row r="11" spans="1:5">
      <c r="A11" s="45">
        <v>7</v>
      </c>
      <c r="B11" s="45" t="s">
        <v>241</v>
      </c>
      <c r="C11" s="45" t="str">
        <f>VLOOKUP(B11,'Master of Pay'!$B$7:$AH$33,2,)</f>
        <v>Employee1</v>
      </c>
      <c r="D11" s="45" t="str">
        <f>VLOOKUP(B11,'Master of Pay'!$B$7:$AH$33,6,)</f>
        <v>AAAAA1234A</v>
      </c>
      <c r="E11" s="45">
        <f>VLOOKUP(B11,'Master of Pay'!$B$7:$AH$33,23,)</f>
        <v>1000</v>
      </c>
    </row>
    <row r="12" spans="1:5">
      <c r="A12" s="45">
        <v>8</v>
      </c>
      <c r="B12" s="45" t="s">
        <v>286</v>
      </c>
      <c r="C12" s="45" t="str">
        <f>VLOOKUP(B12,'Master of Pay'!$B$7:$AH$33,2,)</f>
        <v>Employee3</v>
      </c>
      <c r="D12" s="45" t="str">
        <f>VLOOKUP(B12,'Master of Pay'!$B$7:$AH$33,6,)</f>
        <v>AAAAA1236A</v>
      </c>
      <c r="E12" s="45">
        <f>VLOOKUP(B12,'Master of Pay'!$B$7:$AH$33,23,)</f>
        <v>10000</v>
      </c>
    </row>
    <row r="13" spans="1:5">
      <c r="A13" s="41"/>
      <c r="B13" s="41"/>
      <c r="C13" s="121" t="s">
        <v>151</v>
      </c>
      <c r="D13" s="121"/>
      <c r="E13" s="89">
        <f>SUM(E5:E12)</f>
        <v>32500</v>
      </c>
    </row>
    <row r="14" spans="1:5">
      <c r="A14" s="122"/>
      <c r="B14" s="122"/>
      <c r="C14" s="122"/>
      <c r="D14" s="122"/>
      <c r="E14" s="122"/>
    </row>
  </sheetData>
  <mergeCells count="5">
    <mergeCell ref="A1:E1"/>
    <mergeCell ref="A2:E2"/>
    <mergeCell ref="A3:E3"/>
    <mergeCell ref="C13:D13"/>
    <mergeCell ref="A14:E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0"/>
  <sheetViews>
    <sheetView tabSelected="1" topLeftCell="A26" workbookViewId="0">
      <selection activeCell="D34" sqref="D34"/>
    </sheetView>
  </sheetViews>
  <sheetFormatPr defaultRowHeight="15"/>
  <cols>
    <col min="1" max="1" width="6.5703125" style="34" customWidth="1"/>
    <col min="2" max="2" width="9.140625" style="34" customWidth="1"/>
    <col min="3" max="3" width="25.85546875" customWidth="1"/>
    <col min="4" max="4" width="17.28515625" customWidth="1"/>
    <col min="5" max="5" width="16.42578125" style="32" customWidth="1"/>
    <col min="6" max="6" width="13" customWidth="1"/>
    <col min="7" max="7" width="11.140625" customWidth="1"/>
  </cols>
  <sheetData>
    <row r="1" spans="1:10" ht="18.75">
      <c r="A1" s="33" t="s">
        <v>183</v>
      </c>
      <c r="B1" s="33"/>
      <c r="C1" s="30"/>
      <c r="D1" s="30"/>
      <c r="E1" s="31"/>
      <c r="F1" s="30"/>
      <c r="G1" s="30"/>
    </row>
    <row r="2" spans="1:10" ht="24.95" customHeight="1">
      <c r="A2" s="94" t="s">
        <v>118</v>
      </c>
      <c r="B2" s="94" t="s">
        <v>31</v>
      </c>
      <c r="C2" s="94" t="s">
        <v>119</v>
      </c>
      <c r="D2" s="94" t="s">
        <v>123</v>
      </c>
      <c r="E2" s="95" t="s">
        <v>120</v>
      </c>
      <c r="F2" s="94" t="s">
        <v>121</v>
      </c>
      <c r="G2" s="94" t="s">
        <v>122</v>
      </c>
    </row>
    <row r="3" spans="1:10" ht="24.95" customHeight="1">
      <c r="A3" s="94">
        <v>1</v>
      </c>
      <c r="B3" s="124" t="s">
        <v>284</v>
      </c>
      <c r="C3" s="97" t="str">
        <f>VLOOKUP(B3,'Master of Pay'!$B$7:$AI$33,2,)</f>
        <v>Employee1</v>
      </c>
      <c r="D3" s="70" t="str">
        <f>VLOOKUP(B3,'Master of Pay'!$B$7:$AI$33,3,)</f>
        <v>SPE</v>
      </c>
      <c r="E3" s="70" t="str">
        <f>VLOOKUP(B3,'Master of Pay'!$B$7:$AI$33,4,)</f>
        <v>Bank 1111</v>
      </c>
      <c r="F3" s="96" t="s">
        <v>125</v>
      </c>
      <c r="G3" s="70">
        <f>VLOOKUP(B3,'Master of Pay'!$B$7:$AI$33,34,)</f>
        <v>13787</v>
      </c>
      <c r="H3" s="93"/>
    </row>
    <row r="4" spans="1:10" ht="24.95" customHeight="1">
      <c r="A4" s="94">
        <v>2</v>
      </c>
      <c r="B4" s="124" t="s">
        <v>285</v>
      </c>
      <c r="C4" s="97" t="str">
        <f>VLOOKUP(B4,'Master of Pay'!$B$7:$AI$33,2,)</f>
        <v>Employee2</v>
      </c>
      <c r="D4" s="70" t="str">
        <f>VLOOKUP(B4,'Master of Pay'!$B$7:$AI$33,3,)</f>
        <v>AAO</v>
      </c>
      <c r="E4" s="70" t="str">
        <f>VLOOKUP(B4,'Master of Pay'!$B$7:$AI$33,4,)</f>
        <v>Bank 1112</v>
      </c>
      <c r="F4" s="96" t="s">
        <v>125</v>
      </c>
      <c r="G4" s="97">
        <f>VLOOKUP(B4,'Master of Pay'!$B$7:$AI$33,34,)</f>
        <v>45450.796000000002</v>
      </c>
      <c r="H4" s="93"/>
      <c r="J4" s="81"/>
    </row>
    <row r="5" spans="1:10" ht="24.95" customHeight="1">
      <c r="A5" s="94">
        <v>3</v>
      </c>
      <c r="B5" s="124" t="s">
        <v>286</v>
      </c>
      <c r="C5" s="97" t="str">
        <f>VLOOKUP(B5,'Master of Pay'!$B$7:$AI$33,2,)</f>
        <v>Employee3</v>
      </c>
      <c r="D5" s="70" t="str">
        <f>VLOOKUP(B5,'Master of Pay'!$B$7:$AI$33,3,)</f>
        <v>EE</v>
      </c>
      <c r="E5" s="70" t="str">
        <f>VLOOKUP(B5,'Master of Pay'!$B$7:$AI$33,4,)</f>
        <v>Bank 1113</v>
      </c>
      <c r="F5" s="96" t="s">
        <v>125</v>
      </c>
      <c r="G5" s="97">
        <f>VLOOKUP(B5,'Master of Pay'!$B$7:$AI$33,34,)</f>
        <v>75445.010399999999</v>
      </c>
      <c r="H5" s="93"/>
    </row>
    <row r="6" spans="1:10" ht="24.95" customHeight="1">
      <c r="A6" s="94">
        <v>4</v>
      </c>
      <c r="B6" s="124" t="s">
        <v>287</v>
      </c>
      <c r="C6" s="97" t="str">
        <f>VLOOKUP(B6,'Master of Pay'!$B$7:$AI$33,2,)</f>
        <v>Employee4</v>
      </c>
      <c r="D6" s="70" t="str">
        <f>VLOOKUP(B6,'Master of Pay'!$B$7:$AI$33,3,)</f>
        <v>DyEE</v>
      </c>
      <c r="E6" s="70" t="str">
        <f>VLOOKUP(B6,'Master of Pay'!$B$7:$AI$33,4,)</f>
        <v>Bank 1114</v>
      </c>
      <c r="F6" s="96" t="s">
        <v>125</v>
      </c>
      <c r="G6" s="97">
        <f>VLOOKUP(B6,'Master of Pay'!$B$7:$AI$33,34,)</f>
        <v>79818.213600000003</v>
      </c>
      <c r="H6" s="93"/>
    </row>
    <row r="7" spans="1:10" ht="24.95" customHeight="1">
      <c r="A7" s="94">
        <v>5</v>
      </c>
      <c r="B7" s="124" t="s">
        <v>288</v>
      </c>
      <c r="C7" s="97" t="str">
        <f>VLOOKUP(B7,'Master of Pay'!$B$7:$AI$33,2,)</f>
        <v>Employee5</v>
      </c>
      <c r="D7" s="70" t="str">
        <f>VLOOKUP(B7,'Master of Pay'!$B$7:$AI$33,3,)</f>
        <v>DyEE</v>
      </c>
      <c r="E7" s="70" t="str">
        <f>VLOOKUP(B7,'Master of Pay'!$B$7:$AI$33,4,)</f>
        <v>Bank 1115</v>
      </c>
      <c r="F7" s="96" t="s">
        <v>126</v>
      </c>
      <c r="G7" s="97">
        <f>VLOOKUP(B7,'Master of Pay'!$B$7:$AI$33,34,)</f>
        <v>84062.767999999996</v>
      </c>
      <c r="H7" s="93"/>
    </row>
    <row r="8" spans="1:10" ht="24.95" customHeight="1">
      <c r="A8" s="94">
        <v>6</v>
      </c>
      <c r="B8" s="124" t="s">
        <v>289</v>
      </c>
      <c r="C8" s="97" t="str">
        <f>VLOOKUP(B8,'Master of Pay'!$B$7:$AI$33,2,)</f>
        <v>Employee6</v>
      </c>
      <c r="D8" s="70" t="str">
        <f>VLOOKUP(B8,'Master of Pay'!$B$7:$AI$33,3,)</f>
        <v>SAMO</v>
      </c>
      <c r="E8" s="70" t="str">
        <f>VLOOKUP(B8,'Master of Pay'!$B$7:$AI$33,4,)</f>
        <v>Bank 1116</v>
      </c>
      <c r="F8" s="96" t="s">
        <v>125</v>
      </c>
      <c r="G8" s="97">
        <f>VLOOKUP(B8,'Master of Pay'!$B$7:$AI$33,34,)</f>
        <v>54560.4</v>
      </c>
      <c r="H8" s="93"/>
    </row>
    <row r="9" spans="1:10" ht="24.95" customHeight="1">
      <c r="A9" s="94">
        <v>7</v>
      </c>
      <c r="B9" s="124" t="s">
        <v>290</v>
      </c>
      <c r="C9" s="97" t="str">
        <f>VLOOKUP(B9,'Master of Pay'!$B$7:$AI$33,2,)</f>
        <v>Employee7</v>
      </c>
      <c r="D9" s="70" t="str">
        <f>VLOOKUP(B9,'Master of Pay'!$B$7:$AI$33,3,)</f>
        <v>Administrative Officer</v>
      </c>
      <c r="E9" s="70" t="str">
        <f>VLOOKUP(B9,'Master of Pay'!$B$7:$AI$33,4,)</f>
        <v>Bank 1117</v>
      </c>
      <c r="F9" s="96" t="s">
        <v>127</v>
      </c>
      <c r="G9" s="97">
        <f>VLOOKUP(B9,'Master of Pay'!$B$7:$AI$33,34,)</f>
        <v>53669.08</v>
      </c>
      <c r="H9" s="93"/>
    </row>
    <row r="10" spans="1:10" ht="24.95" customHeight="1">
      <c r="A10" s="94">
        <v>8</v>
      </c>
      <c r="B10" s="124" t="s">
        <v>291</v>
      </c>
      <c r="C10" s="97" t="str">
        <f>VLOOKUP(B10,'Master of Pay'!$B$7:$AI$33,2,)</f>
        <v>Employee8</v>
      </c>
      <c r="D10" s="70" t="str">
        <f>VLOOKUP(B10,'Master of Pay'!$B$7:$AI$33,3,)</f>
        <v>Asst. PC</v>
      </c>
      <c r="E10" s="70" t="str">
        <f>VLOOKUP(B10,'Master of Pay'!$B$7:$AI$33,4,)</f>
        <v>Bank 1118</v>
      </c>
      <c r="F10" s="96" t="s">
        <v>128</v>
      </c>
      <c r="G10" s="97">
        <f>VLOOKUP(B10,'Master of Pay'!$B$7:$AI$33,34,)</f>
        <v>54700.796000000002</v>
      </c>
      <c r="H10" s="93"/>
    </row>
    <row r="11" spans="1:10" ht="24.95" customHeight="1">
      <c r="A11" s="94">
        <v>9</v>
      </c>
      <c r="B11" s="124" t="s">
        <v>292</v>
      </c>
      <c r="C11" s="97" t="str">
        <f>VLOOKUP(B11,'Master of Pay'!$B$7:$AI$33,2,)</f>
        <v>Employee9</v>
      </c>
      <c r="D11" s="70" t="str">
        <f>VLOOKUP(B11,'Master of Pay'!$B$7:$AI$33,3,)</f>
        <v>RTE Coordinator</v>
      </c>
      <c r="E11" s="70" t="str">
        <f>VLOOKUP(B11,'Master of Pay'!$B$7:$AI$33,4,)</f>
        <v>Bank 1119</v>
      </c>
      <c r="F11" s="96" t="s">
        <v>129</v>
      </c>
      <c r="G11" s="97">
        <f>VLOOKUP(B11,'Master of Pay'!$B$7:$AI$33,34,)</f>
        <v>64844.967999999993</v>
      </c>
      <c r="H11" s="93"/>
    </row>
    <row r="12" spans="1:10" ht="24.95" customHeight="1">
      <c r="A12" s="94">
        <v>10</v>
      </c>
      <c r="B12" s="124" t="s">
        <v>293</v>
      </c>
      <c r="C12" s="97" t="str">
        <f>VLOOKUP(B12,'Master of Pay'!$B$7:$AI$33,2,)</f>
        <v>Employee10</v>
      </c>
      <c r="D12" s="70" t="str">
        <f>VLOOKUP(B12,'Master of Pay'!$B$7:$AI$33,3,)</f>
        <v>OSC Coordinator</v>
      </c>
      <c r="E12" s="70" t="str">
        <f>VLOOKUP(B12,'Master of Pay'!$B$7:$AI$33,4,)</f>
        <v>Bank 1120</v>
      </c>
      <c r="F12" s="96" t="s">
        <v>125</v>
      </c>
      <c r="G12" s="97">
        <f>VLOOKUP(B12,'Master of Pay'!$B$7:$AI$33,34,)</f>
        <v>49948</v>
      </c>
      <c r="H12" s="93"/>
    </row>
    <row r="13" spans="1:10" ht="24.95" customHeight="1">
      <c r="A13" s="94">
        <v>11</v>
      </c>
      <c r="B13" s="124" t="s">
        <v>294</v>
      </c>
      <c r="C13" s="97" t="str">
        <f>VLOOKUP(B13,'Master of Pay'!$B$7:$AI$33,2,)</f>
        <v>Employee11</v>
      </c>
      <c r="D13" s="70" t="str">
        <f>VLOOKUP(B13,'Master of Pay'!$B$7:$AI$33,3,)</f>
        <v>RTE Coordinator</v>
      </c>
      <c r="E13" s="70" t="str">
        <f>VLOOKUP(B13,'Master of Pay'!$B$7:$AI$33,4,)</f>
        <v>Bank 1121</v>
      </c>
      <c r="F13" s="96" t="s">
        <v>130</v>
      </c>
      <c r="G13" s="97">
        <f>VLOOKUP(B13,'Master of Pay'!$B$7:$AI$33,34,)</f>
        <v>51489.08</v>
      </c>
      <c r="H13" s="93"/>
    </row>
    <row r="14" spans="1:10" ht="24.95" customHeight="1">
      <c r="A14" s="94">
        <v>12</v>
      </c>
      <c r="B14" s="124" t="s">
        <v>295</v>
      </c>
      <c r="C14" s="97" t="str">
        <f>VLOOKUP(B14,'Master of Pay'!$B$7:$AI$33,2,)</f>
        <v>Employee12</v>
      </c>
      <c r="D14" s="70" t="str">
        <f>VLOOKUP(B14,'Master of Pay'!$B$7:$AI$33,3,)</f>
        <v>SCMO</v>
      </c>
      <c r="E14" s="70" t="str">
        <f>VLOOKUP(B14,'Master of Pay'!$B$7:$AI$33,4,)</f>
        <v>Bank 1122</v>
      </c>
      <c r="F14" s="96" t="s">
        <v>131</v>
      </c>
      <c r="G14" s="97">
        <f>VLOOKUP(B14,'Master of Pay'!$B$7:$AI$33,34,)</f>
        <v>51992.671999999999</v>
      </c>
      <c r="H14" s="93"/>
      <c r="J14" s="81"/>
    </row>
    <row r="15" spans="1:10" ht="24.95" customHeight="1">
      <c r="A15" s="94">
        <v>13</v>
      </c>
      <c r="B15" s="124" t="s">
        <v>296</v>
      </c>
      <c r="C15" s="97" t="str">
        <f>VLOOKUP(B15,'Master of Pay'!$B$7:$AI$33,2,)</f>
        <v>Employee13</v>
      </c>
      <c r="D15" s="70" t="str">
        <f>VLOOKUP(B15,'Master of Pay'!$B$7:$AI$33,3,)</f>
        <v>AMO(U)</v>
      </c>
      <c r="E15" s="70" t="str">
        <f>VLOOKUP(B15,'Master of Pay'!$B$7:$AI$33,4,)</f>
        <v>Bank 1123</v>
      </c>
      <c r="F15" s="96" t="s">
        <v>132</v>
      </c>
      <c r="G15" s="97">
        <f>VLOOKUP(B15,'Master of Pay'!$B$7:$AI$33,34,)</f>
        <v>98808.213600000003</v>
      </c>
      <c r="H15" s="93"/>
      <c r="J15" s="81"/>
    </row>
    <row r="16" spans="1:10" ht="24.95" customHeight="1">
      <c r="A16" s="94">
        <v>14</v>
      </c>
      <c r="B16" s="124" t="s">
        <v>297</v>
      </c>
      <c r="C16" s="97" t="str">
        <f>VLOOKUP(B16,'Master of Pay'!$B$7:$AI$33,2,)</f>
        <v>Employee14</v>
      </c>
      <c r="D16" s="70" t="str">
        <f>VLOOKUP(B16,'Master of Pay'!$B$7:$AI$33,3,)</f>
        <v>AS,KGBV</v>
      </c>
      <c r="E16" s="70" t="str">
        <f>VLOOKUP(B16,'Master of Pay'!$B$7:$AI$33,4,)</f>
        <v>Bank 1124</v>
      </c>
      <c r="F16" s="96" t="s">
        <v>133</v>
      </c>
      <c r="G16" s="97">
        <f>VLOOKUP(B16,'Master of Pay'!$B$7:$AI$33,34,)</f>
        <v>46718.671999999999</v>
      </c>
      <c r="H16" s="93"/>
      <c r="J16" s="81"/>
    </row>
    <row r="17" spans="1:12" ht="24.95" customHeight="1">
      <c r="A17" s="94">
        <v>15</v>
      </c>
      <c r="B17" s="124" t="s">
        <v>298</v>
      </c>
      <c r="C17" s="97" t="str">
        <f>VLOOKUP(B17,'Master of Pay'!$B$7:$AI$33,2,)</f>
        <v>Employee15</v>
      </c>
      <c r="D17" s="70" t="str">
        <f>VLOOKUP(B17,'Master of Pay'!$B$7:$AI$33,3,)</f>
        <v>Dy SO</v>
      </c>
      <c r="E17" s="70" t="str">
        <f>VLOOKUP(B17,'Master of Pay'!$B$7:$AI$33,4,)</f>
        <v>Bank 1125</v>
      </c>
      <c r="F17" s="96" t="s">
        <v>134</v>
      </c>
      <c r="G17" s="97">
        <f>VLOOKUP(B17,'Master of Pay'!$B$7:$AI$33,34,)</f>
        <v>36720.796000000002</v>
      </c>
      <c r="H17" s="93"/>
      <c r="J17" s="81"/>
    </row>
    <row r="18" spans="1:12" ht="24.95" customHeight="1">
      <c r="A18" s="94">
        <v>16</v>
      </c>
      <c r="B18" s="124" t="s">
        <v>299</v>
      </c>
      <c r="C18" s="97" t="str">
        <f>VLOOKUP(B18,'Master of Pay'!$B$7:$AI$33,2,)</f>
        <v>Employee16</v>
      </c>
      <c r="D18" s="70" t="str">
        <f>VLOOKUP(B18,'Master of Pay'!$B$7:$AI$33,3,)</f>
        <v>ASO</v>
      </c>
      <c r="E18" s="70" t="str">
        <f>VLOOKUP(B18,'Master of Pay'!$B$7:$AI$33,4,)</f>
        <v>Bank 1126</v>
      </c>
      <c r="F18" s="96" t="s">
        <v>135</v>
      </c>
      <c r="G18" s="97">
        <f>VLOOKUP(B18,'Master of Pay'!$B$7:$AI$33,34,)</f>
        <v>39368.063999999998</v>
      </c>
      <c r="H18" s="93"/>
      <c r="J18" s="81"/>
    </row>
    <row r="19" spans="1:12" ht="24.95" customHeight="1">
      <c r="A19" s="94">
        <v>17</v>
      </c>
      <c r="B19" s="124" t="s">
        <v>300</v>
      </c>
      <c r="C19" s="97" t="str">
        <f>VLOOKUP(B19,'Master of Pay'!$B$7:$AI$33,2,)</f>
        <v>Employee17</v>
      </c>
      <c r="D19" s="70" t="str">
        <f>VLOOKUP(B19,'Master of Pay'!$B$7:$AI$33,3,)</f>
        <v>Superintendent</v>
      </c>
      <c r="E19" s="70" t="str">
        <f>VLOOKUP(B19,'Master of Pay'!$B$7:$AI$33,4,)</f>
        <v>Bank 1127</v>
      </c>
      <c r="F19" s="96" t="s">
        <v>136</v>
      </c>
      <c r="G19" s="97">
        <f>VLOOKUP(B19,'Master of Pay'!$B$7:$AI$33,34,)</f>
        <v>44777.1</v>
      </c>
      <c r="H19" s="93"/>
      <c r="J19" s="81"/>
    </row>
    <row r="20" spans="1:12" ht="24.95" customHeight="1">
      <c r="A20" s="94">
        <v>18</v>
      </c>
      <c r="B20" s="124" t="s">
        <v>301</v>
      </c>
      <c r="C20" s="97" t="str">
        <f>VLOOKUP(B20,'Master of Pay'!$B$7:$AI$33,2,)</f>
        <v>Employee18</v>
      </c>
      <c r="D20" s="70" t="str">
        <f>VLOOKUP(B20,'Master of Pay'!$B$7:$AI$33,3,)</f>
        <v>Superintendent</v>
      </c>
      <c r="E20" s="70" t="str">
        <f>VLOOKUP(B20,'Master of Pay'!$B$7:$AI$33,4,)</f>
        <v>Bank 1128</v>
      </c>
      <c r="F20" s="96" t="s">
        <v>125</v>
      </c>
      <c r="G20" s="97">
        <f>VLOOKUP(B20,'Master of Pay'!$B$7:$AI$33,34,)</f>
        <v>50244.423999999999</v>
      </c>
      <c r="H20" s="93"/>
      <c r="J20" s="81"/>
    </row>
    <row r="21" spans="1:12" ht="24.95" customHeight="1">
      <c r="A21" s="94">
        <v>19</v>
      </c>
      <c r="B21" s="124" t="s">
        <v>302</v>
      </c>
      <c r="C21" s="97" t="str">
        <f>VLOOKUP(B21,'Master of Pay'!$B$7:$AI$33,2,)</f>
        <v>Employee19</v>
      </c>
      <c r="D21" s="70" t="str">
        <f>VLOOKUP(B21,'Master of Pay'!$B$7:$AI$33,3,)</f>
        <v>Superintendent</v>
      </c>
      <c r="E21" s="70" t="str">
        <f>VLOOKUP(B21,'Master of Pay'!$B$7:$AI$33,4,)</f>
        <v>Bank 1129</v>
      </c>
      <c r="F21" s="96" t="s">
        <v>125</v>
      </c>
      <c r="G21" s="97">
        <f>VLOOKUP(B21,'Master of Pay'!$B$7:$AI$33,34,)</f>
        <v>58344.423999999999</v>
      </c>
      <c r="H21" s="93"/>
      <c r="J21" s="81"/>
    </row>
    <row r="22" spans="1:12" ht="24.95" customHeight="1">
      <c r="A22" s="94">
        <v>20</v>
      </c>
      <c r="B22" s="124" t="s">
        <v>303</v>
      </c>
      <c r="C22" s="97" t="str">
        <f>VLOOKUP(B22,'Master of Pay'!$B$7:$AI$33,2,)</f>
        <v>Employee20</v>
      </c>
      <c r="D22" s="70" t="str">
        <f>VLOOKUP(B22,'Master of Pay'!$B$7:$AI$33,3,)</f>
        <v>Superintendent</v>
      </c>
      <c r="E22" s="70" t="str">
        <f>VLOOKUP(B22,'Master of Pay'!$B$7:$AI$33,4,)</f>
        <v>Bank 1130</v>
      </c>
      <c r="F22" s="96" t="s">
        <v>137</v>
      </c>
      <c r="G22" s="97">
        <f>VLOOKUP(B22,'Master of Pay'!$B$7:$AI$33,34,)</f>
        <v>42203.167199999996</v>
      </c>
      <c r="H22" s="93"/>
      <c r="J22" s="81"/>
    </row>
    <row r="23" spans="1:12" ht="24.95" customHeight="1">
      <c r="A23" s="94">
        <v>21</v>
      </c>
      <c r="B23" s="124" t="s">
        <v>304</v>
      </c>
      <c r="C23" s="97" t="str">
        <f>VLOOKUP(B23,'Master of Pay'!$B$7:$AI$33,2,)</f>
        <v>Employee21</v>
      </c>
      <c r="D23" s="70" t="str">
        <f>VLOOKUP(B23,'Master of Pay'!$B$7:$AI$33,3,)</f>
        <v>Superintendent</v>
      </c>
      <c r="E23" s="70" t="str">
        <f>VLOOKUP(B23,'Master of Pay'!$B$7:$AI$33,4,)</f>
        <v>Bank 1131</v>
      </c>
      <c r="F23" s="96" t="s">
        <v>138</v>
      </c>
      <c r="G23" s="97">
        <f>VLOOKUP(B23,'Master of Pay'!$B$7:$AI$33,34,)</f>
        <v>29288.063999999998</v>
      </c>
      <c r="H23" s="93"/>
      <c r="J23" s="81"/>
    </row>
    <row r="24" spans="1:12" ht="24.95" customHeight="1">
      <c r="A24" s="94">
        <v>22</v>
      </c>
      <c r="B24" s="124" t="s">
        <v>305</v>
      </c>
      <c r="C24" s="97" t="str">
        <f>VLOOKUP(B24,'Master of Pay'!$B$7:$AI$33,2,)</f>
        <v>Employee22</v>
      </c>
      <c r="D24" s="70" t="str">
        <f>VLOOKUP(B24,'Master of Pay'!$B$7:$AI$33,3,)</f>
        <v>Superintendent</v>
      </c>
      <c r="E24" s="70" t="str">
        <f>VLOOKUP(B24,'Master of Pay'!$B$7:$AI$33,4,)</f>
        <v>Bank 1132</v>
      </c>
      <c r="F24" s="96" t="s">
        <v>125</v>
      </c>
      <c r="G24" s="97">
        <f>VLOOKUP(B24,'Master of Pay'!$B$7:$AI$33,34,)</f>
        <v>46061.852800000001</v>
      </c>
      <c r="H24" s="93"/>
      <c r="J24" s="81"/>
    </row>
    <row r="25" spans="1:12" ht="24.95" customHeight="1">
      <c r="A25" s="94">
        <v>23</v>
      </c>
      <c r="B25" s="124" t="s">
        <v>306</v>
      </c>
      <c r="C25" s="97" t="str">
        <f>VLOOKUP(B25,'Master of Pay'!$B$7:$AI$33,2,)</f>
        <v>Employee23</v>
      </c>
      <c r="D25" s="70" t="str">
        <f>VLOOKUP(B25,'Master of Pay'!$B$7:$AI$33,3,)</f>
        <v>Superintendent</v>
      </c>
      <c r="E25" s="70" t="str">
        <f>VLOOKUP(B25,'Master of Pay'!$B$7:$AI$33,4,)</f>
        <v>Bank 1133</v>
      </c>
      <c r="F25" s="96" t="s">
        <v>139</v>
      </c>
      <c r="G25" s="97">
        <f>VLOOKUP(B25,'Master of Pay'!$B$7:$AI$33,34,)</f>
        <v>59295.2192</v>
      </c>
      <c r="H25" s="93"/>
      <c r="J25" s="81"/>
    </row>
    <row r="26" spans="1:12" ht="24.95" customHeight="1">
      <c r="A26" s="94">
        <v>24</v>
      </c>
      <c r="B26" s="124" t="s">
        <v>307</v>
      </c>
      <c r="C26" s="97" t="str">
        <f>VLOOKUP(B26,'Master of Pay'!$B$7:$AI$33,2,)</f>
        <v>Employee24</v>
      </c>
      <c r="D26" s="70" t="str">
        <f>VLOOKUP(B26,'Master of Pay'!$B$7:$AI$33,3,)</f>
        <v>Superintendent</v>
      </c>
      <c r="E26" s="70" t="str">
        <f>VLOOKUP(B26,'Master of Pay'!$B$7:$AI$33,4,)</f>
        <v>Bank 1134</v>
      </c>
      <c r="F26" s="96" t="s">
        <v>140</v>
      </c>
      <c r="G26" s="97">
        <f>VLOOKUP(B26,'Master of Pay'!$B$7:$AI$33,34,)</f>
        <v>95971.010399999999</v>
      </c>
      <c r="H26" s="93"/>
      <c r="J26" s="81"/>
    </row>
    <row r="27" spans="1:12" ht="24.95" customHeight="1">
      <c r="A27" s="94">
        <v>25</v>
      </c>
      <c r="B27" s="124" t="s">
        <v>308</v>
      </c>
      <c r="C27" s="97" t="str">
        <f>VLOOKUP(B27,'Master of Pay'!$B$7:$AI$33,2,)</f>
        <v>Employee25</v>
      </c>
      <c r="D27" s="70" t="str">
        <f>VLOOKUP(B27,'Master of Pay'!$B$7:$AI$33,3,)</f>
        <v>Superintendent</v>
      </c>
      <c r="E27" s="70" t="str">
        <f>VLOOKUP(B27,'Master of Pay'!$B$7:$AI$33,4,)</f>
        <v>Bank 1135</v>
      </c>
      <c r="F27" s="96" t="s">
        <v>141</v>
      </c>
      <c r="G27" s="97">
        <f>VLOOKUP(B27,'Master of Pay'!$B$7:$AI$33,34,)</f>
        <v>33097.995999999999</v>
      </c>
      <c r="H27" s="93"/>
      <c r="J27" s="81"/>
    </row>
    <row r="28" spans="1:12" ht="24.95" customHeight="1">
      <c r="A28" s="94">
        <v>26</v>
      </c>
      <c r="B28" s="124" t="s">
        <v>309</v>
      </c>
      <c r="C28" s="97" t="str">
        <f>VLOOKUP(B28,'Master of Pay'!$B$7:$AI$33,2,)</f>
        <v>Employee26</v>
      </c>
      <c r="D28" s="70" t="str">
        <f>VLOOKUP(B28,'Master of Pay'!$B$7:$AI$33,3,)</f>
        <v>Sr Asst</v>
      </c>
      <c r="E28" s="70" t="str">
        <f>VLOOKUP(B28,'Master of Pay'!$B$7:$AI$33,4,)</f>
        <v>Bank 1136</v>
      </c>
      <c r="F28" s="96" t="s">
        <v>125</v>
      </c>
      <c r="G28" s="97">
        <f>VLOOKUP(B28,'Master of Pay'!$B$7:$AI$33,34,)</f>
        <v>2712.1000000000004</v>
      </c>
      <c r="H28" s="93"/>
      <c r="J28" s="81"/>
    </row>
    <row r="29" spans="1:12" ht="24.95" customHeight="1">
      <c r="A29" s="94">
        <v>27</v>
      </c>
      <c r="B29" s="124" t="s">
        <v>310</v>
      </c>
      <c r="C29" s="97" t="str">
        <f>VLOOKUP(B29,'Master of Pay'!$B$7:$AI$33,2,)</f>
        <v>Employee27</v>
      </c>
      <c r="D29" s="70" t="str">
        <f>VLOOKUP(B29,'Master of Pay'!$B$7:$AI$33,3,)</f>
        <v>IED-Co</v>
      </c>
      <c r="E29" s="70" t="str">
        <f>VLOOKUP(B29,'Master of Pay'!$B$7:$AI$33,4,)</f>
        <v>Bank 1137</v>
      </c>
      <c r="F29" s="96" t="s">
        <v>184</v>
      </c>
      <c r="G29" s="97">
        <f>VLOOKUP(B29,'Master of Pay'!$B$7:$AI$33,34,)</f>
        <v>18391.635999999999</v>
      </c>
      <c r="H29" s="93"/>
      <c r="J29" s="81"/>
    </row>
    <row r="30" spans="1:12" ht="17.25" customHeight="1">
      <c r="A30" s="123" t="s">
        <v>142</v>
      </c>
      <c r="B30" s="123"/>
      <c r="C30" s="123"/>
      <c r="D30" s="123"/>
      <c r="E30" s="123"/>
      <c r="F30" s="123"/>
      <c r="G30" s="97">
        <f>SUM(G3:G29)</f>
        <v>1381771.5231999999</v>
      </c>
      <c r="H30" s="80"/>
      <c r="L30" s="81"/>
    </row>
    <row r="35" spans="8:10">
      <c r="I35" s="80"/>
      <c r="J35" s="80"/>
    </row>
    <row r="36" spans="8:10">
      <c r="I36" s="80"/>
      <c r="J36" s="80"/>
    </row>
    <row r="37" spans="8:10">
      <c r="I37" s="80"/>
      <c r="J37" s="80"/>
    </row>
    <row r="38" spans="8:10">
      <c r="I38" s="80"/>
      <c r="J38" s="80"/>
    </row>
    <row r="39" spans="8:10">
      <c r="I39" s="80"/>
      <c r="J39" s="80"/>
    </row>
    <row r="40" spans="8:10">
      <c r="H40" s="68"/>
      <c r="I40" s="90"/>
      <c r="J40" s="90"/>
    </row>
  </sheetData>
  <mergeCells count="1">
    <mergeCell ref="A30:F30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Master of Pay</vt:lpstr>
      <vt:lpstr>PAY SLIPS</vt:lpstr>
      <vt:lpstr>GIS</vt:lpstr>
      <vt:lpstr>GPF &amp; GPF LOAN</vt:lpstr>
      <vt:lpstr>GLI</vt:lpstr>
      <vt:lpstr>PT</vt:lpstr>
      <vt:lpstr>IT</vt:lpstr>
      <vt:lpstr>Bank Copy</vt:lpstr>
      <vt:lpstr>'Master of Pay'!Print_Area</vt:lpstr>
      <vt:lpstr>'Master of Pay'!Print_Titles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2014-10-04T09:09:00Z</dcterms:modified>
</cp:coreProperties>
</file>