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800" windowHeight="7470" tabRatio="856" firstSheet="8" activeTab="8"/>
  </bookViews>
  <sheets>
    <sheet name="notes" sheetId="22" state="hidden" r:id="rId1"/>
    <sheet name="Workforce" sheetId="24" state="hidden" r:id="rId2"/>
    <sheet name="Utilisation of Grant and Loan" sheetId="31" state="hidden" r:id="rId3"/>
    <sheet name="OPEX " sheetId="35" state="hidden" r:id="rId4"/>
    <sheet name="Manpower" sheetId="34" state="hidden" r:id="rId5"/>
    <sheet name="Assumptions &amp; Likely Impact" sheetId="2" state="hidden" r:id="rId6"/>
    <sheet name="Revenue Assumptions" sheetId="28" state="hidden" r:id="rId7"/>
    <sheet name="Pilot Project" sheetId="25" state="hidden" r:id="rId8"/>
    <sheet name="Index" sheetId="7" r:id="rId9"/>
    <sheet name="Key Assumptions" sheetId="5" r:id="rId10"/>
    <sheet name="Highlights" sheetId="21" r:id="rId11"/>
    <sheet name="Opex  Assumptions" sheetId="3" r:id="rId12"/>
    <sheet name="No. of people trained " sheetId="32" r:id="rId13"/>
    <sheet name="Check Sheet Crs Wise" sheetId="40" r:id="rId14"/>
    <sheet name="Depreciation " sheetId="16" r:id="rId15"/>
    <sheet name="Check Sheet Centre Wise" sheetId="41" r:id="rId16"/>
    <sheet name="Fin Smmry" sheetId="4" r:id="rId17"/>
    <sheet name="CAPEX Assumption" sheetId="36" r:id="rId18"/>
    <sheet name="Loan-Int" sheetId="20" r:id="rId19"/>
    <sheet name="Balance Sheet" sheetId="9" r:id="rId20"/>
    <sheet name="P&amp;L Statement" sheetId="10" r:id="rId21"/>
    <sheet name="Cashflow Statement" sheetId="11" r:id="rId22"/>
    <sheet name="Revenue Schedule" sheetId="12" r:id="rId23"/>
    <sheet name="Operational Expenses" sheetId="13" r:id="rId24"/>
    <sheet name="Amortisation" sheetId="17" r:id="rId25"/>
    <sheet name="Interest-Principal" sheetId="14" r:id="rId26"/>
    <sheet name="Capex" sheetId="15" r:id="rId27"/>
    <sheet name="Taxes" sheetId="18" r:id="rId28"/>
    <sheet name="Content Development Cost" sheetId="39" r:id="rId29"/>
  </sheets>
  <externalReferences>
    <externalReference r:id="rId30"/>
    <externalReference r:id="rId31"/>
    <externalReference r:id="rId32"/>
    <externalReference r:id="rId33"/>
  </externalReferences>
  <definedNames>
    <definedName name="_DER1" localSheetId="17">#REF!</definedName>
    <definedName name="_DER1" localSheetId="28">#REF!</definedName>
    <definedName name="_DER1" localSheetId="18">#REF!</definedName>
    <definedName name="_DER1" localSheetId="12">#REF!</definedName>
    <definedName name="_DER1" localSheetId="2">#REF!</definedName>
    <definedName name="_DER2" localSheetId="17">#REF!</definedName>
    <definedName name="_DER2" localSheetId="28">#REF!</definedName>
    <definedName name="_DER2" localSheetId="18">#REF!</definedName>
    <definedName name="_DER2" localSheetId="2">#REF!</definedName>
    <definedName name="_xlnm._FilterDatabase" localSheetId="11" hidden="1">'Opex  Assumptions'!$A$3:$V$32</definedName>
    <definedName name="Area" localSheetId="17">#REF!</definedName>
    <definedName name="Area" localSheetId="28">#REF!</definedName>
    <definedName name="Area" localSheetId="18">#REF!</definedName>
    <definedName name="Area" localSheetId="12">#REF!</definedName>
    <definedName name="Area" localSheetId="11">#REF!</definedName>
    <definedName name="Area" localSheetId="2">#REF!</definedName>
    <definedName name="Blue_Mix" localSheetId="17">#REF!</definedName>
    <definedName name="Blue_Mix" localSheetId="18">#REF!</definedName>
    <definedName name="Blue_Mix" localSheetId="2">#REF!</definedName>
    <definedName name="building" localSheetId="17">#REF!</definedName>
    <definedName name="Building_Unit_Cost" localSheetId="17">#REF!</definedName>
    <definedName name="Building_Unit_Cost" localSheetId="18">#REF!</definedName>
    <definedName name="Building_Unit_Cost" localSheetId="2">#REF!</definedName>
    <definedName name="comp" localSheetId="17">#REF!</definedName>
    <definedName name="comp" localSheetId="18">#REF!</definedName>
    <definedName name="comp" localSheetId="2">#REF!</definedName>
    <definedName name="Consumables" localSheetId="17">#REF!</definedName>
    <definedName name="Consumables" localSheetId="18">#REF!</definedName>
    <definedName name="Consumables" localSheetId="2">#REF!</definedName>
    <definedName name="DURATION" localSheetId="17">#REF!</definedName>
    <definedName name="DURATION" localSheetId="18">#REF!</definedName>
    <definedName name="DURATION" localSheetId="2">#REF!</definedName>
    <definedName name="employees" localSheetId="17">#REF!</definedName>
    <definedName name="Fee" localSheetId="17">#REF!</definedName>
    <definedName name="Fee" localSheetId="18">#REF!</definedName>
    <definedName name="Fee" localSheetId="2">#REF!</definedName>
    <definedName name="fx" localSheetId="17">#REF!</definedName>
    <definedName name="fx" localSheetId="18">#REF!</definedName>
    <definedName name="fx" localSheetId="2">#REF!</definedName>
    <definedName name="Growth_Rate" localSheetId="17">#REF!</definedName>
    <definedName name="Growth_Rate" localSheetId="18">#REF!</definedName>
    <definedName name="Growth_Rate" localSheetId="2">#REF!</definedName>
    <definedName name="Growth_Rate_CB" localSheetId="17">#REF!</definedName>
    <definedName name="Growth_Rate_CB" localSheetId="2">#REF!</definedName>
    <definedName name="Inflation" localSheetId="17">#REF!</definedName>
    <definedName name="Inflation" localSheetId="2">#REF!</definedName>
    <definedName name="Interest_Rate" localSheetId="17">#REF!</definedName>
    <definedName name="Interest_Rate" localSheetId="18">#REF!</definedName>
    <definedName name="Interest_Rate" localSheetId="11">#REF!</definedName>
    <definedName name="Interest_Rate" localSheetId="2">#REF!</definedName>
    <definedName name="Interest_Rate_CB" localSheetId="17">#REF!</definedName>
    <definedName name="Interest_Rate_CB" localSheetId="2">#REF!</definedName>
    <definedName name="IRR" localSheetId="17">#REF!</definedName>
    <definedName name="IRR" localSheetId="18">#REF!</definedName>
    <definedName name="IRR" localSheetId="11">#REF!</definedName>
    <definedName name="IRR" localSheetId="2">#REF!</definedName>
    <definedName name="IRR_9" localSheetId="17">#REF!</definedName>
    <definedName name="IRR_9" localSheetId="18">#REF!</definedName>
    <definedName name="IRR_9" localSheetId="2">#REF!</definedName>
    <definedName name="kd" localSheetId="17">#REF!</definedName>
    <definedName name="kd" localSheetId="2">#REF!</definedName>
    <definedName name="ke" localSheetId="17">#REF!</definedName>
    <definedName name="ke" localSheetId="2">#REF!</definedName>
    <definedName name="land" localSheetId="17">#REF!</definedName>
    <definedName name="Land_Unit_Cost" localSheetId="17">#REF!</definedName>
    <definedName name="Land_Unit_Cost" localSheetId="18">#REF!</definedName>
    <definedName name="Land_Unit_Cost" localSheetId="11">#REF!</definedName>
    <definedName name="Land_Unit_Cost" localSheetId="2">#REF!</definedName>
    <definedName name="Manpower" localSheetId="17">#REF!</definedName>
    <definedName name="MCDuration" localSheetId="17">#REF!</definedName>
    <definedName name="MCDuration" localSheetId="18">#REF!</definedName>
    <definedName name="MCDuration" localSheetId="2">#REF!</definedName>
    <definedName name="n" localSheetId="18">[1]COP!$A$1</definedName>
    <definedName name="n" localSheetId="12">[2]COP!$A$1</definedName>
    <definedName name="NPV_INR" localSheetId="17">#REF!</definedName>
    <definedName name="NPV_INR" localSheetId="18">#REF!</definedName>
    <definedName name="NPV_INR" localSheetId="12">#REF!</definedName>
    <definedName name="NPV_INR" localSheetId="2">#REF!</definedName>
    <definedName name="NPV_INR_9" localSheetId="17">#REF!</definedName>
    <definedName name="NPV_INR_9" localSheetId="18">#REF!</definedName>
    <definedName name="NPV_INR_9" localSheetId="2">#REF!</definedName>
    <definedName name="NPV_USD" localSheetId="17">#REF!</definedName>
    <definedName name="NPV_USD" localSheetId="18">#REF!</definedName>
    <definedName name="NPV_USD" localSheetId="2">#REF!</definedName>
    <definedName name="NPV_USD_9" localSheetId="17">#REF!</definedName>
    <definedName name="NPV_USD_9" localSheetId="18">#REF!</definedName>
    <definedName name="NPV_USD_9" localSheetId="2">#REF!</definedName>
    <definedName name="PE" localSheetId="17">#REF!</definedName>
    <definedName name="PE" localSheetId="18">#REF!</definedName>
    <definedName name="PE" localSheetId="2">#REF!</definedName>
    <definedName name="PE_CB" localSheetId="17">#REF!</definedName>
    <definedName name="PE_CB" localSheetId="2">#REF!</definedName>
    <definedName name="Placements" localSheetId="17">#REF!</definedName>
    <definedName name="Placements" localSheetId="18">#REF!</definedName>
    <definedName name="Placements" localSheetId="11">#REF!</definedName>
    <definedName name="Placements" localSheetId="2">#REF!</definedName>
    <definedName name="_xlnm.Print_Area" localSheetId="16">'Fin Smmry'!$A$1:$V$125</definedName>
    <definedName name="s" localSheetId="17">#REF!</definedName>
    <definedName name="s" localSheetId="18">#REF!</definedName>
    <definedName name="s" localSheetId="12">#REF!</definedName>
    <definedName name="s" localSheetId="11">#REF!</definedName>
    <definedName name="s" localSheetId="2">#REF!</definedName>
    <definedName name="Spon_Fee" localSheetId="17">#REF!</definedName>
    <definedName name="Spon_Fee" localSheetId="18">#REF!</definedName>
    <definedName name="Spon_Fee" localSheetId="2">#REF!</definedName>
    <definedName name="Sponsored_Ratio_Blue" localSheetId="17">#REF!</definedName>
    <definedName name="Sponsored_Ratio_Blue" localSheetId="18">#REF!</definedName>
    <definedName name="Sponsored_Ratio_Blue" localSheetId="2">#REF!</definedName>
    <definedName name="Sponsored_Ratio_White" localSheetId="17">#REF!</definedName>
    <definedName name="Sponsored_Ratio_White" localSheetId="18">#REF!</definedName>
    <definedName name="Sponsored_Ratio_White" localSheetId="2">#REF!</definedName>
    <definedName name="Students" localSheetId="17">#REF!</definedName>
    <definedName name="Students" localSheetId="2">#REF!</definedName>
    <definedName name="sunil" localSheetId="17">#REF!</definedName>
    <definedName name="Tax_Rate" localSheetId="17">#REF!</definedName>
    <definedName name="Tax_Rate" localSheetId="18">#REF!</definedName>
    <definedName name="Tax_Rate" localSheetId="11">#REF!</definedName>
    <definedName name="Tax_Rate" localSheetId="2">#REF!</definedName>
    <definedName name="TV_PE_Multiple_INR" localSheetId="17">#REF!</definedName>
    <definedName name="TV_PE_Multiple_INR" localSheetId="18">#REF!</definedName>
    <definedName name="TV_PE_Multiple_INR" localSheetId="2">#REF!</definedName>
    <definedName name="TV_Stable_Growth_INR" localSheetId="17">#REF!</definedName>
    <definedName name="TV_Stable_Growth_INR" localSheetId="18">#REF!</definedName>
    <definedName name="TV_Stable_Growth_INR" localSheetId="2">#REF!</definedName>
    <definedName name="vv" localSheetId="17">#REF!</definedName>
    <definedName name="vv" localSheetId="18">#REF!</definedName>
    <definedName name="vv" localSheetId="2">#REF!</definedName>
    <definedName name="WACC" localSheetId="17">#REF!</definedName>
    <definedName name="WACC" localSheetId="2">#REF!</definedName>
    <definedName name="WACC_CB" localSheetId="28">#REF!</definedName>
    <definedName name="WACC_CB" localSheetId="18">#REF!</definedName>
    <definedName name="WACC_CB" localSheetId="12">'[3]b. Sensitivity Analysis'!$D$25</definedName>
    <definedName name="WACC_CB" localSheetId="11">'[4]b. Sensitivity Analysis'!$D$25</definedName>
    <definedName name="White_Duration" localSheetId="17">#REF!</definedName>
    <definedName name="White_Duration" localSheetId="18">#REF!</definedName>
    <definedName name="White_Duration" localSheetId="12">#REF!</definedName>
    <definedName name="White_Duration" localSheetId="11">#REF!</definedName>
    <definedName name="White_Duration" localSheetId="2">#REF!</definedName>
    <definedName name="White_Fee" localSheetId="17">#REF!</definedName>
    <definedName name="White_Fee" localSheetId="18">#REF!</definedName>
    <definedName name="White_Fee" localSheetId="2">#REF!</definedName>
    <definedName name="White_Mix" localSheetId="17">#REF!</definedName>
    <definedName name="White_Mix" localSheetId="18">#REF!</definedName>
    <definedName name="White_Mix" localSheetId="2">#REF!</definedName>
    <definedName name="White_Spon_Fee" localSheetId="17">#REF!</definedName>
    <definedName name="White_Spon_Fee" localSheetId="18">#REF!</definedName>
    <definedName name="White_Spon_Fee" localSheetId="2">#REF!</definedName>
  </definedNames>
  <calcPr calcId="124519"/>
  <fileRecoveryPr autoRecover="0"/>
</workbook>
</file>

<file path=xl/calcChain.xml><?xml version="1.0" encoding="utf-8"?>
<calcChain xmlns="http://schemas.openxmlformats.org/spreadsheetml/2006/main">
  <c r="E101" i="41"/>
  <c r="A88"/>
  <c r="A89"/>
  <c r="A90"/>
  <c r="A91"/>
  <c r="A92"/>
  <c r="A93"/>
  <c r="A94"/>
  <c r="A95"/>
  <c r="A96"/>
  <c r="A97"/>
  <c r="A98"/>
  <c r="A99"/>
  <c r="A100"/>
  <c r="A101"/>
  <c r="A87"/>
  <c r="C86"/>
  <c r="C88" s="1"/>
  <c r="D86"/>
  <c r="D89" s="1"/>
  <c r="E86"/>
  <c r="E90" s="1"/>
  <c r="F86"/>
  <c r="F87" s="1"/>
  <c r="G86"/>
  <c r="G88" s="1"/>
  <c r="H86"/>
  <c r="H89" s="1"/>
  <c r="I86"/>
  <c r="I90" s="1"/>
  <c r="J86"/>
  <c r="J87" s="1"/>
  <c r="K86"/>
  <c r="K88" s="1"/>
  <c r="L86"/>
  <c r="L89" s="1"/>
  <c r="M86"/>
  <c r="M90" s="1"/>
  <c r="N86"/>
  <c r="N87" s="1"/>
  <c r="O86"/>
  <c r="O88" s="1"/>
  <c r="P86"/>
  <c r="P89" s="1"/>
  <c r="Q86"/>
  <c r="Q90" s="1"/>
  <c r="B86"/>
  <c r="B99" s="1"/>
  <c r="B85"/>
  <c r="C37" s="1"/>
  <c r="C84"/>
  <c r="A32"/>
  <c r="A33"/>
  <c r="A34"/>
  <c r="A35"/>
  <c r="A36"/>
  <c r="A37"/>
  <c r="A31"/>
  <c r="F79"/>
  <c r="J79"/>
  <c r="K79"/>
  <c r="L79"/>
  <c r="M79"/>
  <c r="N79"/>
  <c r="O79"/>
  <c r="P79"/>
  <c r="Q79"/>
  <c r="F80"/>
  <c r="J80"/>
  <c r="K80"/>
  <c r="L80"/>
  <c r="M80"/>
  <c r="N80"/>
  <c r="O80"/>
  <c r="P80"/>
  <c r="Q80"/>
  <c r="F81"/>
  <c r="J81"/>
  <c r="K81"/>
  <c r="L81"/>
  <c r="M81"/>
  <c r="N81"/>
  <c r="O81"/>
  <c r="P81"/>
  <c r="Q81"/>
  <c r="F82"/>
  <c r="J82"/>
  <c r="K82"/>
  <c r="L82"/>
  <c r="M82"/>
  <c r="N82"/>
  <c r="O82"/>
  <c r="P82"/>
  <c r="Q82"/>
  <c r="F83"/>
  <c r="J83"/>
  <c r="K83"/>
  <c r="L83"/>
  <c r="M83"/>
  <c r="N83"/>
  <c r="O83"/>
  <c r="P83"/>
  <c r="Q83"/>
  <c r="B83"/>
  <c r="B82"/>
  <c r="B81"/>
  <c r="B80"/>
  <c r="B79"/>
  <c r="A80"/>
  <c r="A81"/>
  <c r="A82"/>
  <c r="A83"/>
  <c r="A84"/>
  <c r="A85"/>
  <c r="A79"/>
  <c r="F78"/>
  <c r="J78"/>
  <c r="K78"/>
  <c r="L78"/>
  <c r="M78"/>
  <c r="N78"/>
  <c r="O78"/>
  <c r="P78"/>
  <c r="Q78"/>
  <c r="B78"/>
  <c r="A21"/>
  <c r="F77"/>
  <c r="J77"/>
  <c r="K77"/>
  <c r="L77"/>
  <c r="M77"/>
  <c r="N77"/>
  <c r="O77"/>
  <c r="P77"/>
  <c r="Q77"/>
  <c r="F76"/>
  <c r="J76"/>
  <c r="K76"/>
  <c r="L76"/>
  <c r="M76"/>
  <c r="N76"/>
  <c r="O76"/>
  <c r="P76"/>
  <c r="Q76"/>
  <c r="F75"/>
  <c r="J75"/>
  <c r="K75"/>
  <c r="L75"/>
  <c r="M75"/>
  <c r="N75"/>
  <c r="O75"/>
  <c r="P75"/>
  <c r="Q75"/>
  <c r="B77"/>
  <c r="B76"/>
  <c r="B75"/>
  <c r="A75"/>
  <c r="A76"/>
  <c r="A77"/>
  <c r="A78"/>
  <c r="A74"/>
  <c r="A25"/>
  <c r="A26"/>
  <c r="A27"/>
  <c r="A28"/>
  <c r="A24"/>
  <c r="F74"/>
  <c r="J74"/>
  <c r="K74"/>
  <c r="L74"/>
  <c r="M74"/>
  <c r="N74"/>
  <c r="O74"/>
  <c r="P74"/>
  <c r="Q74"/>
  <c r="B74"/>
  <c r="C67"/>
  <c r="D67"/>
  <c r="E67"/>
  <c r="F67"/>
  <c r="G67"/>
  <c r="H67"/>
  <c r="I67"/>
  <c r="J67"/>
  <c r="K67"/>
  <c r="L67"/>
  <c r="M67"/>
  <c r="N67"/>
  <c r="O67"/>
  <c r="P67"/>
  <c r="Q67"/>
  <c r="C68"/>
  <c r="D68"/>
  <c r="E68"/>
  <c r="F68"/>
  <c r="G68"/>
  <c r="H68"/>
  <c r="I68"/>
  <c r="J68"/>
  <c r="K68"/>
  <c r="L68"/>
  <c r="M68"/>
  <c r="N68"/>
  <c r="O68"/>
  <c r="P68"/>
  <c r="Q68"/>
  <c r="C69"/>
  <c r="D69"/>
  <c r="E69"/>
  <c r="F69"/>
  <c r="G69"/>
  <c r="H69"/>
  <c r="I69"/>
  <c r="J69"/>
  <c r="K69"/>
  <c r="L69"/>
  <c r="M69"/>
  <c r="N69"/>
  <c r="O69"/>
  <c r="P69"/>
  <c r="Q69"/>
  <c r="C70"/>
  <c r="D70"/>
  <c r="E70"/>
  <c r="F70"/>
  <c r="G70"/>
  <c r="H70"/>
  <c r="I70"/>
  <c r="J70"/>
  <c r="K70"/>
  <c r="L70"/>
  <c r="M70"/>
  <c r="N70"/>
  <c r="O70"/>
  <c r="P70"/>
  <c r="Q70"/>
  <c r="Q20"/>
  <c r="C56"/>
  <c r="D56"/>
  <c r="E56"/>
  <c r="F56"/>
  <c r="G56"/>
  <c r="H56"/>
  <c r="I56"/>
  <c r="J56"/>
  <c r="K56"/>
  <c r="L56"/>
  <c r="M56"/>
  <c r="N56"/>
  <c r="O56"/>
  <c r="P56"/>
  <c r="Q56"/>
  <c r="C57"/>
  <c r="D57"/>
  <c r="E57"/>
  <c r="F57"/>
  <c r="G57"/>
  <c r="H57"/>
  <c r="I57"/>
  <c r="J57"/>
  <c r="K57"/>
  <c r="L57"/>
  <c r="M57"/>
  <c r="N57"/>
  <c r="O57"/>
  <c r="P57"/>
  <c r="Q57"/>
  <c r="C58"/>
  <c r="D58"/>
  <c r="E58"/>
  <c r="F58"/>
  <c r="G58"/>
  <c r="H58"/>
  <c r="I58"/>
  <c r="J58"/>
  <c r="K58"/>
  <c r="L58"/>
  <c r="M58"/>
  <c r="N58"/>
  <c r="O58"/>
  <c r="P58"/>
  <c r="Q58"/>
  <c r="C59"/>
  <c r="D59"/>
  <c r="E59"/>
  <c r="F59"/>
  <c r="G59"/>
  <c r="H59"/>
  <c r="I59"/>
  <c r="J59"/>
  <c r="K59"/>
  <c r="L59"/>
  <c r="M59"/>
  <c r="N59"/>
  <c r="O59"/>
  <c r="P59"/>
  <c r="Q59"/>
  <c r="C60"/>
  <c r="D60"/>
  <c r="E60"/>
  <c r="F60"/>
  <c r="G60"/>
  <c r="H60"/>
  <c r="I60"/>
  <c r="J60"/>
  <c r="K60"/>
  <c r="L60"/>
  <c r="M60"/>
  <c r="N60"/>
  <c r="O60"/>
  <c r="P60"/>
  <c r="Q60"/>
  <c r="C61"/>
  <c r="D61"/>
  <c r="E61"/>
  <c r="F61"/>
  <c r="G61"/>
  <c r="H61"/>
  <c r="I61"/>
  <c r="J61"/>
  <c r="K61"/>
  <c r="L61"/>
  <c r="M61"/>
  <c r="N61"/>
  <c r="O61"/>
  <c r="P61"/>
  <c r="Q61"/>
  <c r="C62"/>
  <c r="D62"/>
  <c r="E62"/>
  <c r="F62"/>
  <c r="G62"/>
  <c r="H62"/>
  <c r="I62"/>
  <c r="J62"/>
  <c r="K62"/>
  <c r="L62"/>
  <c r="M62"/>
  <c r="N62"/>
  <c r="O62"/>
  <c r="P62"/>
  <c r="Q62"/>
  <c r="C63"/>
  <c r="D63"/>
  <c r="E63"/>
  <c r="F63"/>
  <c r="G63"/>
  <c r="H63"/>
  <c r="I63"/>
  <c r="J63"/>
  <c r="K63"/>
  <c r="L63"/>
  <c r="M63"/>
  <c r="N63"/>
  <c r="O63"/>
  <c r="P63"/>
  <c r="Q63"/>
  <c r="C64"/>
  <c r="D64"/>
  <c r="E64"/>
  <c r="F64"/>
  <c r="G64"/>
  <c r="H64"/>
  <c r="I64"/>
  <c r="J64"/>
  <c r="K64"/>
  <c r="L64"/>
  <c r="M64"/>
  <c r="N64"/>
  <c r="O64"/>
  <c r="P64"/>
  <c r="Q64"/>
  <c r="C65"/>
  <c r="D65"/>
  <c r="E65"/>
  <c r="F65"/>
  <c r="G65"/>
  <c r="H65"/>
  <c r="I65"/>
  <c r="J65"/>
  <c r="K65"/>
  <c r="L65"/>
  <c r="M65"/>
  <c r="N65"/>
  <c r="O65"/>
  <c r="P65"/>
  <c r="Q65"/>
  <c r="C66"/>
  <c r="D66"/>
  <c r="E66"/>
  <c r="F66"/>
  <c r="G66"/>
  <c r="H66"/>
  <c r="I66"/>
  <c r="J66"/>
  <c r="K66"/>
  <c r="L66"/>
  <c r="M66"/>
  <c r="N66"/>
  <c r="O66"/>
  <c r="P66"/>
  <c r="Q66"/>
  <c r="B70"/>
  <c r="B69"/>
  <c r="B68"/>
  <c r="B67"/>
  <c r="B66"/>
  <c r="B65"/>
  <c r="B64"/>
  <c r="B63"/>
  <c r="B62"/>
  <c r="B61"/>
  <c r="B60"/>
  <c r="B59"/>
  <c r="B58"/>
  <c r="B57"/>
  <c r="B56"/>
  <c r="B93" l="1"/>
  <c r="B89"/>
  <c r="J101"/>
  <c r="J89"/>
  <c r="B101"/>
  <c r="J93"/>
  <c r="B96"/>
  <c r="J97"/>
  <c r="M101"/>
  <c r="G101"/>
  <c r="O99"/>
  <c r="O98"/>
  <c r="G98"/>
  <c r="O97"/>
  <c r="E97"/>
  <c r="G95"/>
  <c r="K94"/>
  <c r="C94"/>
  <c r="M93"/>
  <c r="G93"/>
  <c r="O91"/>
  <c r="O90"/>
  <c r="G90"/>
  <c r="O89"/>
  <c r="E89"/>
  <c r="G87"/>
  <c r="B90"/>
  <c r="B98"/>
  <c r="N101"/>
  <c r="I101"/>
  <c r="C101"/>
  <c r="C99"/>
  <c r="J98"/>
  <c r="Q97"/>
  <c r="K97"/>
  <c r="F97"/>
  <c r="K95"/>
  <c r="N94"/>
  <c r="F94"/>
  <c r="N93"/>
  <c r="I93"/>
  <c r="C93"/>
  <c r="C91"/>
  <c r="J90"/>
  <c r="Q89"/>
  <c r="K89"/>
  <c r="F89"/>
  <c r="K87"/>
  <c r="O101"/>
  <c r="G99"/>
  <c r="K98"/>
  <c r="C98"/>
  <c r="M97"/>
  <c r="G97"/>
  <c r="O95"/>
  <c r="O94"/>
  <c r="G94"/>
  <c r="O93"/>
  <c r="E93"/>
  <c r="G91"/>
  <c r="K90"/>
  <c r="C90"/>
  <c r="M89"/>
  <c r="G89"/>
  <c r="O87"/>
  <c r="B94"/>
  <c r="Q101"/>
  <c r="K101"/>
  <c r="F101"/>
  <c r="K99"/>
  <c r="N98"/>
  <c r="F98"/>
  <c r="N97"/>
  <c r="I97"/>
  <c r="C97"/>
  <c r="C95"/>
  <c r="J94"/>
  <c r="Q93"/>
  <c r="K93"/>
  <c r="F93"/>
  <c r="K91"/>
  <c r="N90"/>
  <c r="F90"/>
  <c r="N89"/>
  <c r="I89"/>
  <c r="C89"/>
  <c r="C87"/>
  <c r="P100"/>
  <c r="L100"/>
  <c r="H100"/>
  <c r="D100"/>
  <c r="P96"/>
  <c r="L96"/>
  <c r="H96"/>
  <c r="D96"/>
  <c r="P92"/>
  <c r="L92"/>
  <c r="H92"/>
  <c r="D92"/>
  <c r="P88"/>
  <c r="L88"/>
  <c r="H88"/>
  <c r="D88"/>
  <c r="Q100"/>
  <c r="M100"/>
  <c r="I100"/>
  <c r="E100"/>
  <c r="P99"/>
  <c r="L99"/>
  <c r="H99"/>
  <c r="D99"/>
  <c r="Q96"/>
  <c r="M96"/>
  <c r="I96"/>
  <c r="E96"/>
  <c r="P95"/>
  <c r="L95"/>
  <c r="H95"/>
  <c r="D95"/>
  <c r="Q92"/>
  <c r="M92"/>
  <c r="I92"/>
  <c r="E92"/>
  <c r="P91"/>
  <c r="L91"/>
  <c r="H91"/>
  <c r="D91"/>
  <c r="Q88"/>
  <c r="M88"/>
  <c r="I88"/>
  <c r="E88"/>
  <c r="P87"/>
  <c r="L87"/>
  <c r="H87"/>
  <c r="D87"/>
  <c r="B88"/>
  <c r="B92"/>
  <c r="B97"/>
  <c r="B100"/>
  <c r="N100"/>
  <c r="J100"/>
  <c r="F100"/>
  <c r="Q99"/>
  <c r="M99"/>
  <c r="I99"/>
  <c r="E99"/>
  <c r="P98"/>
  <c r="L98"/>
  <c r="H98"/>
  <c r="D98"/>
  <c r="N96"/>
  <c r="J96"/>
  <c r="F96"/>
  <c r="Q95"/>
  <c r="M95"/>
  <c r="I95"/>
  <c r="E95"/>
  <c r="P94"/>
  <c r="L94"/>
  <c r="H94"/>
  <c r="D94"/>
  <c r="N92"/>
  <c r="J92"/>
  <c r="F92"/>
  <c r="Q91"/>
  <c r="M91"/>
  <c r="I91"/>
  <c r="E91"/>
  <c r="P90"/>
  <c r="L90"/>
  <c r="H90"/>
  <c r="D90"/>
  <c r="N88"/>
  <c r="J88"/>
  <c r="F88"/>
  <c r="Q87"/>
  <c r="M87"/>
  <c r="I87"/>
  <c r="E87"/>
  <c r="B87"/>
  <c r="B91"/>
  <c r="B95"/>
  <c r="P101"/>
  <c r="L101"/>
  <c r="H101"/>
  <c r="D101"/>
  <c r="O100"/>
  <c r="K100"/>
  <c r="G100"/>
  <c r="C100"/>
  <c r="N99"/>
  <c r="J99"/>
  <c r="F99"/>
  <c r="Q98"/>
  <c r="M98"/>
  <c r="I98"/>
  <c r="E98"/>
  <c r="P97"/>
  <c r="L97"/>
  <c r="H97"/>
  <c r="D97"/>
  <c r="O96"/>
  <c r="K96"/>
  <c r="G96"/>
  <c r="C96"/>
  <c r="N95"/>
  <c r="J95"/>
  <c r="F95"/>
  <c r="Q94"/>
  <c r="M94"/>
  <c r="I94"/>
  <c r="E94"/>
  <c r="P93"/>
  <c r="L93"/>
  <c r="H93"/>
  <c r="D93"/>
  <c r="O92"/>
  <c r="K92"/>
  <c r="G92"/>
  <c r="C92"/>
  <c r="N91"/>
  <c r="J91"/>
  <c r="F91"/>
  <c r="D37"/>
  <c r="E37"/>
  <c r="L36"/>
  <c r="O36"/>
  <c r="K36"/>
  <c r="N36"/>
  <c r="G36"/>
  <c r="B37"/>
  <c r="P36"/>
  <c r="J36"/>
  <c r="F36"/>
  <c r="C36"/>
  <c r="B36"/>
  <c r="D36"/>
  <c r="I36"/>
  <c r="M36"/>
  <c r="C85"/>
  <c r="F37"/>
  <c r="E36"/>
  <c r="H36"/>
  <c r="P37"/>
  <c r="R79"/>
  <c r="R83"/>
  <c r="R82"/>
  <c r="R77"/>
  <c r="B27" s="1"/>
  <c r="R80"/>
  <c r="R81"/>
  <c r="R75"/>
  <c r="H25" s="1"/>
  <c r="R59"/>
  <c r="R63"/>
  <c r="R67"/>
  <c r="R74"/>
  <c r="D24" s="1"/>
  <c r="R76"/>
  <c r="E26" s="1"/>
  <c r="R78"/>
  <c r="R56"/>
  <c r="R60"/>
  <c r="R64"/>
  <c r="R58"/>
  <c r="R62"/>
  <c r="R66"/>
  <c r="R70"/>
  <c r="R69"/>
  <c r="R65"/>
  <c r="R61"/>
  <c r="R57"/>
  <c r="R68"/>
  <c r="J102" l="1"/>
  <c r="C102"/>
  <c r="B102"/>
  <c r="Q102"/>
  <c r="F102"/>
  <c r="N102"/>
  <c r="I102"/>
  <c r="H102"/>
  <c r="G102"/>
  <c r="R89"/>
  <c r="N7" s="1"/>
  <c r="P102"/>
  <c r="K102"/>
  <c r="M102"/>
  <c r="L102"/>
  <c r="O102"/>
  <c r="O7"/>
  <c r="G7"/>
  <c r="G9"/>
  <c r="R94"/>
  <c r="C12" s="1"/>
  <c r="R96"/>
  <c r="P14" s="1"/>
  <c r="R99"/>
  <c r="F17" s="1"/>
  <c r="R98"/>
  <c r="F16" s="1"/>
  <c r="R91"/>
  <c r="E9" s="1"/>
  <c r="R93"/>
  <c r="O11" s="1"/>
  <c r="R101"/>
  <c r="F19" s="1"/>
  <c r="R95"/>
  <c r="C13" s="1"/>
  <c r="R90"/>
  <c r="I8" s="1"/>
  <c r="R92"/>
  <c r="E10" s="1"/>
  <c r="R97"/>
  <c r="B15" s="1"/>
  <c r="R87"/>
  <c r="H5" s="1"/>
  <c r="R100"/>
  <c r="F18" s="1"/>
  <c r="R88"/>
  <c r="O6" s="1"/>
  <c r="Q36"/>
  <c r="L33"/>
  <c r="H33"/>
  <c r="N33"/>
  <c r="M33"/>
  <c r="O33"/>
  <c r="K33"/>
  <c r="G33"/>
  <c r="J33"/>
  <c r="I33"/>
  <c r="N35"/>
  <c r="J35"/>
  <c r="H35"/>
  <c r="O35"/>
  <c r="G35"/>
  <c r="M35"/>
  <c r="I35"/>
  <c r="L35"/>
  <c r="K35"/>
  <c r="N37"/>
  <c r="H37"/>
  <c r="L37"/>
  <c r="D85"/>
  <c r="D102" s="1"/>
  <c r="M34"/>
  <c r="I34"/>
  <c r="K34"/>
  <c r="N34"/>
  <c r="J34"/>
  <c r="L34"/>
  <c r="H34"/>
  <c r="O34"/>
  <c r="G34"/>
  <c r="O32"/>
  <c r="K32"/>
  <c r="G32"/>
  <c r="L32"/>
  <c r="H32"/>
  <c r="M32"/>
  <c r="I32"/>
  <c r="N32"/>
  <c r="J32"/>
  <c r="L31"/>
  <c r="H31"/>
  <c r="O31"/>
  <c r="M31"/>
  <c r="I31"/>
  <c r="N31"/>
  <c r="J31"/>
  <c r="K31"/>
  <c r="G31"/>
  <c r="D32"/>
  <c r="P32"/>
  <c r="E32"/>
  <c r="C32"/>
  <c r="F32"/>
  <c r="B32"/>
  <c r="F33"/>
  <c r="D33"/>
  <c r="C33"/>
  <c r="E33"/>
  <c r="P33"/>
  <c r="B33"/>
  <c r="F35"/>
  <c r="P35"/>
  <c r="E35"/>
  <c r="B35"/>
  <c r="D35"/>
  <c r="C35"/>
  <c r="D34"/>
  <c r="P34"/>
  <c r="B34"/>
  <c r="F34"/>
  <c r="E34"/>
  <c r="C34"/>
  <c r="C31"/>
  <c r="E31"/>
  <c r="D31"/>
  <c r="F31"/>
  <c r="B31"/>
  <c r="P31"/>
  <c r="F27"/>
  <c r="H27"/>
  <c r="I27"/>
  <c r="K26"/>
  <c r="L27"/>
  <c r="K27"/>
  <c r="N26"/>
  <c r="E27"/>
  <c r="G27"/>
  <c r="P26"/>
  <c r="B24"/>
  <c r="C25"/>
  <c r="N27"/>
  <c r="D27"/>
  <c r="C27"/>
  <c r="E25"/>
  <c r="O26"/>
  <c r="M26"/>
  <c r="I26"/>
  <c r="J27"/>
  <c r="M27"/>
  <c r="P27"/>
  <c r="O27"/>
  <c r="J26"/>
  <c r="L26"/>
  <c r="G24"/>
  <c r="M25"/>
  <c r="K25"/>
  <c r="J24"/>
  <c r="L24"/>
  <c r="B25"/>
  <c r="D25"/>
  <c r="B26"/>
  <c r="C26"/>
  <c r="D26"/>
  <c r="C24"/>
  <c r="E24"/>
  <c r="J25"/>
  <c r="L25"/>
  <c r="F26"/>
  <c r="G26"/>
  <c r="H26"/>
  <c r="I24"/>
  <c r="O24"/>
  <c r="N25"/>
  <c r="O25"/>
  <c r="P25"/>
  <c r="P24"/>
  <c r="F24"/>
  <c r="H24"/>
  <c r="K24"/>
  <c r="N28"/>
  <c r="J28"/>
  <c r="C28"/>
  <c r="P28"/>
  <c r="O28"/>
  <c r="K28"/>
  <c r="G28"/>
  <c r="F28"/>
  <c r="L28"/>
  <c r="H28"/>
  <c r="E28"/>
  <c r="M28"/>
  <c r="I28"/>
  <c r="D28"/>
  <c r="B28"/>
  <c r="I25"/>
  <c r="F25"/>
  <c r="G25"/>
  <c r="N24"/>
  <c r="M24"/>
  <c r="N11" l="1"/>
  <c r="J6"/>
  <c r="D7"/>
  <c r="I7"/>
  <c r="F5"/>
  <c r="B8"/>
  <c r="P10"/>
  <c r="P7"/>
  <c r="J7"/>
  <c r="H18"/>
  <c r="L7"/>
  <c r="H7"/>
  <c r="P6"/>
  <c r="I5"/>
  <c r="F9"/>
  <c r="K11"/>
  <c r="G5"/>
  <c r="E5"/>
  <c r="L15"/>
  <c r="L14"/>
  <c r="Q14" s="1"/>
  <c r="I9"/>
  <c r="M17"/>
  <c r="G19"/>
  <c r="B9"/>
  <c r="B21" s="1"/>
  <c r="C11"/>
  <c r="C21" s="1"/>
  <c r="B10"/>
  <c r="J10"/>
  <c r="P11"/>
  <c r="M7"/>
  <c r="G18"/>
  <c r="P8"/>
  <c r="I6"/>
  <c r="D5"/>
  <c r="R102"/>
  <c r="J8"/>
  <c r="G10"/>
  <c r="H17"/>
  <c r="M19"/>
  <c r="G6"/>
  <c r="M5"/>
  <c r="O12"/>
  <c r="M16"/>
  <c r="P9"/>
  <c r="M8"/>
  <c r="I13"/>
  <c r="E8"/>
  <c r="N9"/>
  <c r="M9"/>
  <c r="P15"/>
  <c r="L10"/>
  <c r="I11"/>
  <c r="J11"/>
  <c r="Q11" s="1"/>
  <c r="N12"/>
  <c r="G17"/>
  <c r="O8"/>
  <c r="L8"/>
  <c r="N13"/>
  <c r="O13"/>
  <c r="H6"/>
  <c r="M6"/>
  <c r="N6"/>
  <c r="N5"/>
  <c r="L5"/>
  <c r="O5"/>
  <c r="K12"/>
  <c r="K13"/>
  <c r="J9"/>
  <c r="I12"/>
  <c r="N8"/>
  <c r="G16"/>
  <c r="F8"/>
  <c r="L9"/>
  <c r="O9"/>
  <c r="I10"/>
  <c r="O10"/>
  <c r="J12"/>
  <c r="P12"/>
  <c r="M18"/>
  <c r="Q18" s="1"/>
  <c r="G8"/>
  <c r="J13"/>
  <c r="P13"/>
  <c r="H19"/>
  <c r="L6"/>
  <c r="H16"/>
  <c r="J5"/>
  <c r="P5"/>
  <c r="D6"/>
  <c r="E6"/>
  <c r="E15"/>
  <c r="F6"/>
  <c r="F38"/>
  <c r="E85"/>
  <c r="E102" s="1"/>
  <c r="J37"/>
  <c r="J38" s="1"/>
  <c r="I37"/>
  <c r="I38" s="1"/>
  <c r="M37"/>
  <c r="M38" s="1"/>
  <c r="C38"/>
  <c r="E38"/>
  <c r="H38"/>
  <c r="L38"/>
  <c r="Q35"/>
  <c r="Q32"/>
  <c r="P38"/>
  <c r="N38"/>
  <c r="D38"/>
  <c r="Q34"/>
  <c r="Q33"/>
  <c r="B38"/>
  <c r="Q31"/>
  <c r="K29"/>
  <c r="Q25"/>
  <c r="Q27"/>
  <c r="Q28"/>
  <c r="E29"/>
  <c r="C29"/>
  <c r="H29"/>
  <c r="O29"/>
  <c r="J29"/>
  <c r="M29"/>
  <c r="F29"/>
  <c r="L29"/>
  <c r="P29"/>
  <c r="D29"/>
  <c r="Q26"/>
  <c r="G29"/>
  <c r="N29"/>
  <c r="Q24"/>
  <c r="I29"/>
  <c r="B29"/>
  <c r="H21" l="1"/>
  <c r="L21"/>
  <c r="Q16"/>
  <c r="J21"/>
  <c r="Q9"/>
  <c r="M21"/>
  <c r="Q7"/>
  <c r="P21"/>
  <c r="Q10"/>
  <c r="Q12"/>
  <c r="Q13"/>
  <c r="F21"/>
  <c r="Q19"/>
  <c r="I21"/>
  <c r="G21"/>
  <c r="N21"/>
  <c r="Q17"/>
  <c r="Q8"/>
  <c r="Q5"/>
  <c r="E21"/>
  <c r="O21"/>
  <c r="K21"/>
  <c r="Q6"/>
  <c r="Q15"/>
  <c r="D21"/>
  <c r="O37"/>
  <c r="O38" s="1"/>
  <c r="K37"/>
  <c r="K38" s="1"/>
  <c r="G37"/>
  <c r="E40" l="1"/>
  <c r="E39"/>
  <c r="E46" s="1"/>
  <c r="N46"/>
  <c r="N40"/>
  <c r="N39"/>
  <c r="F39"/>
  <c r="P40"/>
  <c r="P39"/>
  <c r="P46" s="1"/>
  <c r="J40"/>
  <c r="J46" s="1"/>
  <c r="J39"/>
  <c r="D40"/>
  <c r="O40"/>
  <c r="O46" s="1"/>
  <c r="O39"/>
  <c r="H39"/>
  <c r="K40"/>
  <c r="I46"/>
  <c r="I40"/>
  <c r="I39"/>
  <c r="M39"/>
  <c r="L40"/>
  <c r="G40"/>
  <c r="G39"/>
  <c r="Q21"/>
  <c r="Q37"/>
  <c r="G38"/>
  <c r="C40" l="1"/>
  <c r="B39"/>
  <c r="B40"/>
  <c r="C39"/>
  <c r="G46"/>
  <c r="K46"/>
  <c r="L39"/>
  <c r="L46" s="1"/>
  <c r="M40"/>
  <c r="M46" s="1"/>
  <c r="K39"/>
  <c r="H40"/>
  <c r="H46" s="1"/>
  <c r="D39"/>
  <c r="D46" s="1"/>
  <c r="F40"/>
  <c r="F46" s="1"/>
  <c r="Q38"/>
  <c r="B46" l="1"/>
  <c r="Q39"/>
  <c r="Q40"/>
  <c r="C46"/>
  <c r="G7" i="40" l="1"/>
  <c r="G12"/>
  <c r="G17"/>
  <c r="G21"/>
  <c r="G26"/>
  <c r="G29" s="1"/>
  <c r="G31" s="1"/>
  <c r="H29"/>
  <c r="F28"/>
  <c r="F25"/>
  <c r="F24"/>
  <c r="F23"/>
  <c r="F20"/>
  <c r="F19"/>
  <c r="F16"/>
  <c r="F15"/>
  <c r="F14"/>
  <c r="F11"/>
  <c r="F10"/>
  <c r="F9"/>
  <c r="F6"/>
  <c r="F5"/>
  <c r="F4"/>
  <c r="V19" i="3"/>
  <c r="V153" i="32"/>
  <c r="C28" i="40"/>
  <c r="C25"/>
  <c r="C24"/>
  <c r="C23"/>
  <c r="C20"/>
  <c r="C19"/>
  <c r="C16"/>
  <c r="C15"/>
  <c r="C14"/>
  <c r="C11"/>
  <c r="C10"/>
  <c r="C9"/>
  <c r="C6"/>
  <c r="C5"/>
  <c r="C4"/>
  <c r="G151" i="32"/>
  <c r="H151"/>
  <c r="I151"/>
  <c r="J151"/>
  <c r="K151"/>
  <c r="L151"/>
  <c r="M151"/>
  <c r="N151"/>
  <c r="O151"/>
  <c r="P151"/>
  <c r="Q151"/>
  <c r="R151"/>
  <c r="S151"/>
  <c r="T151"/>
  <c r="U151"/>
  <c r="F151"/>
  <c r="G150"/>
  <c r="H150"/>
  <c r="I150"/>
  <c r="J150"/>
  <c r="K150"/>
  <c r="L150"/>
  <c r="M150"/>
  <c r="N150"/>
  <c r="O150"/>
  <c r="P150"/>
  <c r="Q150"/>
  <c r="R150"/>
  <c r="S150"/>
  <c r="T150"/>
  <c r="U150"/>
  <c r="F150"/>
  <c r="G149"/>
  <c r="H149"/>
  <c r="I149"/>
  <c r="J149"/>
  <c r="K149"/>
  <c r="L149"/>
  <c r="M149"/>
  <c r="N149"/>
  <c r="O149"/>
  <c r="P149"/>
  <c r="Q149"/>
  <c r="R149"/>
  <c r="S149"/>
  <c r="T149"/>
  <c r="U149"/>
  <c r="F149"/>
  <c r="G148"/>
  <c r="V148" s="1"/>
  <c r="H148"/>
  <c r="I148"/>
  <c r="J148"/>
  <c r="K148"/>
  <c r="L148"/>
  <c r="M148"/>
  <c r="N148"/>
  <c r="O148"/>
  <c r="P148"/>
  <c r="Q148"/>
  <c r="R148"/>
  <c r="S148"/>
  <c r="T148"/>
  <c r="U148"/>
  <c r="F148"/>
  <c r="G147"/>
  <c r="H147"/>
  <c r="I147"/>
  <c r="J147"/>
  <c r="K147"/>
  <c r="L147"/>
  <c r="M147"/>
  <c r="N147"/>
  <c r="O147"/>
  <c r="P147"/>
  <c r="Q147"/>
  <c r="R147"/>
  <c r="S147"/>
  <c r="T147"/>
  <c r="U147"/>
  <c r="F147"/>
  <c r="G146"/>
  <c r="H146"/>
  <c r="I146"/>
  <c r="J146"/>
  <c r="K146"/>
  <c r="L146"/>
  <c r="M146"/>
  <c r="N146"/>
  <c r="O146"/>
  <c r="P146"/>
  <c r="Q146"/>
  <c r="R146"/>
  <c r="S146"/>
  <c r="T146"/>
  <c r="U146"/>
  <c r="F146"/>
  <c r="G145"/>
  <c r="H145"/>
  <c r="I145"/>
  <c r="J145"/>
  <c r="K145"/>
  <c r="L145"/>
  <c r="M145"/>
  <c r="N145"/>
  <c r="O145"/>
  <c r="P145"/>
  <c r="Q145"/>
  <c r="R145"/>
  <c r="S145"/>
  <c r="T145"/>
  <c r="U145"/>
  <c r="F145"/>
  <c r="G144"/>
  <c r="H144"/>
  <c r="I144"/>
  <c r="J144"/>
  <c r="K144"/>
  <c r="L144"/>
  <c r="M144"/>
  <c r="N144"/>
  <c r="O144"/>
  <c r="P144"/>
  <c r="Q144"/>
  <c r="R144"/>
  <c r="S144"/>
  <c r="T144"/>
  <c r="U144"/>
  <c r="F144"/>
  <c r="G143"/>
  <c r="H143"/>
  <c r="I143"/>
  <c r="J143"/>
  <c r="K143"/>
  <c r="L143"/>
  <c r="M143"/>
  <c r="N143"/>
  <c r="O143"/>
  <c r="P143"/>
  <c r="Q143"/>
  <c r="R143"/>
  <c r="S143"/>
  <c r="T143"/>
  <c r="U143"/>
  <c r="F143"/>
  <c r="G142"/>
  <c r="H142"/>
  <c r="I142"/>
  <c r="J142"/>
  <c r="K142"/>
  <c r="L142"/>
  <c r="M142"/>
  <c r="N142"/>
  <c r="O142"/>
  <c r="P142"/>
  <c r="Q142"/>
  <c r="R142"/>
  <c r="S142"/>
  <c r="T142"/>
  <c r="U142"/>
  <c r="F142"/>
  <c r="G141"/>
  <c r="H141"/>
  <c r="I141"/>
  <c r="J141"/>
  <c r="K141"/>
  <c r="L141"/>
  <c r="M141"/>
  <c r="N141"/>
  <c r="O141"/>
  <c r="P141"/>
  <c r="Q141"/>
  <c r="R141"/>
  <c r="S141"/>
  <c r="T141"/>
  <c r="U141"/>
  <c r="F141"/>
  <c r="G140"/>
  <c r="H140"/>
  <c r="I140"/>
  <c r="J140"/>
  <c r="K140"/>
  <c r="L140"/>
  <c r="M140"/>
  <c r="N140"/>
  <c r="O140"/>
  <c r="P140"/>
  <c r="Q140"/>
  <c r="R140"/>
  <c r="S140"/>
  <c r="T140"/>
  <c r="U140"/>
  <c r="F140"/>
  <c r="G139"/>
  <c r="H139"/>
  <c r="I139"/>
  <c r="J139"/>
  <c r="K139"/>
  <c r="L139"/>
  <c r="M139"/>
  <c r="N139"/>
  <c r="O139"/>
  <c r="P139"/>
  <c r="Q139"/>
  <c r="R139"/>
  <c r="S139"/>
  <c r="T139"/>
  <c r="U139"/>
  <c r="F139"/>
  <c r="G138"/>
  <c r="H138"/>
  <c r="I138"/>
  <c r="J138"/>
  <c r="K138"/>
  <c r="L138"/>
  <c r="M138"/>
  <c r="N138"/>
  <c r="O138"/>
  <c r="P138"/>
  <c r="Q138"/>
  <c r="R138"/>
  <c r="S138"/>
  <c r="T138"/>
  <c r="U138"/>
  <c r="F138"/>
  <c r="G137"/>
  <c r="H137"/>
  <c r="I137"/>
  <c r="J137"/>
  <c r="K137"/>
  <c r="L137"/>
  <c r="M137"/>
  <c r="N137"/>
  <c r="O137"/>
  <c r="P137"/>
  <c r="Q137"/>
  <c r="R137"/>
  <c r="S137"/>
  <c r="T137"/>
  <c r="U137"/>
  <c r="F137"/>
  <c r="G153"/>
  <c r="H153"/>
  <c r="I153"/>
  <c r="J153"/>
  <c r="K153"/>
  <c r="L153"/>
  <c r="M153"/>
  <c r="N153"/>
  <c r="O153"/>
  <c r="P153"/>
  <c r="Q153"/>
  <c r="R153"/>
  <c r="S153"/>
  <c r="T153"/>
  <c r="U153"/>
  <c r="A138"/>
  <c r="A139"/>
  <c r="A140"/>
  <c r="A141"/>
  <c r="A142"/>
  <c r="A143"/>
  <c r="A144"/>
  <c r="A145"/>
  <c r="A146"/>
  <c r="A147"/>
  <c r="A148"/>
  <c r="A149"/>
  <c r="A150"/>
  <c r="A151"/>
  <c r="A137"/>
  <c r="O85" i="4"/>
  <c r="F19" i="21"/>
  <c r="J26" i="40"/>
  <c r="J29" s="1"/>
  <c r="I26"/>
  <c r="I29" s="1"/>
  <c r="H26"/>
  <c r="J21"/>
  <c r="I21"/>
  <c r="H21"/>
  <c r="J17"/>
  <c r="I17"/>
  <c r="H17"/>
  <c r="J12"/>
  <c r="I12"/>
  <c r="H12"/>
  <c r="J7"/>
  <c r="I7"/>
  <c r="H7"/>
  <c r="H31" s="1"/>
  <c r="V135" i="4"/>
  <c r="V144" i="32" l="1"/>
  <c r="V140"/>
  <c r="F153"/>
  <c r="V137"/>
  <c r="V151"/>
  <c r="V150"/>
  <c r="V149"/>
  <c r="V147"/>
  <c r="V146"/>
  <c r="V145"/>
  <c r="V143"/>
  <c r="V142"/>
  <c r="V141"/>
  <c r="V139"/>
  <c r="V138"/>
  <c r="G160" i="3"/>
  <c r="H160"/>
  <c r="I160"/>
  <c r="J160"/>
  <c r="K160"/>
  <c r="L160"/>
  <c r="M160"/>
  <c r="N160"/>
  <c r="O160"/>
  <c r="P160"/>
  <c r="Q160"/>
  <c r="R160"/>
  <c r="S160"/>
  <c r="T160"/>
  <c r="U160"/>
  <c r="F160"/>
  <c r="G154"/>
  <c r="H154"/>
  <c r="I154"/>
  <c r="J154"/>
  <c r="K154"/>
  <c r="L154"/>
  <c r="M154"/>
  <c r="N154"/>
  <c r="O154"/>
  <c r="P154"/>
  <c r="Q154"/>
  <c r="R154"/>
  <c r="S154"/>
  <c r="T154"/>
  <c r="U154"/>
  <c r="F154"/>
  <c r="G148"/>
  <c r="H148"/>
  <c r="I148"/>
  <c r="J148"/>
  <c r="K148"/>
  <c r="L148"/>
  <c r="M148"/>
  <c r="N148"/>
  <c r="O148"/>
  <c r="P148"/>
  <c r="Q148"/>
  <c r="R148"/>
  <c r="S148"/>
  <c r="T148"/>
  <c r="U148"/>
  <c r="F148"/>
  <c r="G142"/>
  <c r="H142"/>
  <c r="I142"/>
  <c r="J142"/>
  <c r="K142"/>
  <c r="L142"/>
  <c r="M142"/>
  <c r="N142"/>
  <c r="O142"/>
  <c r="P142"/>
  <c r="Q142"/>
  <c r="R142"/>
  <c r="S142"/>
  <c r="T142"/>
  <c r="U142"/>
  <c r="F142"/>
  <c r="G136"/>
  <c r="H136"/>
  <c r="I136"/>
  <c r="J136"/>
  <c r="K136"/>
  <c r="L136"/>
  <c r="M136"/>
  <c r="N136"/>
  <c r="O136"/>
  <c r="P136"/>
  <c r="Q136"/>
  <c r="R136"/>
  <c r="S136"/>
  <c r="T136"/>
  <c r="U136"/>
  <c r="F136"/>
  <c r="G130"/>
  <c r="H130"/>
  <c r="I130"/>
  <c r="J130"/>
  <c r="K130"/>
  <c r="L130"/>
  <c r="M130"/>
  <c r="N130"/>
  <c r="O130"/>
  <c r="P130"/>
  <c r="Q130"/>
  <c r="R130"/>
  <c r="S130"/>
  <c r="T130"/>
  <c r="U130"/>
  <c r="F130"/>
  <c r="G124"/>
  <c r="H124"/>
  <c r="I124"/>
  <c r="J124"/>
  <c r="K124"/>
  <c r="L124"/>
  <c r="M124"/>
  <c r="N124"/>
  <c r="O124"/>
  <c r="P124"/>
  <c r="Q124"/>
  <c r="R124"/>
  <c r="S124"/>
  <c r="T124"/>
  <c r="U124"/>
  <c r="F124"/>
  <c r="G118"/>
  <c r="H118"/>
  <c r="I118"/>
  <c r="J118"/>
  <c r="K118"/>
  <c r="L118"/>
  <c r="M118"/>
  <c r="N118"/>
  <c r="O118"/>
  <c r="P118"/>
  <c r="Q118"/>
  <c r="R118"/>
  <c r="S118"/>
  <c r="T118"/>
  <c r="U118"/>
  <c r="F118"/>
  <c r="G112"/>
  <c r="H112"/>
  <c r="I112"/>
  <c r="J112"/>
  <c r="K112"/>
  <c r="L112"/>
  <c r="M112"/>
  <c r="N112"/>
  <c r="O112"/>
  <c r="P112"/>
  <c r="Q112"/>
  <c r="R112"/>
  <c r="S112"/>
  <c r="T112"/>
  <c r="U112"/>
  <c r="F112"/>
  <c r="G106"/>
  <c r="H106"/>
  <c r="I106"/>
  <c r="J106"/>
  <c r="K106"/>
  <c r="L106"/>
  <c r="M106"/>
  <c r="N106"/>
  <c r="O106"/>
  <c r="P106"/>
  <c r="Q106"/>
  <c r="R106"/>
  <c r="S106"/>
  <c r="T106"/>
  <c r="U106"/>
  <c r="F106"/>
  <c r="G100"/>
  <c r="H100"/>
  <c r="I100"/>
  <c r="J100"/>
  <c r="K100"/>
  <c r="L100"/>
  <c r="M100"/>
  <c r="N100"/>
  <c r="O100"/>
  <c r="P100"/>
  <c r="Q100"/>
  <c r="R100"/>
  <c r="S100"/>
  <c r="T100"/>
  <c r="U100"/>
  <c r="F100"/>
  <c r="G94"/>
  <c r="H94"/>
  <c r="I94"/>
  <c r="J94"/>
  <c r="K94"/>
  <c r="L94"/>
  <c r="M94"/>
  <c r="N94"/>
  <c r="O94"/>
  <c r="P94"/>
  <c r="Q94"/>
  <c r="R94"/>
  <c r="S94"/>
  <c r="T94"/>
  <c r="U94"/>
  <c r="F94"/>
  <c r="G88"/>
  <c r="H88"/>
  <c r="I88"/>
  <c r="J88"/>
  <c r="K88"/>
  <c r="L88"/>
  <c r="M88"/>
  <c r="N88"/>
  <c r="O88"/>
  <c r="P88"/>
  <c r="Q88"/>
  <c r="R88"/>
  <c r="S88"/>
  <c r="T88"/>
  <c r="U88"/>
  <c r="F88"/>
  <c r="G82"/>
  <c r="H82"/>
  <c r="I82"/>
  <c r="J82"/>
  <c r="K82"/>
  <c r="L82"/>
  <c r="M82"/>
  <c r="N82"/>
  <c r="O82"/>
  <c r="P82"/>
  <c r="Q82"/>
  <c r="R82"/>
  <c r="S82"/>
  <c r="T82"/>
  <c r="U82"/>
  <c r="F82"/>
  <c r="G76"/>
  <c r="H76"/>
  <c r="I76"/>
  <c r="J76"/>
  <c r="K76"/>
  <c r="L76"/>
  <c r="M76"/>
  <c r="N76"/>
  <c r="O76"/>
  <c r="P76"/>
  <c r="Q76"/>
  <c r="R76"/>
  <c r="S76"/>
  <c r="T76"/>
  <c r="U76"/>
  <c r="F76"/>
  <c r="U161"/>
  <c r="T161"/>
  <c r="S161"/>
  <c r="R161"/>
  <c r="Q161"/>
  <c r="P161"/>
  <c r="O161"/>
  <c r="N161"/>
  <c r="M161"/>
  <c r="L161"/>
  <c r="K161"/>
  <c r="J161"/>
  <c r="I161"/>
  <c r="H161"/>
  <c r="G161"/>
  <c r="F161"/>
  <c r="U155"/>
  <c r="T155"/>
  <c r="S155"/>
  <c r="R155"/>
  <c r="Q155"/>
  <c r="P155"/>
  <c r="O155"/>
  <c r="N155"/>
  <c r="M155"/>
  <c r="L155"/>
  <c r="K155"/>
  <c r="J155"/>
  <c r="I155"/>
  <c r="H155"/>
  <c r="G155"/>
  <c r="F155"/>
  <c r="U149"/>
  <c r="T149"/>
  <c r="S149"/>
  <c r="R149"/>
  <c r="Q149"/>
  <c r="P149"/>
  <c r="O149"/>
  <c r="N149"/>
  <c r="M149"/>
  <c r="L149"/>
  <c r="K149"/>
  <c r="J149"/>
  <c r="I149"/>
  <c r="H149"/>
  <c r="G149"/>
  <c r="F149"/>
  <c r="U143"/>
  <c r="T143"/>
  <c r="S143"/>
  <c r="R143"/>
  <c r="Q143"/>
  <c r="P143"/>
  <c r="O143"/>
  <c r="N143"/>
  <c r="M143"/>
  <c r="L143"/>
  <c r="K143"/>
  <c r="J143"/>
  <c r="I143"/>
  <c r="H143"/>
  <c r="G143"/>
  <c r="F143"/>
  <c r="U137"/>
  <c r="T137"/>
  <c r="S137"/>
  <c r="R137"/>
  <c r="Q137"/>
  <c r="P137"/>
  <c r="O137"/>
  <c r="N137"/>
  <c r="M137"/>
  <c r="L137"/>
  <c r="K137"/>
  <c r="J137"/>
  <c r="I137"/>
  <c r="H137"/>
  <c r="G137"/>
  <c r="F137"/>
  <c r="U131"/>
  <c r="T131"/>
  <c r="S131"/>
  <c r="R131"/>
  <c r="Q131"/>
  <c r="P131"/>
  <c r="O131"/>
  <c r="N131"/>
  <c r="M131"/>
  <c r="L131"/>
  <c r="K131"/>
  <c r="J131"/>
  <c r="I131"/>
  <c r="H131"/>
  <c r="G131"/>
  <c r="F131"/>
  <c r="U125"/>
  <c r="T125"/>
  <c r="S125"/>
  <c r="R125"/>
  <c r="Q125"/>
  <c r="P125"/>
  <c r="O125"/>
  <c r="N125"/>
  <c r="M125"/>
  <c r="L125"/>
  <c r="K125"/>
  <c r="J125"/>
  <c r="I125"/>
  <c r="H125"/>
  <c r="G125"/>
  <c r="F125"/>
  <c r="U119"/>
  <c r="T119"/>
  <c r="S119"/>
  <c r="R119"/>
  <c r="Q119"/>
  <c r="P119"/>
  <c r="O119"/>
  <c r="N119"/>
  <c r="M119"/>
  <c r="L119"/>
  <c r="K119"/>
  <c r="J119"/>
  <c r="I119"/>
  <c r="H119"/>
  <c r="G119"/>
  <c r="F119"/>
  <c r="U113"/>
  <c r="T113"/>
  <c r="S113"/>
  <c r="R113"/>
  <c r="Q113"/>
  <c r="P113"/>
  <c r="O113"/>
  <c r="N113"/>
  <c r="M113"/>
  <c r="L113"/>
  <c r="K113"/>
  <c r="J113"/>
  <c r="I113"/>
  <c r="H113"/>
  <c r="G113"/>
  <c r="F113"/>
  <c r="U107"/>
  <c r="T107"/>
  <c r="S107"/>
  <c r="R107"/>
  <c r="Q107"/>
  <c r="P107"/>
  <c r="O107"/>
  <c r="N107"/>
  <c r="M107"/>
  <c r="L107"/>
  <c r="K107"/>
  <c r="J107"/>
  <c r="I107"/>
  <c r="H107"/>
  <c r="G107"/>
  <c r="F107"/>
  <c r="U101"/>
  <c r="T101"/>
  <c r="S101"/>
  <c r="R101"/>
  <c r="Q101"/>
  <c r="P101"/>
  <c r="O101"/>
  <c r="N101"/>
  <c r="M101"/>
  <c r="L101"/>
  <c r="K101"/>
  <c r="J101"/>
  <c r="I101"/>
  <c r="H101"/>
  <c r="G101"/>
  <c r="F101"/>
  <c r="U95"/>
  <c r="T95"/>
  <c r="S95"/>
  <c r="R95"/>
  <c r="Q95"/>
  <c r="P95"/>
  <c r="O95"/>
  <c r="N95"/>
  <c r="M95"/>
  <c r="L95"/>
  <c r="K95"/>
  <c r="J95"/>
  <c r="I95"/>
  <c r="H95"/>
  <c r="G95"/>
  <c r="F95"/>
  <c r="U89"/>
  <c r="T89"/>
  <c r="S89"/>
  <c r="R89"/>
  <c r="Q89"/>
  <c r="P89"/>
  <c r="O89"/>
  <c r="N89"/>
  <c r="M89"/>
  <c r="L89"/>
  <c r="K89"/>
  <c r="J89"/>
  <c r="I89"/>
  <c r="H89"/>
  <c r="G89"/>
  <c r="F89"/>
  <c r="U83"/>
  <c r="T83"/>
  <c r="S83"/>
  <c r="R83"/>
  <c r="Q83"/>
  <c r="P83"/>
  <c r="O83"/>
  <c r="N83"/>
  <c r="M83"/>
  <c r="L83"/>
  <c r="K83"/>
  <c r="J83"/>
  <c r="I83"/>
  <c r="H83"/>
  <c r="G83"/>
  <c r="F83"/>
  <c r="G77"/>
  <c r="H77"/>
  <c r="I77"/>
  <c r="J77"/>
  <c r="K77"/>
  <c r="L77"/>
  <c r="M77"/>
  <c r="N77"/>
  <c r="O77"/>
  <c r="P77"/>
  <c r="Q77"/>
  <c r="R77"/>
  <c r="S77"/>
  <c r="T77"/>
  <c r="U77"/>
  <c r="F77"/>
  <c r="A82"/>
  <c r="A88"/>
  <c r="A94"/>
  <c r="A100"/>
  <c r="A106"/>
  <c r="A112"/>
  <c r="A118"/>
  <c r="A124"/>
  <c r="A130"/>
  <c r="A136"/>
  <c r="A142"/>
  <c r="A148"/>
  <c r="A154"/>
  <c r="A160"/>
  <c r="A76"/>
  <c r="P107" i="4"/>
  <c r="Q107"/>
  <c r="R107"/>
  <c r="S107"/>
  <c r="T107"/>
  <c r="U107"/>
  <c r="V39"/>
  <c r="G133" i="32"/>
  <c r="H133"/>
  <c r="I133"/>
  <c r="J133"/>
  <c r="K133"/>
  <c r="L133"/>
  <c r="M133"/>
  <c r="N133"/>
  <c r="O133"/>
  <c r="P133"/>
  <c r="Q133"/>
  <c r="R133"/>
  <c r="S133"/>
  <c r="T133"/>
  <c r="U133"/>
  <c r="F133"/>
  <c r="A133"/>
  <c r="G47" i="36"/>
  <c r="H47"/>
  <c r="I47"/>
  <c r="J47"/>
  <c r="K47"/>
  <c r="L47"/>
  <c r="M47"/>
  <c r="N47"/>
  <c r="O47"/>
  <c r="P47"/>
  <c r="Q47"/>
  <c r="R47"/>
  <c r="S47"/>
  <c r="T47"/>
  <c r="U47"/>
  <c r="F47"/>
  <c r="G54"/>
  <c r="H54"/>
  <c r="I54"/>
  <c r="J54"/>
  <c r="K54"/>
  <c r="L54"/>
  <c r="M54"/>
  <c r="N54"/>
  <c r="O54"/>
  <c r="P54"/>
  <c r="Q54"/>
  <c r="R54"/>
  <c r="S54"/>
  <c r="T54"/>
  <c r="U54"/>
  <c r="F54"/>
  <c r="G3" i="4" l="1"/>
  <c r="H3"/>
  <c r="I3"/>
  <c r="J3"/>
  <c r="K3"/>
  <c r="L3"/>
  <c r="M3"/>
  <c r="N3"/>
  <c r="O3"/>
  <c r="P3"/>
  <c r="Q3"/>
  <c r="R3"/>
  <c r="S3"/>
  <c r="T3"/>
  <c r="U3"/>
  <c r="F3"/>
  <c r="A3"/>
  <c r="G132"/>
  <c r="H132"/>
  <c r="I132"/>
  <c r="J132"/>
  <c r="K132"/>
  <c r="L132"/>
  <c r="M132"/>
  <c r="N132"/>
  <c r="O132"/>
  <c r="P132"/>
  <c r="Q132"/>
  <c r="R132"/>
  <c r="S132"/>
  <c r="T132"/>
  <c r="U132"/>
  <c r="F132"/>
  <c r="A124"/>
  <c r="A123"/>
  <c r="G22" i="3"/>
  <c r="H22"/>
  <c r="I22"/>
  <c r="J22"/>
  <c r="K22"/>
  <c r="L22"/>
  <c r="M22"/>
  <c r="N22"/>
  <c r="O22"/>
  <c r="P22"/>
  <c r="Q22"/>
  <c r="R22"/>
  <c r="S22"/>
  <c r="T22"/>
  <c r="U22"/>
  <c r="F22"/>
  <c r="G12" i="5"/>
  <c r="H12" s="1"/>
  <c r="I12" s="1"/>
  <c r="J12" s="1"/>
  <c r="K12" s="1"/>
  <c r="L12" s="1"/>
  <c r="M12" s="1"/>
  <c r="N12" s="1"/>
  <c r="P12"/>
  <c r="Q12" s="1"/>
  <c r="R12" s="1"/>
  <c r="G13"/>
  <c r="H13"/>
  <c r="I13" s="1"/>
  <c r="K13"/>
  <c r="L13" s="1"/>
  <c r="M13" s="1"/>
  <c r="P13"/>
  <c r="Q13" s="1"/>
  <c r="R13" s="1"/>
  <c r="B99" l="1"/>
  <c r="F170" l="1"/>
  <c r="F167"/>
  <c r="F164"/>
  <c r="F161"/>
  <c r="F158"/>
  <c r="F155"/>
  <c r="C11" i="39"/>
  <c r="C12"/>
  <c r="C13"/>
  <c r="C14"/>
  <c r="C15"/>
  <c r="C16"/>
  <c r="C17"/>
  <c r="C18"/>
  <c r="C19"/>
  <c r="C20"/>
  <c r="C21"/>
  <c r="C22"/>
  <c r="C23"/>
  <c r="C24"/>
  <c r="C10"/>
  <c r="A20"/>
  <c r="C69" i="36"/>
  <c r="A13" i="15" s="1"/>
  <c r="C68" i="36"/>
  <c r="A12" i="15" s="1"/>
  <c r="C67" i="36"/>
  <c r="A15" i="16" s="1"/>
  <c r="A73" i="4" s="1"/>
  <c r="C66" i="36"/>
  <c r="A9" i="16" s="1"/>
  <c r="A72" i="4" s="1"/>
  <c r="D37" i="36"/>
  <c r="G34"/>
  <c r="H34"/>
  <c r="I34"/>
  <c r="J34"/>
  <c r="K34"/>
  <c r="L34"/>
  <c r="M34"/>
  <c r="N34"/>
  <c r="O34"/>
  <c r="P34"/>
  <c r="Q34"/>
  <c r="R34"/>
  <c r="S34"/>
  <c r="T34"/>
  <c r="U34"/>
  <c r="F34"/>
  <c r="D10"/>
  <c r="F106" i="32"/>
  <c r="F90"/>
  <c r="F74"/>
  <c r="F42"/>
  <c r="F26"/>
  <c r="F10"/>
  <c r="F150" i="5"/>
  <c r="F122" i="32" s="1"/>
  <c r="G147" i="5"/>
  <c r="G114" i="32" s="1"/>
  <c r="F147" i="5"/>
  <c r="F114" i="32" s="1"/>
  <c r="G144" i="5"/>
  <c r="F144"/>
  <c r="F141"/>
  <c r="F98" i="32" s="1"/>
  <c r="F138" i="5"/>
  <c r="G138" s="1"/>
  <c r="G135"/>
  <c r="G82" i="32" s="1"/>
  <c r="F135" i="5"/>
  <c r="F82" i="32" s="1"/>
  <c r="G132" i="5"/>
  <c r="F132"/>
  <c r="F129"/>
  <c r="G129" s="1"/>
  <c r="F126"/>
  <c r="F58" i="32" s="1"/>
  <c r="G123" i="5"/>
  <c r="G50" i="32" s="1"/>
  <c r="F123" i="5"/>
  <c r="F50" i="32" s="1"/>
  <c r="G120" i="5"/>
  <c r="F120"/>
  <c r="F117"/>
  <c r="F34" i="32" s="1"/>
  <c r="F114" i="5"/>
  <c r="G114" s="1"/>
  <c r="G111"/>
  <c r="G18" i="32" s="1"/>
  <c r="F111" i="5"/>
  <c r="F18" i="32" s="1"/>
  <c r="G108" i="5"/>
  <c r="F108"/>
  <c r="V110"/>
  <c r="V113"/>
  <c r="V116"/>
  <c r="V119"/>
  <c r="V122"/>
  <c r="V125"/>
  <c r="V128"/>
  <c r="V131"/>
  <c r="V134"/>
  <c r="V137"/>
  <c r="V140"/>
  <c r="V143"/>
  <c r="V146"/>
  <c r="V149"/>
  <c r="V107"/>
  <c r="E161" i="32"/>
  <c r="E164"/>
  <c r="E167"/>
  <c r="E170"/>
  <c r="E173"/>
  <c r="E176"/>
  <c r="E179"/>
  <c r="E182"/>
  <c r="E185"/>
  <c r="E188"/>
  <c r="E191"/>
  <c r="E194"/>
  <c r="E197"/>
  <c r="E200"/>
  <c r="E158"/>
  <c r="J123"/>
  <c r="N123"/>
  <c r="O123"/>
  <c r="O126"/>
  <c r="F126"/>
  <c r="F124"/>
  <c r="F123"/>
  <c r="A121"/>
  <c r="J115"/>
  <c r="N115"/>
  <c r="O115"/>
  <c r="P115"/>
  <c r="O118"/>
  <c r="F118"/>
  <c r="F116"/>
  <c r="F115"/>
  <c r="A113"/>
  <c r="J107"/>
  <c r="N107"/>
  <c r="O107"/>
  <c r="O110"/>
  <c r="F110"/>
  <c r="F108"/>
  <c r="F107"/>
  <c r="A105"/>
  <c r="J99"/>
  <c r="N99"/>
  <c r="O99"/>
  <c r="O102"/>
  <c r="F102"/>
  <c r="F100"/>
  <c r="F99"/>
  <c r="A97"/>
  <c r="J91"/>
  <c r="N91"/>
  <c r="O91"/>
  <c r="O94"/>
  <c r="F94"/>
  <c r="F92"/>
  <c r="F91"/>
  <c r="A89"/>
  <c r="J83"/>
  <c r="N83"/>
  <c r="O83"/>
  <c r="O86"/>
  <c r="F86"/>
  <c r="F84"/>
  <c r="F83"/>
  <c r="A81"/>
  <c r="J75"/>
  <c r="N75"/>
  <c r="O75"/>
  <c r="O78"/>
  <c r="F78"/>
  <c r="F76"/>
  <c r="F75"/>
  <c r="A73"/>
  <c r="J67"/>
  <c r="N67"/>
  <c r="O67"/>
  <c r="O70"/>
  <c r="F70"/>
  <c r="F68"/>
  <c r="F67"/>
  <c r="A65"/>
  <c r="J59"/>
  <c r="N59"/>
  <c r="O59"/>
  <c r="O62"/>
  <c r="F62"/>
  <c r="F60"/>
  <c r="F59"/>
  <c r="A57"/>
  <c r="J51"/>
  <c r="N51"/>
  <c r="O51"/>
  <c r="O54"/>
  <c r="F54"/>
  <c r="F52"/>
  <c r="F51"/>
  <c r="A49"/>
  <c r="J43"/>
  <c r="N43"/>
  <c r="O43"/>
  <c r="O46"/>
  <c r="F46"/>
  <c r="F44"/>
  <c r="F43"/>
  <c r="A41"/>
  <c r="J35"/>
  <c r="N35"/>
  <c r="O35"/>
  <c r="O38"/>
  <c r="P38"/>
  <c r="F38"/>
  <c r="F36"/>
  <c r="F35"/>
  <c r="A33"/>
  <c r="J27"/>
  <c r="N27"/>
  <c r="O27"/>
  <c r="O30"/>
  <c r="F30"/>
  <c r="F28"/>
  <c r="F27"/>
  <c r="A25"/>
  <c r="J19"/>
  <c r="N19"/>
  <c r="O19"/>
  <c r="O22"/>
  <c r="F22"/>
  <c r="F20"/>
  <c r="F19"/>
  <c r="A17"/>
  <c r="J11"/>
  <c r="N11"/>
  <c r="O11"/>
  <c r="O14"/>
  <c r="F14"/>
  <c r="F12"/>
  <c r="F11"/>
  <c r="A9"/>
  <c r="G6"/>
  <c r="H6"/>
  <c r="I6"/>
  <c r="J6"/>
  <c r="K6"/>
  <c r="L6"/>
  <c r="M6"/>
  <c r="N6"/>
  <c r="O6"/>
  <c r="P6"/>
  <c r="Q6"/>
  <c r="R6"/>
  <c r="S6"/>
  <c r="T6"/>
  <c r="U6"/>
  <c r="F6"/>
  <c r="U70" i="3"/>
  <c r="T70"/>
  <c r="S70"/>
  <c r="R70"/>
  <c r="Q70"/>
  <c r="P70"/>
  <c r="O70"/>
  <c r="N70"/>
  <c r="M70"/>
  <c r="L70"/>
  <c r="K70"/>
  <c r="J70"/>
  <c r="I70"/>
  <c r="H70"/>
  <c r="G70"/>
  <c r="E31"/>
  <c r="D31"/>
  <c r="E38"/>
  <c r="F130" i="4" s="1"/>
  <c r="F131" s="1"/>
  <c r="F103" i="5"/>
  <c r="F102"/>
  <c r="F101"/>
  <c r="F100"/>
  <c r="F191" i="32" s="1"/>
  <c r="F99" i="5"/>
  <c r="F98"/>
  <c r="F185" i="32" s="1"/>
  <c r="F97" i="5"/>
  <c r="F96"/>
  <c r="F179" i="32" s="1"/>
  <c r="F95" i="5"/>
  <c r="F94"/>
  <c r="F173" i="32" s="1"/>
  <c r="F93" i="5"/>
  <c r="F92"/>
  <c r="F167" i="32" s="1"/>
  <c r="F91" i="5"/>
  <c r="F90"/>
  <c r="F161" i="32" s="1"/>
  <c r="F89" i="5"/>
  <c r="B103"/>
  <c r="B102"/>
  <c r="B146" s="1"/>
  <c r="B101"/>
  <c r="A22" i="39" s="1"/>
  <c r="B100" i="5"/>
  <c r="B98"/>
  <c r="B97"/>
  <c r="A18" i="39" s="1"/>
  <c r="B96" i="5"/>
  <c r="A17" i="39" s="1"/>
  <c r="B95" i="5"/>
  <c r="A176" i="32" s="1"/>
  <c r="A14" i="4" s="1"/>
  <c r="B94" i="5"/>
  <c r="A15" i="39" s="1"/>
  <c r="B93" i="5"/>
  <c r="A14" i="39" s="1"/>
  <c r="B92" i="5"/>
  <c r="A13" i="39" s="1"/>
  <c r="B91" i="5"/>
  <c r="A12" i="39" s="1"/>
  <c r="B90" i="5"/>
  <c r="A11" i="39" s="1"/>
  <c r="B89" i="5"/>
  <c r="A10" i="39" s="1"/>
  <c r="A36" i="5"/>
  <c r="G84"/>
  <c r="P83"/>
  <c r="P123" i="32" s="1"/>
  <c r="Q83" i="5"/>
  <c r="K83"/>
  <c r="K123" i="32" s="1"/>
  <c r="L83" i="5"/>
  <c r="G83"/>
  <c r="H83" s="1"/>
  <c r="H123" i="32" s="1"/>
  <c r="I83" i="5"/>
  <c r="I123" i="32" s="1"/>
  <c r="P82" i="5"/>
  <c r="P126" i="32" s="1"/>
  <c r="G82" i="5"/>
  <c r="H82" s="1"/>
  <c r="G79"/>
  <c r="P78"/>
  <c r="Q78"/>
  <c r="K78"/>
  <c r="K115" i="32" s="1"/>
  <c r="L78" i="5"/>
  <c r="G78"/>
  <c r="P77"/>
  <c r="P118" i="32" s="1"/>
  <c r="G77" i="5"/>
  <c r="G118" i="32" s="1"/>
  <c r="G74" i="5"/>
  <c r="P73"/>
  <c r="P107" i="32" s="1"/>
  <c r="K73" i="5"/>
  <c r="L73" s="1"/>
  <c r="G73"/>
  <c r="P72"/>
  <c r="P110" i="32" s="1"/>
  <c r="G72" i="5"/>
  <c r="H72" s="1"/>
  <c r="G69"/>
  <c r="P68"/>
  <c r="P99" i="32" s="1"/>
  <c r="Q68" i="5"/>
  <c r="K68"/>
  <c r="K99" i="32" s="1"/>
  <c r="L68" i="5"/>
  <c r="M68" s="1"/>
  <c r="M99" i="32" s="1"/>
  <c r="G68" i="5"/>
  <c r="P67"/>
  <c r="P102" i="32" s="1"/>
  <c r="G67" i="5"/>
  <c r="G102" i="32" s="1"/>
  <c r="G64" i="5"/>
  <c r="P63"/>
  <c r="P91" i="32" s="1"/>
  <c r="K63" i="5"/>
  <c r="K91" i="32" s="1"/>
  <c r="G63" i="5"/>
  <c r="H63" s="1"/>
  <c r="H91" i="32" s="1"/>
  <c r="P62" i="5"/>
  <c r="P94" i="32" s="1"/>
  <c r="G62" i="5"/>
  <c r="G94" i="32" s="1"/>
  <c r="G59" i="5"/>
  <c r="G84" i="32" s="1"/>
  <c r="P58" i="5"/>
  <c r="Q58" s="1"/>
  <c r="Q83" i="32" s="1"/>
  <c r="K58" i="5"/>
  <c r="G58"/>
  <c r="G83" i="32" s="1"/>
  <c r="H58" i="5"/>
  <c r="P57"/>
  <c r="G57"/>
  <c r="G86" i="32" s="1"/>
  <c r="G54" i="5"/>
  <c r="G76" i="32" s="1"/>
  <c r="H54" i="5"/>
  <c r="P53"/>
  <c r="P75" i="32" s="1"/>
  <c r="Q53" i="5"/>
  <c r="R53" s="1"/>
  <c r="K53"/>
  <c r="G53"/>
  <c r="P52"/>
  <c r="G52"/>
  <c r="H52" s="1"/>
  <c r="A51"/>
  <c r="G49"/>
  <c r="G68" i="32" s="1"/>
  <c r="P48" i="5"/>
  <c r="P67" i="32" s="1"/>
  <c r="K48" i="5"/>
  <c r="G48"/>
  <c r="P47"/>
  <c r="P70" i="32" s="1"/>
  <c r="G47" i="5"/>
  <c r="G70" i="32" s="1"/>
  <c r="G44" i="5"/>
  <c r="P43"/>
  <c r="K43"/>
  <c r="K59" i="32" s="1"/>
  <c r="L43" i="5"/>
  <c r="G43"/>
  <c r="P42"/>
  <c r="G42"/>
  <c r="G62" i="32" s="1"/>
  <c r="G39" i="5"/>
  <c r="G52" i="32" s="1"/>
  <c r="H39" i="5"/>
  <c r="P38"/>
  <c r="K38"/>
  <c r="G38"/>
  <c r="G51" i="32" s="1"/>
  <c r="G53" s="1"/>
  <c r="H38" i="5"/>
  <c r="P37"/>
  <c r="P54" i="32" s="1"/>
  <c r="G37" i="5"/>
  <c r="G54" i="32" s="1"/>
  <c r="G34" i="5"/>
  <c r="G44" i="32" s="1"/>
  <c r="P33" i="5"/>
  <c r="Q33" s="1"/>
  <c r="Q43" i="32" s="1"/>
  <c r="K33" i="5"/>
  <c r="K43" i="32" s="1"/>
  <c r="G33" i="5"/>
  <c r="G43" i="32" s="1"/>
  <c r="P32" i="5"/>
  <c r="G32"/>
  <c r="G46" i="32" s="1"/>
  <c r="G29" i="5"/>
  <c r="P28"/>
  <c r="K28"/>
  <c r="K35" i="32" s="1"/>
  <c r="G28" i="5"/>
  <c r="P27"/>
  <c r="Q27" s="1"/>
  <c r="G27"/>
  <c r="G38" i="32" s="1"/>
  <c r="F8" i="5"/>
  <c r="D7"/>
  <c r="E12" i="20"/>
  <c r="R26" i="11"/>
  <c r="S99" i="4"/>
  <c r="S104" s="1"/>
  <c r="N26" i="11"/>
  <c r="L26"/>
  <c r="I27" i="31"/>
  <c r="K99" i="4"/>
  <c r="K104" s="1"/>
  <c r="I99"/>
  <c r="I104" s="1"/>
  <c r="D26" i="11"/>
  <c r="R99" i="4"/>
  <c r="R104" s="1"/>
  <c r="N99"/>
  <c r="N104" s="1"/>
  <c r="J99"/>
  <c r="J104" s="1"/>
  <c r="G106"/>
  <c r="H106"/>
  <c r="I106"/>
  <c r="J106"/>
  <c r="K106"/>
  <c r="L106"/>
  <c r="M106"/>
  <c r="N106"/>
  <c r="O106"/>
  <c r="P106"/>
  <c r="Q106"/>
  <c r="R106"/>
  <c r="S106"/>
  <c r="T106"/>
  <c r="U106"/>
  <c r="F106"/>
  <c r="H99"/>
  <c r="H104" s="1"/>
  <c r="L99"/>
  <c r="L104" s="1"/>
  <c r="M99"/>
  <c r="M104" s="1"/>
  <c r="P99"/>
  <c r="P104" s="1"/>
  <c r="T99"/>
  <c r="T104" s="1"/>
  <c r="U99"/>
  <c r="U104" s="1"/>
  <c r="E20" i="21"/>
  <c r="E18"/>
  <c r="D18"/>
  <c r="G53" i="4"/>
  <c r="D34" i="9" s="1"/>
  <c r="H53" i="4"/>
  <c r="E34" i="9" s="1"/>
  <c r="I53" i="4"/>
  <c r="F34" i="9" s="1"/>
  <c r="J53" i="4"/>
  <c r="G34" i="9" s="1"/>
  <c r="K53" i="4"/>
  <c r="H34" i="9" s="1"/>
  <c r="L53" i="4"/>
  <c r="I34" i="9" s="1"/>
  <c r="M53" i="4"/>
  <c r="J34" i="9" s="1"/>
  <c r="N53" i="4"/>
  <c r="K34" i="9" s="1"/>
  <c r="O53" i="4"/>
  <c r="L34" i="9" s="1"/>
  <c r="P53" i="4"/>
  <c r="Q53"/>
  <c r="N34" i="9" s="1"/>
  <c r="R53" i="4"/>
  <c r="O34" i="9" s="1"/>
  <c r="S53" i="4"/>
  <c r="T53"/>
  <c r="Q34" i="9" s="1"/>
  <c r="U53" i="4"/>
  <c r="R34" i="9" s="1"/>
  <c r="F53" i="4"/>
  <c r="C34" i="9" s="1"/>
  <c r="C23" i="11" s="1"/>
  <c r="B24" i="20"/>
  <c r="E26" i="11"/>
  <c r="G26"/>
  <c r="I26"/>
  <c r="J26"/>
  <c r="K26"/>
  <c r="M26"/>
  <c r="O26"/>
  <c r="Q26"/>
  <c r="C26"/>
  <c r="E11"/>
  <c r="G11"/>
  <c r="I11"/>
  <c r="J11"/>
  <c r="K11"/>
  <c r="M11"/>
  <c r="O11"/>
  <c r="Q11"/>
  <c r="C11"/>
  <c r="E55" i="3"/>
  <c r="F133" i="4" s="1"/>
  <c r="Q22" i="11"/>
  <c r="R22"/>
  <c r="N19" i="9"/>
  <c r="O19"/>
  <c r="P19"/>
  <c r="Q19"/>
  <c r="R19"/>
  <c r="M14" i="10"/>
  <c r="N14"/>
  <c r="O14"/>
  <c r="P14"/>
  <c r="Q14"/>
  <c r="N24" i="11"/>
  <c r="O24"/>
  <c r="P24"/>
  <c r="Q24"/>
  <c r="R24"/>
  <c r="A10" i="13"/>
  <c r="A11"/>
  <c r="N12" i="11"/>
  <c r="O12"/>
  <c r="P12"/>
  <c r="Q12"/>
  <c r="R12"/>
  <c r="Q63" i="4"/>
  <c r="Q111" s="1"/>
  <c r="R63"/>
  <c r="R111" s="1"/>
  <c r="S63"/>
  <c r="S111" s="1"/>
  <c r="T63"/>
  <c r="T111" s="1"/>
  <c r="U63"/>
  <c r="U111" s="1"/>
  <c r="A63"/>
  <c r="Q38"/>
  <c r="Q98" s="1"/>
  <c r="R38"/>
  <c r="R98" s="1"/>
  <c r="S38"/>
  <c r="S98" s="1"/>
  <c r="T38"/>
  <c r="T98" s="1"/>
  <c r="U38"/>
  <c r="U98" s="1"/>
  <c r="F6" i="36"/>
  <c r="A8" i="18"/>
  <c r="D26" i="39"/>
  <c r="G24" i="5"/>
  <c r="G28" i="32" s="1"/>
  <c r="H24" i="5"/>
  <c r="P23"/>
  <c r="P27" i="32" s="1"/>
  <c r="K23" i="5"/>
  <c r="L23" s="1"/>
  <c r="G23"/>
  <c r="P22"/>
  <c r="Q22" s="1"/>
  <c r="G22"/>
  <c r="G19"/>
  <c r="G20" i="32" s="1"/>
  <c r="P18" i="5"/>
  <c r="K18"/>
  <c r="G18"/>
  <c r="H18" s="1"/>
  <c r="P17"/>
  <c r="G17"/>
  <c r="G22" i="32" s="1"/>
  <c r="G14" i="5"/>
  <c r="Q11" i="32"/>
  <c r="K11"/>
  <c r="P14"/>
  <c r="E26" i="39"/>
  <c r="F26"/>
  <c r="F5" i="3"/>
  <c r="G26" i="39"/>
  <c r="G5" i="5"/>
  <c r="G99" s="1"/>
  <c r="G188" i="32" s="1"/>
  <c r="A35" i="9"/>
  <c r="L15" i="31"/>
  <c r="J15"/>
  <c r="K15"/>
  <c r="I15"/>
  <c r="N5" i="4"/>
  <c r="N3" i="3" s="1"/>
  <c r="J3" i="34" s="1"/>
  <c r="O5" i="4"/>
  <c r="P5"/>
  <c r="P3" i="3" s="1"/>
  <c r="L3" i="34" s="1"/>
  <c r="Q5" i="4"/>
  <c r="M18" i="20" s="1"/>
  <c r="R5" i="4"/>
  <c r="S5"/>
  <c r="T5"/>
  <c r="Q6" i="9" s="1"/>
  <c r="U5" i="4"/>
  <c r="E19" i="3"/>
  <c r="F47" s="1"/>
  <c r="V47" s="1"/>
  <c r="D5"/>
  <c r="B17" i="16"/>
  <c r="B18" s="1"/>
  <c r="B28"/>
  <c r="B16"/>
  <c r="D19" i="3"/>
  <c r="D33" s="1"/>
  <c r="R77" i="35"/>
  <c r="Q77"/>
  <c r="P77"/>
  <c r="O77"/>
  <c r="O79"/>
  <c r="N77"/>
  <c r="M77"/>
  <c r="L77"/>
  <c r="K77"/>
  <c r="K79"/>
  <c r="J77"/>
  <c r="I77"/>
  <c r="H77"/>
  <c r="S76"/>
  <c r="T76"/>
  <c r="S75"/>
  <c r="T75"/>
  <c r="S74"/>
  <c r="T74"/>
  <c r="S73"/>
  <c r="T73"/>
  <c r="U73"/>
  <c r="S72"/>
  <c r="T72"/>
  <c r="U72"/>
  <c r="S71"/>
  <c r="T71"/>
  <c r="U71"/>
  <c r="S70"/>
  <c r="T70"/>
  <c r="U70"/>
  <c r="S69"/>
  <c r="T69"/>
  <c r="U69"/>
  <c r="S68"/>
  <c r="T68"/>
  <c r="S67"/>
  <c r="T67"/>
  <c r="S66"/>
  <c r="T66"/>
  <c r="U66"/>
  <c r="S65"/>
  <c r="T65"/>
  <c r="U65"/>
  <c r="G63"/>
  <c r="G77"/>
  <c r="W63"/>
  <c r="S59"/>
  <c r="S58"/>
  <c r="S57"/>
  <c r="S56"/>
  <c r="S55"/>
  <c r="S54"/>
  <c r="S53"/>
  <c r="S52"/>
  <c r="S51"/>
  <c r="S50"/>
  <c r="S49"/>
  <c r="S48"/>
  <c r="S47"/>
  <c r="S46"/>
  <c r="S44"/>
  <c r="S43"/>
  <c r="S41"/>
  <c r="R40"/>
  <c r="Q40"/>
  <c r="P40"/>
  <c r="O40"/>
  <c r="N40"/>
  <c r="M40"/>
  <c r="L40"/>
  <c r="K40"/>
  <c r="J40"/>
  <c r="I40"/>
  <c r="I79"/>
  <c r="H40"/>
  <c r="H79"/>
  <c r="G40"/>
  <c r="S39"/>
  <c r="T39"/>
  <c r="S38"/>
  <c r="T38"/>
  <c r="U38"/>
  <c r="S37"/>
  <c r="T37"/>
  <c r="U37"/>
  <c r="S36"/>
  <c r="T36"/>
  <c r="U36"/>
  <c r="S35"/>
  <c r="T35"/>
  <c r="U35"/>
  <c r="S34"/>
  <c r="S33"/>
  <c r="T33"/>
  <c r="S32"/>
  <c r="T32"/>
  <c r="S31"/>
  <c r="T31"/>
  <c r="S30"/>
  <c r="T30"/>
  <c r="S29"/>
  <c r="T29"/>
  <c r="S28"/>
  <c r="T28"/>
  <c r="S27"/>
  <c r="T27"/>
  <c r="S26"/>
  <c r="T26"/>
  <c r="S24"/>
  <c r="U23"/>
  <c r="R23"/>
  <c r="Q23"/>
  <c r="P23"/>
  <c r="O23"/>
  <c r="N23"/>
  <c r="M23"/>
  <c r="L23"/>
  <c r="K23"/>
  <c r="J23"/>
  <c r="I23"/>
  <c r="H23"/>
  <c r="S22"/>
  <c r="T22"/>
  <c r="S21"/>
  <c r="T21"/>
  <c r="S20"/>
  <c r="T20"/>
  <c r="S19"/>
  <c r="T19"/>
  <c r="S18"/>
  <c r="T18"/>
  <c r="S17"/>
  <c r="T17"/>
  <c r="S16"/>
  <c r="T16"/>
  <c r="S15"/>
  <c r="T15"/>
  <c r="G14"/>
  <c r="S13"/>
  <c r="T13"/>
  <c r="S12"/>
  <c r="T12"/>
  <c r="S11"/>
  <c r="T11"/>
  <c r="S10"/>
  <c r="T10"/>
  <c r="S9"/>
  <c r="T9"/>
  <c r="S8"/>
  <c r="T8"/>
  <c r="S7"/>
  <c r="T7"/>
  <c r="S5"/>
  <c r="T5"/>
  <c r="G48" i="34"/>
  <c r="G40"/>
  <c r="G5"/>
  <c r="G25"/>
  <c r="H25"/>
  <c r="I25"/>
  <c r="G7"/>
  <c r="H7"/>
  <c r="I7"/>
  <c r="J7"/>
  <c r="K7"/>
  <c r="L7"/>
  <c r="M7"/>
  <c r="N7"/>
  <c r="O7"/>
  <c r="P7"/>
  <c r="Q7"/>
  <c r="G6"/>
  <c r="H5"/>
  <c r="I5"/>
  <c r="J5"/>
  <c r="K5"/>
  <c r="L5"/>
  <c r="M5"/>
  <c r="N5"/>
  <c r="O5"/>
  <c r="P5"/>
  <c r="Q5"/>
  <c r="G27"/>
  <c r="G8"/>
  <c r="G9"/>
  <c r="H9"/>
  <c r="I9"/>
  <c r="J9"/>
  <c r="K9"/>
  <c r="L9"/>
  <c r="M9"/>
  <c r="N9"/>
  <c r="O9"/>
  <c r="P9"/>
  <c r="Q9"/>
  <c r="G21"/>
  <c r="G20"/>
  <c r="G19"/>
  <c r="H18"/>
  <c r="G11"/>
  <c r="H11"/>
  <c r="H13" s="1"/>
  <c r="H36" s="1"/>
  <c r="R36" s="1"/>
  <c r="S63" i="35"/>
  <c r="G23"/>
  <c r="M79"/>
  <c r="Q79"/>
  <c r="J79"/>
  <c r="N79"/>
  <c r="R79"/>
  <c r="H27" i="34"/>
  <c r="I27"/>
  <c r="J27"/>
  <c r="K27"/>
  <c r="L27"/>
  <c r="M27"/>
  <c r="N27"/>
  <c r="O27"/>
  <c r="P27"/>
  <c r="Q27"/>
  <c r="G29"/>
  <c r="I11"/>
  <c r="I15" s="1"/>
  <c r="I38" s="1"/>
  <c r="H29"/>
  <c r="N20" i="28"/>
  <c r="N22"/>
  <c r="N28"/>
  <c r="N21"/>
  <c r="M18"/>
  <c r="N18"/>
  <c r="N24"/>
  <c r="N15"/>
  <c r="N16"/>
  <c r="N17"/>
  <c r="X23" i="2"/>
  <c r="M20" i="28"/>
  <c r="M21"/>
  <c r="M22"/>
  <c r="M24"/>
  <c r="M15"/>
  <c r="V21" i="2"/>
  <c r="M16" i="28"/>
  <c r="M17"/>
  <c r="V23" i="2"/>
  <c r="L20" i="28"/>
  <c r="L21"/>
  <c r="L22"/>
  <c r="L28"/>
  <c r="L24"/>
  <c r="L15"/>
  <c r="L16"/>
  <c r="L17"/>
  <c r="T23" i="2"/>
  <c r="K20" i="28"/>
  <c r="K21"/>
  <c r="K22"/>
  <c r="K18"/>
  <c r="K15"/>
  <c r="K16"/>
  <c r="K17"/>
  <c r="K23"/>
  <c r="J20"/>
  <c r="J21"/>
  <c r="J22"/>
  <c r="J15"/>
  <c r="J16"/>
  <c r="J17"/>
  <c r="I20"/>
  <c r="I21"/>
  <c r="I22"/>
  <c r="I15"/>
  <c r="I16"/>
  <c r="I17"/>
  <c r="H20"/>
  <c r="H21"/>
  <c r="H22"/>
  <c r="H15"/>
  <c r="H16"/>
  <c r="H17"/>
  <c r="G20"/>
  <c r="G21"/>
  <c r="G22"/>
  <c r="G15"/>
  <c r="G16"/>
  <c r="G17"/>
  <c r="F20"/>
  <c r="F21"/>
  <c r="F22"/>
  <c r="F15"/>
  <c r="F16"/>
  <c r="F17"/>
  <c r="F23"/>
  <c r="E20"/>
  <c r="E21"/>
  <c r="E22"/>
  <c r="E15"/>
  <c r="E16"/>
  <c r="E17"/>
  <c r="M28"/>
  <c r="M30"/>
  <c r="E30"/>
  <c r="F27"/>
  <c r="F30"/>
  <c r="G27"/>
  <c r="G30"/>
  <c r="H30"/>
  <c r="I30"/>
  <c r="J27"/>
  <c r="J30"/>
  <c r="K27"/>
  <c r="K30"/>
  <c r="L30"/>
  <c r="X21" i="2"/>
  <c r="T21"/>
  <c r="R21"/>
  <c r="P21"/>
  <c r="N21"/>
  <c r="L21"/>
  <c r="J21"/>
  <c r="H21"/>
  <c r="F21"/>
  <c r="D21"/>
  <c r="D19"/>
  <c r="X13"/>
  <c r="V13"/>
  <c r="T13"/>
  <c r="R13"/>
  <c r="P13"/>
  <c r="N13"/>
  <c r="L13"/>
  <c r="J13"/>
  <c r="H13"/>
  <c r="F13"/>
  <c r="D13"/>
  <c r="V5"/>
  <c r="V7"/>
  <c r="V9" s="1"/>
  <c r="T5"/>
  <c r="T7" s="1"/>
  <c r="T9" s="1"/>
  <c r="R5"/>
  <c r="R7" s="1"/>
  <c r="R9" s="1"/>
  <c r="R11" s="1"/>
  <c r="P5"/>
  <c r="P7" s="1"/>
  <c r="P9" s="1"/>
  <c r="N5"/>
  <c r="N7" s="1"/>
  <c r="N9" s="1"/>
  <c r="N11" s="1"/>
  <c r="L5"/>
  <c r="L7"/>
  <c r="L9" s="1"/>
  <c r="L11" s="1"/>
  <c r="X5"/>
  <c r="X7" s="1"/>
  <c r="X9" s="1"/>
  <c r="F9" i="25"/>
  <c r="F10"/>
  <c r="F3" i="2"/>
  <c r="H3"/>
  <c r="D3"/>
  <c r="C35" i="28"/>
  <c r="M34"/>
  <c r="C34"/>
  <c r="H34" s="1"/>
  <c r="C32"/>
  <c r="H32" s="1"/>
  <c r="N30"/>
  <c r="A28"/>
  <c r="A29"/>
  <c r="A30"/>
  <c r="A31"/>
  <c r="C25"/>
  <c r="E25" s="1"/>
  <c r="A21"/>
  <c r="A22"/>
  <c r="A16"/>
  <c r="A17"/>
  <c r="A18"/>
  <c r="O6"/>
  <c r="C12"/>
  <c r="E12" s="1"/>
  <c r="B12"/>
  <c r="C11"/>
  <c r="N11" s="1"/>
  <c r="B11"/>
  <c r="C10"/>
  <c r="I10" s="1"/>
  <c r="B10"/>
  <c r="I9"/>
  <c r="J9"/>
  <c r="K9"/>
  <c r="L9"/>
  <c r="M9"/>
  <c r="N9"/>
  <c r="H9"/>
  <c r="G9"/>
  <c r="F9"/>
  <c r="E9"/>
  <c r="X17" i="2"/>
  <c r="V17"/>
  <c r="T17"/>
  <c r="R17"/>
  <c r="P17"/>
  <c r="N17"/>
  <c r="L17"/>
  <c r="J17"/>
  <c r="H17"/>
  <c r="F17"/>
  <c r="D17"/>
  <c r="J5"/>
  <c r="J7" s="1"/>
  <c r="J9" s="1"/>
  <c r="J15" s="1"/>
  <c r="H5"/>
  <c r="H7" s="1"/>
  <c r="H9" s="1"/>
  <c r="F5"/>
  <c r="F6" s="1"/>
  <c r="F13" i="25"/>
  <c r="H13"/>
  <c r="R22" i="28"/>
  <c r="A9"/>
  <c r="A10"/>
  <c r="A11"/>
  <c r="A12"/>
  <c r="O5"/>
  <c r="O4"/>
  <c r="O15"/>
  <c r="N27"/>
  <c r="N29"/>
  <c r="G13" i="25"/>
  <c r="G10"/>
  <c r="E10"/>
  <c r="H10"/>
  <c r="I10"/>
  <c r="D7" i="2"/>
  <c r="B1" i="21"/>
  <c r="H3" i="34"/>
  <c r="I3"/>
  <c r="G3"/>
  <c r="E10" i="24"/>
  <c r="E24"/>
  <c r="E21"/>
  <c r="D24"/>
  <c r="F21"/>
  <c r="G21"/>
  <c r="H21"/>
  <c r="I21"/>
  <c r="J21"/>
  <c r="K21"/>
  <c r="L21"/>
  <c r="M21"/>
  <c r="N21"/>
  <c r="O21"/>
  <c r="P21"/>
  <c r="Q21"/>
  <c r="R21"/>
  <c r="D17"/>
  <c r="E9"/>
  <c r="P6"/>
  <c r="Q6"/>
  <c r="R6"/>
  <c r="J6"/>
  <c r="K6"/>
  <c r="L6"/>
  <c r="M6"/>
  <c r="N6"/>
  <c r="E6"/>
  <c r="P5"/>
  <c r="Q5"/>
  <c r="R5"/>
  <c r="J5"/>
  <c r="K5"/>
  <c r="L5"/>
  <c r="M5"/>
  <c r="N5"/>
  <c r="E5"/>
  <c r="F9"/>
  <c r="F5"/>
  <c r="G5"/>
  <c r="H5"/>
  <c r="E15"/>
  <c r="D15"/>
  <c r="E17"/>
  <c r="F15"/>
  <c r="D20" i="2"/>
  <c r="D6"/>
  <c r="D9"/>
  <c r="B23" i="16"/>
  <c r="B24" s="1"/>
  <c r="D10" i="2"/>
  <c r="D15"/>
  <c r="D11"/>
  <c r="D12"/>
  <c r="D8"/>
  <c r="B22" i="16"/>
  <c r="B10"/>
  <c r="D16" i="2"/>
  <c r="B15" i="17"/>
  <c r="B11" i="16"/>
  <c r="B12" s="1"/>
  <c r="D24" i="2"/>
  <c r="B9" i="14"/>
  <c r="B15"/>
  <c r="B10" i="18"/>
  <c r="H26" i="39"/>
  <c r="B29" i="16"/>
  <c r="B30" s="1"/>
  <c r="A21" i="5"/>
  <c r="F36" i="28"/>
  <c r="F6" i="24"/>
  <c r="G6"/>
  <c r="H6"/>
  <c r="F10"/>
  <c r="J29" i="28"/>
  <c r="F24"/>
  <c r="H23" i="2"/>
  <c r="F28" i="28"/>
  <c r="F29"/>
  <c r="O22"/>
  <c r="H27"/>
  <c r="H23"/>
  <c r="J24"/>
  <c r="P23" i="2"/>
  <c r="J28" i="28"/>
  <c r="K29"/>
  <c r="G29"/>
  <c r="H24"/>
  <c r="L23" i="2"/>
  <c r="H28" i="28"/>
  <c r="J23"/>
  <c r="H6" i="34"/>
  <c r="I6"/>
  <c r="J6"/>
  <c r="K6"/>
  <c r="L6"/>
  <c r="M6"/>
  <c r="N6"/>
  <c r="O6"/>
  <c r="P6"/>
  <c r="Q6"/>
  <c r="G26"/>
  <c r="E27" i="28"/>
  <c r="O17"/>
  <c r="E23"/>
  <c r="G24"/>
  <c r="J23" i="2"/>
  <c r="G28" i="28"/>
  <c r="I23"/>
  <c r="I27"/>
  <c r="I29"/>
  <c r="G9" i="24"/>
  <c r="E24" i="28"/>
  <c r="E28"/>
  <c r="G23"/>
  <c r="I24"/>
  <c r="N23" i="2"/>
  <c r="I28" i="28"/>
  <c r="W23" i="35"/>
  <c r="G79"/>
  <c r="I18" i="34"/>
  <c r="H19"/>
  <c r="H44"/>
  <c r="H20"/>
  <c r="H45"/>
  <c r="H21"/>
  <c r="H46"/>
  <c r="K24" i="28"/>
  <c r="K28"/>
  <c r="L27"/>
  <c r="L29"/>
  <c r="L23"/>
  <c r="M27"/>
  <c r="M29"/>
  <c r="M23"/>
  <c r="N23"/>
  <c r="I29" i="34"/>
  <c r="J29"/>
  <c r="K29"/>
  <c r="L29"/>
  <c r="M29"/>
  <c r="N29"/>
  <c r="O29"/>
  <c r="P29"/>
  <c r="Q29"/>
  <c r="R29"/>
  <c r="J25"/>
  <c r="T40" i="35"/>
  <c r="O9" i="28"/>
  <c r="R27" i="34"/>
  <c r="T34" i="35"/>
  <c r="U34"/>
  <c r="U40"/>
  <c r="S40"/>
  <c r="G28" i="34"/>
  <c r="H8"/>
  <c r="I8"/>
  <c r="J8"/>
  <c r="K8"/>
  <c r="L8"/>
  <c r="M8"/>
  <c r="N8"/>
  <c r="O8"/>
  <c r="P8"/>
  <c r="Q8"/>
  <c r="S77" i="35"/>
  <c r="T63"/>
  <c r="S14"/>
  <c r="W6"/>
  <c r="W78"/>
  <c r="L79"/>
  <c r="P79"/>
  <c r="B39" i="9"/>
  <c r="I26" i="39"/>
  <c r="R23" i="2"/>
  <c r="I20" i="34"/>
  <c r="I45"/>
  <c r="J18"/>
  <c r="I21"/>
  <c r="I46"/>
  <c r="I19"/>
  <c r="I44"/>
  <c r="I48"/>
  <c r="E36" i="28"/>
  <c r="O23"/>
  <c r="H26" i="34"/>
  <c r="G31"/>
  <c r="T14" i="35"/>
  <c r="T23"/>
  <c r="T79"/>
  <c r="S23"/>
  <c r="S79"/>
  <c r="F24" i="24"/>
  <c r="G10"/>
  <c r="F17"/>
  <c r="H28" i="34"/>
  <c r="I28"/>
  <c r="J28"/>
  <c r="K28"/>
  <c r="L28"/>
  <c r="M28"/>
  <c r="N28"/>
  <c r="O28"/>
  <c r="P28"/>
  <c r="Q28"/>
  <c r="E29" i="28"/>
  <c r="E31"/>
  <c r="F23" i="2"/>
  <c r="O24" i="28"/>
  <c r="G15" i="24"/>
  <c r="H9"/>
  <c r="U63" i="35"/>
  <c r="U77"/>
  <c r="U79"/>
  <c r="T77"/>
  <c r="K25" i="34"/>
  <c r="H48"/>
  <c r="H29" i="28"/>
  <c r="B40" i="9"/>
  <c r="J26" i="39"/>
  <c r="H10" i="24"/>
  <c r="G24"/>
  <c r="G17"/>
  <c r="J19" i="34"/>
  <c r="J44"/>
  <c r="J48"/>
  <c r="J21"/>
  <c r="J46"/>
  <c r="K18"/>
  <c r="J20"/>
  <c r="J45"/>
  <c r="L25"/>
  <c r="R28"/>
  <c r="I26"/>
  <c r="H31"/>
  <c r="F24" i="2"/>
  <c r="F19"/>
  <c r="F20" s="1"/>
  <c r="F31" i="28"/>
  <c r="I9" i="24"/>
  <c r="H15"/>
  <c r="G50" i="34"/>
  <c r="K26" i="39"/>
  <c r="H19" i="2"/>
  <c r="I15" i="24"/>
  <c r="J9"/>
  <c r="H31" i="28"/>
  <c r="K19" i="34"/>
  <c r="K44"/>
  <c r="K20"/>
  <c r="K45"/>
  <c r="L18"/>
  <c r="K21"/>
  <c r="K46"/>
  <c r="I31" i="28"/>
  <c r="J26" i="34"/>
  <c r="I31"/>
  <c r="G31" i="28"/>
  <c r="M25" i="34"/>
  <c r="H17" i="24"/>
  <c r="I10"/>
  <c r="H24"/>
  <c r="L26" i="39"/>
  <c r="N25" i="34"/>
  <c r="N19" i="2"/>
  <c r="K26" i="34"/>
  <c r="J31"/>
  <c r="M18"/>
  <c r="L20"/>
  <c r="L45"/>
  <c r="L21"/>
  <c r="L46"/>
  <c r="L19"/>
  <c r="L44"/>
  <c r="J15" i="24"/>
  <c r="K9"/>
  <c r="L19" i="2"/>
  <c r="J31" i="28"/>
  <c r="J19" i="2"/>
  <c r="K48" i="34"/>
  <c r="I17" i="24"/>
  <c r="J10"/>
  <c r="I24"/>
  <c r="M26" i="39"/>
  <c r="O25" i="34"/>
  <c r="J24" i="24"/>
  <c r="J17"/>
  <c r="K10"/>
  <c r="L26" i="34"/>
  <c r="K31"/>
  <c r="P19" i="2"/>
  <c r="L9" i="24"/>
  <c r="K15"/>
  <c r="M21" i="34"/>
  <c r="M46"/>
  <c r="N18"/>
  <c r="M20"/>
  <c r="M45"/>
  <c r="M19"/>
  <c r="M44"/>
  <c r="K31" i="28"/>
  <c r="L48" i="34"/>
  <c r="N26" i="39"/>
  <c r="N20" i="34"/>
  <c r="N45"/>
  <c r="N19"/>
  <c r="N44"/>
  <c r="N48"/>
  <c r="O18"/>
  <c r="N21"/>
  <c r="N46"/>
  <c r="R19" i="2"/>
  <c r="L15" i="24"/>
  <c r="M9"/>
  <c r="M26" i="34"/>
  <c r="L31"/>
  <c r="L10" i="24"/>
  <c r="K24"/>
  <c r="K17"/>
  <c r="L31" i="28"/>
  <c r="M48" i="34"/>
  <c r="P25"/>
  <c r="O26" i="39"/>
  <c r="L24" i="24"/>
  <c r="L17"/>
  <c r="M10"/>
  <c r="N9"/>
  <c r="M15"/>
  <c r="O21" i="34"/>
  <c r="O46"/>
  <c r="O20"/>
  <c r="O45"/>
  <c r="P18"/>
  <c r="O19"/>
  <c r="O44"/>
  <c r="O48"/>
  <c r="B29" i="31"/>
  <c r="N26" i="34"/>
  <c r="M31"/>
  <c r="T19" i="2"/>
  <c r="M31" i="28"/>
  <c r="Q25" i="34"/>
  <c r="P26" i="39"/>
  <c r="R25" i="34"/>
  <c r="Q18"/>
  <c r="P20"/>
  <c r="P45"/>
  <c r="P19"/>
  <c r="P44"/>
  <c r="P21"/>
  <c r="P46"/>
  <c r="M24" i="24"/>
  <c r="M17"/>
  <c r="N10"/>
  <c r="V19" i="2"/>
  <c r="N15" i="24"/>
  <c r="O9"/>
  <c r="O26" i="34"/>
  <c r="N31"/>
  <c r="N31" i="28"/>
  <c r="R26" i="39"/>
  <c r="Q26"/>
  <c r="Q19" i="34"/>
  <c r="Q44"/>
  <c r="Q20"/>
  <c r="Q45"/>
  <c r="R45"/>
  <c r="Q21"/>
  <c r="Q46"/>
  <c r="R46"/>
  <c r="N24" i="24"/>
  <c r="N17"/>
  <c r="O10"/>
  <c r="P48" i="34"/>
  <c r="X19" i="2"/>
  <c r="O31" i="28"/>
  <c r="P26" i="34"/>
  <c r="O31"/>
  <c r="P9" i="24"/>
  <c r="O15"/>
  <c r="Q48" i="34"/>
  <c r="R44"/>
  <c r="R48"/>
  <c r="P15" i="24"/>
  <c r="Q9"/>
  <c r="Q26" i="34"/>
  <c r="P31"/>
  <c r="O17" i="24"/>
  <c r="O24"/>
  <c r="P10"/>
  <c r="P17"/>
  <c r="P24"/>
  <c r="Q10"/>
  <c r="Q31" i="34"/>
  <c r="R26"/>
  <c r="Q15" i="24"/>
  <c r="R9"/>
  <c r="R31" i="34"/>
  <c r="S9" i="24"/>
  <c r="R15"/>
  <c r="Q24"/>
  <c r="R10"/>
  <c r="Q17"/>
  <c r="R24"/>
  <c r="R17"/>
  <c r="S10"/>
  <c r="J27" i="31"/>
  <c r="L27"/>
  <c r="H27"/>
  <c r="F27"/>
  <c r="D27"/>
  <c r="C30"/>
  <c r="D22" i="11"/>
  <c r="F30" i="31"/>
  <c r="K22" i="11"/>
  <c r="E30" i="31"/>
  <c r="N22" i="11"/>
  <c r="K30" i="31"/>
  <c r="H30"/>
  <c r="F22" i="11"/>
  <c r="G30" i="31"/>
  <c r="L22" i="11"/>
  <c r="J22"/>
  <c r="L30" i="31"/>
  <c r="P22" i="11"/>
  <c r="O22"/>
  <c r="J30" i="31"/>
  <c r="G22" i="11"/>
  <c r="I22"/>
  <c r="M22"/>
  <c r="D30" i="31"/>
  <c r="I30"/>
  <c r="H22" i="11"/>
  <c r="E22"/>
  <c r="C27" i="31"/>
  <c r="D11" i="11"/>
  <c r="B27" i="31"/>
  <c r="F99" i="4"/>
  <c r="F104" s="1"/>
  <c r="H11" i="11"/>
  <c r="H26"/>
  <c r="K27" i="31"/>
  <c r="P26" i="11"/>
  <c r="L11"/>
  <c r="F11"/>
  <c r="F26"/>
  <c r="G99" i="4"/>
  <c r="G104" s="1"/>
  <c r="O99"/>
  <c r="O104" s="1"/>
  <c r="E27" i="31"/>
  <c r="R11" i="11"/>
  <c r="Q99" i="4"/>
  <c r="Q104" s="1"/>
  <c r="G27" i="31"/>
  <c r="P11" i="11"/>
  <c r="N11"/>
  <c r="G92" i="5"/>
  <c r="G167" i="32" s="1"/>
  <c r="G91" i="5"/>
  <c r="G164" i="32" s="1"/>
  <c r="H5" i="5"/>
  <c r="H91" s="1"/>
  <c r="H164" i="32" s="1"/>
  <c r="G90" i="5"/>
  <c r="G161" i="32" s="1"/>
  <c r="Q14"/>
  <c r="Q23" i="5"/>
  <c r="Q27" i="32" s="1"/>
  <c r="L11"/>
  <c r="H19" i="5"/>
  <c r="H20" i="32" s="1"/>
  <c r="F22" i="2"/>
  <c r="H22" s="1"/>
  <c r="J22" s="1"/>
  <c r="L22" s="1"/>
  <c r="N22" s="1"/>
  <c r="P22" s="1"/>
  <c r="R22" s="1"/>
  <c r="T22" s="1"/>
  <c r="V22" s="1"/>
  <c r="X22" s="1"/>
  <c r="Z22" s="1"/>
  <c r="H96" i="5"/>
  <c r="H179" i="32" s="1"/>
  <c r="I19" i="5"/>
  <c r="I20" i="32" s="1"/>
  <c r="J19" i="5"/>
  <c r="B30" i="31"/>
  <c r="F21" i="36"/>
  <c r="N10" i="28"/>
  <c r="V83" i="4"/>
  <c r="H10" i="28"/>
  <c r="F52" i="4"/>
  <c r="F108" s="1"/>
  <c r="E32" i="28"/>
  <c r="C18" i="21"/>
  <c r="C22" i="11"/>
  <c r="L34" i="28"/>
  <c r="G34"/>
  <c r="G36" s="1"/>
  <c r="O36" s="1"/>
  <c r="M10"/>
  <c r="F10"/>
  <c r="A200" i="32"/>
  <c r="A22" i="4" s="1"/>
  <c r="A194" i="32"/>
  <c r="A20" i="4" s="1"/>
  <c r="B140" i="5"/>
  <c r="A188" i="32"/>
  <c r="A18" i="4" s="1"/>
  <c r="B137" i="5"/>
  <c r="A185" i="32"/>
  <c r="A17" i="4" s="1"/>
  <c r="B134" i="5"/>
  <c r="A182" i="32"/>
  <c r="A16" i="4" s="1"/>
  <c r="B128" i="5"/>
  <c r="B116"/>
  <c r="A167" i="32"/>
  <c r="A11" i="4" s="1"/>
  <c r="A164" i="32"/>
  <c r="A10" i="4" s="1"/>
  <c r="A161" i="32"/>
  <c r="A9" i="4" s="1"/>
  <c r="J34" i="28"/>
  <c r="K34"/>
  <c r="I34"/>
  <c r="N34"/>
  <c r="F7" i="2"/>
  <c r="F9" s="1"/>
  <c r="F10" s="1"/>
  <c r="J11" i="28"/>
  <c r="I11"/>
  <c r="K11"/>
  <c r="J32"/>
  <c r="J11" i="2"/>
  <c r="P34" i="9"/>
  <c r="A21" i="16"/>
  <c r="A74" i="4" s="1"/>
  <c r="I32" i="28" l="1"/>
  <c r="B13" i="16"/>
  <c r="F8" i="2"/>
  <c r="H8" s="1"/>
  <c r="J8" s="1"/>
  <c r="L8" s="1"/>
  <c r="N8" s="1"/>
  <c r="P8" s="1"/>
  <c r="R8" s="1"/>
  <c r="T8" s="1"/>
  <c r="V8" s="1"/>
  <c r="X8" s="1"/>
  <c r="Z8" s="1"/>
  <c r="F18" i="21"/>
  <c r="B31" i="16"/>
  <c r="Q72" i="5"/>
  <c r="Q110" i="32" s="1"/>
  <c r="Q82" i="5"/>
  <c r="R82" s="1"/>
  <c r="R126" i="32" s="1"/>
  <c r="H42" i="5"/>
  <c r="H62" i="32" s="1"/>
  <c r="Q37" i="5"/>
  <c r="R37" s="1"/>
  <c r="S37" s="1"/>
  <c r="H17"/>
  <c r="H20" i="2"/>
  <c r="J20" s="1"/>
  <c r="L20" s="1"/>
  <c r="N20" s="1"/>
  <c r="P20" s="1"/>
  <c r="R20" s="1"/>
  <c r="T20" s="1"/>
  <c r="V20" s="1"/>
  <c r="X20" s="1"/>
  <c r="Z20" s="1"/>
  <c r="K19" s="1"/>
  <c r="B33" i="16"/>
  <c r="B25"/>
  <c r="B19"/>
  <c r="C26" i="39"/>
  <c r="C27" s="1"/>
  <c r="F80" i="3"/>
  <c r="F86"/>
  <c r="F92"/>
  <c r="F98"/>
  <c r="F104"/>
  <c r="F110"/>
  <c r="F116"/>
  <c r="F122"/>
  <c r="F128"/>
  <c r="F134"/>
  <c r="F140"/>
  <c r="F146"/>
  <c r="F152"/>
  <c r="F158"/>
  <c r="F164"/>
  <c r="F79"/>
  <c r="F163"/>
  <c r="F133"/>
  <c r="F103"/>
  <c r="F97"/>
  <c r="F91"/>
  <c r="F157"/>
  <c r="F151"/>
  <c r="F145"/>
  <c r="F139"/>
  <c r="F127"/>
  <c r="F121"/>
  <c r="F115"/>
  <c r="F109"/>
  <c r="F85"/>
  <c r="V131" i="4"/>
  <c r="E39" i="3"/>
  <c r="E46"/>
  <c r="E33"/>
  <c r="E60"/>
  <c r="E56"/>
  <c r="F78"/>
  <c r="F84"/>
  <c r="F90"/>
  <c r="F96"/>
  <c r="F102"/>
  <c r="F108"/>
  <c r="F114"/>
  <c r="F120"/>
  <c r="F126"/>
  <c r="F132"/>
  <c r="F138"/>
  <c r="F144"/>
  <c r="F150"/>
  <c r="F156"/>
  <c r="F162"/>
  <c r="G134" i="4"/>
  <c r="J134"/>
  <c r="Q134"/>
  <c r="R134"/>
  <c r="O134"/>
  <c r="P134"/>
  <c r="U134"/>
  <c r="F134"/>
  <c r="S134"/>
  <c r="T134"/>
  <c r="H134"/>
  <c r="I134"/>
  <c r="K134"/>
  <c r="L134"/>
  <c r="M134"/>
  <c r="N134"/>
  <c r="F14" i="3"/>
  <c r="A10" i="12"/>
  <c r="A5" i="40"/>
  <c r="A23" i="12"/>
  <c r="A28" i="40"/>
  <c r="A18" i="12"/>
  <c r="A19" i="40"/>
  <c r="A12" i="12"/>
  <c r="A9" i="40"/>
  <c r="A15" i="12"/>
  <c r="A14" i="40"/>
  <c r="A21" i="12"/>
  <c r="A24" i="40"/>
  <c r="A11" i="12"/>
  <c r="A6" i="40"/>
  <c r="A17" i="12"/>
  <c r="A16" i="40"/>
  <c r="A19" i="12"/>
  <c r="A20" i="40"/>
  <c r="A10" i="15"/>
  <c r="A11"/>
  <c r="F45" i="36"/>
  <c r="A27" i="16"/>
  <c r="A75" i="4" s="1"/>
  <c r="F23" i="36"/>
  <c r="F22"/>
  <c r="F29" i="32"/>
  <c r="F31" s="1"/>
  <c r="F32" s="1"/>
  <c r="H15" i="34"/>
  <c r="H38" s="1"/>
  <c r="R38" s="1"/>
  <c r="H14"/>
  <c r="H37" s="1"/>
  <c r="R37" s="1"/>
  <c r="H12"/>
  <c r="H35" s="1"/>
  <c r="I12"/>
  <c r="I35" s="1"/>
  <c r="I40" s="1"/>
  <c r="I50" s="1"/>
  <c r="F13" i="32"/>
  <c r="F15" s="1"/>
  <c r="I14" i="34"/>
  <c r="I37" s="1"/>
  <c r="I13"/>
  <c r="I36" s="1"/>
  <c r="F77" i="32"/>
  <c r="F79" s="1"/>
  <c r="F80" s="1"/>
  <c r="D19" i="21"/>
  <c r="O23" i="11"/>
  <c r="J18" i="20"/>
  <c r="E23" i="11"/>
  <c r="M34" i="9"/>
  <c r="N23" i="11" s="1"/>
  <c r="R23"/>
  <c r="L23"/>
  <c r="I23"/>
  <c r="K23"/>
  <c r="J23"/>
  <c r="G23"/>
  <c r="F23"/>
  <c r="Q23"/>
  <c r="P23"/>
  <c r="G52" i="4"/>
  <c r="C33" i="9"/>
  <c r="C19" i="21"/>
  <c r="E19"/>
  <c r="D20"/>
  <c r="F42" i="3"/>
  <c r="F10"/>
  <c r="F16"/>
  <c r="F11"/>
  <c r="F9"/>
  <c r="F44"/>
  <c r="F15"/>
  <c r="B149" i="5"/>
  <c r="B143"/>
  <c r="A179" i="32"/>
  <c r="A15" i="4" s="1"/>
  <c r="A173" i="32"/>
  <c r="A13" i="4" s="1"/>
  <c r="L32" i="28"/>
  <c r="F41" i="3"/>
  <c r="F38"/>
  <c r="K32" i="28"/>
  <c r="H11"/>
  <c r="O11" s="1"/>
  <c r="M11"/>
  <c r="G10"/>
  <c r="F45" i="3"/>
  <c r="F8"/>
  <c r="N32" i="28"/>
  <c r="F43" i="3"/>
  <c r="H36" i="28"/>
  <c r="I36" s="1"/>
  <c r="J36" s="1"/>
  <c r="K36" s="1"/>
  <c r="L36" s="1"/>
  <c r="M36" s="1"/>
  <c r="N36" s="1"/>
  <c r="F85" i="32"/>
  <c r="F87" s="1"/>
  <c r="F117"/>
  <c r="F119" s="1"/>
  <c r="F120" s="1"/>
  <c r="F17" i="3"/>
  <c r="F13"/>
  <c r="F40"/>
  <c r="L11" i="28"/>
  <c r="E10"/>
  <c r="O10" s="1"/>
  <c r="F12" i="3"/>
  <c r="F39"/>
  <c r="G32" i="28"/>
  <c r="F32"/>
  <c r="M32"/>
  <c r="G45" i="32"/>
  <c r="A170"/>
  <c r="A12" i="4" s="1"/>
  <c r="X11" i="2"/>
  <c r="X15"/>
  <c r="F125" i="32"/>
  <c r="F127" s="1"/>
  <c r="F128" s="1"/>
  <c r="B34" i="16"/>
  <c r="B35" s="1"/>
  <c r="J3" i="2"/>
  <c r="H23" i="11"/>
  <c r="K10" i="28"/>
  <c r="L10"/>
  <c r="F58" i="36"/>
  <c r="J10" i="28"/>
  <c r="F37" i="32"/>
  <c r="F39" s="1"/>
  <c r="F53"/>
  <c r="F55" s="1"/>
  <c r="F61"/>
  <c r="F63" s="1"/>
  <c r="F64" s="1"/>
  <c r="F69"/>
  <c r="F109"/>
  <c r="F111" s="1"/>
  <c r="F112" s="1"/>
  <c r="F42" i="36"/>
  <c r="F21" i="32"/>
  <c r="F23" s="1"/>
  <c r="K6" i="9"/>
  <c r="K6" i="11" s="1"/>
  <c r="D23"/>
  <c r="V3" i="2"/>
  <c r="P18" i="20"/>
  <c r="F52" i="36"/>
  <c r="F46"/>
  <c r="F28"/>
  <c r="H24" i="2"/>
  <c r="J24" s="1"/>
  <c r="L24" s="1"/>
  <c r="N24" s="1"/>
  <c r="P24" s="1"/>
  <c r="R24" s="1"/>
  <c r="T24" s="1"/>
  <c r="V24" s="1"/>
  <c r="X24" s="1"/>
  <c r="Z24" s="1"/>
  <c r="I23" s="1"/>
  <c r="V6" i="32"/>
  <c r="B110" i="5"/>
  <c r="B107"/>
  <c r="G66" i="32"/>
  <c r="H129" i="5"/>
  <c r="H66" i="32" s="1"/>
  <c r="M11"/>
  <c r="H97" i="5"/>
  <c r="H182" i="32" s="1"/>
  <c r="H99" i="5"/>
  <c r="H188" i="32" s="1"/>
  <c r="K107"/>
  <c r="T3" i="3"/>
  <c r="P3" i="34" s="1"/>
  <c r="L15" i="2"/>
  <c r="A158" i="32"/>
  <c r="A8" i="4" s="1"/>
  <c r="B113" i="5"/>
  <c r="B119"/>
  <c r="A191" i="32"/>
  <c r="A19" i="4" s="1"/>
  <c r="A197" i="32"/>
  <c r="A21" i="4" s="1"/>
  <c r="F17" i="36"/>
  <c r="H94" i="5"/>
  <c r="H173" i="32" s="1"/>
  <c r="G5" i="3"/>
  <c r="G41" s="1"/>
  <c r="G97" i="5"/>
  <c r="G182" i="32" s="1"/>
  <c r="G100" i="5"/>
  <c r="G191" i="32" s="1"/>
  <c r="L33" i="5"/>
  <c r="M33" s="1"/>
  <c r="M43" i="32" s="1"/>
  <c r="H34" i="5"/>
  <c r="I34" s="1"/>
  <c r="Q47"/>
  <c r="Q48"/>
  <c r="G85" i="32"/>
  <c r="G87" s="1"/>
  <c r="G88" s="1"/>
  <c r="H59" i="5"/>
  <c r="Q62"/>
  <c r="L63"/>
  <c r="Q73"/>
  <c r="Q107" i="32" s="1"/>
  <c r="Q77" i="5"/>
  <c r="R77" s="1"/>
  <c r="P11" i="32"/>
  <c r="G19"/>
  <c r="G21" s="1"/>
  <c r="G23" s="1"/>
  <c r="P30"/>
  <c r="F45"/>
  <c r="F47" s="1"/>
  <c r="F48" s="1"/>
  <c r="P83"/>
  <c r="G91"/>
  <c r="L99"/>
  <c r="H111" i="5"/>
  <c r="I111" s="1"/>
  <c r="G117"/>
  <c r="G126"/>
  <c r="H135"/>
  <c r="I135" s="1"/>
  <c r="G141"/>
  <c r="G150"/>
  <c r="F66" i="32"/>
  <c r="Q75"/>
  <c r="B131" i="5"/>
  <c r="F10" i="36"/>
  <c r="H89" i="5"/>
  <c r="H158" i="32" s="1"/>
  <c r="G98" i="5"/>
  <c r="G185" i="32" s="1"/>
  <c r="L28" i="5"/>
  <c r="H32"/>
  <c r="H46" i="32" s="1"/>
  <c r="H33" i="5"/>
  <c r="R33"/>
  <c r="H49"/>
  <c r="R58"/>
  <c r="S58" s="1"/>
  <c r="H62"/>
  <c r="H94" i="32" s="1"/>
  <c r="I63" i="5"/>
  <c r="I91" i="32" s="1"/>
  <c r="Q63" i="5"/>
  <c r="Q67"/>
  <c r="R67" s="1"/>
  <c r="F93" i="32"/>
  <c r="F95" s="1"/>
  <c r="F96" s="1"/>
  <c r="F101"/>
  <c r="F103" s="1"/>
  <c r="H123" i="5"/>
  <c r="H147"/>
  <c r="H114" i="32" s="1"/>
  <c r="A19" i="39"/>
  <c r="F172" i="5"/>
  <c r="V11" i="2"/>
  <c r="V15"/>
  <c r="I25" i="28"/>
  <c r="N25"/>
  <c r="H25"/>
  <c r="K25"/>
  <c r="F25"/>
  <c r="G25"/>
  <c r="M25"/>
  <c r="J25"/>
  <c r="T15" i="2"/>
  <c r="T11"/>
  <c r="D14"/>
  <c r="F14" s="1"/>
  <c r="H14" s="1"/>
  <c r="J14" s="1"/>
  <c r="L14" s="1"/>
  <c r="N14" s="1"/>
  <c r="P14" s="1"/>
  <c r="R14" s="1"/>
  <c r="T14" s="1"/>
  <c r="V14" s="1"/>
  <c r="X14" s="1"/>
  <c r="Z14" s="1"/>
  <c r="U13" s="1"/>
  <c r="L3"/>
  <c r="O3" i="3"/>
  <c r="K3" i="34" s="1"/>
  <c r="K18" i="20"/>
  <c r="G14" i="32"/>
  <c r="P22"/>
  <c r="Q17" i="5"/>
  <c r="Q67" i="32"/>
  <c r="R48" i="5"/>
  <c r="H84" i="32"/>
  <c r="I59" i="5"/>
  <c r="H69"/>
  <c r="G100" i="32"/>
  <c r="P15" i="2"/>
  <c r="P11"/>
  <c r="O18" i="20"/>
  <c r="T3" i="2"/>
  <c r="P6" i="9"/>
  <c r="N3" i="2"/>
  <c r="M6" i="9"/>
  <c r="P19" i="32"/>
  <c r="Q18" i="5"/>
  <c r="P35" i="32"/>
  <c r="Q28" i="5"/>
  <c r="H44" i="32"/>
  <c r="R63" i="5"/>
  <c r="Q91" i="32"/>
  <c r="P51"/>
  <c r="Q38" i="5"/>
  <c r="H43"/>
  <c r="G59" i="32"/>
  <c r="Q123"/>
  <c r="R83" i="5"/>
  <c r="L6" i="9"/>
  <c r="H10" i="2"/>
  <c r="J10" s="1"/>
  <c r="L10" s="1"/>
  <c r="N10" s="1"/>
  <c r="P10" s="1"/>
  <c r="R10" s="1"/>
  <c r="T10" s="1"/>
  <c r="V10" s="1"/>
  <c r="X10" s="1"/>
  <c r="Z10" s="1"/>
  <c r="M9" s="1"/>
  <c r="Q54" i="32"/>
  <c r="N15" i="2"/>
  <c r="H15"/>
  <c r="H11"/>
  <c r="R3"/>
  <c r="R3" i="3"/>
  <c r="N3" i="34" s="1"/>
  <c r="O6" i="9"/>
  <c r="N18" i="20"/>
  <c r="J20" i="32"/>
  <c r="J21" s="1"/>
  <c r="K19" i="5"/>
  <c r="L35" i="32"/>
  <c r="M28" i="5"/>
  <c r="M35" i="32" s="1"/>
  <c r="P62"/>
  <c r="Q42" i="5"/>
  <c r="H6" i="2"/>
  <c r="J6" s="1"/>
  <c r="L6" s="1"/>
  <c r="N6" s="1"/>
  <c r="P6" s="1"/>
  <c r="R6" s="1"/>
  <c r="T6" s="1"/>
  <c r="V6" s="1"/>
  <c r="X6" s="1"/>
  <c r="Z6" s="1"/>
  <c r="I5" s="1"/>
  <c r="L18" i="20"/>
  <c r="S3" i="3"/>
  <c r="O3" i="34" s="1"/>
  <c r="L25" i="28"/>
  <c r="H68" i="32"/>
  <c r="I49" i="5"/>
  <c r="L53"/>
  <c r="K75" i="32"/>
  <c r="Q57" i="5"/>
  <c r="P86" i="32"/>
  <c r="R83"/>
  <c r="G99"/>
  <c r="H68" i="5"/>
  <c r="R72"/>
  <c r="L107" i="32"/>
  <c r="M73" i="5"/>
  <c r="M107" i="32" s="1"/>
  <c r="H18"/>
  <c r="I123" i="5"/>
  <c r="H50" i="32"/>
  <c r="H82"/>
  <c r="H158" i="5"/>
  <c r="H155"/>
  <c r="H161"/>
  <c r="H170"/>
  <c r="H167"/>
  <c r="H164"/>
  <c r="H6" i="36"/>
  <c r="H95" i="5"/>
  <c r="H176" i="32" s="1"/>
  <c r="H98" i="5"/>
  <c r="H185" i="32" s="1"/>
  <c r="H100" i="5"/>
  <c r="H191" i="32" s="1"/>
  <c r="H101" i="5"/>
  <c r="H194" i="32" s="1"/>
  <c r="H103" i="5"/>
  <c r="H200" i="32" s="1"/>
  <c r="H92" i="5"/>
  <c r="H167" i="32" s="1"/>
  <c r="H93" i="5"/>
  <c r="H170" i="32" s="1"/>
  <c r="H5" i="3"/>
  <c r="D18" i="2"/>
  <c r="F18" s="1"/>
  <c r="H18" s="1"/>
  <c r="J18" s="1"/>
  <c r="L18" s="1"/>
  <c r="N18" s="1"/>
  <c r="P18" s="1"/>
  <c r="R18" s="1"/>
  <c r="T18" s="1"/>
  <c r="V18" s="1"/>
  <c r="X18" s="1"/>
  <c r="Z18" s="1"/>
  <c r="E17" s="1"/>
  <c r="E18" s="1"/>
  <c r="N6" i="9"/>
  <c r="P3" i="2"/>
  <c r="Q3" i="3"/>
  <c r="M3" i="34" s="1"/>
  <c r="G11" i="32"/>
  <c r="G12"/>
  <c r="H14" i="5"/>
  <c r="K19" i="32"/>
  <c r="L18" i="5"/>
  <c r="Q30" i="32"/>
  <c r="R22" i="5"/>
  <c r="L27" i="32"/>
  <c r="M23" i="5"/>
  <c r="M27" i="32" s="1"/>
  <c r="G35"/>
  <c r="H28" i="5"/>
  <c r="H51" i="32"/>
  <c r="I38" i="5"/>
  <c r="I51" i="32" s="1"/>
  <c r="Q70"/>
  <c r="R47" i="5"/>
  <c r="K67" i="32"/>
  <c r="L48" i="5"/>
  <c r="G75" i="32"/>
  <c r="G77" s="1"/>
  <c r="H53" i="5"/>
  <c r="K83" i="32"/>
  <c r="L58" i="5"/>
  <c r="G116" i="32"/>
  <c r="H79" i="5"/>
  <c r="R6" i="9"/>
  <c r="U3" i="3"/>
  <c r="Q3" i="34" s="1"/>
  <c r="X3" i="2"/>
  <c r="Q18" i="20"/>
  <c r="G170" i="5"/>
  <c r="G167"/>
  <c r="G164"/>
  <c r="G161"/>
  <c r="G158"/>
  <c r="G6" i="36"/>
  <c r="G46" s="1"/>
  <c r="G96" i="5"/>
  <c r="G179" i="32" s="1"/>
  <c r="G95" i="5"/>
  <c r="G176" i="32" s="1"/>
  <c r="G89" i="5"/>
  <c r="G158" i="32" s="1"/>
  <c r="G94" i="5"/>
  <c r="G173" i="32" s="1"/>
  <c r="G93" i="5"/>
  <c r="G170" i="32" s="1"/>
  <c r="G103" i="5"/>
  <c r="G200" i="32" s="1"/>
  <c r="G101" i="5"/>
  <c r="G194" i="32" s="1"/>
  <c r="G102" i="5"/>
  <c r="G197" i="32" s="1"/>
  <c r="H19"/>
  <c r="H21" s="1"/>
  <c r="I18" i="5"/>
  <c r="I19" i="32" s="1"/>
  <c r="I21" s="1"/>
  <c r="G30"/>
  <c r="H22" i="5"/>
  <c r="H30" i="32" s="1"/>
  <c r="G27"/>
  <c r="G29" s="1"/>
  <c r="H23" i="5"/>
  <c r="H28" i="32"/>
  <c r="I24" i="5"/>
  <c r="F37" i="36"/>
  <c r="F27"/>
  <c r="F15"/>
  <c r="F51"/>
  <c r="F44"/>
  <c r="F43"/>
  <c r="F53"/>
  <c r="F16"/>
  <c r="F14"/>
  <c r="F41"/>
  <c r="F53" i="3"/>
  <c r="F23"/>
  <c r="G8" i="5"/>
  <c r="F7" i="32"/>
  <c r="Q38"/>
  <c r="R27" i="5"/>
  <c r="R43" i="32"/>
  <c r="S33" i="5"/>
  <c r="I39"/>
  <c r="H52" i="32"/>
  <c r="L59"/>
  <c r="M43" i="5"/>
  <c r="M59" i="32" s="1"/>
  <c r="P59"/>
  <c r="Q43" i="5"/>
  <c r="G67" i="32"/>
  <c r="G69" s="1"/>
  <c r="H48" i="5"/>
  <c r="P78" i="32"/>
  <c r="Q52" i="5"/>
  <c r="R75" i="32"/>
  <c r="S53" i="5"/>
  <c r="R62"/>
  <c r="Q94" i="32"/>
  <c r="L91"/>
  <c r="M63" i="5"/>
  <c r="M91" i="32" s="1"/>
  <c r="G115"/>
  <c r="H78" i="5"/>
  <c r="S82"/>
  <c r="L123" i="32"/>
  <c r="M83" i="5"/>
  <c r="M123" i="32" s="1"/>
  <c r="G26"/>
  <c r="H114" i="5"/>
  <c r="G58" i="32"/>
  <c r="H126" i="5"/>
  <c r="G90" i="32"/>
  <c r="H138" i="5"/>
  <c r="G122" i="32"/>
  <c r="H150" i="5"/>
  <c r="H90"/>
  <c r="H161" i="32" s="1"/>
  <c r="H102" i="5"/>
  <c r="H197" i="32" s="1"/>
  <c r="I5" i="5"/>
  <c r="K27" i="32"/>
  <c r="G155" i="5"/>
  <c r="P46" i="32"/>
  <c r="Q32" i="5"/>
  <c r="K51" i="32"/>
  <c r="L38" i="5"/>
  <c r="G60" i="32"/>
  <c r="H44" i="5"/>
  <c r="H76" i="32"/>
  <c r="I54" i="5"/>
  <c r="G108" i="32"/>
  <c r="H74" i="5"/>
  <c r="L115" i="32"/>
  <c r="M78" i="5"/>
  <c r="M115" i="32" s="1"/>
  <c r="Q115"/>
  <c r="R78" i="5"/>
  <c r="G10" i="32"/>
  <c r="H108" i="5"/>
  <c r="G74" i="32"/>
  <c r="H132" i="5"/>
  <c r="R23"/>
  <c r="G123" i="32"/>
  <c r="G36"/>
  <c r="H29" i="5"/>
  <c r="H83" i="32"/>
  <c r="I58" i="5"/>
  <c r="I83" i="32" s="1"/>
  <c r="G92"/>
  <c r="H64" i="5"/>
  <c r="Q99" i="32"/>
  <c r="R68" i="5"/>
  <c r="H73"/>
  <c r="G107" i="32"/>
  <c r="G124"/>
  <c r="H84" i="5"/>
  <c r="B125"/>
  <c r="A16" i="39"/>
  <c r="G42" i="32"/>
  <c r="H120" i="5"/>
  <c r="G106" i="32"/>
  <c r="H144" i="5"/>
  <c r="P43" i="32"/>
  <c r="H126"/>
  <c r="I82" i="5"/>
  <c r="G126" i="32"/>
  <c r="H77" i="5"/>
  <c r="H110" i="32"/>
  <c r="I72" i="5"/>
  <c r="G110" i="32"/>
  <c r="H67" i="5"/>
  <c r="H57"/>
  <c r="H78" i="32"/>
  <c r="I52" i="5"/>
  <c r="G78" i="32"/>
  <c r="H47" i="5"/>
  <c r="H37"/>
  <c r="G55" i="32"/>
  <c r="I32" i="5"/>
  <c r="H27"/>
  <c r="F164" i="32"/>
  <c r="F170"/>
  <c r="F176"/>
  <c r="F182"/>
  <c r="F188"/>
  <c r="F197"/>
  <c r="F194"/>
  <c r="F200"/>
  <c r="F158"/>
  <c r="A24" i="39"/>
  <c r="A23"/>
  <c r="A21"/>
  <c r="B122" i="5"/>
  <c r="I21" i="2"/>
  <c r="K21"/>
  <c r="Q21"/>
  <c r="W21"/>
  <c r="O21"/>
  <c r="M21"/>
  <c r="U21"/>
  <c r="Y21"/>
  <c r="S21"/>
  <c r="E21"/>
  <c r="G21"/>
  <c r="G22" s="1"/>
  <c r="Q19"/>
  <c r="S19"/>
  <c r="G19"/>
  <c r="E19"/>
  <c r="E20" s="1"/>
  <c r="AA20"/>
  <c r="M19"/>
  <c r="S23"/>
  <c r="K23"/>
  <c r="M23"/>
  <c r="O12" i="28"/>
  <c r="F12"/>
  <c r="G12" s="1"/>
  <c r="H12" s="1"/>
  <c r="I12" s="1"/>
  <c r="J12" s="1"/>
  <c r="K12" s="1"/>
  <c r="L12" s="1"/>
  <c r="M12" s="1"/>
  <c r="N12" s="1"/>
  <c r="P5" i="10"/>
  <c r="Q6" i="12"/>
  <c r="Q6" i="13" s="1"/>
  <c r="Q6" i="16" s="1"/>
  <c r="Q6" i="17" s="1"/>
  <c r="Q6" i="14" s="1"/>
  <c r="Q5" i="15" s="1"/>
  <c r="Q6" i="18" s="1"/>
  <c r="Q6" i="11"/>
  <c r="F11" i="2"/>
  <c r="F15"/>
  <c r="R15"/>
  <c r="W19" l="1"/>
  <c r="O19"/>
  <c r="Y19"/>
  <c r="O11"/>
  <c r="U19"/>
  <c r="I19"/>
  <c r="F29" i="36"/>
  <c r="R54" i="32"/>
  <c r="Q126"/>
  <c r="I42" i="5"/>
  <c r="I62" i="32" s="1"/>
  <c r="I22" i="5"/>
  <c r="J22" s="1"/>
  <c r="H22" i="32"/>
  <c r="H23" s="1"/>
  <c r="I17" i="5"/>
  <c r="F55" i="36"/>
  <c r="O32" i="28"/>
  <c r="K13" i="17"/>
  <c r="K15" s="1"/>
  <c r="J14" i="10" s="1"/>
  <c r="J13" i="17"/>
  <c r="J15" s="1"/>
  <c r="J12" i="11" s="1"/>
  <c r="D13" i="17"/>
  <c r="D15" s="1"/>
  <c r="D12" i="11" s="1"/>
  <c r="E13" i="17"/>
  <c r="E15" s="1"/>
  <c r="E12" i="11" s="1"/>
  <c r="L13" i="17"/>
  <c r="L15" s="1"/>
  <c r="L12" i="11" s="1"/>
  <c r="C13" i="17"/>
  <c r="C15" s="1"/>
  <c r="I13"/>
  <c r="I15" s="1"/>
  <c r="I12" i="11" s="1"/>
  <c r="F13" i="17"/>
  <c r="F15" s="1"/>
  <c r="F12" i="11" s="1"/>
  <c r="C9" i="17"/>
  <c r="C10" s="1"/>
  <c r="F88" i="4" s="1"/>
  <c r="G13" i="17"/>
  <c r="G15" s="1"/>
  <c r="G12" i="11" s="1"/>
  <c r="M13" i="17"/>
  <c r="M15" s="1"/>
  <c r="P38" i="4" s="1"/>
  <c r="P98" s="1"/>
  <c r="H13" i="17"/>
  <c r="H15" s="1"/>
  <c r="K38" i="4" s="1"/>
  <c r="K98" s="1"/>
  <c r="F168" i="3"/>
  <c r="F61" s="1"/>
  <c r="H80"/>
  <c r="H86"/>
  <c r="H92"/>
  <c r="H98"/>
  <c r="H104"/>
  <c r="H110"/>
  <c r="H116"/>
  <c r="H122"/>
  <c r="H128"/>
  <c r="H134"/>
  <c r="H140"/>
  <c r="H146"/>
  <c r="H152"/>
  <c r="H158"/>
  <c r="H164"/>
  <c r="G80"/>
  <c r="G86"/>
  <c r="G92"/>
  <c r="G98"/>
  <c r="G104"/>
  <c r="G110"/>
  <c r="G116"/>
  <c r="G122"/>
  <c r="G128"/>
  <c r="G134"/>
  <c r="G140"/>
  <c r="G146"/>
  <c r="G152"/>
  <c r="G158"/>
  <c r="G164"/>
  <c r="F167"/>
  <c r="N136" i="4"/>
  <c r="N89" s="1"/>
  <c r="I136"/>
  <c r="I89" s="1"/>
  <c r="E9" i="31" s="1"/>
  <c r="R136" i="4"/>
  <c r="R89" s="1"/>
  <c r="K136"/>
  <c r="K89" s="1"/>
  <c r="G9" i="31" s="1"/>
  <c r="O136" i="4"/>
  <c r="O89" s="1"/>
  <c r="G136"/>
  <c r="G89" s="1"/>
  <c r="C9" i="31" s="1"/>
  <c r="H85" i="3"/>
  <c r="H139"/>
  <c r="H103"/>
  <c r="H163"/>
  <c r="H97"/>
  <c r="H151"/>
  <c r="H121"/>
  <c r="H79"/>
  <c r="H133"/>
  <c r="H115"/>
  <c r="H157"/>
  <c r="H127"/>
  <c r="H91"/>
  <c r="H145"/>
  <c r="H109"/>
  <c r="G151"/>
  <c r="G157"/>
  <c r="G79"/>
  <c r="G133"/>
  <c r="G91"/>
  <c r="G103"/>
  <c r="G115"/>
  <c r="G127"/>
  <c r="G139"/>
  <c r="G163"/>
  <c r="G85"/>
  <c r="G97"/>
  <c r="G109"/>
  <c r="G121"/>
  <c r="G145"/>
  <c r="L136" i="4"/>
  <c r="L89" s="1"/>
  <c r="H9" i="31" s="1"/>
  <c r="T136" i="4"/>
  <c r="T89" s="1"/>
  <c r="P136"/>
  <c r="P89" s="1"/>
  <c r="J136"/>
  <c r="J89" s="1"/>
  <c r="F9" i="31" s="1"/>
  <c r="V134" i="4"/>
  <c r="S136"/>
  <c r="S89" s="1"/>
  <c r="M136"/>
  <c r="M89" s="1"/>
  <c r="H136"/>
  <c r="H89" s="1"/>
  <c r="D9" i="31" s="1"/>
  <c r="U136" i="4"/>
  <c r="U89" s="1"/>
  <c r="Q136"/>
  <c r="Q89" s="1"/>
  <c r="F136"/>
  <c r="E49" i="3"/>
  <c r="E68" s="1"/>
  <c r="F46"/>
  <c r="F49" s="1"/>
  <c r="E64"/>
  <c r="E70" s="1"/>
  <c r="H90"/>
  <c r="H126"/>
  <c r="H102"/>
  <c r="H114"/>
  <c r="H96"/>
  <c r="H132"/>
  <c r="H138"/>
  <c r="H144"/>
  <c r="H150"/>
  <c r="H156"/>
  <c r="H162"/>
  <c r="H84"/>
  <c r="H108"/>
  <c r="H78"/>
  <c r="H120"/>
  <c r="G78"/>
  <c r="G84"/>
  <c r="G90"/>
  <c r="G96"/>
  <c r="G102"/>
  <c r="G108"/>
  <c r="G114"/>
  <c r="G120"/>
  <c r="G126"/>
  <c r="G132"/>
  <c r="G138"/>
  <c r="G144"/>
  <c r="G150"/>
  <c r="G156"/>
  <c r="G162"/>
  <c r="F166"/>
  <c r="F123" i="4"/>
  <c r="F162" i="32"/>
  <c r="F9" i="4" s="1"/>
  <c r="C10" i="12" s="1"/>
  <c r="F24" i="32"/>
  <c r="F159"/>
  <c r="F8" i="4" s="1"/>
  <c r="F16" i="32"/>
  <c r="G162"/>
  <c r="G9" i="4" s="1"/>
  <c r="D10" i="12" s="1"/>
  <c r="G24" i="32"/>
  <c r="A13" i="12"/>
  <c r="A10" i="40"/>
  <c r="F192" i="32"/>
  <c r="F19" i="4" s="1"/>
  <c r="C20" i="12" s="1"/>
  <c r="F104" i="32"/>
  <c r="F186"/>
  <c r="F88"/>
  <c r="A20" i="12"/>
  <c r="A23" i="40"/>
  <c r="F174" i="32"/>
  <c r="F13" i="4" s="1"/>
  <c r="F56" i="32"/>
  <c r="A16" i="12"/>
  <c r="A15" i="40"/>
  <c r="G174" i="32"/>
  <c r="G13" i="4" s="1"/>
  <c r="D14" i="12" s="1"/>
  <c r="G56" i="32"/>
  <c r="A14" i="12"/>
  <c r="A11" i="40"/>
  <c r="A22" i="12"/>
  <c r="A25" i="40"/>
  <c r="A9" i="12"/>
  <c r="A4" i="40"/>
  <c r="F168" i="32"/>
  <c r="F11" i="4" s="1"/>
  <c r="C12" i="12" s="1"/>
  <c r="F40" i="32"/>
  <c r="F24" i="36"/>
  <c r="F68" s="1"/>
  <c r="F48"/>
  <c r="G51"/>
  <c r="F69"/>
  <c r="C27" i="16" s="1"/>
  <c r="F75" i="4" s="1"/>
  <c r="G31" i="32"/>
  <c r="G101"/>
  <c r="R35" i="34"/>
  <c r="H40"/>
  <c r="M23" i="11"/>
  <c r="K6" i="12"/>
  <c r="K6" i="13" s="1"/>
  <c r="K6" i="16" s="1"/>
  <c r="K6" i="17" s="1"/>
  <c r="K6" i="14" s="1"/>
  <c r="K5" i="15" s="1"/>
  <c r="K6" i="18" s="1"/>
  <c r="H52" i="4"/>
  <c r="D33" i="9"/>
  <c r="G108" i="4"/>
  <c r="G8" i="3"/>
  <c r="F19"/>
  <c r="I9" i="2"/>
  <c r="K11"/>
  <c r="E11"/>
  <c r="E12" s="1"/>
  <c r="G47" i="32"/>
  <c r="G71"/>
  <c r="F71"/>
  <c r="F130" s="1"/>
  <c r="Y11" i="2"/>
  <c r="Y23"/>
  <c r="E23"/>
  <c r="E24" s="1"/>
  <c r="G79" i="32"/>
  <c r="J5" i="10"/>
  <c r="U23" i="2"/>
  <c r="Q23"/>
  <c r="O23"/>
  <c r="E9"/>
  <c r="E10" s="1"/>
  <c r="O25" i="28"/>
  <c r="G186" i="32"/>
  <c r="G17" i="4" s="1"/>
  <c r="D18" i="12" s="1"/>
  <c r="G23" i="2"/>
  <c r="W23"/>
  <c r="G20"/>
  <c r="I20" s="1"/>
  <c r="K20" s="1"/>
  <c r="M20" s="1"/>
  <c r="O20" s="1"/>
  <c r="Q20" s="1"/>
  <c r="S20" s="1"/>
  <c r="I22"/>
  <c r="K22" s="1"/>
  <c r="M22" s="1"/>
  <c r="O22" s="1"/>
  <c r="Q22" s="1"/>
  <c r="S22" s="1"/>
  <c r="U22" s="1"/>
  <c r="W22" s="1"/>
  <c r="Y22" s="1"/>
  <c r="Y9"/>
  <c r="G93" i="32"/>
  <c r="G95" s="1"/>
  <c r="F38" i="36"/>
  <c r="G14" i="3"/>
  <c r="G39"/>
  <c r="G46"/>
  <c r="G44"/>
  <c r="G10"/>
  <c r="G12"/>
  <c r="G45"/>
  <c r="G40"/>
  <c r="G9"/>
  <c r="H43" i="32"/>
  <c r="H45" s="1"/>
  <c r="I33" i="5"/>
  <c r="I43" i="32" s="1"/>
  <c r="G98"/>
  <c r="H141" i="5"/>
  <c r="G34" i="32"/>
  <c r="H117" i="5"/>
  <c r="R14" i="32"/>
  <c r="S12" i="5"/>
  <c r="M17" i="2"/>
  <c r="G117" i="32"/>
  <c r="G119" s="1"/>
  <c r="G17" i="3"/>
  <c r="I147" i="5"/>
  <c r="U17" i="2"/>
  <c r="E13"/>
  <c r="E14" s="1"/>
  <c r="C13" i="15"/>
  <c r="C28" i="16" s="1"/>
  <c r="G9" i="2"/>
  <c r="O9"/>
  <c r="I129" i="5"/>
  <c r="J129" s="1"/>
  <c r="Q102" i="32"/>
  <c r="H85"/>
  <c r="Q118"/>
  <c r="I13" i="2"/>
  <c r="G15" i="3"/>
  <c r="G42"/>
  <c r="G123" i="4" s="1"/>
  <c r="G38" i="3"/>
  <c r="R73" i="5"/>
  <c r="L43" i="32"/>
  <c r="G13"/>
  <c r="G15" s="1"/>
  <c r="I17" i="2"/>
  <c r="R11" i="32"/>
  <c r="S13" i="5"/>
  <c r="G43" i="3"/>
  <c r="M11" i="2"/>
  <c r="K9"/>
  <c r="I62" i="5"/>
  <c r="I94" i="32" s="1"/>
  <c r="G109"/>
  <c r="G111" s="1"/>
  <c r="G125"/>
  <c r="G127" s="1"/>
  <c r="Y13" i="2"/>
  <c r="G16" i="3"/>
  <c r="G13"/>
  <c r="G11"/>
  <c r="R102" i="32"/>
  <c r="S67" i="5"/>
  <c r="R115" i="32"/>
  <c r="S78" i="5"/>
  <c r="R118" i="32"/>
  <c r="S77" i="5"/>
  <c r="I76" i="32"/>
  <c r="J54" i="5"/>
  <c r="L51" i="32"/>
  <c r="M38" i="5"/>
  <c r="M51" i="32" s="1"/>
  <c r="I170" i="5"/>
  <c r="I167"/>
  <c r="I164"/>
  <c r="I155"/>
  <c r="I161"/>
  <c r="I103"/>
  <c r="I98"/>
  <c r="J5"/>
  <c r="I91"/>
  <c r="I94"/>
  <c r="I158"/>
  <c r="I92"/>
  <c r="I167" i="32" s="1"/>
  <c r="I100" i="5"/>
  <c r="I97"/>
  <c r="I90"/>
  <c r="I5" i="3"/>
  <c r="I95" i="5"/>
  <c r="I101"/>
  <c r="I194" i="32" s="1"/>
  <c r="I93" i="5"/>
  <c r="I102"/>
  <c r="I197" i="32" s="1"/>
  <c r="I96" i="5"/>
  <c r="I89"/>
  <c r="I99"/>
  <c r="I6" i="36"/>
  <c r="I150" i="5"/>
  <c r="H122" i="32"/>
  <c r="I126" i="5"/>
  <c r="H58" i="32"/>
  <c r="H115"/>
  <c r="I78" i="5"/>
  <c r="I115" i="32" s="1"/>
  <c r="Q78"/>
  <c r="R52" i="5"/>
  <c r="Q59" i="32"/>
  <c r="R43" i="5"/>
  <c r="R38" i="32"/>
  <c r="S27" i="5"/>
  <c r="F28" i="3"/>
  <c r="F27"/>
  <c r="F26"/>
  <c r="F25"/>
  <c r="I28" i="32"/>
  <c r="J24" i="5"/>
  <c r="G58" i="36"/>
  <c r="G69" s="1"/>
  <c r="D13" i="15" s="1"/>
  <c r="G44" i="36"/>
  <c r="G42"/>
  <c r="G41"/>
  <c r="G45"/>
  <c r="G53"/>
  <c r="G43"/>
  <c r="G37"/>
  <c r="H75" i="32"/>
  <c r="H77" s="1"/>
  <c r="I53" i="5"/>
  <c r="I75" i="32" s="1"/>
  <c r="S47" i="5"/>
  <c r="R70" i="32"/>
  <c r="L19"/>
  <c r="M18" i="5"/>
  <c r="M19" i="32" s="1"/>
  <c r="H11"/>
  <c r="I11"/>
  <c r="H40" i="3"/>
  <c r="H13"/>
  <c r="H14"/>
  <c r="H44"/>
  <c r="H17"/>
  <c r="H39"/>
  <c r="H41"/>
  <c r="H10"/>
  <c r="H15"/>
  <c r="H8"/>
  <c r="H46"/>
  <c r="H38"/>
  <c r="H43"/>
  <c r="H42"/>
  <c r="H123" i="4" s="1"/>
  <c r="H9" i="3"/>
  <c r="H16"/>
  <c r="H12"/>
  <c r="H11"/>
  <c r="H45"/>
  <c r="H37" i="36"/>
  <c r="H53"/>
  <c r="H41"/>
  <c r="H43"/>
  <c r="H51"/>
  <c r="H58"/>
  <c r="H69" s="1"/>
  <c r="E13" i="15" s="1"/>
  <c r="H44" i="36"/>
  <c r="H45"/>
  <c r="H46"/>
  <c r="H52"/>
  <c r="H42"/>
  <c r="I114" i="32"/>
  <c r="J147" i="5"/>
  <c r="I50" i="32"/>
  <c r="J123" i="5"/>
  <c r="Q86" i="32"/>
  <c r="R57" i="5"/>
  <c r="S48"/>
  <c r="R67" i="32"/>
  <c r="H14"/>
  <c r="R27"/>
  <c r="S23" i="5"/>
  <c r="G7" i="32"/>
  <c r="G53" i="3"/>
  <c r="G23"/>
  <c r="H8" i="5"/>
  <c r="K17" i="2"/>
  <c r="G17"/>
  <c r="G18" s="1"/>
  <c r="O17"/>
  <c r="S17"/>
  <c r="W17"/>
  <c r="Q17"/>
  <c r="I68" i="5"/>
  <c r="I99" i="32" s="1"/>
  <c r="H99"/>
  <c r="I68"/>
  <c r="J49" i="5"/>
  <c r="Q5" i="2"/>
  <c r="Q15" s="1"/>
  <c r="Y5"/>
  <c r="Y15" s="1"/>
  <c r="S5"/>
  <c r="S15" s="1"/>
  <c r="K5"/>
  <c r="G5"/>
  <c r="U5"/>
  <c r="U15" s="1"/>
  <c r="O5"/>
  <c r="M5"/>
  <c r="W5"/>
  <c r="W15" s="1"/>
  <c r="E5"/>
  <c r="E6" s="1"/>
  <c r="O6" i="12"/>
  <c r="O6" i="13" s="1"/>
  <c r="O6" i="16" s="1"/>
  <c r="O6" i="17" s="1"/>
  <c r="O6" i="14" s="1"/>
  <c r="O5" i="15" s="1"/>
  <c r="O6" i="18" s="1"/>
  <c r="O6" i="11"/>
  <c r="N5" i="10"/>
  <c r="R123" i="32"/>
  <c r="S83" i="5"/>
  <c r="Q51" i="32"/>
  <c r="R38" i="5"/>
  <c r="S54" i="32"/>
  <c r="T37" i="5"/>
  <c r="Q35" i="32"/>
  <c r="R28" i="5"/>
  <c r="M6" i="11"/>
  <c r="M6" i="12"/>
  <c r="M6" i="13" s="1"/>
  <c r="M6" i="16" s="1"/>
  <c r="M6" i="17" s="1"/>
  <c r="M6" i="14" s="1"/>
  <c r="M5" i="15" s="1"/>
  <c r="M6" i="18" s="1"/>
  <c r="L5" i="10"/>
  <c r="M13" i="2"/>
  <c r="W13"/>
  <c r="K13"/>
  <c r="G13"/>
  <c r="G14" s="1"/>
  <c r="O13"/>
  <c r="Q13"/>
  <c r="S13"/>
  <c r="F18" i="36"/>
  <c r="H53" i="32"/>
  <c r="G37"/>
  <c r="I11" i="2"/>
  <c r="Y17"/>
  <c r="I144" i="5"/>
  <c r="H106" i="32"/>
  <c r="I120" i="5"/>
  <c r="H42" i="32"/>
  <c r="H124"/>
  <c r="H125" s="1"/>
  <c r="I84" i="5"/>
  <c r="R99" i="32"/>
  <c r="S68" i="5"/>
  <c r="I64"/>
  <c r="H92" i="32"/>
  <c r="H93" s="1"/>
  <c r="H36"/>
  <c r="I29" i="5"/>
  <c r="I132"/>
  <c r="H74" i="32"/>
  <c r="I108" i="5"/>
  <c r="H10" i="32"/>
  <c r="H108"/>
  <c r="I74" i="5"/>
  <c r="H60" i="32"/>
  <c r="I44" i="5"/>
  <c r="R32"/>
  <c r="Q46" i="32"/>
  <c r="I138" i="5"/>
  <c r="H90" i="32"/>
  <c r="I114" i="5"/>
  <c r="H26" i="32"/>
  <c r="S126"/>
  <c r="T82" i="5"/>
  <c r="S75" i="32"/>
  <c r="T53" i="5"/>
  <c r="H67" i="32"/>
  <c r="H69" s="1"/>
  <c r="I48" i="5"/>
  <c r="I67" i="32" s="1"/>
  <c r="S43"/>
  <c r="T33" i="5"/>
  <c r="H27" i="32"/>
  <c r="H29" s="1"/>
  <c r="I23" i="5"/>
  <c r="I27" i="32" s="1"/>
  <c r="Q5" i="10"/>
  <c r="R6" i="12"/>
  <c r="R6" i="13" s="1"/>
  <c r="R6" i="16" s="1"/>
  <c r="R6" i="17" s="1"/>
  <c r="R6" i="14" s="1"/>
  <c r="R5" i="15" s="1"/>
  <c r="R6" i="18" s="1"/>
  <c r="R6" i="11"/>
  <c r="H116" i="32"/>
  <c r="I79" i="5"/>
  <c r="L83" i="32"/>
  <c r="M58" i="5"/>
  <c r="M83" i="32" s="1"/>
  <c r="M48" i="5"/>
  <c r="M67" i="32" s="1"/>
  <c r="L67"/>
  <c r="H35"/>
  <c r="I28" i="5"/>
  <c r="I35" i="32" s="1"/>
  <c r="R30"/>
  <c r="S22" i="5"/>
  <c r="H12" i="32"/>
  <c r="I14" i="5"/>
  <c r="I82" i="32"/>
  <c r="J135" i="5"/>
  <c r="I18" i="32"/>
  <c r="J111" i="5"/>
  <c r="S83" i="32"/>
  <c r="T58" i="5"/>
  <c r="L75" i="32"/>
  <c r="M53" i="5"/>
  <c r="M75" i="32" s="1"/>
  <c r="Q62"/>
  <c r="R42" i="5"/>
  <c r="K20" i="32"/>
  <c r="K21" s="1"/>
  <c r="L19" i="5"/>
  <c r="L6" i="11"/>
  <c r="L6" i="12"/>
  <c r="L6" i="13" s="1"/>
  <c r="L6" i="16" s="1"/>
  <c r="L6" i="17" s="1"/>
  <c r="L6" i="14" s="1"/>
  <c r="L5" i="15" s="1"/>
  <c r="L6" i="18" s="1"/>
  <c r="K5" i="10"/>
  <c r="H59" i="32"/>
  <c r="H61" s="1"/>
  <c r="I43" i="5"/>
  <c r="I59" i="32" s="1"/>
  <c r="R91"/>
  <c r="S63" i="5"/>
  <c r="P6" i="11"/>
  <c r="O5" i="10"/>
  <c r="P6" i="12"/>
  <c r="P6" i="13" s="1"/>
  <c r="P6" i="16" s="1"/>
  <c r="P6" i="17" s="1"/>
  <c r="P6" i="14" s="1"/>
  <c r="P5" i="15" s="1"/>
  <c r="P6" i="18" s="1"/>
  <c r="J59" i="5"/>
  <c r="I84" i="32"/>
  <c r="I85" s="1"/>
  <c r="R17" i="5"/>
  <c r="Q22" i="32"/>
  <c r="H107"/>
  <c r="I73" i="5"/>
  <c r="I107" i="32" s="1"/>
  <c r="R94"/>
  <c r="S62" i="5"/>
  <c r="I52" i="32"/>
  <c r="J39" i="5"/>
  <c r="F59" i="3"/>
  <c r="F55"/>
  <c r="F58"/>
  <c r="F56"/>
  <c r="F60"/>
  <c r="R107" i="32"/>
  <c r="S73" i="5"/>
  <c r="N6" i="11"/>
  <c r="N6" i="12"/>
  <c r="N6" i="13" s="1"/>
  <c r="N6" i="16" s="1"/>
  <c r="N6" i="17" s="1"/>
  <c r="N6" i="14" s="1"/>
  <c r="N5" i="15" s="1"/>
  <c r="N6" i="18" s="1"/>
  <c r="M5" i="10"/>
  <c r="R110" i="32"/>
  <c r="S72" i="5"/>
  <c r="I44" i="32"/>
  <c r="J34" i="5"/>
  <c r="Q19" i="32"/>
  <c r="R18" i="5"/>
  <c r="H100" i="32"/>
  <c r="I69" i="5"/>
  <c r="I53" i="32"/>
  <c r="G10" i="2"/>
  <c r="G12" s="1"/>
  <c r="G172" i="5"/>
  <c r="G52" i="36"/>
  <c r="H172" i="5"/>
  <c r="G61" i="32"/>
  <c r="G63" s="1"/>
  <c r="J82" i="5"/>
  <c r="I126" i="32"/>
  <c r="H118"/>
  <c r="I77" i="5"/>
  <c r="J72"/>
  <c r="I110" i="32"/>
  <c r="I67" i="5"/>
  <c r="H102" i="32"/>
  <c r="I57" i="5"/>
  <c r="H86" i="32"/>
  <c r="J52" i="5"/>
  <c r="I78" i="32"/>
  <c r="H70"/>
  <c r="I47" i="5"/>
  <c r="J42"/>
  <c r="I37"/>
  <c r="H54" i="32"/>
  <c r="I46"/>
  <c r="J32" i="5"/>
  <c r="H38" i="32"/>
  <c r="I27" i="5"/>
  <c r="F189" i="32"/>
  <c r="F18" i="4" s="1"/>
  <c r="C19" i="12" s="1"/>
  <c r="F177" i="32"/>
  <c r="F14" i="4" s="1"/>
  <c r="C15" i="12" s="1"/>
  <c r="F201" i="32"/>
  <c r="F22" i="4" s="1"/>
  <c r="F165" i="32"/>
  <c r="F198"/>
  <c r="F183"/>
  <c r="F16" i="4" s="1"/>
  <c r="C17" i="12" s="1"/>
  <c r="F171" i="32"/>
  <c r="F195"/>
  <c r="J38" i="4"/>
  <c r="J98" s="1"/>
  <c r="D14" i="10"/>
  <c r="M12" i="11"/>
  <c r="G38" i="4"/>
  <c r="G98" s="1"/>
  <c r="C14" i="10"/>
  <c r="L38" i="4"/>
  <c r="L98" s="1"/>
  <c r="O7" i="2"/>
  <c r="W7"/>
  <c r="W9" s="1"/>
  <c r="W11" s="1"/>
  <c r="G7"/>
  <c r="Y7"/>
  <c r="Q7"/>
  <c r="Q9" s="1"/>
  <c r="Q11" s="1"/>
  <c r="I7"/>
  <c r="E7"/>
  <c r="E8" s="1"/>
  <c r="G8" s="1"/>
  <c r="M7"/>
  <c r="U7"/>
  <c r="U9" s="1"/>
  <c r="U11" s="1"/>
  <c r="S7"/>
  <c r="S9" s="1"/>
  <c r="S11" s="1"/>
  <c r="F16"/>
  <c r="H16" s="1"/>
  <c r="J16" s="1"/>
  <c r="L16" s="1"/>
  <c r="N16" s="1"/>
  <c r="P16" s="1"/>
  <c r="R16" s="1"/>
  <c r="T16" s="1"/>
  <c r="V16" s="1"/>
  <c r="X16" s="1"/>
  <c r="Z16" s="1"/>
  <c r="G15" s="1"/>
  <c r="F17" i="4"/>
  <c r="G11" i="2"/>
  <c r="F12"/>
  <c r="H12" s="1"/>
  <c r="J12" s="1"/>
  <c r="L12" s="1"/>
  <c r="N12" s="1"/>
  <c r="P12" s="1"/>
  <c r="R12" s="1"/>
  <c r="T12" s="1"/>
  <c r="V12" s="1"/>
  <c r="X12" s="1"/>
  <c r="Z12" s="1"/>
  <c r="K7"/>
  <c r="I77" i="32" l="1"/>
  <c r="F14" i="10"/>
  <c r="D27" i="16"/>
  <c r="U20" i="2"/>
  <c r="W20" s="1"/>
  <c r="Y20" s="1"/>
  <c r="C17" i="17"/>
  <c r="F63" i="4" s="1"/>
  <c r="M38"/>
  <c r="M98" s="1"/>
  <c r="H14" i="10"/>
  <c r="L14"/>
  <c r="I30" i="32"/>
  <c r="J17" i="5"/>
  <c r="I22" i="32"/>
  <c r="I23" s="1"/>
  <c r="I24" s="1"/>
  <c r="G55" i="36"/>
  <c r="G24" i="2"/>
  <c r="I24" s="1"/>
  <c r="K24" s="1"/>
  <c r="M24" s="1"/>
  <c r="O24" s="1"/>
  <c r="Q24" s="1"/>
  <c r="S24" s="1"/>
  <c r="U24" s="1"/>
  <c r="W24" s="1"/>
  <c r="Y24" s="1"/>
  <c r="F57" i="3"/>
  <c r="F124" i="4" s="1"/>
  <c r="F126" s="1"/>
  <c r="F85" s="1"/>
  <c r="F107" s="1"/>
  <c r="K12" i="11"/>
  <c r="N38" i="4"/>
  <c r="N98" s="1"/>
  <c r="I14" i="10"/>
  <c r="K14"/>
  <c r="B14"/>
  <c r="F38" i="4"/>
  <c r="F98" s="1"/>
  <c r="C12" i="11"/>
  <c r="E14" i="10"/>
  <c r="H12" i="11"/>
  <c r="F111" i="4"/>
  <c r="C18" i="11" s="1"/>
  <c r="I38" i="4"/>
  <c r="I98" s="1"/>
  <c r="G14" i="10"/>
  <c r="O38" i="4"/>
  <c r="O98" s="1"/>
  <c r="H38"/>
  <c r="H98" s="1"/>
  <c r="F62" i="3"/>
  <c r="G168"/>
  <c r="G61" s="1"/>
  <c r="H168"/>
  <c r="H61" s="1"/>
  <c r="I80"/>
  <c r="I86"/>
  <c r="I92"/>
  <c r="I98"/>
  <c r="I104"/>
  <c r="I110"/>
  <c r="I116"/>
  <c r="I122"/>
  <c r="I128"/>
  <c r="I134"/>
  <c r="I140"/>
  <c r="I146"/>
  <c r="I152"/>
  <c r="I158"/>
  <c r="I164"/>
  <c r="B5" i="31"/>
  <c r="V136" i="4"/>
  <c r="F89"/>
  <c r="B9" i="31" s="1"/>
  <c r="G167" i="3"/>
  <c r="G62" s="1"/>
  <c r="I103"/>
  <c r="I145"/>
  <c r="I157"/>
  <c r="I79"/>
  <c r="I85"/>
  <c r="I91"/>
  <c r="I97"/>
  <c r="I109"/>
  <c r="I115"/>
  <c r="I121"/>
  <c r="I127"/>
  <c r="I133"/>
  <c r="I139"/>
  <c r="I151"/>
  <c r="I163"/>
  <c r="H167"/>
  <c r="I162"/>
  <c r="I156"/>
  <c r="I150"/>
  <c r="I144"/>
  <c r="I126"/>
  <c r="I120"/>
  <c r="I114"/>
  <c r="I108"/>
  <c r="I102"/>
  <c r="I90"/>
  <c r="I138"/>
  <c r="I132"/>
  <c r="I96"/>
  <c r="I84"/>
  <c r="I78"/>
  <c r="F29"/>
  <c r="F31" s="1"/>
  <c r="F33" s="1"/>
  <c r="F27" i="4" s="1"/>
  <c r="H166" i="3"/>
  <c r="H29" s="1"/>
  <c r="G166"/>
  <c r="G29" s="1"/>
  <c r="G195" i="32"/>
  <c r="G20" i="4" s="1"/>
  <c r="D21" i="12" s="1"/>
  <c r="G112" i="32"/>
  <c r="G159"/>
  <c r="G8" i="4" s="1"/>
  <c r="D9" i="12" s="1"/>
  <c r="G16" i="32"/>
  <c r="G180"/>
  <c r="G15" i="4" s="1"/>
  <c r="D16" i="12" s="1"/>
  <c r="G72" i="32"/>
  <c r="H162"/>
  <c r="H9" i="4" s="1"/>
  <c r="E10" i="12" s="1"/>
  <c r="H24" i="32"/>
  <c r="G165"/>
  <c r="G10" i="4" s="1"/>
  <c r="D11" i="12" s="1"/>
  <c r="G32" i="32"/>
  <c r="G201"/>
  <c r="G22" i="4" s="1"/>
  <c r="D23" i="12" s="1"/>
  <c r="G128" i="32"/>
  <c r="G198"/>
  <c r="G21" i="4" s="1"/>
  <c r="D22" i="12" s="1"/>
  <c r="G120" i="32"/>
  <c r="G183"/>
  <c r="G16" i="4" s="1"/>
  <c r="D17" i="12" s="1"/>
  <c r="G80" i="32"/>
  <c r="F180"/>
  <c r="F15" i="4" s="1"/>
  <c r="C16" i="12" s="1"/>
  <c r="F72" i="32"/>
  <c r="G177"/>
  <c r="G14" i="4" s="1"/>
  <c r="D15" i="12" s="1"/>
  <c r="G64" i="32"/>
  <c r="G189"/>
  <c r="G18" i="4" s="1"/>
  <c r="D19" i="12" s="1"/>
  <c r="G96" i="32"/>
  <c r="G171"/>
  <c r="G12" i="4" s="1"/>
  <c r="D13" i="12" s="1"/>
  <c r="G48" i="32"/>
  <c r="H55" i="36"/>
  <c r="H68" s="1"/>
  <c r="E12" i="15" s="1"/>
  <c r="H48" i="36"/>
  <c r="G48"/>
  <c r="F60"/>
  <c r="F66"/>
  <c r="C9" i="16" s="1"/>
  <c r="F72" i="4" s="1"/>
  <c r="G68" i="36"/>
  <c r="D12" i="15" s="1"/>
  <c r="G103" i="32"/>
  <c r="H50" i="34"/>
  <c r="R50" s="1"/>
  <c r="R40"/>
  <c r="F68" i="3"/>
  <c r="H108" i="4"/>
  <c r="E33" i="9"/>
  <c r="I52" i="4"/>
  <c r="I10" i="2"/>
  <c r="K10" s="1"/>
  <c r="G39" i="32"/>
  <c r="H87"/>
  <c r="H88" s="1"/>
  <c r="H37"/>
  <c r="H38" i="36"/>
  <c r="H66" s="1"/>
  <c r="G19" i="3"/>
  <c r="H117" i="32"/>
  <c r="H119" s="1"/>
  <c r="G49" i="3"/>
  <c r="H55" i="32"/>
  <c r="H31"/>
  <c r="H79"/>
  <c r="I18" i="2"/>
  <c r="K18" s="1"/>
  <c r="M18" s="1"/>
  <c r="O18" s="1"/>
  <c r="Q18" s="1"/>
  <c r="S18" s="1"/>
  <c r="U18" s="1"/>
  <c r="W18" s="1"/>
  <c r="Y18" s="1"/>
  <c r="H34" i="32"/>
  <c r="I117" i="5"/>
  <c r="T12"/>
  <c r="S14" i="32"/>
  <c r="H98"/>
  <c r="I141" i="5"/>
  <c r="J62"/>
  <c r="J94" i="32" s="1"/>
  <c r="I45"/>
  <c r="I66"/>
  <c r="I69"/>
  <c r="H47"/>
  <c r="I14" i="2"/>
  <c r="K14" s="1"/>
  <c r="M14" s="1"/>
  <c r="O14" s="1"/>
  <c r="Q14" s="1"/>
  <c r="S14" s="1"/>
  <c r="U14" s="1"/>
  <c r="W14" s="1"/>
  <c r="Y14" s="1"/>
  <c r="T13" i="5"/>
  <c r="S11" i="32"/>
  <c r="H71"/>
  <c r="S94"/>
  <c r="T62" i="5"/>
  <c r="K129"/>
  <c r="J66" i="32"/>
  <c r="S42" i="5"/>
  <c r="R62" i="32"/>
  <c r="K135" i="5"/>
  <c r="J82" i="32"/>
  <c r="S30"/>
  <c r="T22" i="5"/>
  <c r="R46" i="32"/>
  <c r="S32" i="5"/>
  <c r="I92" i="32"/>
  <c r="I93" s="1"/>
  <c r="J64" i="5"/>
  <c r="C12" i="15"/>
  <c r="C21" i="16"/>
  <c r="F67" i="36"/>
  <c r="F31"/>
  <c r="S27" i="32"/>
  <c r="T23" i="5"/>
  <c r="S57"/>
  <c r="R86" i="32"/>
  <c r="I179"/>
  <c r="I191"/>
  <c r="J84"/>
  <c r="J85" s="1"/>
  <c r="K59" i="5"/>
  <c r="T63"/>
  <c r="S91" i="32"/>
  <c r="U33" i="5"/>
  <c r="U43" i="32" s="1"/>
  <c r="T43"/>
  <c r="T75"/>
  <c r="U53" i="5"/>
  <c r="U75" i="32" s="1"/>
  <c r="I108"/>
  <c r="I109" s="1"/>
  <c r="J74" i="5"/>
  <c r="I124" i="32"/>
  <c r="I125" s="1"/>
  <c r="J84" i="5"/>
  <c r="R35" i="32"/>
  <c r="S28" i="5"/>
  <c r="R51" i="32"/>
  <c r="S38" i="5"/>
  <c r="S67" i="32"/>
  <c r="T48" i="5"/>
  <c r="S70" i="32"/>
  <c r="T47" i="5"/>
  <c r="R59" i="32"/>
  <c r="S43" i="5"/>
  <c r="I158" i="32"/>
  <c r="I182"/>
  <c r="I173"/>
  <c r="I200"/>
  <c r="K54" i="5"/>
  <c r="J76" i="32"/>
  <c r="J77" s="1"/>
  <c r="S115"/>
  <c r="T78" i="5"/>
  <c r="R19" i="32"/>
  <c r="S18" i="5"/>
  <c r="T72"/>
  <c r="S110" i="32"/>
  <c r="J52"/>
  <c r="J53" s="1"/>
  <c r="K39" i="5"/>
  <c r="M19"/>
  <c r="L20" i="32"/>
  <c r="L21" s="1"/>
  <c r="K111" i="5"/>
  <c r="J18" i="32"/>
  <c r="J14" i="5"/>
  <c r="I12" i="32"/>
  <c r="I13" s="1"/>
  <c r="I90"/>
  <c r="J138" i="5"/>
  <c r="I10" i="32"/>
  <c r="J108" i="5"/>
  <c r="I42" i="32"/>
  <c r="J120" i="5"/>
  <c r="G60" i="3"/>
  <c r="G56"/>
  <c r="G59"/>
  <c r="G58"/>
  <c r="G55"/>
  <c r="K123" i="5"/>
  <c r="J50" i="32"/>
  <c r="J28"/>
  <c r="J29" s="1"/>
  <c r="K24" i="5"/>
  <c r="I58" i="32"/>
  <c r="J126" i="5"/>
  <c r="I188" i="32"/>
  <c r="I170"/>
  <c r="I161"/>
  <c r="I185"/>
  <c r="H13"/>
  <c r="H15" s="1"/>
  <c r="H127"/>
  <c r="G6" i="2"/>
  <c r="I6" s="1"/>
  <c r="K6" s="1"/>
  <c r="M6" s="1"/>
  <c r="O6" s="1"/>
  <c r="Q6" s="1"/>
  <c r="S6" s="1"/>
  <c r="U6" s="1"/>
  <c r="W6" s="1"/>
  <c r="Y6" s="1"/>
  <c r="H101" i="32"/>
  <c r="H67" i="36"/>
  <c r="E11" i="15" s="1"/>
  <c r="H49" i="3"/>
  <c r="H19"/>
  <c r="G38" i="36"/>
  <c r="G66" s="1"/>
  <c r="I100" i="32"/>
  <c r="I101" s="1"/>
  <c r="J69" i="5"/>
  <c r="J44" i="32"/>
  <c r="J45" s="1"/>
  <c r="K34" i="5"/>
  <c r="U58"/>
  <c r="U83" i="32" s="1"/>
  <c r="T83"/>
  <c r="J79" i="5"/>
  <c r="I116" i="32"/>
  <c r="I117" s="1"/>
  <c r="I26"/>
  <c r="J114" i="5"/>
  <c r="I74" i="32"/>
  <c r="J132" i="5"/>
  <c r="I106" i="32"/>
  <c r="J144" i="5"/>
  <c r="J68" i="32"/>
  <c r="J69" s="1"/>
  <c r="K49" i="5"/>
  <c r="H53" i="3"/>
  <c r="H23"/>
  <c r="I8" i="5"/>
  <c r="H7" i="32"/>
  <c r="I14"/>
  <c r="K147" i="5"/>
  <c r="J114" i="32"/>
  <c r="I122"/>
  <c r="J150" i="5"/>
  <c r="I176" i="32"/>
  <c r="I164"/>
  <c r="S107"/>
  <c r="T73" i="5"/>
  <c r="R22" i="32"/>
  <c r="S17" i="5"/>
  <c r="T126" i="32"/>
  <c r="U82" i="5"/>
  <c r="U126" i="32" s="1"/>
  <c r="I60"/>
  <c r="I61" s="1"/>
  <c r="J44" i="5"/>
  <c r="I36" i="32"/>
  <c r="I37" s="1"/>
  <c r="J29" i="5"/>
  <c r="S99" i="32"/>
  <c r="T68" i="5"/>
  <c r="T54" i="32"/>
  <c r="U37" i="5"/>
  <c r="U54" i="32" s="1"/>
  <c r="T83" i="5"/>
  <c r="S123" i="32"/>
  <c r="G28" i="3"/>
  <c r="G26"/>
  <c r="G25"/>
  <c r="G27"/>
  <c r="S38" i="32"/>
  <c r="T27" i="5"/>
  <c r="R78" i="32"/>
  <c r="S52" i="5"/>
  <c r="I37" i="36"/>
  <c r="I58"/>
  <c r="I69" s="1"/>
  <c r="F13" i="15" s="1"/>
  <c r="I52" i="36"/>
  <c r="I42"/>
  <c r="I41"/>
  <c r="I43"/>
  <c r="I51"/>
  <c r="I45"/>
  <c r="I53"/>
  <c r="I46"/>
  <c r="I44"/>
  <c r="I10" i="3"/>
  <c r="I13"/>
  <c r="I41"/>
  <c r="I39"/>
  <c r="I17"/>
  <c r="I8"/>
  <c r="I14"/>
  <c r="I44"/>
  <c r="I43"/>
  <c r="I40"/>
  <c r="I46"/>
  <c r="I45"/>
  <c r="I15"/>
  <c r="I12"/>
  <c r="I42"/>
  <c r="I123" i="4" s="1"/>
  <c r="I11" i="3"/>
  <c r="I16"/>
  <c r="I9"/>
  <c r="I38"/>
  <c r="J161" i="5"/>
  <c r="J158"/>
  <c r="J155"/>
  <c r="J170"/>
  <c r="J167"/>
  <c r="J164"/>
  <c r="J95"/>
  <c r="J176" i="32" s="1"/>
  <c r="J96" i="5"/>
  <c r="J179" i="32" s="1"/>
  <c r="J100" i="5"/>
  <c r="J191" i="32" s="1"/>
  <c r="J5" i="3"/>
  <c r="J92" i="5"/>
  <c r="J103"/>
  <c r="J200" i="32" s="1"/>
  <c r="J93" i="5"/>
  <c r="J170" i="32" s="1"/>
  <c r="J90" i="5"/>
  <c r="J161" i="32" s="1"/>
  <c r="J99" i="5"/>
  <c r="J188" i="32" s="1"/>
  <c r="J89" i="5"/>
  <c r="J158" i="32" s="1"/>
  <c r="J94" i="5"/>
  <c r="J173" i="32" s="1"/>
  <c r="J91" i="5"/>
  <c r="J164" i="32" s="1"/>
  <c r="J6" i="36"/>
  <c r="J98" i="5"/>
  <c r="J185" i="32" s="1"/>
  <c r="J97" i="5"/>
  <c r="J182" i="32" s="1"/>
  <c r="J102" i="5"/>
  <c r="K5"/>
  <c r="J101"/>
  <c r="J194" i="32" s="1"/>
  <c r="S118"/>
  <c r="T77" i="5"/>
  <c r="S102" i="32"/>
  <c r="T67" i="5"/>
  <c r="H109" i="32"/>
  <c r="H111" s="1"/>
  <c r="I29"/>
  <c r="H95"/>
  <c r="H63"/>
  <c r="I172" i="5"/>
  <c r="J126" i="32"/>
  <c r="K82" i="5"/>
  <c r="I118" i="32"/>
  <c r="J77" i="5"/>
  <c r="J110" i="32"/>
  <c r="K72" i="5"/>
  <c r="I102" i="32"/>
  <c r="J67" i="5"/>
  <c r="I86" i="32"/>
  <c r="I87" s="1"/>
  <c r="I88" s="1"/>
  <c r="J57" i="5"/>
  <c r="J78" i="32"/>
  <c r="K52" i="5"/>
  <c r="I70" i="32"/>
  <c r="J47" i="5"/>
  <c r="J62" i="32"/>
  <c r="K42" i="5"/>
  <c r="I54" i="32"/>
  <c r="I55" s="1"/>
  <c r="I56" s="1"/>
  <c r="J37" i="5"/>
  <c r="J46" i="32"/>
  <c r="K32" i="5"/>
  <c r="I38" i="32"/>
  <c r="J27" i="5"/>
  <c r="J30" i="32"/>
  <c r="K22" i="5"/>
  <c r="F20" i="4"/>
  <c r="F12"/>
  <c r="F21"/>
  <c r="F10"/>
  <c r="E27" i="16"/>
  <c r="G75" i="4"/>
  <c r="C14" i="12"/>
  <c r="C18"/>
  <c r="C23"/>
  <c r="I12" i="2"/>
  <c r="C9" i="12"/>
  <c r="E15" i="2"/>
  <c r="E16" s="1"/>
  <c r="G16" s="1"/>
  <c r="M15"/>
  <c r="I15"/>
  <c r="O15"/>
  <c r="K15"/>
  <c r="C29" i="16"/>
  <c r="C30" s="1"/>
  <c r="C31" s="1"/>
  <c r="D28" s="1"/>
  <c r="D29" s="1"/>
  <c r="I8" i="2"/>
  <c r="K8" s="1"/>
  <c r="M8" s="1"/>
  <c r="O8" s="1"/>
  <c r="I79" i="32" l="1"/>
  <c r="I183" s="1"/>
  <c r="I16" i="4" s="1"/>
  <c r="F17" i="12" s="1"/>
  <c r="I47" i="32"/>
  <c r="I48" s="1"/>
  <c r="I162"/>
  <c r="I9" i="4" s="1"/>
  <c r="F10" i="12" s="1"/>
  <c r="H39" i="32"/>
  <c r="H40" s="1"/>
  <c r="I95"/>
  <c r="I96" s="1"/>
  <c r="D10" i="17"/>
  <c r="D17" s="1"/>
  <c r="C19" i="9"/>
  <c r="K62" i="5"/>
  <c r="K94" i="32" s="1"/>
  <c r="K17" i="5"/>
  <c r="J22" i="32"/>
  <c r="J23" s="1"/>
  <c r="R14" i="10"/>
  <c r="I55" i="36"/>
  <c r="I68" s="1"/>
  <c r="F12" i="15" s="1"/>
  <c r="H186" i="32"/>
  <c r="H17" i="4" s="1"/>
  <c r="V38"/>
  <c r="H62" i="3"/>
  <c r="F64"/>
  <c r="F66" s="1"/>
  <c r="F28" i="4" s="1"/>
  <c r="C11" i="13" s="1"/>
  <c r="J80" i="3"/>
  <c r="J86"/>
  <c r="J92"/>
  <c r="J98"/>
  <c r="J104"/>
  <c r="J110"/>
  <c r="J116"/>
  <c r="J122"/>
  <c r="J128"/>
  <c r="J134"/>
  <c r="J140"/>
  <c r="J146"/>
  <c r="J152"/>
  <c r="J158"/>
  <c r="J164"/>
  <c r="I168"/>
  <c r="I61" s="1"/>
  <c r="I167"/>
  <c r="J151"/>
  <c r="J145"/>
  <c r="J139"/>
  <c r="J133"/>
  <c r="J121"/>
  <c r="J115"/>
  <c r="J109"/>
  <c r="J103"/>
  <c r="J163"/>
  <c r="J157"/>
  <c r="J127"/>
  <c r="J97"/>
  <c r="J91"/>
  <c r="J85"/>
  <c r="J79"/>
  <c r="J90"/>
  <c r="J102"/>
  <c r="J114"/>
  <c r="J126"/>
  <c r="J138"/>
  <c r="J150"/>
  <c r="J78"/>
  <c r="J84"/>
  <c r="J96"/>
  <c r="J108"/>
  <c r="J120"/>
  <c r="J132"/>
  <c r="J144"/>
  <c r="J156"/>
  <c r="J162"/>
  <c r="I166"/>
  <c r="H201" i="32"/>
  <c r="H22" i="4" s="1"/>
  <c r="E23" i="12" s="1"/>
  <c r="H128" i="32"/>
  <c r="H174"/>
  <c r="H13" i="4" s="1"/>
  <c r="H56" i="32"/>
  <c r="H198"/>
  <c r="H21" i="4" s="1"/>
  <c r="E22" i="12" s="1"/>
  <c r="H120" i="32"/>
  <c r="H189"/>
  <c r="H18" i="4" s="1"/>
  <c r="E19" i="12" s="1"/>
  <c r="H96" i="32"/>
  <c r="I189"/>
  <c r="I18" i="4" s="1"/>
  <c r="F19" i="12" s="1"/>
  <c r="H180" i="32"/>
  <c r="H15" i="4" s="1"/>
  <c r="H72" i="32"/>
  <c r="H171"/>
  <c r="H12" i="4" s="1"/>
  <c r="E13" i="12" s="1"/>
  <c r="H48" i="32"/>
  <c r="H165"/>
  <c r="H10" i="4" s="1"/>
  <c r="E11" i="12" s="1"/>
  <c r="H32" i="32"/>
  <c r="G192"/>
  <c r="G19" i="4" s="1"/>
  <c r="D20" i="12" s="1"/>
  <c r="G104" i="32"/>
  <c r="H183"/>
  <c r="H16" i="4" s="1"/>
  <c r="E17" i="12" s="1"/>
  <c r="H80" i="32"/>
  <c r="G168"/>
  <c r="G11" i="4" s="1"/>
  <c r="D12" i="12" s="1"/>
  <c r="G40" i="32"/>
  <c r="H177"/>
  <c r="H14" i="4" s="1"/>
  <c r="E15" i="12" s="1"/>
  <c r="H64" i="32"/>
  <c r="H195"/>
  <c r="H20" i="4" s="1"/>
  <c r="E21" i="12" s="1"/>
  <c r="H112" i="32"/>
  <c r="H159"/>
  <c r="H8" i="4" s="1"/>
  <c r="E9" i="12" s="1"/>
  <c r="H16" i="32"/>
  <c r="F203"/>
  <c r="F205" s="1"/>
  <c r="I48" i="36"/>
  <c r="I67" s="1"/>
  <c r="F11" i="15" s="1"/>
  <c r="F63" i="36"/>
  <c r="C10" i="15"/>
  <c r="C10" i="16" s="1"/>
  <c r="C11" s="1"/>
  <c r="C12" s="1"/>
  <c r="F127" i="4"/>
  <c r="G130" i="32"/>
  <c r="G131" s="1"/>
  <c r="I127"/>
  <c r="H103"/>
  <c r="I108" i="4"/>
  <c r="F33" i="9"/>
  <c r="J52" i="4"/>
  <c r="G68" i="3"/>
  <c r="I71" i="32"/>
  <c r="I63"/>
  <c r="I174"/>
  <c r="I13" i="4" s="1"/>
  <c r="F14" i="12" s="1"/>
  <c r="H168" i="32"/>
  <c r="J117" i="5"/>
  <c r="I34" i="32"/>
  <c r="I39" s="1"/>
  <c r="H60" i="36"/>
  <c r="H63" s="1"/>
  <c r="T14" i="32"/>
  <c r="U12" i="5"/>
  <c r="U14" i="32" s="1"/>
  <c r="U13" i="5"/>
  <c r="U11" i="32" s="1"/>
  <c r="T11"/>
  <c r="J141" i="5"/>
  <c r="I98" i="32"/>
  <c r="I103" s="1"/>
  <c r="I111"/>
  <c r="I31"/>
  <c r="T102"/>
  <c r="U67" i="5"/>
  <c r="U102" i="32" s="1"/>
  <c r="I49" i="3"/>
  <c r="T52" i="5"/>
  <c r="S78" i="32"/>
  <c r="K114"/>
  <c r="L147" i="5"/>
  <c r="I7" i="32"/>
  <c r="J8" i="5"/>
  <c r="I53" i="3"/>
  <c r="I23"/>
  <c r="J116" i="32"/>
  <c r="J117" s="1"/>
  <c r="K79" i="5"/>
  <c r="D10" i="15"/>
  <c r="H68" i="3"/>
  <c r="K50" i="32"/>
  <c r="L123" i="5"/>
  <c r="K108"/>
  <c r="J10" i="32"/>
  <c r="K52"/>
  <c r="K53" s="1"/>
  <c r="L39" i="5"/>
  <c r="T18"/>
  <c r="S19" i="32"/>
  <c r="T70"/>
  <c r="U47" i="5"/>
  <c r="U70" i="32" s="1"/>
  <c r="S35"/>
  <c r="T28" i="5"/>
  <c r="K74"/>
  <c r="J108" i="32"/>
  <c r="J109" s="1"/>
  <c r="K84"/>
  <c r="K85" s="1"/>
  <c r="L59" i="5"/>
  <c r="D21" i="16"/>
  <c r="F74" i="4"/>
  <c r="S46" i="32"/>
  <c r="T32" i="5"/>
  <c r="J36" i="32"/>
  <c r="J37" s="1"/>
  <c r="K29" i="5"/>
  <c r="T107" i="32"/>
  <c r="U73" i="5"/>
  <c r="U107" i="32" s="1"/>
  <c r="L49" i="5"/>
  <c r="K68" i="32"/>
  <c r="K69" s="1"/>
  <c r="K132" i="5"/>
  <c r="J74" i="32"/>
  <c r="J79" s="1"/>
  <c r="J100"/>
  <c r="J101" s="1"/>
  <c r="K69" i="5"/>
  <c r="G60" i="36"/>
  <c r="G63" s="1"/>
  <c r="G67"/>
  <c r="D11" i="15" s="1"/>
  <c r="K126" i="5"/>
  <c r="J58" i="32"/>
  <c r="K18"/>
  <c r="L111" i="5"/>
  <c r="T110" i="32"/>
  <c r="U72" i="5"/>
  <c r="U110" i="32" s="1"/>
  <c r="T91"/>
  <c r="U63" i="5"/>
  <c r="U91" i="32" s="1"/>
  <c r="E10" i="15"/>
  <c r="E15" s="1"/>
  <c r="H70" i="36"/>
  <c r="C11" i="15"/>
  <c r="C15" i="16"/>
  <c r="F70" i="36"/>
  <c r="S62" i="32"/>
  <c r="T42" i="5"/>
  <c r="I186" i="32"/>
  <c r="I17" i="4" s="1"/>
  <c r="F18" i="12" s="1"/>
  <c r="I38" i="36"/>
  <c r="U77" i="5"/>
  <c r="U118" i="32" s="1"/>
  <c r="T118"/>
  <c r="J197"/>
  <c r="J11" i="3"/>
  <c r="J13"/>
  <c r="J39"/>
  <c r="J14"/>
  <c r="J43"/>
  <c r="J15"/>
  <c r="J16"/>
  <c r="J46"/>
  <c r="J44"/>
  <c r="J10"/>
  <c r="J45"/>
  <c r="J38"/>
  <c r="J9"/>
  <c r="J40"/>
  <c r="J12"/>
  <c r="J41"/>
  <c r="J42"/>
  <c r="J17"/>
  <c r="J8"/>
  <c r="I19"/>
  <c r="T38" i="32"/>
  <c r="U27" i="5"/>
  <c r="U38" i="32" s="1"/>
  <c r="T123"/>
  <c r="U83" i="5"/>
  <c r="U123" i="32" s="1"/>
  <c r="H59" i="3"/>
  <c r="H55"/>
  <c r="H60"/>
  <c r="H56"/>
  <c r="H58"/>
  <c r="K120" i="5"/>
  <c r="J42" i="32"/>
  <c r="J47" s="1"/>
  <c r="K138" i="5"/>
  <c r="J90" i="32"/>
  <c r="U78" i="5"/>
  <c r="U115" i="32" s="1"/>
  <c r="T115"/>
  <c r="T43" i="5"/>
  <c r="S59" i="32"/>
  <c r="T67"/>
  <c r="U48" i="5"/>
  <c r="U67" i="32" s="1"/>
  <c r="T38" i="5"/>
  <c r="S51" i="32"/>
  <c r="J124"/>
  <c r="J125" s="1"/>
  <c r="K84" i="5"/>
  <c r="C10" i="13"/>
  <c r="B6" i="31"/>
  <c r="B22" s="1"/>
  <c r="T27" i="32"/>
  <c r="U23" i="5"/>
  <c r="U27" i="32" s="1"/>
  <c r="J92"/>
  <c r="J93" s="1"/>
  <c r="K64" i="5"/>
  <c r="U22"/>
  <c r="U30" i="32" s="1"/>
  <c r="T30"/>
  <c r="T94"/>
  <c r="U62" i="5"/>
  <c r="U94" i="32" s="1"/>
  <c r="K170" i="5"/>
  <c r="K167"/>
  <c r="K164"/>
  <c r="K158"/>
  <c r="K161"/>
  <c r="K155"/>
  <c r="K90"/>
  <c r="K161" i="32" s="1"/>
  <c r="K94" i="5"/>
  <c r="K95"/>
  <c r="K176" i="32" s="1"/>
  <c r="K99" i="5"/>
  <c r="K188" i="32" s="1"/>
  <c r="K89" i="5"/>
  <c r="K158" i="32" s="1"/>
  <c r="K97" i="5"/>
  <c r="K98"/>
  <c r="K185" i="32" s="1"/>
  <c r="K5" i="3"/>
  <c r="L5" i="5"/>
  <c r="K93"/>
  <c r="K170" i="32" s="1"/>
  <c r="K101" i="5"/>
  <c r="K96"/>
  <c r="K179" i="32" s="1"/>
  <c r="K102" i="5"/>
  <c r="K197" i="32" s="1"/>
  <c r="K100" i="5"/>
  <c r="K6" i="36"/>
  <c r="K92" i="5"/>
  <c r="K167" i="32" s="1"/>
  <c r="K91" i="5"/>
  <c r="K164" i="32" s="1"/>
  <c r="K103" i="5"/>
  <c r="K200" i="32" s="1"/>
  <c r="J37" i="36"/>
  <c r="J43"/>
  <c r="J44"/>
  <c r="J58"/>
  <c r="J69" s="1"/>
  <c r="G13" i="15" s="1"/>
  <c r="J41" i="36"/>
  <c r="J45"/>
  <c r="J52"/>
  <c r="J51"/>
  <c r="J42"/>
  <c r="J53"/>
  <c r="J46"/>
  <c r="J167" i="32"/>
  <c r="J172" i="5"/>
  <c r="T99" i="32"/>
  <c r="U68" i="5"/>
  <c r="U99" i="32" s="1"/>
  <c r="J60"/>
  <c r="J61" s="1"/>
  <c r="K44" i="5"/>
  <c r="S22" i="32"/>
  <c r="T17" i="5"/>
  <c r="K150"/>
  <c r="J122" i="32"/>
  <c r="J127" s="1"/>
  <c r="J14"/>
  <c r="H28" i="3"/>
  <c r="H26"/>
  <c r="H25"/>
  <c r="H27"/>
  <c r="K144" i="5"/>
  <c r="J106" i="32"/>
  <c r="K114" i="5"/>
  <c r="J26" i="32"/>
  <c r="J31" s="1"/>
  <c r="K44"/>
  <c r="K45" s="1"/>
  <c r="L34" i="5"/>
  <c r="K28" i="32"/>
  <c r="K29" s="1"/>
  <c r="L24" i="5"/>
  <c r="J12" i="32"/>
  <c r="J13" s="1"/>
  <c r="K14" i="5"/>
  <c r="M20" i="32"/>
  <c r="M21" s="1"/>
  <c r="N19" i="5"/>
  <c r="K76" i="32"/>
  <c r="K77" s="1"/>
  <c r="L54" i="5"/>
  <c r="S86" i="32"/>
  <c r="T57" i="5"/>
  <c r="C22" i="16"/>
  <c r="K82" i="32"/>
  <c r="L135" i="5"/>
  <c r="K66" i="32"/>
  <c r="L129" i="5"/>
  <c r="I119" i="32"/>
  <c r="G31" i="3"/>
  <c r="G33" s="1"/>
  <c r="G27" i="4" s="1"/>
  <c r="I15" i="32"/>
  <c r="I16" s="1"/>
  <c r="F24" i="4"/>
  <c r="B28" i="31" s="1"/>
  <c r="L82" i="5"/>
  <c r="K126" i="32"/>
  <c r="J118"/>
  <c r="K77" i="5"/>
  <c r="L72"/>
  <c r="K110" i="32"/>
  <c r="K67" i="5"/>
  <c r="J102" i="32"/>
  <c r="K57" i="5"/>
  <c r="J86" i="32"/>
  <c r="J87" s="1"/>
  <c r="J88" s="1"/>
  <c r="L52" i="5"/>
  <c r="K78" i="32"/>
  <c r="J70"/>
  <c r="J71" s="1"/>
  <c r="K47" i="5"/>
  <c r="K62" i="32"/>
  <c r="L42" i="5"/>
  <c r="K37"/>
  <c r="J54" i="32"/>
  <c r="J55" s="1"/>
  <c r="J56" s="1"/>
  <c r="K46"/>
  <c r="L32" i="5"/>
  <c r="J38" i="32"/>
  <c r="K27" i="5"/>
  <c r="L22"/>
  <c r="K30" i="32"/>
  <c r="C11" i="12"/>
  <c r="C22"/>
  <c r="C13"/>
  <c r="C21"/>
  <c r="D30" i="16"/>
  <c r="Q8" i="2"/>
  <c r="S8" s="1"/>
  <c r="U8" s="1"/>
  <c r="W8" s="1"/>
  <c r="O10"/>
  <c r="K12"/>
  <c r="M10"/>
  <c r="M12" s="1"/>
  <c r="H75" i="4"/>
  <c r="F27" i="16"/>
  <c r="I16" i="2"/>
  <c r="K16" s="1"/>
  <c r="M16" s="1"/>
  <c r="O16" s="1"/>
  <c r="Q16" s="1"/>
  <c r="S16" s="1"/>
  <c r="U16" s="1"/>
  <c r="W16" s="1"/>
  <c r="Y16" s="1"/>
  <c r="I171" i="32" l="1"/>
  <c r="I12" i="4" s="1"/>
  <c r="F13" i="12" s="1"/>
  <c r="I80" i="32"/>
  <c r="H130"/>
  <c r="H57" i="3" s="1"/>
  <c r="E10" i="17"/>
  <c r="E17" s="1"/>
  <c r="D19" i="9"/>
  <c r="G63" i="4"/>
  <c r="L62" i="5"/>
  <c r="M62" s="1"/>
  <c r="J24" i="32"/>
  <c r="J162"/>
  <c r="J9" i="4" s="1"/>
  <c r="G10" i="12" s="1"/>
  <c r="K22" i="32"/>
  <c r="K23" s="1"/>
  <c r="L17" i="5"/>
  <c r="F29" i="4"/>
  <c r="F31" s="1"/>
  <c r="G203" i="32"/>
  <c r="G205" s="1"/>
  <c r="B7" i="31"/>
  <c r="F70" i="3"/>
  <c r="V70" s="1"/>
  <c r="G57"/>
  <c r="F117" i="4"/>
  <c r="F118" s="1"/>
  <c r="F90" s="1"/>
  <c r="E5" i="31"/>
  <c r="I62" i="3"/>
  <c r="D5" i="31"/>
  <c r="K80" i="3"/>
  <c r="K86"/>
  <c r="K92"/>
  <c r="K98"/>
  <c r="K104"/>
  <c r="K110"/>
  <c r="K116"/>
  <c r="K122"/>
  <c r="K128"/>
  <c r="K134"/>
  <c r="K140"/>
  <c r="K146"/>
  <c r="K152"/>
  <c r="K158"/>
  <c r="K164"/>
  <c r="J168"/>
  <c r="J61" s="1"/>
  <c r="J167"/>
  <c r="J62" s="1"/>
  <c r="C5" i="31"/>
  <c r="K85" i="3"/>
  <c r="K151"/>
  <c r="K109"/>
  <c r="K133"/>
  <c r="K157"/>
  <c r="K91"/>
  <c r="K103"/>
  <c r="K115"/>
  <c r="K127"/>
  <c r="K139"/>
  <c r="K163"/>
  <c r="K79"/>
  <c r="K145"/>
  <c r="K97"/>
  <c r="K121"/>
  <c r="D25" i="12"/>
  <c r="C8" i="10" s="1"/>
  <c r="K84" i="3"/>
  <c r="K90"/>
  <c r="K96"/>
  <c r="K102"/>
  <c r="K108"/>
  <c r="K114"/>
  <c r="K120"/>
  <c r="K126"/>
  <c r="K132"/>
  <c r="K138"/>
  <c r="K144"/>
  <c r="K150"/>
  <c r="K156"/>
  <c r="K162"/>
  <c r="K78"/>
  <c r="I29"/>
  <c r="J166"/>
  <c r="J29" s="1"/>
  <c r="J123" i="4"/>
  <c r="J180" i="32"/>
  <c r="J15" i="4" s="1"/>
  <c r="G16" i="12" s="1"/>
  <c r="J72" i="32"/>
  <c r="I198"/>
  <c r="I21" i="4" s="1"/>
  <c r="F22" i="12" s="1"/>
  <c r="I120" i="32"/>
  <c r="J165"/>
  <c r="J10" i="4" s="1"/>
  <c r="J32" i="32"/>
  <c r="H192"/>
  <c r="H19" i="4" s="1"/>
  <c r="E20" i="12" s="1"/>
  <c r="H104" i="32"/>
  <c r="I168"/>
  <c r="I11" i="4" s="1"/>
  <c r="I40" i="32"/>
  <c r="I195"/>
  <c r="I20" i="4" s="1"/>
  <c r="F21" i="12" s="1"/>
  <c r="I112" i="32"/>
  <c r="I180"/>
  <c r="I15" i="4" s="1"/>
  <c r="F16" i="12" s="1"/>
  <c r="I72" i="32"/>
  <c r="J201"/>
  <c r="J22" i="4" s="1"/>
  <c r="G23" i="12" s="1"/>
  <c r="J128" i="32"/>
  <c r="I165"/>
  <c r="I10" i="4" s="1"/>
  <c r="F11" i="12" s="1"/>
  <c r="I32" i="32"/>
  <c r="I177"/>
  <c r="I14" i="4" s="1"/>
  <c r="F15" i="12" s="1"/>
  <c r="I64" i="32"/>
  <c r="J171"/>
  <c r="J12" i="4" s="1"/>
  <c r="G13" i="12" s="1"/>
  <c r="J48" i="32"/>
  <c r="I192"/>
  <c r="I19" i="4" s="1"/>
  <c r="I104" i="32"/>
  <c r="J183"/>
  <c r="J16" i="4" s="1"/>
  <c r="G17" i="12" s="1"/>
  <c r="J80" i="32"/>
  <c r="I201"/>
  <c r="I22" i="4" s="1"/>
  <c r="F23" i="12" s="1"/>
  <c r="I128" i="32"/>
  <c r="G24" i="4"/>
  <c r="C28" i="31" s="1"/>
  <c r="J55" i="36"/>
  <c r="J68" s="1"/>
  <c r="G12" i="15" s="1"/>
  <c r="J48" i="36"/>
  <c r="J67" s="1"/>
  <c r="G11" i="15" s="1"/>
  <c r="F93" i="4"/>
  <c r="F54" s="1"/>
  <c r="C35" i="9" s="1"/>
  <c r="C24" i="11"/>
  <c r="J108" i="4"/>
  <c r="K52"/>
  <c r="G33" i="9"/>
  <c r="J63" i="32"/>
  <c r="J95"/>
  <c r="K141" i="5"/>
  <c r="J98" i="32"/>
  <c r="J103" s="1"/>
  <c r="J34"/>
  <c r="J39" s="1"/>
  <c r="K117" i="5"/>
  <c r="J38" i="36"/>
  <c r="J66" s="1"/>
  <c r="H11" i="4"/>
  <c r="H31" i="3"/>
  <c r="H33" s="1"/>
  <c r="H27" i="4" s="1"/>
  <c r="E10" i="13" s="1"/>
  <c r="J15" i="32"/>
  <c r="D15" i="15"/>
  <c r="G110" i="4" s="1"/>
  <c r="G112" s="1"/>
  <c r="J111" i="32"/>
  <c r="J119"/>
  <c r="M135" i="5"/>
  <c r="L82" i="32"/>
  <c r="U57" i="5"/>
  <c r="U86" i="32" s="1"/>
  <c r="T86"/>
  <c r="K26"/>
  <c r="K31" s="1"/>
  <c r="L114" i="5"/>
  <c r="T22" i="32"/>
  <c r="U17" i="5"/>
  <c r="U22" i="32" s="1"/>
  <c r="K37" i="36"/>
  <c r="K58"/>
  <c r="K69" s="1"/>
  <c r="H13" i="15" s="1"/>
  <c r="K44" i="36"/>
  <c r="K41"/>
  <c r="K43"/>
  <c r="K42"/>
  <c r="K53"/>
  <c r="K52"/>
  <c r="K46"/>
  <c r="K51"/>
  <c r="K45"/>
  <c r="K194" i="32"/>
  <c r="K124"/>
  <c r="K125" s="1"/>
  <c r="L84" i="5"/>
  <c r="M111"/>
  <c r="L18" i="32"/>
  <c r="L84"/>
  <c r="L85" s="1"/>
  <c r="M59" i="5"/>
  <c r="U28"/>
  <c r="U35" i="32" s="1"/>
  <c r="T35"/>
  <c r="I25" i="3"/>
  <c r="I27"/>
  <c r="I28"/>
  <c r="I26"/>
  <c r="M147" i="5"/>
  <c r="L114" i="32"/>
  <c r="D10" i="13"/>
  <c r="C6" i="31"/>
  <c r="C22" s="1"/>
  <c r="C23" i="16"/>
  <c r="C24" s="1"/>
  <c r="N20" i="32"/>
  <c r="N21" s="1"/>
  <c r="O19" i="5"/>
  <c r="L28" i="32"/>
  <c r="L29" s="1"/>
  <c r="M24" i="5"/>
  <c r="K122" i="32"/>
  <c r="L150" i="5"/>
  <c r="K14" i="3"/>
  <c r="K8"/>
  <c r="K17"/>
  <c r="K41"/>
  <c r="K12"/>
  <c r="K10"/>
  <c r="K15"/>
  <c r="K44"/>
  <c r="K9"/>
  <c r="K13"/>
  <c r="K40"/>
  <c r="K45"/>
  <c r="K11"/>
  <c r="K42"/>
  <c r="K123" i="4" s="1"/>
  <c r="K16" i="3"/>
  <c r="K43"/>
  <c r="K46"/>
  <c r="K39"/>
  <c r="K38"/>
  <c r="T51" i="32"/>
  <c r="U38" i="5"/>
  <c r="U51" i="32" s="1"/>
  <c r="T59"/>
  <c r="U43" i="5"/>
  <c r="U59" i="32" s="1"/>
  <c r="K90"/>
  <c r="L138" i="5"/>
  <c r="T62" i="32"/>
  <c r="U42" i="5"/>
  <c r="U62" i="32" s="1"/>
  <c r="C16" i="16"/>
  <c r="C15" i="15"/>
  <c r="K58" i="32"/>
  <c r="L126" i="5"/>
  <c r="L68" i="32"/>
  <c r="L69" s="1"/>
  <c r="M49" i="5"/>
  <c r="K108" i="32"/>
  <c r="K109" s="1"/>
  <c r="L74" i="5"/>
  <c r="D9" i="16"/>
  <c r="T78" i="32"/>
  <c r="U52" i="5"/>
  <c r="U78" i="32" s="1"/>
  <c r="C14" i="13"/>
  <c r="B10" i="10" s="1"/>
  <c r="K172" i="5"/>
  <c r="M129"/>
  <c r="L66" i="32"/>
  <c r="K106"/>
  <c r="L144" i="5"/>
  <c r="K60" i="32"/>
  <c r="K61" s="1"/>
  <c r="L44" i="5"/>
  <c r="L158"/>
  <c r="L155"/>
  <c r="L161"/>
  <c r="L170"/>
  <c r="L167"/>
  <c r="L164"/>
  <c r="L103"/>
  <c r="L200" i="32" s="1"/>
  <c r="L97" i="5"/>
  <c r="L182" i="32" s="1"/>
  <c r="L99" i="5"/>
  <c r="L93"/>
  <c r="L170" i="32" s="1"/>
  <c r="L6" i="36"/>
  <c r="L90" i="5"/>
  <c r="L161" i="32" s="1"/>
  <c r="L95" i="5"/>
  <c r="L176" i="32" s="1"/>
  <c r="L101" i="5"/>
  <c r="L194" i="32" s="1"/>
  <c r="L91" i="5"/>
  <c r="L164" i="32" s="1"/>
  <c r="L98" i="5"/>
  <c r="L185" i="32" s="1"/>
  <c r="L96" i="5"/>
  <c r="L100"/>
  <c r="L191" i="32" s="1"/>
  <c r="L102" i="5"/>
  <c r="L197" i="32" s="1"/>
  <c r="L89" i="5"/>
  <c r="L158" i="32" s="1"/>
  <c r="L5" i="3"/>
  <c r="M5" i="5"/>
  <c r="L92"/>
  <c r="L94"/>
  <c r="L173" i="32" s="1"/>
  <c r="I66" i="36"/>
  <c r="I60"/>
  <c r="I63" s="1"/>
  <c r="F73" i="4"/>
  <c r="F76" s="1"/>
  <c r="F60" s="1"/>
  <c r="D15" i="16"/>
  <c r="C33"/>
  <c r="C16" i="9" s="1"/>
  <c r="L69" i="5"/>
  <c r="K100" i="32"/>
  <c r="K101" s="1"/>
  <c r="K36"/>
  <c r="K37" s="1"/>
  <c r="L29" i="5"/>
  <c r="T46" i="32"/>
  <c r="U32" i="5"/>
  <c r="U46" i="32" s="1"/>
  <c r="M39" i="5"/>
  <c r="L52" i="32"/>
  <c r="L53" s="1"/>
  <c r="M123" i="5"/>
  <c r="L50" i="32"/>
  <c r="K116"/>
  <c r="K117" s="1"/>
  <c r="L79" i="5"/>
  <c r="J53" i="3"/>
  <c r="J23"/>
  <c r="J7" i="32"/>
  <c r="K8" i="5"/>
  <c r="I159" i="32"/>
  <c r="I8" i="4" s="1"/>
  <c r="F9" i="12" s="1"/>
  <c r="I130" i="32"/>
  <c r="L76"/>
  <c r="L77" s="1"/>
  <c r="M54" i="5"/>
  <c r="K12" i="32"/>
  <c r="K13" s="1"/>
  <c r="L14" i="5"/>
  <c r="L44" i="32"/>
  <c r="L45" s="1"/>
  <c r="M34" i="5"/>
  <c r="K14" i="32"/>
  <c r="K191"/>
  <c r="K182"/>
  <c r="K173"/>
  <c r="K92"/>
  <c r="K93" s="1"/>
  <c r="L64" i="5"/>
  <c r="K42" i="32"/>
  <c r="K47" s="1"/>
  <c r="L120" i="5"/>
  <c r="H110" i="4"/>
  <c r="H112" s="1"/>
  <c r="H87"/>
  <c r="K74" i="32"/>
  <c r="K79" s="1"/>
  <c r="L132" i="5"/>
  <c r="E21" i="16"/>
  <c r="G74" i="4"/>
  <c r="T19" i="32"/>
  <c r="U18" i="5"/>
  <c r="U19" i="32" s="1"/>
  <c r="K10"/>
  <c r="L108" i="5"/>
  <c r="I55" i="3"/>
  <c r="I60"/>
  <c r="I59"/>
  <c r="I58"/>
  <c r="I56"/>
  <c r="I68"/>
  <c r="G70" i="36"/>
  <c r="J19" i="3"/>
  <c r="J49"/>
  <c r="C25" i="12"/>
  <c r="B8" i="10" s="1"/>
  <c r="L126" i="32"/>
  <c r="M82" i="5"/>
  <c r="K118" i="32"/>
  <c r="L77" i="5"/>
  <c r="L110" i="32"/>
  <c r="M72" i="5"/>
  <c r="K102" i="32"/>
  <c r="L67" i="5"/>
  <c r="L94" i="32"/>
  <c r="K86"/>
  <c r="K87" s="1"/>
  <c r="L57" i="5"/>
  <c r="E18" i="12"/>
  <c r="J186" i="32"/>
  <c r="L78"/>
  <c r="M52" i="5"/>
  <c r="K70" i="32"/>
  <c r="K71" s="1"/>
  <c r="L47" i="5"/>
  <c r="E16" i="12"/>
  <c r="L62" i="32"/>
  <c r="M42" i="5"/>
  <c r="K54" i="32"/>
  <c r="K55" s="1"/>
  <c r="K56" s="1"/>
  <c r="L37" i="5"/>
  <c r="E14" i="12"/>
  <c r="J174" i="32"/>
  <c r="L46"/>
  <c r="M32" i="5"/>
  <c r="K38" i="32"/>
  <c r="L27" i="5"/>
  <c r="L30" i="32"/>
  <c r="M22" i="5"/>
  <c r="G27" i="16"/>
  <c r="I75" i="4"/>
  <c r="Q10" i="2"/>
  <c r="O12"/>
  <c r="Y8"/>
  <c r="Y10" s="1"/>
  <c r="Y12" s="1"/>
  <c r="W10"/>
  <c r="W12" s="1"/>
  <c r="D31" i="16"/>
  <c r="E28" s="1"/>
  <c r="E29" s="1"/>
  <c r="E30" s="1"/>
  <c r="C13"/>
  <c r="H131" i="32" l="1"/>
  <c r="I131" s="1"/>
  <c r="F10" i="17"/>
  <c r="F17" s="1"/>
  <c r="E19" i="9"/>
  <c r="H63" i="4"/>
  <c r="K24" i="32"/>
  <c r="K162"/>
  <c r="K9" i="4" s="1"/>
  <c r="H10" i="12" s="1"/>
  <c r="L22" i="32"/>
  <c r="L23" s="1"/>
  <c r="M17" i="5"/>
  <c r="F33" i="4"/>
  <c r="F35" s="1"/>
  <c r="H124"/>
  <c r="H126" s="1"/>
  <c r="H85" s="1"/>
  <c r="H107" s="1"/>
  <c r="H64" i="3"/>
  <c r="H66" s="1"/>
  <c r="H28" i="4" s="1"/>
  <c r="D7" i="31" s="1"/>
  <c r="G64" i="3"/>
  <c r="G66" s="1"/>
  <c r="G28" i="4" s="1"/>
  <c r="C7" i="31" s="1"/>
  <c r="G124" i="4"/>
  <c r="G126" s="1"/>
  <c r="G85" s="1"/>
  <c r="G107" s="1"/>
  <c r="L80" i="3"/>
  <c r="L86"/>
  <c r="L92"/>
  <c r="L98"/>
  <c r="L104"/>
  <c r="L110"/>
  <c r="L116"/>
  <c r="L122"/>
  <c r="L128"/>
  <c r="L134"/>
  <c r="L140"/>
  <c r="L146"/>
  <c r="L152"/>
  <c r="L158"/>
  <c r="L164"/>
  <c r="K168"/>
  <c r="K61" s="1"/>
  <c r="L97"/>
  <c r="L109"/>
  <c r="L151"/>
  <c r="L91"/>
  <c r="L145"/>
  <c r="L79"/>
  <c r="L127"/>
  <c r="L115"/>
  <c r="L103"/>
  <c r="L157"/>
  <c r="L163"/>
  <c r="L85"/>
  <c r="L139"/>
  <c r="L133"/>
  <c r="L121"/>
  <c r="K167"/>
  <c r="H24" i="4"/>
  <c r="D28" i="31" s="1"/>
  <c r="K166" i="3"/>
  <c r="L90"/>
  <c r="L132"/>
  <c r="L138"/>
  <c r="L144"/>
  <c r="L150"/>
  <c r="L156"/>
  <c r="L162"/>
  <c r="L102"/>
  <c r="L114"/>
  <c r="L84"/>
  <c r="L78"/>
  <c r="L120"/>
  <c r="L96"/>
  <c r="L108"/>
  <c r="L126"/>
  <c r="H203" i="32"/>
  <c r="H205" s="1"/>
  <c r="K180"/>
  <c r="K15" i="4" s="1"/>
  <c r="H16" i="12" s="1"/>
  <c r="K72" i="32"/>
  <c r="J195"/>
  <c r="J20" i="4" s="1"/>
  <c r="G21" i="12" s="1"/>
  <c r="J112" i="32"/>
  <c r="J192"/>
  <c r="J19" i="4" s="1"/>
  <c r="G20" i="12" s="1"/>
  <c r="J104" i="32"/>
  <c r="J177"/>
  <c r="J14" i="4" s="1"/>
  <c r="G15" i="12" s="1"/>
  <c r="J64" i="32"/>
  <c r="J198"/>
  <c r="J21" i="4" s="1"/>
  <c r="G22" i="12" s="1"/>
  <c r="J120" i="32"/>
  <c r="J168"/>
  <c r="J11" i="4" s="1"/>
  <c r="J40" i="32"/>
  <c r="J189"/>
  <c r="J18" i="4" s="1"/>
  <c r="G19" i="12" s="1"/>
  <c r="J96" i="32"/>
  <c r="K186"/>
  <c r="K17" i="4" s="1"/>
  <c r="H18" i="12" s="1"/>
  <c r="K88" i="32"/>
  <c r="K183"/>
  <c r="K16" i="4" s="1"/>
  <c r="K80" i="32"/>
  <c r="K171"/>
  <c r="K12" i="4" s="1"/>
  <c r="H13" i="12" s="1"/>
  <c r="K48" i="32"/>
  <c r="K165"/>
  <c r="K10" i="4" s="1"/>
  <c r="H11" i="12" s="1"/>
  <c r="K32" i="32"/>
  <c r="J159"/>
  <c r="J8" i="4" s="1"/>
  <c r="G9" i="12" s="1"/>
  <c r="J16" i="32"/>
  <c r="K55" i="36"/>
  <c r="K68" s="1"/>
  <c r="H12" i="15" s="1"/>
  <c r="K48" i="36"/>
  <c r="K67" s="1"/>
  <c r="H11" i="15" s="1"/>
  <c r="G87" i="4"/>
  <c r="D17" i="11" s="1"/>
  <c r="D19" s="1"/>
  <c r="K95" i="32"/>
  <c r="I203"/>
  <c r="I205" s="1"/>
  <c r="K63"/>
  <c r="K127"/>
  <c r="K108" i="4"/>
  <c r="L52"/>
  <c r="H33" i="9"/>
  <c r="J68" i="3"/>
  <c r="E12" i="12"/>
  <c r="E25" s="1"/>
  <c r="D8" i="10" s="1"/>
  <c r="K111" i="32"/>
  <c r="K174"/>
  <c r="K13" i="4" s="1"/>
  <c r="H14" i="12" s="1"/>
  <c r="D6" i="31"/>
  <c r="D22" s="1"/>
  <c r="I31" i="3"/>
  <c r="I33" s="1"/>
  <c r="I27" i="4" s="1"/>
  <c r="F10" i="13" s="1"/>
  <c r="J130" i="32"/>
  <c r="K98"/>
  <c r="K103" s="1"/>
  <c r="K104" s="1"/>
  <c r="L141" i="5"/>
  <c r="K34" i="32"/>
  <c r="K39" s="1"/>
  <c r="L117" i="5"/>
  <c r="K119" i="32"/>
  <c r="M132" i="5"/>
  <c r="L74" i="32"/>
  <c r="L79" s="1"/>
  <c r="M120" i="5"/>
  <c r="L42" i="32"/>
  <c r="L47" s="1"/>
  <c r="N34" i="5"/>
  <c r="M44" i="32"/>
  <c r="M45" s="1"/>
  <c r="M76"/>
  <c r="M77" s="1"/>
  <c r="N54" i="5"/>
  <c r="K7" i="32"/>
  <c r="L8" i="5"/>
  <c r="K53" i="3"/>
  <c r="K23"/>
  <c r="L116" i="32"/>
  <c r="L117" s="1"/>
  <c r="M79" i="5"/>
  <c r="F10" i="15"/>
  <c r="I70" i="36"/>
  <c r="L167" i="32"/>
  <c r="L53" i="36"/>
  <c r="L51"/>
  <c r="L52"/>
  <c r="L58"/>
  <c r="L69" s="1"/>
  <c r="I13" i="15" s="1"/>
  <c r="L43" i="36"/>
  <c r="L44"/>
  <c r="L41"/>
  <c r="L46"/>
  <c r="L37"/>
  <c r="L45"/>
  <c r="L42"/>
  <c r="M66" i="32"/>
  <c r="N129" i="5"/>
  <c r="K49" i="3"/>
  <c r="M84" i="32"/>
  <c r="M85" s="1"/>
  <c r="N59" i="5"/>
  <c r="H74" i="4"/>
  <c r="F21" i="16"/>
  <c r="J58" i="3"/>
  <c r="J60"/>
  <c r="J59"/>
  <c r="J55"/>
  <c r="J56"/>
  <c r="M50" i="32"/>
  <c r="N123" i="5"/>
  <c r="M44"/>
  <c r="L60" i="32"/>
  <c r="L61" s="1"/>
  <c r="L108"/>
  <c r="L109" s="1"/>
  <c r="M74" i="5"/>
  <c r="M126"/>
  <c r="L58" i="32"/>
  <c r="L63" s="1"/>
  <c r="C17" i="16"/>
  <c r="M28" i="32"/>
  <c r="M29" s="1"/>
  <c r="N24" i="5"/>
  <c r="K19" i="3"/>
  <c r="K38" i="36"/>
  <c r="K15" i="32"/>
  <c r="C25" i="16"/>
  <c r="D22" s="1"/>
  <c r="D23" s="1"/>
  <c r="D24" s="1"/>
  <c r="D25" s="1"/>
  <c r="E22" s="1"/>
  <c r="E23" s="1"/>
  <c r="E24" s="1"/>
  <c r="E25" s="1"/>
  <c r="F22" s="1"/>
  <c r="F23" s="1"/>
  <c r="F24" s="1"/>
  <c r="M108" i="5"/>
  <c r="L10" i="32"/>
  <c r="E17" i="11"/>
  <c r="E19" s="1"/>
  <c r="D25" i="31"/>
  <c r="L92" i="32"/>
  <c r="L93" s="1"/>
  <c r="M64" i="5"/>
  <c r="L14" i="32"/>
  <c r="L12"/>
  <c r="L13" s="1"/>
  <c r="M14" i="5"/>
  <c r="I57" i="3"/>
  <c r="J28"/>
  <c r="J27"/>
  <c r="J25"/>
  <c r="J26"/>
  <c r="L36" i="32"/>
  <c r="L37" s="1"/>
  <c r="M29" i="5"/>
  <c r="F5" i="31"/>
  <c r="L40" i="3"/>
  <c r="L14"/>
  <c r="L10"/>
  <c r="L11"/>
  <c r="L46"/>
  <c r="L42"/>
  <c r="L45"/>
  <c r="L41"/>
  <c r="L8"/>
  <c r="L38"/>
  <c r="L9"/>
  <c r="L16"/>
  <c r="L44"/>
  <c r="L43"/>
  <c r="L12"/>
  <c r="L13"/>
  <c r="L39"/>
  <c r="L17"/>
  <c r="L15"/>
  <c r="L179" i="32"/>
  <c r="L188"/>
  <c r="M138" i="5"/>
  <c r="L90" i="32"/>
  <c r="M114"/>
  <c r="N147" i="5"/>
  <c r="L124" i="32"/>
  <c r="L125" s="1"/>
  <c r="M84" i="5"/>
  <c r="M82" i="32"/>
  <c r="N135" i="5"/>
  <c r="M52" i="32"/>
  <c r="M53" s="1"/>
  <c r="N39" i="5"/>
  <c r="L100" i="32"/>
  <c r="L101" s="1"/>
  <c r="M69" i="5"/>
  <c r="E15" i="16"/>
  <c r="G73" i="4"/>
  <c r="M170" i="5"/>
  <c r="M167"/>
  <c r="M164"/>
  <c r="M155"/>
  <c r="M92"/>
  <c r="M167" i="32" s="1"/>
  <c r="M98" i="5"/>
  <c r="M101"/>
  <c r="N5"/>
  <c r="M89"/>
  <c r="M94"/>
  <c r="M97"/>
  <c r="M103"/>
  <c r="M200" i="32" s="1"/>
  <c r="M6" i="36"/>
  <c r="M91" i="5"/>
  <c r="M102"/>
  <c r="M197" i="32" s="1"/>
  <c r="M90" i="5"/>
  <c r="M99"/>
  <c r="M188" i="32" s="1"/>
  <c r="M93" i="5"/>
  <c r="M161"/>
  <c r="M100"/>
  <c r="M96"/>
  <c r="M179" i="32" s="1"/>
  <c r="M95" i="5"/>
  <c r="M158"/>
  <c r="M5" i="3"/>
  <c r="L172" i="5"/>
  <c r="M144"/>
  <c r="L106" i="32"/>
  <c r="E9" i="16"/>
  <c r="G72" i="4"/>
  <c r="D33" i="16"/>
  <c r="D16" i="9" s="1"/>
  <c r="M68" i="32"/>
  <c r="M69" s="1"/>
  <c r="N49" i="5"/>
  <c r="F87" i="4"/>
  <c r="F110"/>
  <c r="F112" s="1"/>
  <c r="M150" i="5"/>
  <c r="L122" i="32"/>
  <c r="O20"/>
  <c r="O21" s="1"/>
  <c r="P19" i="5"/>
  <c r="M18" i="32"/>
  <c r="N111" i="5"/>
  <c r="G10" i="15"/>
  <c r="G15" s="1"/>
  <c r="J70" i="36"/>
  <c r="M114" i="5"/>
  <c r="L26" i="32"/>
  <c r="L31" s="1"/>
  <c r="J60" i="36"/>
  <c r="J63" s="1"/>
  <c r="N82" i="5"/>
  <c r="N126" i="32" s="1"/>
  <c r="M126"/>
  <c r="L118"/>
  <c r="M77" i="5"/>
  <c r="N72"/>
  <c r="N110" i="32" s="1"/>
  <c r="M110"/>
  <c r="F20" i="12"/>
  <c r="M67" i="5"/>
  <c r="L102" i="32"/>
  <c r="N62" i="5"/>
  <c r="N94" i="32" s="1"/>
  <c r="M94"/>
  <c r="J17" i="4"/>
  <c r="M57" i="5"/>
  <c r="L86" i="32"/>
  <c r="L87" s="1"/>
  <c r="L88" s="1"/>
  <c r="N52" i="5"/>
  <c r="N78" i="32" s="1"/>
  <c r="M78"/>
  <c r="L70"/>
  <c r="L71" s="1"/>
  <c r="L72" s="1"/>
  <c r="M47" i="5"/>
  <c r="M62" i="32"/>
  <c r="N42" i="5"/>
  <c r="N62" i="32" s="1"/>
  <c r="J13" i="4"/>
  <c r="M37" i="5"/>
  <c r="L54" i="32"/>
  <c r="L55" s="1"/>
  <c r="L56" s="1"/>
  <c r="M46"/>
  <c r="N32" i="5"/>
  <c r="N46" i="32" s="1"/>
  <c r="F12" i="12"/>
  <c r="I24" i="4"/>
  <c r="L38" i="32"/>
  <c r="M27" i="5"/>
  <c r="G11" i="12"/>
  <c r="M30" i="32"/>
  <c r="N22" i="5"/>
  <c r="N30" i="32" s="1"/>
  <c r="E31" i="16"/>
  <c r="F28" s="1"/>
  <c r="F29" s="1"/>
  <c r="F30" s="1"/>
  <c r="B12" i="10"/>
  <c r="F64" i="4"/>
  <c r="B8" i="31"/>
  <c r="B15" s="1"/>
  <c r="B16" s="1"/>
  <c r="S10" i="2"/>
  <c r="Q12"/>
  <c r="J75" i="4"/>
  <c r="H27" i="16"/>
  <c r="D10"/>
  <c r="D11" s="1"/>
  <c r="L24" i="32" l="1"/>
  <c r="L162"/>
  <c r="G10" i="17"/>
  <c r="G17" s="1"/>
  <c r="I63" i="4"/>
  <c r="F19" i="9"/>
  <c r="N17" i="5"/>
  <c r="N22" i="32" s="1"/>
  <c r="M22"/>
  <c r="M23" s="1"/>
  <c r="M24" s="1"/>
  <c r="D11" i="13"/>
  <c r="D14" s="1"/>
  <c r="C10" i="10" s="1"/>
  <c r="C12" s="1"/>
  <c r="H29" i="4"/>
  <c r="H33" s="1"/>
  <c r="H35" s="1"/>
  <c r="E11" i="13"/>
  <c r="E14" s="1"/>
  <c r="D10" i="10" s="1"/>
  <c r="D12" s="1"/>
  <c r="E24" i="11"/>
  <c r="H117" i="4"/>
  <c r="J203" i="32"/>
  <c r="J205" s="1"/>
  <c r="G117" i="4"/>
  <c r="G118" s="1"/>
  <c r="G90" s="1"/>
  <c r="C8" i="31" s="1"/>
  <c r="C15" s="1"/>
  <c r="C16" s="1"/>
  <c r="G127" i="4"/>
  <c r="H127" s="1"/>
  <c r="J57" i="3"/>
  <c r="J124" i="4" s="1"/>
  <c r="J126" s="1"/>
  <c r="J85" s="1"/>
  <c r="J107" s="1"/>
  <c r="G29"/>
  <c r="G31" s="1"/>
  <c r="G5" i="31"/>
  <c r="K62" i="3"/>
  <c r="L168"/>
  <c r="L61" s="1"/>
  <c r="M80"/>
  <c r="M86"/>
  <c r="M92"/>
  <c r="M98"/>
  <c r="M104"/>
  <c r="M110"/>
  <c r="M116"/>
  <c r="M122"/>
  <c r="M128"/>
  <c r="M134"/>
  <c r="M140"/>
  <c r="M146"/>
  <c r="M152"/>
  <c r="M158"/>
  <c r="M164"/>
  <c r="L167"/>
  <c r="M85"/>
  <c r="M103"/>
  <c r="M115"/>
  <c r="M127"/>
  <c r="M139"/>
  <c r="M151"/>
  <c r="M79"/>
  <c r="M91"/>
  <c r="M97"/>
  <c r="M109"/>
  <c r="M121"/>
  <c r="M133"/>
  <c r="M145"/>
  <c r="M157"/>
  <c r="M163"/>
  <c r="K29"/>
  <c r="M162"/>
  <c r="M156"/>
  <c r="M150"/>
  <c r="M138"/>
  <c r="M132"/>
  <c r="M96"/>
  <c r="M84"/>
  <c r="M144"/>
  <c r="M126"/>
  <c r="M120"/>
  <c r="M114"/>
  <c r="M108"/>
  <c r="M102"/>
  <c r="M78"/>
  <c r="M90"/>
  <c r="L166"/>
  <c r="L29" s="1"/>
  <c r="E6" i="31"/>
  <c r="E22" s="1"/>
  <c r="L123" i="4"/>
  <c r="G93"/>
  <c r="H93" s="1"/>
  <c r="H54" s="1"/>
  <c r="E35" i="9" s="1"/>
  <c r="K198" i="32"/>
  <c r="K21" i="4" s="1"/>
  <c r="H22" i="12" s="1"/>
  <c r="K120" i="32"/>
  <c r="K201"/>
  <c r="K22" i="4" s="1"/>
  <c r="H23" i="12" s="1"/>
  <c r="K128" i="32"/>
  <c r="L171"/>
  <c r="L12" i="4" s="1"/>
  <c r="L48" i="32"/>
  <c r="K189"/>
  <c r="K18" i="4" s="1"/>
  <c r="H19" i="12" s="1"/>
  <c r="K96" i="32"/>
  <c r="K159"/>
  <c r="K8" i="4" s="1"/>
  <c r="H9" i="12" s="1"/>
  <c r="K16" i="32"/>
  <c r="K168"/>
  <c r="K11" i="4" s="1"/>
  <c r="K40" i="32"/>
  <c r="K195"/>
  <c r="K20" i="4" s="1"/>
  <c r="H21" i="12" s="1"/>
  <c r="K112" i="32"/>
  <c r="L165"/>
  <c r="L32"/>
  <c r="L177"/>
  <c r="L14" i="4" s="1"/>
  <c r="I15" i="12" s="1"/>
  <c r="L64" i="32"/>
  <c r="L183"/>
  <c r="L16" i="4" s="1"/>
  <c r="I17" i="12" s="1"/>
  <c r="L80" i="32"/>
  <c r="K177"/>
  <c r="K14" i="4" s="1"/>
  <c r="H15" i="12" s="1"/>
  <c r="K64" i="32"/>
  <c r="L55" i="36"/>
  <c r="L68" s="1"/>
  <c r="I12" i="15" s="1"/>
  <c r="L48" i="36"/>
  <c r="C25" i="31"/>
  <c r="C31" s="1"/>
  <c r="I64" i="3"/>
  <c r="I66" s="1"/>
  <c r="I28" i="4" s="1"/>
  <c r="F11" i="13" s="1"/>
  <c r="F14" s="1"/>
  <c r="E10" i="10" s="1"/>
  <c r="I124" i="4"/>
  <c r="I126" s="1"/>
  <c r="D24" i="11"/>
  <c r="L108" i="4"/>
  <c r="I33" i="9"/>
  <c r="M52" i="4"/>
  <c r="F25" i="12"/>
  <c r="E8" i="10" s="1"/>
  <c r="L95" i="32"/>
  <c r="L96" s="1"/>
  <c r="L127"/>
  <c r="L111"/>
  <c r="J131"/>
  <c r="K192"/>
  <c r="K19" i="4" s="1"/>
  <c r="H20" i="12" s="1"/>
  <c r="K130" i="32"/>
  <c r="L98"/>
  <c r="L103" s="1"/>
  <c r="M141" i="5"/>
  <c r="D31" i="31"/>
  <c r="L34" i="32"/>
  <c r="L39" s="1"/>
  <c r="M117" i="5"/>
  <c r="M172"/>
  <c r="O111"/>
  <c r="N18" i="32"/>
  <c r="Q19" i="5"/>
  <c r="P20" i="32"/>
  <c r="P21" s="1"/>
  <c r="M16" i="3"/>
  <c r="M43"/>
  <c r="M40"/>
  <c r="M15"/>
  <c r="M9"/>
  <c r="M14"/>
  <c r="M41"/>
  <c r="M17"/>
  <c r="M45"/>
  <c r="M38"/>
  <c r="M44"/>
  <c r="M42"/>
  <c r="M123" i="4" s="1"/>
  <c r="M8" i="3"/>
  <c r="M39"/>
  <c r="M46"/>
  <c r="M13"/>
  <c r="M10"/>
  <c r="M11"/>
  <c r="M12"/>
  <c r="M161" i="32"/>
  <c r="N52"/>
  <c r="N53" s="1"/>
  <c r="O39" i="5"/>
  <c r="M58" i="32"/>
  <c r="N126" i="5"/>
  <c r="M122" i="32"/>
  <c r="N150" i="5"/>
  <c r="M158" i="32"/>
  <c r="K66" i="36"/>
  <c r="K60"/>
  <c r="K63" s="1"/>
  <c r="N28" i="32"/>
  <c r="N29" s="1"/>
  <c r="O24" i="5"/>
  <c r="O123"/>
  <c r="N50" i="32"/>
  <c r="N79" i="5"/>
  <c r="M116" i="32"/>
  <c r="M117" s="1"/>
  <c r="L53" i="3"/>
  <c r="L23"/>
  <c r="M8" i="5"/>
  <c r="L7" i="32"/>
  <c r="C17" i="11"/>
  <c r="C19" s="1"/>
  <c r="B25" i="31"/>
  <c r="B31" s="1"/>
  <c r="B32" s="1"/>
  <c r="M176" i="32"/>
  <c r="M170"/>
  <c r="M164"/>
  <c r="M173"/>
  <c r="M185"/>
  <c r="N69" i="5"/>
  <c r="M100" i="32"/>
  <c r="M101" s="1"/>
  <c r="O135" i="5"/>
  <c r="N82" i="32"/>
  <c r="N14" i="5"/>
  <c r="M12" i="32"/>
  <c r="M13" s="1"/>
  <c r="M92"/>
  <c r="M93" s="1"/>
  <c r="N64" i="5"/>
  <c r="K68" i="3"/>
  <c r="I74" i="4"/>
  <c r="G21" i="16"/>
  <c r="O129" i="5"/>
  <c r="N66" i="32"/>
  <c r="F15" i="15"/>
  <c r="K55" i="3"/>
  <c r="K58"/>
  <c r="K56"/>
  <c r="K60"/>
  <c r="K59"/>
  <c r="M42" i="32"/>
  <c r="M47" s="1"/>
  <c r="M48" s="1"/>
  <c r="N120" i="5"/>
  <c r="L119" i="32"/>
  <c r="G76" i="4"/>
  <c r="G60" s="1"/>
  <c r="L19" i="3"/>
  <c r="L38" i="36"/>
  <c r="M191" i="32"/>
  <c r="N161" i="5"/>
  <c r="N158"/>
  <c r="N155"/>
  <c r="N99"/>
  <c r="N188" i="32" s="1"/>
  <c r="N90" i="5"/>
  <c r="N161" i="32" s="1"/>
  <c r="N95" i="5"/>
  <c r="N176" i="32" s="1"/>
  <c r="N102" i="5"/>
  <c r="N101"/>
  <c r="N194" i="32" s="1"/>
  <c r="O5" i="5"/>
  <c r="N98"/>
  <c r="N185" i="32" s="1"/>
  <c r="N97" i="5"/>
  <c r="N182" i="32" s="1"/>
  <c r="N96" i="5"/>
  <c r="N179" i="32" s="1"/>
  <c r="N170" i="5"/>
  <c r="N164"/>
  <c r="N89"/>
  <c r="N158" i="32" s="1"/>
  <c r="N91" i="5"/>
  <c r="N164" i="32" s="1"/>
  <c r="N6" i="36"/>
  <c r="N100" i="5"/>
  <c r="N191" i="32" s="1"/>
  <c r="N94" i="5"/>
  <c r="N173" i="32" s="1"/>
  <c r="N5" i="3"/>
  <c r="N92" i="5"/>
  <c r="N167" i="32" s="1"/>
  <c r="N93" i="5"/>
  <c r="N170" i="32" s="1"/>
  <c r="N167" i="5"/>
  <c r="N103"/>
  <c r="N200" i="32" s="1"/>
  <c r="M124"/>
  <c r="M125" s="1"/>
  <c r="N84" i="5"/>
  <c r="M90" i="32"/>
  <c r="N138" i="5"/>
  <c r="N14" i="32"/>
  <c r="M14"/>
  <c r="M60"/>
  <c r="M61" s="1"/>
  <c r="N44" i="5"/>
  <c r="N84" i="32"/>
  <c r="N85" s="1"/>
  <c r="O59" i="5"/>
  <c r="N44" i="32"/>
  <c r="N45" s="1"/>
  <c r="O34" i="5"/>
  <c r="M74" i="32"/>
  <c r="M79" s="1"/>
  <c r="M80" s="1"/>
  <c r="N132" i="5"/>
  <c r="L9" i="4"/>
  <c r="I10" i="12" s="1"/>
  <c r="J87" i="4"/>
  <c r="J110"/>
  <c r="J112" s="1"/>
  <c r="N68" i="32"/>
  <c r="N69" s="1"/>
  <c r="O49" i="5"/>
  <c r="F9" i="16"/>
  <c r="E33"/>
  <c r="E16" i="9" s="1"/>
  <c r="H72" i="4"/>
  <c r="M58" i="36"/>
  <c r="M69" s="1"/>
  <c r="J13" i="15" s="1"/>
  <c r="M52" i="36"/>
  <c r="M37"/>
  <c r="M38" s="1"/>
  <c r="M53"/>
  <c r="M51"/>
  <c r="M42"/>
  <c r="M45"/>
  <c r="M41"/>
  <c r="M43"/>
  <c r="M44"/>
  <c r="M46"/>
  <c r="M10" i="32"/>
  <c r="N108" i="5"/>
  <c r="M26" i="32"/>
  <c r="M31" s="1"/>
  <c r="M32" s="1"/>
  <c r="N114" i="5"/>
  <c r="M106" i="32"/>
  <c r="N144" i="5"/>
  <c r="M182" i="32"/>
  <c r="M194"/>
  <c r="F15" i="16"/>
  <c r="H73" i="4"/>
  <c r="O147" i="5"/>
  <c r="N114" i="32"/>
  <c r="N29" i="5"/>
  <c r="M36" i="32"/>
  <c r="M37" s="1"/>
  <c r="J31" i="3"/>
  <c r="J33" s="1"/>
  <c r="J27" i="4" s="1"/>
  <c r="C18" i="16"/>
  <c r="C34"/>
  <c r="M108" i="32"/>
  <c r="M109" s="1"/>
  <c r="N74" i="5"/>
  <c r="K25" i="3"/>
  <c r="K27"/>
  <c r="K26"/>
  <c r="K28"/>
  <c r="O54" i="5"/>
  <c r="N76" i="32"/>
  <c r="N77" s="1"/>
  <c r="L67" i="36"/>
  <c r="I11" i="15" s="1"/>
  <c r="L49" i="3"/>
  <c r="L15" i="32"/>
  <c r="J24" i="4"/>
  <c r="F28" i="31" s="1"/>
  <c r="M118" i="32"/>
  <c r="N77" i="5"/>
  <c r="N118" i="32" s="1"/>
  <c r="M102"/>
  <c r="N67" i="5"/>
  <c r="N102" i="32" s="1"/>
  <c r="M86"/>
  <c r="M87" s="1"/>
  <c r="M88" s="1"/>
  <c r="N57" i="5"/>
  <c r="N86" i="32" s="1"/>
  <c r="G18" i="12"/>
  <c r="L186" i="32"/>
  <c r="H17" i="12"/>
  <c r="L180" i="32"/>
  <c r="M70"/>
  <c r="M71" s="1"/>
  <c r="N47" i="5"/>
  <c r="N70" i="32" s="1"/>
  <c r="M54"/>
  <c r="M55" s="1"/>
  <c r="N37" i="5"/>
  <c r="N54" i="32" s="1"/>
  <c r="G14" i="12"/>
  <c r="L174" i="32"/>
  <c r="G12" i="12"/>
  <c r="M38" i="32"/>
  <c r="N27" i="5"/>
  <c r="N38" i="32" s="1"/>
  <c r="E28" i="31"/>
  <c r="L10" i="4"/>
  <c r="F31" i="16"/>
  <c r="G28" s="1"/>
  <c r="G29" s="1"/>
  <c r="G30" s="1"/>
  <c r="F25"/>
  <c r="G22" s="1"/>
  <c r="G23" s="1"/>
  <c r="G24" s="1"/>
  <c r="D12"/>
  <c r="U10" i="2"/>
  <c r="U12" s="1"/>
  <c r="S12"/>
  <c r="F101" i="4"/>
  <c r="C13" i="11" s="1"/>
  <c r="C13" i="9"/>
  <c r="I27" i="16"/>
  <c r="K75" i="4"/>
  <c r="B18" i="31"/>
  <c r="H10" i="17" l="1"/>
  <c r="H17" s="1"/>
  <c r="J63" i="4"/>
  <c r="G19" i="9"/>
  <c r="H31" i="4"/>
  <c r="M162" i="32"/>
  <c r="M9" i="4" s="1"/>
  <c r="J10" i="12" s="1"/>
  <c r="N23" i="32"/>
  <c r="N24" s="1"/>
  <c r="M55" i="36"/>
  <c r="H118" i="4"/>
  <c r="H90" s="1"/>
  <c r="D8" i="31" s="1"/>
  <c r="D15" s="1"/>
  <c r="D16" s="1"/>
  <c r="G64" i="4"/>
  <c r="G101" s="1"/>
  <c r="D13" i="11" s="1"/>
  <c r="J64" i="3"/>
  <c r="J66" s="1"/>
  <c r="J28" i="4" s="1"/>
  <c r="F7" i="31" s="1"/>
  <c r="G33" i="4"/>
  <c r="G35" s="1"/>
  <c r="K57" i="3"/>
  <c r="L62"/>
  <c r="M168"/>
  <c r="M61" s="1"/>
  <c r="N80"/>
  <c r="N86"/>
  <c r="N92"/>
  <c r="N98"/>
  <c r="N104"/>
  <c r="N110"/>
  <c r="N122"/>
  <c r="N128"/>
  <c r="N140"/>
  <c r="N152"/>
  <c r="N164"/>
  <c r="N116"/>
  <c r="N134"/>
  <c r="N146"/>
  <c r="N158"/>
  <c r="H5" i="31"/>
  <c r="N157" i="3"/>
  <c r="N97"/>
  <c r="N91"/>
  <c r="N85"/>
  <c r="N163"/>
  <c r="N151"/>
  <c r="N145"/>
  <c r="N139"/>
  <c r="N133"/>
  <c r="N127"/>
  <c r="N121"/>
  <c r="N115"/>
  <c r="N109"/>
  <c r="N103"/>
  <c r="N79"/>
  <c r="M167"/>
  <c r="N90"/>
  <c r="N102"/>
  <c r="N114"/>
  <c r="N132"/>
  <c r="N144"/>
  <c r="N156"/>
  <c r="N78"/>
  <c r="N84"/>
  <c r="N96"/>
  <c r="N108"/>
  <c r="N120"/>
  <c r="N126"/>
  <c r="N138"/>
  <c r="N150"/>
  <c r="N162"/>
  <c r="M166"/>
  <c r="M29" s="1"/>
  <c r="G54" i="4"/>
  <c r="D35" i="9" s="1"/>
  <c r="G24" i="11"/>
  <c r="I127" i="4"/>
  <c r="J127" s="1"/>
  <c r="I85"/>
  <c r="I107" s="1"/>
  <c r="M180" i="32"/>
  <c r="M15" i="4" s="1"/>
  <c r="J16" i="12" s="1"/>
  <c r="M72" i="32"/>
  <c r="L168"/>
  <c r="L11" i="4" s="1"/>
  <c r="L40" i="32"/>
  <c r="L192"/>
  <c r="L104"/>
  <c r="L159"/>
  <c r="L8" i="4" s="1"/>
  <c r="I9" i="12" s="1"/>
  <c r="L16" i="32"/>
  <c r="L198"/>
  <c r="L21" i="4" s="1"/>
  <c r="L120" i="32"/>
  <c r="L201"/>
  <c r="L22" i="4" s="1"/>
  <c r="I23" i="12" s="1"/>
  <c r="L128" i="32"/>
  <c r="M174"/>
  <c r="M13" i="4" s="1"/>
  <c r="J14" i="12" s="1"/>
  <c r="M56" i="32"/>
  <c r="L195"/>
  <c r="L20" i="4" s="1"/>
  <c r="I21" i="12" s="1"/>
  <c r="L112" i="32"/>
  <c r="L189"/>
  <c r="L18" i="4" s="1"/>
  <c r="I19" i="12" s="1"/>
  <c r="E12" i="10"/>
  <c r="M48" i="36"/>
  <c r="M67" s="1"/>
  <c r="J11" i="15" s="1"/>
  <c r="C32" i="31"/>
  <c r="D32" s="1"/>
  <c r="E7"/>
  <c r="I29" i="4"/>
  <c r="I33" s="1"/>
  <c r="I35" s="1"/>
  <c r="I117"/>
  <c r="I118" s="1"/>
  <c r="I90" s="1"/>
  <c r="E8" i="31" s="1"/>
  <c r="J33" i="9"/>
  <c r="N52" i="4"/>
  <c r="M108"/>
  <c r="N71" i="32"/>
  <c r="M186"/>
  <c r="M17" i="4" s="1"/>
  <c r="J18" i="12" s="1"/>
  <c r="M111" i="32"/>
  <c r="M95"/>
  <c r="M63"/>
  <c r="J117" i="4"/>
  <c r="K203" i="32"/>
  <c r="K205" s="1"/>
  <c r="N117" i="5"/>
  <c r="M34" i="32"/>
  <c r="M39" s="1"/>
  <c r="N141" i="5"/>
  <c r="M98" i="32"/>
  <c r="M103" s="1"/>
  <c r="M127"/>
  <c r="K131"/>
  <c r="N55"/>
  <c r="M165"/>
  <c r="M183"/>
  <c r="M171"/>
  <c r="N36"/>
  <c r="N37" s="1"/>
  <c r="O29" i="5"/>
  <c r="F33" i="16"/>
  <c r="F16" i="9" s="1"/>
  <c r="I72" i="4"/>
  <c r="G9" i="16"/>
  <c r="N53" i="36"/>
  <c r="N41"/>
  <c r="N43"/>
  <c r="N52"/>
  <c r="N37"/>
  <c r="N58"/>
  <c r="N69" s="1"/>
  <c r="K13" i="15" s="1"/>
  <c r="N51" i="36"/>
  <c r="N44"/>
  <c r="N45"/>
  <c r="N46"/>
  <c r="N42"/>
  <c r="O170" i="5"/>
  <c r="O167"/>
  <c r="O164"/>
  <c r="O161"/>
  <c r="O158"/>
  <c r="O102"/>
  <c r="O197" i="32" s="1"/>
  <c r="O95" i="5"/>
  <c r="O101"/>
  <c r="O93"/>
  <c r="O170" i="32" s="1"/>
  <c r="O90" i="5"/>
  <c r="O161" i="32" s="1"/>
  <c r="O99" i="5"/>
  <c r="O97"/>
  <c r="O89"/>
  <c r="P5"/>
  <c r="O91"/>
  <c r="O98"/>
  <c r="O6" i="36"/>
  <c r="O100" i="5"/>
  <c r="O191" i="32" s="1"/>
  <c r="O94" i="5"/>
  <c r="O173" i="32" s="1"/>
  <c r="O155" i="5"/>
  <c r="O5" i="3"/>
  <c r="O103" i="5"/>
  <c r="O200" i="32" s="1"/>
  <c r="O96" i="5"/>
  <c r="O92"/>
  <c r="O167" i="32" s="1"/>
  <c r="O28"/>
  <c r="O29" s="1"/>
  <c r="P24" i="5"/>
  <c r="O126"/>
  <c r="N58" i="32"/>
  <c r="Q20"/>
  <c r="Q21" s="1"/>
  <c r="R19" i="5"/>
  <c r="O76" i="32"/>
  <c r="O77" s="1"/>
  <c r="P54" i="5"/>
  <c r="O74"/>
  <c r="N108" i="32"/>
  <c r="N109" s="1"/>
  <c r="O114" i="5"/>
  <c r="N26" i="32"/>
  <c r="N31" s="1"/>
  <c r="M66" i="36"/>
  <c r="L66"/>
  <c r="L60"/>
  <c r="L63" s="1"/>
  <c r="O120" i="5"/>
  <c r="N42" i="32"/>
  <c r="N47" s="1"/>
  <c r="I110" i="4"/>
  <c r="I112" s="1"/>
  <c r="I87"/>
  <c r="L55" i="3"/>
  <c r="L58"/>
  <c r="L60"/>
  <c r="L56"/>
  <c r="L59"/>
  <c r="H10" i="15"/>
  <c r="K70" i="36"/>
  <c r="M19" i="3"/>
  <c r="C19" i="16"/>
  <c r="G10" i="13"/>
  <c r="F6" i="31"/>
  <c r="F22" s="1"/>
  <c r="O114" i="32"/>
  <c r="P147" i="5"/>
  <c r="N197" i="32"/>
  <c r="L68" i="3"/>
  <c r="H21" i="16"/>
  <c r="J74" i="4"/>
  <c r="N92" i="32"/>
  <c r="N93" s="1"/>
  <c r="O64" i="5"/>
  <c r="L28" i="3"/>
  <c r="L26"/>
  <c r="L27"/>
  <c r="L25"/>
  <c r="O150" i="5"/>
  <c r="N122" i="32"/>
  <c r="O52"/>
  <c r="O53" s="1"/>
  <c r="P39" i="5"/>
  <c r="O18" i="32"/>
  <c r="O23" s="1"/>
  <c r="O24" s="1"/>
  <c r="P111" i="5"/>
  <c r="M15" i="32"/>
  <c r="N87"/>
  <c r="H76" i="4"/>
  <c r="H60" s="1"/>
  <c r="N172" i="5"/>
  <c r="M49" i="3"/>
  <c r="I73" i="4"/>
  <c r="G15" i="16"/>
  <c r="G17" i="11"/>
  <c r="G19" s="1"/>
  <c r="F25" i="31"/>
  <c r="O132" i="5"/>
  <c r="N74" i="32"/>
  <c r="N79" s="1"/>
  <c r="O84"/>
  <c r="O85" s="1"/>
  <c r="P59" i="5"/>
  <c r="N124" i="32"/>
  <c r="N125" s="1"/>
  <c r="O84" i="5"/>
  <c r="N100" i="32"/>
  <c r="N101" s="1"/>
  <c r="O69" i="5"/>
  <c r="O50" i="32"/>
  <c r="P123" i="5"/>
  <c r="F37" i="4"/>
  <c r="C35" i="16"/>
  <c r="F77" i="4"/>
  <c r="C10" i="11"/>
  <c r="B13" i="10"/>
  <c r="B16" s="1"/>
  <c r="O144" i="5"/>
  <c r="N106" i="32"/>
  <c r="O108" i="5"/>
  <c r="N10" i="32"/>
  <c r="O68"/>
  <c r="O69" s="1"/>
  <c r="P49" i="5"/>
  <c r="O44" i="32"/>
  <c r="O45" s="1"/>
  <c r="P34" i="5"/>
  <c r="N60" i="32"/>
  <c r="N61" s="1"/>
  <c r="O44" i="5"/>
  <c r="O138"/>
  <c r="N90" i="32"/>
  <c r="N12" i="3"/>
  <c r="N16"/>
  <c r="N45"/>
  <c r="N9"/>
  <c r="N44"/>
  <c r="N17"/>
  <c r="N42"/>
  <c r="N123" i="4" s="1"/>
  <c r="N39" i="3"/>
  <c r="N10"/>
  <c r="N8"/>
  <c r="N41"/>
  <c r="N43"/>
  <c r="N14"/>
  <c r="N13"/>
  <c r="N38"/>
  <c r="N11"/>
  <c r="N46"/>
  <c r="N15"/>
  <c r="N40"/>
  <c r="O66" i="32"/>
  <c r="P129" i="5"/>
  <c r="N12" i="32"/>
  <c r="N13" s="1"/>
  <c r="O14" i="5"/>
  <c r="O82" i="32"/>
  <c r="P135" i="5"/>
  <c r="M7" i="32"/>
  <c r="M53" i="3"/>
  <c r="M23"/>
  <c r="N8" i="5"/>
  <c r="N116" i="32"/>
  <c r="N117" s="1"/>
  <c r="N119" s="1"/>
  <c r="N120" s="1"/>
  <c r="O79" i="5"/>
  <c r="N162" i="32"/>
  <c r="N9" i="4" s="1"/>
  <c r="K10" i="12" s="1"/>
  <c r="L130" i="32"/>
  <c r="M119"/>
  <c r="K31" i="3"/>
  <c r="K33" s="1"/>
  <c r="K27" i="4" s="1"/>
  <c r="M68" i="36"/>
  <c r="J12" i="15" s="1"/>
  <c r="G25" i="12"/>
  <c r="F8" i="10" s="1"/>
  <c r="L19" i="4"/>
  <c r="L17"/>
  <c r="L15"/>
  <c r="L13"/>
  <c r="I13" i="12"/>
  <c r="H12"/>
  <c r="H25" s="1"/>
  <c r="G8" i="10" s="1"/>
  <c r="K24" i="4"/>
  <c r="I11" i="12"/>
  <c r="G31" i="16"/>
  <c r="H28" s="1"/>
  <c r="H29" s="1"/>
  <c r="H30" s="1"/>
  <c r="G25"/>
  <c r="H22" s="1"/>
  <c r="H23" s="1"/>
  <c r="H24" s="1"/>
  <c r="D13" i="9"/>
  <c r="D13" i="16"/>
  <c r="C18" i="31"/>
  <c r="L75" i="4"/>
  <c r="J27" i="16"/>
  <c r="I10" i="17" l="1"/>
  <c r="I17" s="1"/>
  <c r="H19" i="9"/>
  <c r="K63" i="4"/>
  <c r="K124"/>
  <c r="K126" s="1"/>
  <c r="K64" i="3"/>
  <c r="K66" s="1"/>
  <c r="K28" i="4" s="1"/>
  <c r="H11" i="13" s="1"/>
  <c r="L57" i="3"/>
  <c r="H64" i="4"/>
  <c r="I64" s="1"/>
  <c r="G11" i="13"/>
  <c r="G14" s="1"/>
  <c r="F10" i="10" s="1"/>
  <c r="F12" s="1"/>
  <c r="J29" i="4"/>
  <c r="J31" s="1"/>
  <c r="I21" i="31"/>
  <c r="M62" i="3"/>
  <c r="O80"/>
  <c r="O86"/>
  <c r="O92"/>
  <c r="O98"/>
  <c r="O104"/>
  <c r="O110"/>
  <c r="O116"/>
  <c r="O122"/>
  <c r="O128"/>
  <c r="O134"/>
  <c r="O140"/>
  <c r="O146"/>
  <c r="O152"/>
  <c r="O158"/>
  <c r="O164"/>
  <c r="N168"/>
  <c r="N61" s="1"/>
  <c r="O97"/>
  <c r="O109"/>
  <c r="O121"/>
  <c r="O133"/>
  <c r="O145"/>
  <c r="O85"/>
  <c r="O151"/>
  <c r="O79"/>
  <c r="O91"/>
  <c r="O103"/>
  <c r="O115"/>
  <c r="O127"/>
  <c r="O139"/>
  <c r="O157"/>
  <c r="O163"/>
  <c r="N167"/>
  <c r="O78"/>
  <c r="O90"/>
  <c r="O102"/>
  <c r="O114"/>
  <c r="O126"/>
  <c r="O138"/>
  <c r="O150"/>
  <c r="O162"/>
  <c r="O84"/>
  <c r="O96"/>
  <c r="O108"/>
  <c r="O120"/>
  <c r="O132"/>
  <c r="O144"/>
  <c r="O156"/>
  <c r="N166"/>
  <c r="N29" s="1"/>
  <c r="M192" i="32"/>
  <c r="M19" i="4" s="1"/>
  <c r="J20" i="12" s="1"/>
  <c r="M104" i="32"/>
  <c r="M159"/>
  <c r="M8" i="4" s="1"/>
  <c r="M16" i="32"/>
  <c r="M201"/>
  <c r="M22" i="4" s="1"/>
  <c r="J23" i="12" s="1"/>
  <c r="M128" i="32"/>
  <c r="M195"/>
  <c r="M20" i="4" s="1"/>
  <c r="J21" i="12" s="1"/>
  <c r="M112" i="32"/>
  <c r="N186"/>
  <c r="N17" i="4" s="1"/>
  <c r="K18" i="12" s="1"/>
  <c r="N88" i="32"/>
  <c r="N165"/>
  <c r="N10" i="4" s="1"/>
  <c r="K11" i="12" s="1"/>
  <c r="N32" i="32"/>
  <c r="M168"/>
  <c r="M40"/>
  <c r="M189"/>
  <c r="M18" i="4" s="1"/>
  <c r="J19" i="12" s="1"/>
  <c r="M96" i="32"/>
  <c r="M198"/>
  <c r="M21" i="4" s="1"/>
  <c r="J22" i="12" s="1"/>
  <c r="M120" i="32"/>
  <c r="N183"/>
  <c r="N16" i="4" s="1"/>
  <c r="K17" i="12" s="1"/>
  <c r="N80" i="32"/>
  <c r="N171"/>
  <c r="N12" i="4" s="1"/>
  <c r="K13" i="12" s="1"/>
  <c r="N48" i="32"/>
  <c r="N174"/>
  <c r="N13" i="4" s="1"/>
  <c r="K14" i="12" s="1"/>
  <c r="N56" i="32"/>
  <c r="M177"/>
  <c r="M14" i="4" s="1"/>
  <c r="J15" i="12" s="1"/>
  <c r="M64" i="32"/>
  <c r="N180"/>
  <c r="N15" i="4" s="1"/>
  <c r="K16" i="12" s="1"/>
  <c r="N72" i="32"/>
  <c r="L203"/>
  <c r="L205" s="1"/>
  <c r="N55" i="36"/>
  <c r="N68" s="1"/>
  <c r="K12" i="15" s="1"/>
  <c r="N48" i="36"/>
  <c r="N67" s="1"/>
  <c r="K11" i="15" s="1"/>
  <c r="E15" i="31"/>
  <c r="E16" s="1"/>
  <c r="I31" i="4"/>
  <c r="N111" i="32"/>
  <c r="F24" i="11"/>
  <c r="I93" i="4"/>
  <c r="I54" s="1"/>
  <c r="F35" i="9" s="1"/>
  <c r="J118" i="4"/>
  <c r="J90" s="1"/>
  <c r="F8" i="31" s="1"/>
  <c r="F15" s="1"/>
  <c r="N108" i="4"/>
  <c r="O52"/>
  <c r="K33" i="9"/>
  <c r="N198" i="32"/>
  <c r="N21" i="4" s="1"/>
  <c r="K22" i="12" s="1"/>
  <c r="N95" i="32"/>
  <c r="N96" s="1"/>
  <c r="L131"/>
  <c r="N15"/>
  <c r="O117" i="5"/>
  <c r="N34" i="32"/>
  <c r="N39" s="1"/>
  <c r="M130"/>
  <c r="O71"/>
  <c r="O72" s="1"/>
  <c r="O55"/>
  <c r="F31" i="31"/>
  <c r="O141" i="5"/>
  <c r="N98" i="32"/>
  <c r="N103" s="1"/>
  <c r="O162"/>
  <c r="O9" i="4" s="1"/>
  <c r="L10" i="12" s="1"/>
  <c r="G6" i="31"/>
  <c r="G22" s="1"/>
  <c r="H10" i="13"/>
  <c r="F78" i="4"/>
  <c r="F61" s="1"/>
  <c r="F62" s="1"/>
  <c r="C17" i="9"/>
  <c r="C18" s="1"/>
  <c r="P84" i="32"/>
  <c r="P85" s="1"/>
  <c r="Q59" i="5"/>
  <c r="O92" i="32"/>
  <c r="O93" s="1"/>
  <c r="P64" i="5"/>
  <c r="Q147"/>
  <c r="P114" i="32"/>
  <c r="M68" i="3"/>
  <c r="J10" i="15"/>
  <c r="J15" s="1"/>
  <c r="M70" i="36"/>
  <c r="O42" i="3"/>
  <c r="O123" i="4" s="1"/>
  <c r="O41" i="3"/>
  <c r="O10"/>
  <c r="O43"/>
  <c r="O15"/>
  <c r="O14"/>
  <c r="O39"/>
  <c r="O38"/>
  <c r="O17"/>
  <c r="O40"/>
  <c r="O8"/>
  <c r="O16"/>
  <c r="O13"/>
  <c r="O45"/>
  <c r="O11"/>
  <c r="O12"/>
  <c r="O46"/>
  <c r="O44"/>
  <c r="O9"/>
  <c r="O158" i="32"/>
  <c r="G33" i="16"/>
  <c r="G16" i="9" s="1"/>
  <c r="H9" i="16"/>
  <c r="J72" i="4"/>
  <c r="M12"/>
  <c r="M10"/>
  <c r="Q39" i="5"/>
  <c r="P52" i="32"/>
  <c r="P53" s="1"/>
  <c r="K74" i="4"/>
  <c r="I21" i="16"/>
  <c r="R20" i="32"/>
  <c r="R21" s="1"/>
  <c r="S19" i="5"/>
  <c r="P28" i="32"/>
  <c r="P29" s="1"/>
  <c r="Q24" i="5"/>
  <c r="P158"/>
  <c r="P155"/>
  <c r="P161"/>
  <c r="P170"/>
  <c r="P167"/>
  <c r="P164"/>
  <c r="P97"/>
  <c r="P182" i="32" s="1"/>
  <c r="P101" i="5"/>
  <c r="P194" i="32" s="1"/>
  <c r="P98" i="5"/>
  <c r="P185" i="32" s="1"/>
  <c r="P90" i="5"/>
  <c r="P161" i="32" s="1"/>
  <c r="P96" i="5"/>
  <c r="P179" i="32" s="1"/>
  <c r="P99" i="5"/>
  <c r="P188" i="32" s="1"/>
  <c r="P102" i="5"/>
  <c r="P197" i="32" s="1"/>
  <c r="P93" i="5"/>
  <c r="P170" i="32" s="1"/>
  <c r="P91" i="5"/>
  <c r="P164" i="32" s="1"/>
  <c r="P94" i="5"/>
  <c r="P6" i="36"/>
  <c r="P92" i="5"/>
  <c r="P167" i="32" s="1"/>
  <c r="P100" i="5"/>
  <c r="P191" i="32" s="1"/>
  <c r="P5" i="3"/>
  <c r="Q5" i="5"/>
  <c r="P103"/>
  <c r="P200" i="32" s="1"/>
  <c r="P89" i="5"/>
  <c r="P158" i="32" s="1"/>
  <c r="P95" i="5"/>
  <c r="P176" i="32" s="1"/>
  <c r="O36"/>
  <c r="O37" s="1"/>
  <c r="P29" i="5"/>
  <c r="O116" i="32"/>
  <c r="O117" s="1"/>
  <c r="O119" s="1"/>
  <c r="P79" i="5"/>
  <c r="M56" i="3"/>
  <c r="M58"/>
  <c r="M55"/>
  <c r="M59"/>
  <c r="M60"/>
  <c r="Q135" i="5"/>
  <c r="P82" i="32"/>
  <c r="Q129" i="5"/>
  <c r="P66" i="32"/>
  <c r="O90"/>
  <c r="P138" i="5"/>
  <c r="O10" i="32"/>
  <c r="P108" i="5"/>
  <c r="Q123"/>
  <c r="P50" i="32"/>
  <c r="O124"/>
  <c r="O125" s="1"/>
  <c r="P84" i="5"/>
  <c r="J73" i="4"/>
  <c r="H15" i="16"/>
  <c r="O122" i="32"/>
  <c r="P150" i="5"/>
  <c r="H15" i="15"/>
  <c r="I10"/>
  <c r="I15" s="1"/>
  <c r="L70" i="36"/>
  <c r="O26" i="32"/>
  <c r="O31" s="1"/>
  <c r="O32" s="1"/>
  <c r="P114" i="5"/>
  <c r="O58" i="32"/>
  <c r="P126" i="5"/>
  <c r="O179" i="32"/>
  <c r="O164"/>
  <c r="O188"/>
  <c r="O176"/>
  <c r="M16" i="4"/>
  <c r="J17" i="12" s="1"/>
  <c r="L31" i="3"/>
  <c r="L33" s="1"/>
  <c r="L27" i="4" s="1"/>
  <c r="M60" i="36"/>
  <c r="M63" s="1"/>
  <c r="N38"/>
  <c r="N53" i="3"/>
  <c r="N23"/>
  <c r="N7" i="32"/>
  <c r="J11" i="34" s="1"/>
  <c r="O8" i="5"/>
  <c r="O12" i="32"/>
  <c r="O13" s="1"/>
  <c r="P14" i="5"/>
  <c r="O106" i="32"/>
  <c r="P144" i="5"/>
  <c r="P69"/>
  <c r="O100" i="32"/>
  <c r="O101" s="1"/>
  <c r="O42"/>
  <c r="O47" s="1"/>
  <c r="P120" i="5"/>
  <c r="O108" i="32"/>
  <c r="O109" s="1"/>
  <c r="P74" i="5"/>
  <c r="O37" i="36"/>
  <c r="O58"/>
  <c r="O69" s="1"/>
  <c r="L13" i="15" s="1"/>
  <c r="O51" i="36"/>
  <c r="O46"/>
  <c r="O43"/>
  <c r="O52"/>
  <c r="O41"/>
  <c r="O42"/>
  <c r="O53"/>
  <c r="O45"/>
  <c r="O44"/>
  <c r="O60" i="32"/>
  <c r="O61" s="1"/>
  <c r="P44" i="5"/>
  <c r="P68" i="32"/>
  <c r="P69" s="1"/>
  <c r="Q49" i="5"/>
  <c r="O74" i="32"/>
  <c r="O79" s="1"/>
  <c r="O80" s="1"/>
  <c r="P132" i="5"/>
  <c r="M27" i="3"/>
  <c r="M26"/>
  <c r="M28"/>
  <c r="M25"/>
  <c r="P44" i="32"/>
  <c r="P45" s="1"/>
  <c r="Q34" i="5"/>
  <c r="F41" i="4"/>
  <c r="F97"/>
  <c r="Q111" i="5"/>
  <c r="P18" i="32"/>
  <c r="P23" s="1"/>
  <c r="P24" s="1"/>
  <c r="D16" i="16"/>
  <c r="D17" s="1"/>
  <c r="C36"/>
  <c r="F79" i="4" s="1"/>
  <c r="E25" i="31"/>
  <c r="E31" s="1"/>
  <c r="E32" s="1"/>
  <c r="F17" i="11"/>
  <c r="F19" s="1"/>
  <c r="P76" i="32"/>
  <c r="P77" s="1"/>
  <c r="Q54" i="5"/>
  <c r="O185" i="32"/>
  <c r="O182"/>
  <c r="O194"/>
  <c r="N19" i="3"/>
  <c r="N49"/>
  <c r="O87" i="32"/>
  <c r="O88" s="1"/>
  <c r="N127"/>
  <c r="N128" s="1"/>
  <c r="N63"/>
  <c r="N64" s="1"/>
  <c r="O172" i="5"/>
  <c r="I76" i="4"/>
  <c r="I60" s="1"/>
  <c r="I22" i="12"/>
  <c r="I20"/>
  <c r="I18"/>
  <c r="I16"/>
  <c r="I14"/>
  <c r="G28" i="31"/>
  <c r="I12" i="12"/>
  <c r="L24" i="4"/>
  <c r="H25" i="16"/>
  <c r="I22" s="1"/>
  <c r="I23" s="1"/>
  <c r="I24" s="1"/>
  <c r="H31"/>
  <c r="I28" s="1"/>
  <c r="I29" s="1"/>
  <c r="I30" s="1"/>
  <c r="D18" i="31"/>
  <c r="K27" i="16"/>
  <c r="M75" i="4"/>
  <c r="E10" i="16"/>
  <c r="E11" s="1"/>
  <c r="K107" i="4" l="1"/>
  <c r="K85"/>
  <c r="I19" i="9"/>
  <c r="L63" i="4"/>
  <c r="J10" i="17"/>
  <c r="J17" s="1"/>
  <c r="J33" i="4"/>
  <c r="J35" s="1"/>
  <c r="L124"/>
  <c r="L126" s="1"/>
  <c r="L64" i="3"/>
  <c r="L66" s="1"/>
  <c r="L28" i="4" s="1"/>
  <c r="H7" i="31" s="1"/>
  <c r="H24" i="11"/>
  <c r="H101" i="4"/>
  <c r="E13" i="11" s="1"/>
  <c r="N189" i="32"/>
  <c r="N18" i="4" s="1"/>
  <c r="H14" i="13"/>
  <c r="G10" i="10" s="1"/>
  <c r="G12" s="1"/>
  <c r="G7" i="31"/>
  <c r="M57" i="3"/>
  <c r="M124" i="4" s="1"/>
  <c r="M126" s="1"/>
  <c r="M85" s="1"/>
  <c r="E13" i="9"/>
  <c r="K127" i="4"/>
  <c r="K29"/>
  <c r="K33" s="1"/>
  <c r="K35" s="1"/>
  <c r="K117"/>
  <c r="K118" s="1"/>
  <c r="K90" s="1"/>
  <c r="G8" i="31" s="1"/>
  <c r="J21"/>
  <c r="N62" i="3"/>
  <c r="O168"/>
  <c r="O61" s="1"/>
  <c r="P80"/>
  <c r="P86"/>
  <c r="P92"/>
  <c r="P98"/>
  <c r="P104"/>
  <c r="P110"/>
  <c r="P116"/>
  <c r="P122"/>
  <c r="P128"/>
  <c r="P134"/>
  <c r="P140"/>
  <c r="P146"/>
  <c r="P152"/>
  <c r="P158"/>
  <c r="P164"/>
  <c r="O167"/>
  <c r="P121"/>
  <c r="P79"/>
  <c r="P133"/>
  <c r="P145"/>
  <c r="P163"/>
  <c r="P109"/>
  <c r="P85"/>
  <c r="P97"/>
  <c r="P139"/>
  <c r="P151"/>
  <c r="P103"/>
  <c r="P157"/>
  <c r="P115"/>
  <c r="P127"/>
  <c r="P91"/>
  <c r="P84"/>
  <c r="P138"/>
  <c r="P156"/>
  <c r="P90"/>
  <c r="P96"/>
  <c r="P108"/>
  <c r="P120"/>
  <c r="P126"/>
  <c r="P132"/>
  <c r="P144"/>
  <c r="P150"/>
  <c r="P162"/>
  <c r="P78"/>
  <c r="P102"/>
  <c r="P114"/>
  <c r="O166"/>
  <c r="O29" s="1"/>
  <c r="M203" i="32"/>
  <c r="M205" s="1"/>
  <c r="M11" i="4"/>
  <c r="J12" i="12" s="1"/>
  <c r="N168" i="32"/>
  <c r="N11" i="4" s="1"/>
  <c r="K12" i="12" s="1"/>
  <c r="N40" i="32"/>
  <c r="O171"/>
  <c r="O12" i="4" s="1"/>
  <c r="L13" i="12" s="1"/>
  <c r="O48" i="32"/>
  <c r="O198"/>
  <c r="O21" i="4" s="1"/>
  <c r="L22" i="12" s="1"/>
  <c r="O120" i="32"/>
  <c r="N192"/>
  <c r="N19" i="4" s="1"/>
  <c r="N104" i="32"/>
  <c r="N159"/>
  <c r="N8" i="4" s="1"/>
  <c r="K9" i="12" s="1"/>
  <c r="N16" i="32"/>
  <c r="N195"/>
  <c r="N20" i="4" s="1"/>
  <c r="K21" i="12" s="1"/>
  <c r="N112" i="32"/>
  <c r="O174"/>
  <c r="O13" i="4" s="1"/>
  <c r="O56" i="32"/>
  <c r="O55" i="36"/>
  <c r="O68" s="1"/>
  <c r="L12" i="15" s="1"/>
  <c r="O48" i="36"/>
  <c r="O67" s="1"/>
  <c r="L11" i="15" s="1"/>
  <c r="J93" i="4"/>
  <c r="O111" i="32"/>
  <c r="O180"/>
  <c r="O15" i="4" s="1"/>
  <c r="P52"/>
  <c r="L33" i="9"/>
  <c r="O108" i="4"/>
  <c r="M131" i="32"/>
  <c r="P55"/>
  <c r="P56" s="1"/>
  <c r="F32" i="31"/>
  <c r="P141" i="5"/>
  <c r="O98" i="32"/>
  <c r="O103" s="1"/>
  <c r="P117" i="5"/>
  <c r="O34" i="32"/>
  <c r="O39" s="1"/>
  <c r="O165"/>
  <c r="O10" i="4" s="1"/>
  <c r="L11" i="12" s="1"/>
  <c r="M31" i="3"/>
  <c r="M33" s="1"/>
  <c r="M27" i="4" s="1"/>
  <c r="J10" i="13" s="1"/>
  <c r="G15" i="31"/>
  <c r="N201" i="32"/>
  <c r="Q44"/>
  <c r="Q45" s="1"/>
  <c r="R34" i="5"/>
  <c r="P12" i="32"/>
  <c r="P13" s="1"/>
  <c r="Q14" i="5"/>
  <c r="I10" i="13"/>
  <c r="H6" i="31"/>
  <c r="H22" s="1"/>
  <c r="Q114" i="5"/>
  <c r="P26" i="32"/>
  <c r="P31" s="1"/>
  <c r="Q66"/>
  <c r="R129" i="5"/>
  <c r="P116" i="32"/>
  <c r="P117" s="1"/>
  <c r="P119" s="1"/>
  <c r="P120" s="1"/>
  <c r="Q79" i="5"/>
  <c r="Q28" i="32"/>
  <c r="Q29" s="1"/>
  <c r="R24" i="5"/>
  <c r="R59"/>
  <c r="Q84" i="32"/>
  <c r="Q85" s="1"/>
  <c r="F43" i="4"/>
  <c r="F96"/>
  <c r="N56" i="3"/>
  <c r="N60"/>
  <c r="N58"/>
  <c r="N55"/>
  <c r="N59"/>
  <c r="L87" i="4"/>
  <c r="L110"/>
  <c r="L112" s="1"/>
  <c r="P124" i="32"/>
  <c r="P125" s="1"/>
  <c r="Q84" i="5"/>
  <c r="Q170"/>
  <c r="Q167"/>
  <c r="Q164"/>
  <c r="Q155"/>
  <c r="Q158"/>
  <c r="Q94"/>
  <c r="Q173" i="32" s="1"/>
  <c r="Q161" i="5"/>
  <c r="Q96"/>
  <c r="Q179" i="32" s="1"/>
  <c r="Q99" i="5"/>
  <c r="Q188" i="32" s="1"/>
  <c r="Q97" i="5"/>
  <c r="Q95"/>
  <c r="Q176" i="32" s="1"/>
  <c r="Q91" i="5"/>
  <c r="Q164" i="32" s="1"/>
  <c r="Q101" i="5"/>
  <c r="Q194" i="32" s="1"/>
  <c r="R5" i="5"/>
  <c r="Q100"/>
  <c r="Q191" i="32" s="1"/>
  <c r="Q103" i="5"/>
  <c r="Q200" i="32" s="1"/>
  <c r="Q90" i="5"/>
  <c r="Q161" i="32" s="1"/>
  <c r="Q98" i="5"/>
  <c r="Q185" i="32" s="1"/>
  <c r="Q102" i="5"/>
  <c r="Q197" i="32" s="1"/>
  <c r="Q92" i="5"/>
  <c r="Q167" i="32" s="1"/>
  <c r="Q93" i="5"/>
  <c r="Q170" i="32" s="1"/>
  <c r="Q5" i="3"/>
  <c r="Q89" i="5"/>
  <c r="Q158" i="32" s="1"/>
  <c r="Q6" i="36"/>
  <c r="P37"/>
  <c r="P41"/>
  <c r="P44"/>
  <c r="P51"/>
  <c r="P46"/>
  <c r="P53"/>
  <c r="P45"/>
  <c r="P42"/>
  <c r="P58"/>
  <c r="P69" s="1"/>
  <c r="M13" i="15" s="1"/>
  <c r="P43" i="36"/>
  <c r="P52"/>
  <c r="J11" i="12"/>
  <c r="H33" i="16"/>
  <c r="H16" i="9" s="1"/>
  <c r="K72" i="4"/>
  <c r="I9" i="16"/>
  <c r="N177" i="32"/>
  <c r="N68" i="3"/>
  <c r="Q76" i="32"/>
  <c r="Q77" s="1"/>
  <c r="R54" i="5"/>
  <c r="P108" i="32"/>
  <c r="P109" s="1"/>
  <c r="Q74" i="5"/>
  <c r="N27" i="3"/>
  <c r="N25"/>
  <c r="N26"/>
  <c r="N28"/>
  <c r="Q126" i="5"/>
  <c r="P58" i="32"/>
  <c r="Q50"/>
  <c r="R123" i="5"/>
  <c r="Q82" i="32"/>
  <c r="R135" i="5"/>
  <c r="P36" i="32"/>
  <c r="P37" s="1"/>
  <c r="Q29" i="5"/>
  <c r="S20" i="32"/>
  <c r="S21" s="1"/>
  <c r="T19" i="5"/>
  <c r="L74" i="4"/>
  <c r="J21" i="16"/>
  <c r="P92" i="32"/>
  <c r="P93" s="1"/>
  <c r="Q64" i="5"/>
  <c r="N130" i="32"/>
  <c r="O19" i="3"/>
  <c r="O49"/>
  <c r="O63" i="32"/>
  <c r="O127"/>
  <c r="O95"/>
  <c r="O96" s="1"/>
  <c r="P162"/>
  <c r="P9" i="4" s="1"/>
  <c r="M10" i="12" s="1"/>
  <c r="P172" i="5"/>
  <c r="J76" i="4"/>
  <c r="J60" s="1"/>
  <c r="Q120" i="5"/>
  <c r="P42" i="32"/>
  <c r="P47" s="1"/>
  <c r="Q144" i="5"/>
  <c r="P106" i="32"/>
  <c r="O7"/>
  <c r="K11" i="34" s="1"/>
  <c r="O53" i="3"/>
  <c r="O23"/>
  <c r="P8" i="5"/>
  <c r="K110" i="4"/>
  <c r="K112" s="1"/>
  <c r="K87"/>
  <c r="P15" i="3"/>
  <c r="P12"/>
  <c r="P10"/>
  <c r="P39"/>
  <c r="P42"/>
  <c r="P123" i="4" s="1"/>
  <c r="P43" i="3"/>
  <c r="P41"/>
  <c r="P13"/>
  <c r="P44"/>
  <c r="P14"/>
  <c r="P46"/>
  <c r="P38"/>
  <c r="P45"/>
  <c r="P11"/>
  <c r="P40"/>
  <c r="P16"/>
  <c r="P17"/>
  <c r="P9"/>
  <c r="P8"/>
  <c r="P173" i="32"/>
  <c r="D34" i="16"/>
  <c r="D18"/>
  <c r="D19" s="1"/>
  <c r="Q68" i="32"/>
  <c r="Q69" s="1"/>
  <c r="R49" i="5"/>
  <c r="P100" i="32"/>
  <c r="P101" s="1"/>
  <c r="Q69" i="5"/>
  <c r="N66" i="36"/>
  <c r="N60"/>
  <c r="N63" s="1"/>
  <c r="J9" i="12"/>
  <c r="Q108" i="5"/>
  <c r="P10" i="32"/>
  <c r="Q18"/>
  <c r="Q23" s="1"/>
  <c r="R111" i="5"/>
  <c r="Q132"/>
  <c r="P74" i="32"/>
  <c r="P79" s="1"/>
  <c r="P60"/>
  <c r="P61" s="1"/>
  <c r="Q44" i="5"/>
  <c r="J14" i="34"/>
  <c r="J37" s="1"/>
  <c r="J12"/>
  <c r="J35" s="1"/>
  <c r="J15"/>
  <c r="J38" s="1"/>
  <c r="J13"/>
  <c r="J36" s="1"/>
  <c r="Q150" i="5"/>
  <c r="P122" i="32"/>
  <c r="I15" i="16"/>
  <c r="K73" i="4"/>
  <c r="Q138" i="5"/>
  <c r="P90" i="32"/>
  <c r="Q52"/>
  <c r="Q53" s="1"/>
  <c r="R39" i="5"/>
  <c r="J13" i="12"/>
  <c r="M110" i="4"/>
  <c r="M112" s="1"/>
  <c r="M87"/>
  <c r="Q114" i="32"/>
  <c r="R147" i="5"/>
  <c r="O183" i="32"/>
  <c r="P71"/>
  <c r="P72" s="1"/>
  <c r="I25" i="12"/>
  <c r="H8" i="10" s="1"/>
  <c r="O186" i="32"/>
  <c r="O38" i="36"/>
  <c r="O15" i="32"/>
  <c r="O16" s="1"/>
  <c r="P87"/>
  <c r="H28" i="31"/>
  <c r="I31" i="16"/>
  <c r="J28" s="1"/>
  <c r="J29" s="1"/>
  <c r="J30" s="1"/>
  <c r="I25"/>
  <c r="J22" s="1"/>
  <c r="J23" s="1"/>
  <c r="J24" s="1"/>
  <c r="N75" i="4"/>
  <c r="L27" i="16"/>
  <c r="F13" i="9"/>
  <c r="I101" i="4"/>
  <c r="F13" i="11" s="1"/>
  <c r="J64" i="4"/>
  <c r="E12" i="16"/>
  <c r="F16" i="31"/>
  <c r="E18"/>
  <c r="L117" i="4" l="1"/>
  <c r="L118" s="1"/>
  <c r="L90" s="1"/>
  <c r="H8" i="31" s="1"/>
  <c r="L85" i="4"/>
  <c r="I24" i="11" s="1"/>
  <c r="K10" i="17"/>
  <c r="K17" s="1"/>
  <c r="M63" i="4"/>
  <c r="J19" i="9"/>
  <c r="F29" i="40"/>
  <c r="F17"/>
  <c r="L127" i="4"/>
  <c r="M127" s="1"/>
  <c r="M107"/>
  <c r="J24" i="11"/>
  <c r="L29" i="4"/>
  <c r="L33" s="1"/>
  <c r="L35" s="1"/>
  <c r="K31"/>
  <c r="I11" i="13"/>
  <c r="I14" s="1"/>
  <c r="H10" i="10" s="1"/>
  <c r="H12" s="1"/>
  <c r="Q24" i="32"/>
  <c r="M64" i="3"/>
  <c r="M66" s="1"/>
  <c r="M28" i="4" s="1"/>
  <c r="I23" i="31" s="1"/>
  <c r="O62" i="3"/>
  <c r="Q80"/>
  <c r="Q86"/>
  <c r="Q92"/>
  <c r="Q98"/>
  <c r="Q104"/>
  <c r="Q110"/>
  <c r="Q116"/>
  <c r="Q122"/>
  <c r="Q128"/>
  <c r="Q134"/>
  <c r="Q140"/>
  <c r="Q146"/>
  <c r="Q152"/>
  <c r="Q158"/>
  <c r="Q164"/>
  <c r="P168"/>
  <c r="P61" s="1"/>
  <c r="P167"/>
  <c r="Q79"/>
  <c r="Q85"/>
  <c r="Q91"/>
  <c r="Q97"/>
  <c r="Q103"/>
  <c r="Q109"/>
  <c r="Q115"/>
  <c r="Q121"/>
  <c r="Q127"/>
  <c r="Q133"/>
  <c r="Q139"/>
  <c r="Q145"/>
  <c r="Q151"/>
  <c r="Q157"/>
  <c r="Q163"/>
  <c r="M24" i="4"/>
  <c r="I28" i="31" s="1"/>
  <c r="P166" i="3"/>
  <c r="P29" s="1"/>
  <c r="Q162"/>
  <c r="Q156"/>
  <c r="Q150"/>
  <c r="Q138"/>
  <c r="Q120"/>
  <c r="Q114"/>
  <c r="Q108"/>
  <c r="Q102"/>
  <c r="Q96"/>
  <c r="Q144"/>
  <c r="Q132"/>
  <c r="Q126"/>
  <c r="Q90"/>
  <c r="Q84"/>
  <c r="Q78"/>
  <c r="K93" i="4"/>
  <c r="J54"/>
  <c r="G35" i="9" s="1"/>
  <c r="O201" i="32"/>
  <c r="O22" i="4" s="1"/>
  <c r="L23" i="12" s="1"/>
  <c r="O128" i="32"/>
  <c r="O168"/>
  <c r="O11" i="4" s="1"/>
  <c r="L12" i="12" s="1"/>
  <c r="O40" i="32"/>
  <c r="P165"/>
  <c r="P10" i="4" s="1"/>
  <c r="P32" i="32"/>
  <c r="P186"/>
  <c r="P17" i="4" s="1"/>
  <c r="M18" i="12" s="1"/>
  <c r="P88" i="32"/>
  <c r="P183"/>
  <c r="P16" i="4" s="1"/>
  <c r="M17" i="12" s="1"/>
  <c r="P80" i="32"/>
  <c r="P171"/>
  <c r="P12" i="4" s="1"/>
  <c r="M13" i="12" s="1"/>
  <c r="P48" i="32"/>
  <c r="O192"/>
  <c r="O19" i="4" s="1"/>
  <c r="L20" i="12" s="1"/>
  <c r="O104" i="32"/>
  <c r="O195"/>
  <c r="O20" i="4" s="1"/>
  <c r="O112" i="32"/>
  <c r="O177"/>
  <c r="O14" i="4" s="1"/>
  <c r="L15" i="12" s="1"/>
  <c r="O64" i="32"/>
  <c r="P198"/>
  <c r="P21" i="4" s="1"/>
  <c r="M22" i="12" s="1"/>
  <c r="P55" i="36"/>
  <c r="P48"/>
  <c r="P67" s="1"/>
  <c r="M11" i="15" s="1"/>
  <c r="N131" i="32"/>
  <c r="Q55"/>
  <c r="P108" i="4"/>
  <c r="M33" i="9"/>
  <c r="Q52" i="4"/>
  <c r="O25" i="3"/>
  <c r="O28"/>
  <c r="O27"/>
  <c r="O26"/>
  <c r="Q87" i="32"/>
  <c r="P63"/>
  <c r="P19" i="3"/>
  <c r="P174" i="32"/>
  <c r="P13" i="4" s="1"/>
  <c r="M14" i="12" s="1"/>
  <c r="J25"/>
  <c r="I8" i="10" s="1"/>
  <c r="Q117" i="5"/>
  <c r="P34" i="32"/>
  <c r="P39" s="1"/>
  <c r="I22" i="31"/>
  <c r="P111" i="32"/>
  <c r="Q162"/>
  <c r="Q9" i="4" s="1"/>
  <c r="N10" i="12" s="1"/>
  <c r="Q71" i="32"/>
  <c r="P98"/>
  <c r="P103" s="1"/>
  <c r="Q141" i="5"/>
  <c r="P15" i="32"/>
  <c r="O17" i="4"/>
  <c r="R52" i="32"/>
  <c r="R53" s="1"/>
  <c r="S39" i="5"/>
  <c r="Q60" i="32"/>
  <c r="Q61" s="1"/>
  <c r="R44" i="5"/>
  <c r="S111"/>
  <c r="R18" i="32"/>
  <c r="R23" s="1"/>
  <c r="R24" s="1"/>
  <c r="E16" i="16"/>
  <c r="E17" s="1"/>
  <c r="D36"/>
  <c r="G79" i="4" s="1"/>
  <c r="P53" i="3"/>
  <c r="P23"/>
  <c r="Q8" i="5"/>
  <c r="P7" i="32"/>
  <c r="L11" i="34" s="1"/>
  <c r="M74" i="4"/>
  <c r="K21" i="16"/>
  <c r="S123" i="5"/>
  <c r="R50" i="32"/>
  <c r="N14" i="4"/>
  <c r="H25" i="31"/>
  <c r="H31" s="1"/>
  <c r="I17" i="11"/>
  <c r="I19" s="1"/>
  <c r="L16" i="12"/>
  <c r="O16" i="4"/>
  <c r="I25" i="31"/>
  <c r="J17" i="11"/>
  <c r="J19" s="1"/>
  <c r="K20" i="12"/>
  <c r="J15" i="16"/>
  <c r="L73" i="4"/>
  <c r="L14" i="12"/>
  <c r="Q74" i="32"/>
  <c r="Q79" s="1"/>
  <c r="R132" i="5"/>
  <c r="K19" i="12"/>
  <c r="K15" i="34"/>
  <c r="K38" s="1"/>
  <c r="K13"/>
  <c r="K36" s="1"/>
  <c r="K14"/>
  <c r="K37" s="1"/>
  <c r="K12"/>
  <c r="K35" s="1"/>
  <c r="Q42" i="32"/>
  <c r="Q47" s="1"/>
  <c r="R120" i="5"/>
  <c r="S54"/>
  <c r="R76" i="32"/>
  <c r="R77" s="1"/>
  <c r="Q9" i="3"/>
  <c r="Q10"/>
  <c r="Q12"/>
  <c r="Q42"/>
  <c r="Q123" i="4" s="1"/>
  <c r="Q40" i="3"/>
  <c r="Q17"/>
  <c r="Q39"/>
  <c r="Q8"/>
  <c r="Q16"/>
  <c r="Q44"/>
  <c r="Q11"/>
  <c r="Q15"/>
  <c r="Q13"/>
  <c r="Q14"/>
  <c r="Q41"/>
  <c r="Q45"/>
  <c r="Q38"/>
  <c r="Q46"/>
  <c r="Q43"/>
  <c r="R161" i="5"/>
  <c r="R158"/>
  <c r="R155"/>
  <c r="R97"/>
  <c r="R182" i="32" s="1"/>
  <c r="R95" i="5"/>
  <c r="R176" i="32" s="1"/>
  <c r="R5" i="3"/>
  <c r="R93" i="5"/>
  <c r="R170" i="32" s="1"/>
  <c r="R99" i="5"/>
  <c r="R188" i="32" s="1"/>
  <c r="S5" i="5"/>
  <c r="R90"/>
  <c r="R161" i="32" s="1"/>
  <c r="R170" i="5"/>
  <c r="R167"/>
  <c r="R164"/>
  <c r="R94"/>
  <c r="R173" i="32" s="1"/>
  <c r="R96" i="5"/>
  <c r="R179" i="32" s="1"/>
  <c r="R92" i="5"/>
  <c r="R167" i="32" s="1"/>
  <c r="R100" i="5"/>
  <c r="R191" i="32" s="1"/>
  <c r="R102" i="5"/>
  <c r="R197" i="32" s="1"/>
  <c r="R89" i="5"/>
  <c r="R158" i="32" s="1"/>
  <c r="R101" i="5"/>
  <c r="R194" i="32" s="1"/>
  <c r="R98" i="5"/>
  <c r="R185" i="32" s="1"/>
  <c r="R103" i="5"/>
  <c r="R200" i="32" s="1"/>
  <c r="R6" i="36"/>
  <c r="R91" i="5"/>
  <c r="R164" i="32" s="1"/>
  <c r="Q182"/>
  <c r="F46" i="4"/>
  <c r="F49"/>
  <c r="F86" s="1"/>
  <c r="F91" s="1"/>
  <c r="F92" s="1"/>
  <c r="F100"/>
  <c r="C10" i="18" s="1"/>
  <c r="B20" i="10"/>
  <c r="S24" i="5"/>
  <c r="R28" i="32"/>
  <c r="R29" s="1"/>
  <c r="S129" i="5"/>
  <c r="R66" i="32"/>
  <c r="R44"/>
  <c r="R45" s="1"/>
  <c r="S34" i="5"/>
  <c r="O60" i="36"/>
  <c r="O63" s="1"/>
  <c r="O66"/>
  <c r="Q100" i="32"/>
  <c r="Q101" s="1"/>
  <c r="R69" i="5"/>
  <c r="H17" i="11"/>
  <c r="H19" s="1"/>
  <c r="G25" i="31"/>
  <c r="G31" s="1"/>
  <c r="G32" s="1"/>
  <c r="O58" i="3"/>
  <c r="O56"/>
  <c r="O55"/>
  <c r="O60"/>
  <c r="O59"/>
  <c r="N57"/>
  <c r="Q92" i="32"/>
  <c r="Q93" s="1"/>
  <c r="R64" i="5"/>
  <c r="U19"/>
  <c r="U20" i="32" s="1"/>
  <c r="U21" s="1"/>
  <c r="T20"/>
  <c r="T21" s="1"/>
  <c r="S135" i="5"/>
  <c r="R82" i="32"/>
  <c r="R84"/>
  <c r="R85" s="1"/>
  <c r="S59" i="5"/>
  <c r="Q26" i="32"/>
  <c r="Q31" s="1"/>
  <c r="R114" i="5"/>
  <c r="N22" i="4"/>
  <c r="H15" i="31"/>
  <c r="P180" i="32"/>
  <c r="J40" i="34"/>
  <c r="J50" s="1"/>
  <c r="N31" i="3"/>
  <c r="N33" s="1"/>
  <c r="N27" i="4" s="1"/>
  <c r="K76"/>
  <c r="K60" s="1"/>
  <c r="P127" i="32"/>
  <c r="N203"/>
  <c r="N205" s="1"/>
  <c r="R68"/>
  <c r="R69" s="1"/>
  <c r="S49" i="5"/>
  <c r="Q36" i="32"/>
  <c r="Q37" s="1"/>
  <c r="R29" i="5"/>
  <c r="Q10" i="32"/>
  <c r="R108" i="5"/>
  <c r="K10" i="15"/>
  <c r="N70" i="36"/>
  <c r="Q58" i="32"/>
  <c r="R126" i="5"/>
  <c r="O130" i="32"/>
  <c r="O159"/>
  <c r="S147" i="5"/>
  <c r="R114" i="32"/>
  <c r="Q90"/>
  <c r="R138" i="5"/>
  <c r="Q122" i="32"/>
  <c r="R150" i="5"/>
  <c r="G37" i="4"/>
  <c r="D10" i="11"/>
  <c r="C13" i="10"/>
  <c r="C16" s="1"/>
  <c r="G77" i="4"/>
  <c r="D35" i="16"/>
  <c r="Q106" i="32"/>
  <c r="R144" i="5"/>
  <c r="O68" i="3"/>
  <c r="Q108" i="32"/>
  <c r="Q109" s="1"/>
  <c r="R74" i="5"/>
  <c r="I33" i="16"/>
  <c r="I16" i="9" s="1"/>
  <c r="J9" i="16"/>
  <c r="L72" i="4"/>
  <c r="Q58" i="36"/>
  <c r="Q69" s="1"/>
  <c r="N13" i="15" s="1"/>
  <c r="Q41" i="36"/>
  <c r="Q45"/>
  <c r="Q46"/>
  <c r="Q53"/>
  <c r="Q37"/>
  <c r="Q42"/>
  <c r="Q44"/>
  <c r="Q52"/>
  <c r="Q43"/>
  <c r="Q51"/>
  <c r="Q124" i="32"/>
  <c r="Q125" s="1"/>
  <c r="R84" i="5"/>
  <c r="R79"/>
  <c r="Q116" i="32"/>
  <c r="Q117" s="1"/>
  <c r="Q119" s="1"/>
  <c r="Q12"/>
  <c r="Q13" s="1"/>
  <c r="R14" i="5"/>
  <c r="P38" i="36"/>
  <c r="O189" i="32"/>
  <c r="P95"/>
  <c r="P49" i="3"/>
  <c r="P68" i="36"/>
  <c r="M12" i="15" s="1"/>
  <c r="Q172" i="5"/>
  <c r="J31" i="16"/>
  <c r="K28" s="1"/>
  <c r="K29" s="1"/>
  <c r="K30" s="1"/>
  <c r="J25"/>
  <c r="K22" s="1"/>
  <c r="K23" s="1"/>
  <c r="K24" s="1"/>
  <c r="E13"/>
  <c r="G16" i="31"/>
  <c r="F18"/>
  <c r="K64" i="4"/>
  <c r="J101"/>
  <c r="G13" i="11" s="1"/>
  <c r="G13" i="9"/>
  <c r="M27" i="16"/>
  <c r="O75" i="4"/>
  <c r="L107" l="1"/>
  <c r="F12" i="40"/>
  <c r="K19" i="9"/>
  <c r="N63" i="4"/>
  <c r="L10" i="17"/>
  <c r="L17" s="1"/>
  <c r="L31" i="4"/>
  <c r="F7" i="40"/>
  <c r="F21"/>
  <c r="F26"/>
  <c r="M117" i="4"/>
  <c r="M118" s="1"/>
  <c r="M90" s="1"/>
  <c r="I26" i="31" s="1"/>
  <c r="Q120" i="32"/>
  <c r="Q80"/>
  <c r="O57" i="3"/>
  <c r="Q56" i="32"/>
  <c r="J11" i="13"/>
  <c r="J14" s="1"/>
  <c r="I10" i="10" s="1"/>
  <c r="I12" s="1"/>
  <c r="M29" i="4"/>
  <c r="M31" s="1"/>
  <c r="K21" i="31"/>
  <c r="P62" i="3"/>
  <c r="Q168"/>
  <c r="Q61" s="1"/>
  <c r="R80"/>
  <c r="R86"/>
  <c r="R92"/>
  <c r="R98"/>
  <c r="R104"/>
  <c r="R110"/>
  <c r="R116"/>
  <c r="R122"/>
  <c r="R128"/>
  <c r="R134"/>
  <c r="R140"/>
  <c r="R146"/>
  <c r="R152"/>
  <c r="R158"/>
  <c r="R164"/>
  <c r="Q167"/>
  <c r="R151"/>
  <c r="R145"/>
  <c r="R139"/>
  <c r="R133"/>
  <c r="R127"/>
  <c r="R121"/>
  <c r="R115"/>
  <c r="R109"/>
  <c r="R103"/>
  <c r="R163"/>
  <c r="R157"/>
  <c r="R97"/>
  <c r="R91"/>
  <c r="R85"/>
  <c r="R79"/>
  <c r="Q166"/>
  <c r="Q29" s="1"/>
  <c r="R78"/>
  <c r="R84"/>
  <c r="R90"/>
  <c r="R96"/>
  <c r="R102"/>
  <c r="R108"/>
  <c r="R114"/>
  <c r="R120"/>
  <c r="R126"/>
  <c r="R132"/>
  <c r="R138"/>
  <c r="R144"/>
  <c r="R150"/>
  <c r="R156"/>
  <c r="R162"/>
  <c r="L93" i="4"/>
  <c r="K54"/>
  <c r="H35" i="9" s="1"/>
  <c r="Q174" i="32"/>
  <c r="Q13" i="4" s="1"/>
  <c r="N14" i="12" s="1"/>
  <c r="P201" i="32"/>
  <c r="P22" i="4" s="1"/>
  <c r="M23" i="12" s="1"/>
  <c r="P128" i="32"/>
  <c r="Q165"/>
  <c r="Q10" i="4" s="1"/>
  <c r="N11" i="12" s="1"/>
  <c r="Q32" i="32"/>
  <c r="Q180"/>
  <c r="Q15" i="4" s="1"/>
  <c r="N16" i="12" s="1"/>
  <c r="Q72" i="32"/>
  <c r="P189"/>
  <c r="P18" i="4" s="1"/>
  <c r="M19" i="12" s="1"/>
  <c r="P96" i="32"/>
  <c r="P192"/>
  <c r="P19" i="4" s="1"/>
  <c r="M20" i="12" s="1"/>
  <c r="P104" i="32"/>
  <c r="Q171"/>
  <c r="Q12" i="4" s="1"/>
  <c r="Q48" i="32"/>
  <c r="P195"/>
  <c r="P20" i="4" s="1"/>
  <c r="M21" i="12" s="1"/>
  <c r="P112" i="32"/>
  <c r="P168"/>
  <c r="P11" i="4" s="1"/>
  <c r="M12" i="12" s="1"/>
  <c r="P40" i="32"/>
  <c r="Q186"/>
  <c r="Q17" i="4" s="1"/>
  <c r="N18" i="12" s="1"/>
  <c r="Q88" i="32"/>
  <c r="P159"/>
  <c r="P8" i="4" s="1"/>
  <c r="P16" i="32"/>
  <c r="P177"/>
  <c r="P14" i="4" s="1"/>
  <c r="M15" i="12" s="1"/>
  <c r="P64" i="32"/>
  <c r="Q55" i="36"/>
  <c r="Q68" s="1"/>
  <c r="N12" i="15" s="1"/>
  <c r="Q48" i="36"/>
  <c r="Q67" s="1"/>
  <c r="N11" i="15" s="1"/>
  <c r="R71" i="32"/>
  <c r="R72" s="1"/>
  <c r="R162"/>
  <c r="R9" i="4" s="1"/>
  <c r="O10" i="12" s="1"/>
  <c r="N64" i="3"/>
  <c r="N66" s="1"/>
  <c r="N28" i="4" s="1"/>
  <c r="N117" s="1"/>
  <c r="N124"/>
  <c r="N126" s="1"/>
  <c r="Q111" i="32"/>
  <c r="R52" i="4"/>
  <c r="Q108"/>
  <c r="N33" i="9"/>
  <c r="H32" i="31"/>
  <c r="O31" i="3"/>
  <c r="O33" s="1"/>
  <c r="O27" i="4" s="1"/>
  <c r="K22" i="31" s="1"/>
  <c r="P25" i="3"/>
  <c r="P28"/>
  <c r="P27"/>
  <c r="P26"/>
  <c r="Q183" i="32"/>
  <c r="Q16" i="4" s="1"/>
  <c r="N17" i="12" s="1"/>
  <c r="P68" i="3"/>
  <c r="F102" i="4"/>
  <c r="Q34" i="32"/>
  <c r="Q39" s="1"/>
  <c r="R117" i="5"/>
  <c r="R141"/>
  <c r="Q98" i="32"/>
  <c r="Q103" s="1"/>
  <c r="Q19" i="3"/>
  <c r="I31" i="31"/>
  <c r="K40" i="34"/>
  <c r="K50" s="1"/>
  <c r="Q127" i="32"/>
  <c r="L76" i="4"/>
  <c r="L60" s="1"/>
  <c r="G97"/>
  <c r="G41"/>
  <c r="S126" i="5"/>
  <c r="R58" i="32"/>
  <c r="T49" i="5"/>
  <c r="S68" i="32"/>
  <c r="S69" s="1"/>
  <c r="M11" i="12"/>
  <c r="K15" i="15"/>
  <c r="F56" i="4"/>
  <c r="B22" i="20"/>
  <c r="C20" s="1"/>
  <c r="K15" i="12"/>
  <c r="N24" i="4"/>
  <c r="P55" i="3"/>
  <c r="P56"/>
  <c r="P60"/>
  <c r="P59"/>
  <c r="P58"/>
  <c r="E18" i="16"/>
  <c r="E19" s="1"/>
  <c r="F16" s="1"/>
  <c r="F17" s="1"/>
  <c r="F18" s="1"/>
  <c r="F19" s="1"/>
  <c r="G16" s="1"/>
  <c r="G17" s="1"/>
  <c r="G18" s="1"/>
  <c r="G19" s="1"/>
  <c r="H16" s="1"/>
  <c r="H17" s="1"/>
  <c r="H18" s="1"/>
  <c r="H19" s="1"/>
  <c r="I16" s="1"/>
  <c r="I17" s="1"/>
  <c r="I18" s="1"/>
  <c r="I19" s="1"/>
  <c r="J16" s="1"/>
  <c r="J17" s="1"/>
  <c r="J18" s="1"/>
  <c r="J19" s="1"/>
  <c r="K16" s="1"/>
  <c r="K17" s="1"/>
  <c r="K18" s="1"/>
  <c r="E34"/>
  <c r="S18" i="32"/>
  <c r="S23" s="1"/>
  <c r="S24" s="1"/>
  <c r="T111" i="5"/>
  <c r="O18" i="4"/>
  <c r="R12" i="32"/>
  <c r="R13" s="1"/>
  <c r="S14" i="5"/>
  <c r="R124" i="32"/>
  <c r="R125" s="1"/>
  <c r="S84" i="5"/>
  <c r="R108" i="32"/>
  <c r="R109" s="1"/>
  <c r="S74" i="5"/>
  <c r="S144"/>
  <c r="R106" i="32"/>
  <c r="S114"/>
  <c r="T147" i="5"/>
  <c r="O8" i="4"/>
  <c r="O203" i="32"/>
  <c r="O205" s="1"/>
  <c r="R36"/>
  <c r="R37" s="1"/>
  <c r="S29" i="5"/>
  <c r="K23" i="12"/>
  <c r="S66" i="32"/>
  <c r="T129" i="5"/>
  <c r="S170"/>
  <c r="S167"/>
  <c r="S164"/>
  <c r="S158"/>
  <c r="S161"/>
  <c r="S5" i="3"/>
  <c r="S92" i="5"/>
  <c r="S167" i="32" s="1"/>
  <c r="S100" i="5"/>
  <c r="S191" i="32" s="1"/>
  <c r="S97" i="5"/>
  <c r="S182" i="32" s="1"/>
  <c r="S155" i="5"/>
  <c r="S6" i="36"/>
  <c r="S93" i="5"/>
  <c r="S170" i="32" s="1"/>
  <c r="S98" i="5"/>
  <c r="S185" i="32" s="1"/>
  <c r="S103" i="5"/>
  <c r="S200" i="32" s="1"/>
  <c r="S95" i="5"/>
  <c r="S176" i="32" s="1"/>
  <c r="S101" i="5"/>
  <c r="S194" i="32" s="1"/>
  <c r="S102" i="5"/>
  <c r="S197" i="32" s="1"/>
  <c r="S90" i="5"/>
  <c r="S161" i="32" s="1"/>
  <c r="S91" i="5"/>
  <c r="S164" i="32" s="1"/>
  <c r="S89" i="5"/>
  <c r="S158" i="32" s="1"/>
  <c r="S96" i="5"/>
  <c r="S179" i="32" s="1"/>
  <c r="T5" i="5"/>
  <c r="S94"/>
  <c r="S173" i="32" s="1"/>
  <c r="S99" i="5"/>
  <c r="S188" i="32" s="1"/>
  <c r="S120" i="5"/>
  <c r="R42" i="32"/>
  <c r="S132" i="5"/>
  <c r="R74" i="32"/>
  <c r="R79" s="1"/>
  <c r="R80" s="1"/>
  <c r="N74" i="4"/>
  <c r="L21" i="16"/>
  <c r="S52" i="32"/>
  <c r="S53" s="1"/>
  <c r="T39" i="5"/>
  <c r="Q95" i="32"/>
  <c r="R47"/>
  <c r="R172" i="5"/>
  <c r="R55" i="32"/>
  <c r="O131"/>
  <c r="R87"/>
  <c r="R88" s="1"/>
  <c r="C6" i="21"/>
  <c r="P130" i="32"/>
  <c r="Q49" i="3"/>
  <c r="Q198" i="32"/>
  <c r="K9" i="16"/>
  <c r="J33"/>
  <c r="J16" i="9" s="1"/>
  <c r="M72" i="4"/>
  <c r="D17" i="9"/>
  <c r="D18" s="1"/>
  <c r="G78" i="4"/>
  <c r="G61" s="1"/>
  <c r="G62" s="1"/>
  <c r="L21" i="12"/>
  <c r="S108" i="5"/>
  <c r="R10" i="32"/>
  <c r="P15" i="4"/>
  <c r="S82" i="32"/>
  <c r="T135" i="5"/>
  <c r="S28" i="32"/>
  <c r="S29" s="1"/>
  <c r="T24" i="5"/>
  <c r="C9" i="11"/>
  <c r="C14" s="1"/>
  <c r="C36" s="1"/>
  <c r="F47" i="4"/>
  <c r="R37" i="36"/>
  <c r="R42"/>
  <c r="R44"/>
  <c r="R46"/>
  <c r="R52"/>
  <c r="R51"/>
  <c r="R45"/>
  <c r="R53"/>
  <c r="R43"/>
  <c r="R41"/>
  <c r="R58"/>
  <c r="R69" s="1"/>
  <c r="O13" i="15" s="1"/>
  <c r="L12" i="34"/>
  <c r="L35" s="1"/>
  <c r="L14"/>
  <c r="L37" s="1"/>
  <c r="L13"/>
  <c r="L36" s="1"/>
  <c r="L15"/>
  <c r="L38" s="1"/>
  <c r="R60" i="32"/>
  <c r="R61" s="1"/>
  <c r="S44" i="5"/>
  <c r="P66" i="36"/>
  <c r="P60"/>
  <c r="P63" s="1"/>
  <c r="S138" i="5"/>
  <c r="R90" i="32"/>
  <c r="K10" i="13"/>
  <c r="J22" i="31"/>
  <c r="S114" i="5"/>
  <c r="R26" i="32"/>
  <c r="R31" s="1"/>
  <c r="R32" s="1"/>
  <c r="R92"/>
  <c r="R93" s="1"/>
  <c r="S64" i="5"/>
  <c r="R100" i="32"/>
  <c r="R101" s="1"/>
  <c r="S69" i="5"/>
  <c r="S44" i="32"/>
  <c r="S45" s="1"/>
  <c r="T34" i="5"/>
  <c r="K15" i="16"/>
  <c r="M73" i="4"/>
  <c r="R116" i="32"/>
  <c r="R117" s="1"/>
  <c r="R119" s="1"/>
  <c r="R120" s="1"/>
  <c r="S79" i="5"/>
  <c r="S150"/>
  <c r="R122" i="32"/>
  <c r="S84"/>
  <c r="S85" s="1"/>
  <c r="T59" i="5"/>
  <c r="O70" i="36"/>
  <c r="L10" i="15"/>
  <c r="L15" s="1"/>
  <c r="R40" i="3"/>
  <c r="R9"/>
  <c r="R44"/>
  <c r="R42"/>
  <c r="R123" i="4" s="1"/>
  <c r="R8" i="3"/>
  <c r="R10"/>
  <c r="R38"/>
  <c r="R12"/>
  <c r="R46"/>
  <c r="R14"/>
  <c r="R43"/>
  <c r="R16"/>
  <c r="R11"/>
  <c r="R13"/>
  <c r="R45"/>
  <c r="R17"/>
  <c r="R41"/>
  <c r="R15"/>
  <c r="R39"/>
  <c r="S76" i="32"/>
  <c r="S77" s="1"/>
  <c r="T54" i="5"/>
  <c r="L17" i="12"/>
  <c r="S50" i="32"/>
  <c r="T123" i="5"/>
  <c r="Q7" i="32"/>
  <c r="M11" i="34" s="1"/>
  <c r="R8" i="5"/>
  <c r="Q23" i="3"/>
  <c r="Q53"/>
  <c r="L21" i="31"/>
  <c r="L18" i="12"/>
  <c r="Q38" i="36"/>
  <c r="Q15" i="32"/>
  <c r="Q63"/>
  <c r="K25" i="16"/>
  <c r="L22" s="1"/>
  <c r="L23" s="1"/>
  <c r="L24" s="1"/>
  <c r="K31"/>
  <c r="L28" s="1"/>
  <c r="L29" s="1"/>
  <c r="L30" s="1"/>
  <c r="P75" i="4"/>
  <c r="N27" i="16"/>
  <c r="K101" i="4"/>
  <c r="H13" i="11" s="1"/>
  <c r="L64" i="4"/>
  <c r="H13" i="9"/>
  <c r="G18" i="31"/>
  <c r="H16"/>
  <c r="F10" i="16"/>
  <c r="F11" s="1"/>
  <c r="F31" i="40" l="1"/>
  <c r="N118" i="4"/>
  <c r="N90" s="1"/>
  <c r="J26" i="31" s="1"/>
  <c r="N85" i="4"/>
  <c r="N107" s="1"/>
  <c r="O63"/>
  <c r="M10" i="17"/>
  <c r="M17" s="1"/>
  <c r="L19" i="9"/>
  <c r="R180" i="32"/>
  <c r="R15" i="4" s="1"/>
  <c r="O16" i="12" s="1"/>
  <c r="O124" i="4"/>
  <c r="O126" s="1"/>
  <c r="O64" i="3"/>
  <c r="O66" s="1"/>
  <c r="O28" i="4" s="1"/>
  <c r="O117" s="1"/>
  <c r="O118" s="1"/>
  <c r="O90" s="1"/>
  <c r="K26" i="31" s="1"/>
  <c r="Q16" i="32"/>
  <c r="C7" i="40"/>
  <c r="Q64" i="32"/>
  <c r="C17" i="40"/>
  <c r="M33" i="4"/>
  <c r="M35" s="1"/>
  <c r="C12" i="40"/>
  <c r="C21"/>
  <c r="C29"/>
  <c r="Q62" i="3"/>
  <c r="S80"/>
  <c r="S86"/>
  <c r="S92"/>
  <c r="S98"/>
  <c r="S104"/>
  <c r="S110"/>
  <c r="S116"/>
  <c r="S122"/>
  <c r="S128"/>
  <c r="S134"/>
  <c r="S140"/>
  <c r="S146"/>
  <c r="S152"/>
  <c r="S158"/>
  <c r="S164"/>
  <c r="R168"/>
  <c r="R61" s="1"/>
  <c r="S145"/>
  <c r="S97"/>
  <c r="S109"/>
  <c r="S121"/>
  <c r="S133"/>
  <c r="S91"/>
  <c r="S115"/>
  <c r="S79"/>
  <c r="S157"/>
  <c r="S85"/>
  <c r="S151"/>
  <c r="S103"/>
  <c r="S127"/>
  <c r="S139"/>
  <c r="S163"/>
  <c r="R167"/>
  <c r="S78"/>
  <c r="S84"/>
  <c r="S90"/>
  <c r="S96"/>
  <c r="S102"/>
  <c r="S108"/>
  <c r="S114"/>
  <c r="S120"/>
  <c r="S126"/>
  <c r="S132"/>
  <c r="S138"/>
  <c r="S144"/>
  <c r="S150"/>
  <c r="S156"/>
  <c r="S162"/>
  <c r="R166"/>
  <c r="R29" s="1"/>
  <c r="K11" i="13"/>
  <c r="K14" s="1"/>
  <c r="J10" i="10" s="1"/>
  <c r="M93" i="4"/>
  <c r="M54" s="1"/>
  <c r="J35" i="9" s="1"/>
  <c r="L54" i="4"/>
  <c r="I35" i="9" s="1"/>
  <c r="Q201" i="32"/>
  <c r="Q22" i="4" s="1"/>
  <c r="N23" i="12" s="1"/>
  <c r="Q128" i="32"/>
  <c r="Q192"/>
  <c r="Q19" i="4" s="1"/>
  <c r="N20" i="12" s="1"/>
  <c r="Q104" i="32"/>
  <c r="R174"/>
  <c r="R13" i="4" s="1"/>
  <c r="O14" i="12" s="1"/>
  <c r="R56" i="32"/>
  <c r="Q189"/>
  <c r="Q18" i="4" s="1"/>
  <c r="N19" i="12" s="1"/>
  <c r="Q96" i="32"/>
  <c r="Q168"/>
  <c r="Q11" i="4" s="1"/>
  <c r="Q40" i="32"/>
  <c r="R171"/>
  <c r="R12" i="4" s="1"/>
  <c r="O13" i="12" s="1"/>
  <c r="R48" i="32"/>
  <c r="Q195"/>
  <c r="Q20" i="4" s="1"/>
  <c r="N21" i="12" s="1"/>
  <c r="Q112" i="32"/>
  <c r="P203"/>
  <c r="P205" s="1"/>
  <c r="N29" i="4"/>
  <c r="N33" s="1"/>
  <c r="J23" i="31"/>
  <c r="R55" i="36"/>
  <c r="R68" s="1"/>
  <c r="O12" i="15" s="1"/>
  <c r="R48" i="36"/>
  <c r="R67" s="1"/>
  <c r="O11" i="15" s="1"/>
  <c r="I32" i="31"/>
  <c r="N127" i="4"/>
  <c r="S52"/>
  <c r="O33" i="9"/>
  <c r="R108" i="4"/>
  <c r="L10" i="13"/>
  <c r="Q25" i="3"/>
  <c r="Q28"/>
  <c r="Q26"/>
  <c r="Q27"/>
  <c r="P31"/>
  <c r="P33" s="1"/>
  <c r="P27" i="4" s="1"/>
  <c r="R63" i="32"/>
  <c r="R38" i="36"/>
  <c r="R66" s="1"/>
  <c r="R127" i="32"/>
  <c r="E36" i="16"/>
  <c r="H79" i="4" s="1"/>
  <c r="K19" i="16"/>
  <c r="L16" s="1"/>
  <c r="L17" s="1"/>
  <c r="L18" s="1"/>
  <c r="R34" i="32"/>
  <c r="R39" s="1"/>
  <c r="S117" i="5"/>
  <c r="R98" i="32"/>
  <c r="R103" s="1"/>
  <c r="S141" i="5"/>
  <c r="S87" i="32"/>
  <c r="R15"/>
  <c r="R183"/>
  <c r="R165"/>
  <c r="Q130"/>
  <c r="Q159"/>
  <c r="R53" i="3"/>
  <c r="R23"/>
  <c r="R7" i="32"/>
  <c r="N11" i="34" s="1"/>
  <c r="S8" i="5"/>
  <c r="M9" i="12"/>
  <c r="P24" i="4"/>
  <c r="S122" i="32"/>
  <c r="T150" i="5"/>
  <c r="L15" i="16"/>
  <c r="N73" i="4"/>
  <c r="S26" i="32"/>
  <c r="S31" s="1"/>
  <c r="S32" s="1"/>
  <c r="T114" i="5"/>
  <c r="S90" i="32"/>
  <c r="T138" i="5"/>
  <c r="T28" i="32"/>
  <c r="T29" s="1"/>
  <c r="U24" i="5"/>
  <c r="U28" i="32" s="1"/>
  <c r="U29" s="1"/>
  <c r="U135" i="5"/>
  <c r="U82" i="32" s="1"/>
  <c r="T82"/>
  <c r="K33" i="16"/>
  <c r="K16" i="9" s="1"/>
  <c r="N72" i="4"/>
  <c r="L9" i="16"/>
  <c r="P57" i="3"/>
  <c r="R186" i="32"/>
  <c r="L11" i="13"/>
  <c r="U39" i="5"/>
  <c r="U52" i="32" s="1"/>
  <c r="U53" s="1"/>
  <c r="T52"/>
  <c r="T53" s="1"/>
  <c r="U129" i="5"/>
  <c r="U66" i="32" s="1"/>
  <c r="T66"/>
  <c r="S124"/>
  <c r="S125" s="1"/>
  <c r="T84" i="5"/>
  <c r="E10" i="11"/>
  <c r="H77" i="4"/>
  <c r="D13" i="10"/>
  <c r="D16" s="1"/>
  <c r="H37" i="4"/>
  <c r="E35" i="16"/>
  <c r="T68" i="32"/>
  <c r="T69" s="1"/>
  <c r="U49" i="5"/>
  <c r="U68" i="32" s="1"/>
  <c r="U69" s="1"/>
  <c r="T69" i="5"/>
  <c r="S100" i="32"/>
  <c r="S101" s="1"/>
  <c r="S60"/>
  <c r="S61" s="1"/>
  <c r="T44" i="5"/>
  <c r="M16" i="12"/>
  <c r="S42" i="32"/>
  <c r="S47" s="1"/>
  <c r="S48" s="1"/>
  <c r="T120" i="5"/>
  <c r="J28" i="31"/>
  <c r="G96" i="4"/>
  <c r="G43"/>
  <c r="Q66" i="36"/>
  <c r="Q60"/>
  <c r="Q63" s="1"/>
  <c r="Q56" i="3"/>
  <c r="Q55"/>
  <c r="Q60"/>
  <c r="Q58"/>
  <c r="Q59"/>
  <c r="U123" i="5"/>
  <c r="U50" i="32" s="1"/>
  <c r="T50"/>
  <c r="T76"/>
  <c r="T77" s="1"/>
  <c r="U54" i="5"/>
  <c r="U76" i="32" s="1"/>
  <c r="U77" s="1"/>
  <c r="N13" i="12"/>
  <c r="M10" i="15"/>
  <c r="M15" s="1"/>
  <c r="P70" i="36"/>
  <c r="Q21" i="4"/>
  <c r="O74"/>
  <c r="M21" i="16"/>
  <c r="T158" i="5"/>
  <c r="T155"/>
  <c r="T161"/>
  <c r="T170"/>
  <c r="T167"/>
  <c r="T164"/>
  <c r="T95"/>
  <c r="T176" i="32" s="1"/>
  <c r="T99" i="5"/>
  <c r="T188" i="32" s="1"/>
  <c r="T94" i="5"/>
  <c r="T173" i="32" s="1"/>
  <c r="T93" i="5"/>
  <c r="T170" i="32" s="1"/>
  <c r="T90" i="5"/>
  <c r="T161" i="32" s="1"/>
  <c r="T102" i="5"/>
  <c r="T197" i="32" s="1"/>
  <c r="T5" i="3"/>
  <c r="T103" i="5"/>
  <c r="T200" i="32" s="1"/>
  <c r="T97" i="5"/>
  <c r="T182" i="32" s="1"/>
  <c r="T101" i="5"/>
  <c r="T194" i="32" s="1"/>
  <c r="T96" i="5"/>
  <c r="T179" i="32" s="1"/>
  <c r="T6" i="36"/>
  <c r="T91" i="5"/>
  <c r="T164" i="32" s="1"/>
  <c r="T98" i="5"/>
  <c r="T185" i="32" s="1"/>
  <c r="T89" i="5"/>
  <c r="T158" i="32" s="1"/>
  <c r="T100" i="5"/>
  <c r="T191" i="32" s="1"/>
  <c r="T92" i="5"/>
  <c r="T167" i="32" s="1"/>
  <c r="U5" i="5"/>
  <c r="S42" i="3"/>
  <c r="S123" i="4" s="1"/>
  <c r="S11" i="3"/>
  <c r="S10"/>
  <c r="S40"/>
  <c r="S16"/>
  <c r="S45"/>
  <c r="S8"/>
  <c r="S43"/>
  <c r="S15"/>
  <c r="S38"/>
  <c r="S9"/>
  <c r="S17"/>
  <c r="S46"/>
  <c r="S41"/>
  <c r="S14"/>
  <c r="S44"/>
  <c r="S13"/>
  <c r="S39"/>
  <c r="S12"/>
  <c r="U147" i="5"/>
  <c r="U114" i="32" s="1"/>
  <c r="T114"/>
  <c r="S108"/>
  <c r="S109" s="1"/>
  <c r="T74" i="5"/>
  <c r="S12" i="32"/>
  <c r="S13" s="1"/>
  <c r="T14" i="5"/>
  <c r="U111"/>
  <c r="U18" i="32" s="1"/>
  <c r="U23" s="1"/>
  <c r="U24" s="1"/>
  <c r="T18"/>
  <c r="T23" s="1"/>
  <c r="T24" s="1"/>
  <c r="N87" i="4"/>
  <c r="N110"/>
  <c r="N112" s="1"/>
  <c r="S58" i="32"/>
  <c r="T126" i="5"/>
  <c r="Q177" i="32"/>
  <c r="M12" i="34"/>
  <c r="M35" s="1"/>
  <c r="M15"/>
  <c r="M38" s="1"/>
  <c r="M14"/>
  <c r="M37" s="1"/>
  <c r="M13"/>
  <c r="M36" s="1"/>
  <c r="O110" i="4"/>
  <c r="O112" s="1"/>
  <c r="O87"/>
  <c r="T84" i="32"/>
  <c r="T85" s="1"/>
  <c r="U59" i="5"/>
  <c r="U84" i="32" s="1"/>
  <c r="U85" s="1"/>
  <c r="S116"/>
  <c r="S117" s="1"/>
  <c r="S119" s="1"/>
  <c r="T79" i="5"/>
  <c r="T44" i="32"/>
  <c r="T45" s="1"/>
  <c r="U34" i="5"/>
  <c r="U44" i="32" s="1"/>
  <c r="U45" s="1"/>
  <c r="S92"/>
  <c r="S93" s="1"/>
  <c r="T64" i="5"/>
  <c r="S10" i="32"/>
  <c r="T108" i="5"/>
  <c r="S74" i="32"/>
  <c r="T132" i="5"/>
  <c r="S58" i="36"/>
  <c r="S69" s="1"/>
  <c r="P13" i="15" s="1"/>
  <c r="S45" i="36"/>
  <c r="S53"/>
  <c r="S41"/>
  <c r="S52"/>
  <c r="S43"/>
  <c r="S37"/>
  <c r="S44"/>
  <c r="S42"/>
  <c r="S46"/>
  <c r="S51"/>
  <c r="S36" i="32"/>
  <c r="S37" s="1"/>
  <c r="T29" i="5"/>
  <c r="O24" i="4"/>
  <c r="L9" i="12"/>
  <c r="S106" i="32"/>
  <c r="T144" i="5"/>
  <c r="L19" i="12"/>
  <c r="C9" i="14"/>
  <c r="C29" i="9" s="1"/>
  <c r="F103" i="4"/>
  <c r="B35" i="31"/>
  <c r="B33"/>
  <c r="S79" i="32"/>
  <c r="R49" i="3"/>
  <c r="R111" i="32"/>
  <c r="R112" s="1"/>
  <c r="R19" i="3"/>
  <c r="R95" i="32"/>
  <c r="R96" s="1"/>
  <c r="M76" i="4"/>
  <c r="M60" s="1"/>
  <c r="P131" i="32"/>
  <c r="S162"/>
  <c r="S9" i="4" s="1"/>
  <c r="P10" i="12" s="1"/>
  <c r="S172" i="5"/>
  <c r="R198" i="32"/>
  <c r="R21" i="4" s="1"/>
  <c r="O22" i="12" s="1"/>
  <c r="L40" i="34"/>
  <c r="L50" s="1"/>
  <c r="Q68" i="3"/>
  <c r="S55" i="32"/>
  <c r="S71"/>
  <c r="S72" s="1"/>
  <c r="K25" i="12"/>
  <c r="J8" i="10" s="1"/>
  <c r="L31" i="16"/>
  <c r="M28" s="1"/>
  <c r="M29" s="1"/>
  <c r="M30" s="1"/>
  <c r="L25"/>
  <c r="M22" s="1"/>
  <c r="M23" s="1"/>
  <c r="M24" s="1"/>
  <c r="F34"/>
  <c r="F12"/>
  <c r="I16" i="31"/>
  <c r="H18"/>
  <c r="I13" i="9"/>
  <c r="L101" i="4"/>
  <c r="I13" i="11" s="1"/>
  <c r="M64" i="4"/>
  <c r="O27" i="16"/>
  <c r="Q75" i="4"/>
  <c r="C31" i="40" l="1"/>
  <c r="C26"/>
  <c r="K24" i="11"/>
  <c r="S55" i="36"/>
  <c r="P63" i="4"/>
  <c r="M19" i="9"/>
  <c r="O127" i="4"/>
  <c r="K23" i="31"/>
  <c r="O107" i="4"/>
  <c r="L24" i="11"/>
  <c r="O29" i="4"/>
  <c r="O31" s="1"/>
  <c r="C20" i="21"/>
  <c r="Q57" i="3"/>
  <c r="V85" i="4"/>
  <c r="R62" i="3"/>
  <c r="T80"/>
  <c r="T86"/>
  <c r="T92"/>
  <c r="T98"/>
  <c r="T104"/>
  <c r="T110"/>
  <c r="T116"/>
  <c r="T122"/>
  <c r="T128"/>
  <c r="T134"/>
  <c r="T140"/>
  <c r="T146"/>
  <c r="T152"/>
  <c r="T158"/>
  <c r="T164"/>
  <c r="S168"/>
  <c r="S61" s="1"/>
  <c r="T79"/>
  <c r="T133"/>
  <c r="T163"/>
  <c r="T121"/>
  <c r="T127"/>
  <c r="T103"/>
  <c r="T109"/>
  <c r="T91"/>
  <c r="T145"/>
  <c r="T85"/>
  <c r="T139"/>
  <c r="T115"/>
  <c r="T157"/>
  <c r="T97"/>
  <c r="T151"/>
  <c r="S167"/>
  <c r="T78"/>
  <c r="T90"/>
  <c r="T102"/>
  <c r="T114"/>
  <c r="T84"/>
  <c r="T120"/>
  <c r="T126"/>
  <c r="T96"/>
  <c r="T108"/>
  <c r="T132"/>
  <c r="T138"/>
  <c r="T144"/>
  <c r="T150"/>
  <c r="T156"/>
  <c r="T162"/>
  <c r="S166"/>
  <c r="S29" s="1"/>
  <c r="N31" i="4"/>
  <c r="L14" i="13"/>
  <c r="K10" i="10" s="1"/>
  <c r="N93" i="4"/>
  <c r="N54" s="1"/>
  <c r="K35" i="9" s="1"/>
  <c r="S186" i="32"/>
  <c r="S17" i="4" s="1"/>
  <c r="P18" i="12" s="1"/>
  <c r="S88" i="32"/>
  <c r="R168"/>
  <c r="R11" i="4" s="1"/>
  <c r="O12" i="12" s="1"/>
  <c r="R40" i="32"/>
  <c r="R201"/>
  <c r="R22" i="4" s="1"/>
  <c r="R128" i="32"/>
  <c r="S174"/>
  <c r="S13" i="4" s="1"/>
  <c r="S56" i="32"/>
  <c r="R159"/>
  <c r="R8" i="4" s="1"/>
  <c r="R16" i="32"/>
  <c r="R192"/>
  <c r="R19" i="4" s="1"/>
  <c r="R104" i="32"/>
  <c r="R177"/>
  <c r="R14" i="4" s="1"/>
  <c r="O15" i="12" s="1"/>
  <c r="R64" i="32"/>
  <c r="S183"/>
  <c r="S16" i="4" s="1"/>
  <c r="P17" i="12" s="1"/>
  <c r="S80" i="32"/>
  <c r="S198"/>
  <c r="S21" i="4" s="1"/>
  <c r="P22" i="12" s="1"/>
  <c r="S120" i="32"/>
  <c r="S48" i="36"/>
  <c r="S67" s="1"/>
  <c r="P11" i="15" s="1"/>
  <c r="P64" i="3"/>
  <c r="P66" s="1"/>
  <c r="P28" i="4" s="1"/>
  <c r="P117" s="1"/>
  <c r="P118" s="1"/>
  <c r="P90" s="1"/>
  <c r="L26" i="31" s="1"/>
  <c r="P124" i="4"/>
  <c r="P126" s="1"/>
  <c r="M24" i="11" s="1"/>
  <c r="G49" i="4"/>
  <c r="G86" s="1"/>
  <c r="G91" s="1"/>
  <c r="G92" s="1"/>
  <c r="G100"/>
  <c r="D10" i="18" s="1"/>
  <c r="C20" i="10"/>
  <c r="G46" i="4"/>
  <c r="G47" s="1"/>
  <c r="S108"/>
  <c r="T52"/>
  <c r="P33" i="9"/>
  <c r="M10" i="13"/>
  <c r="L22" i="31"/>
  <c r="Q31" i="3"/>
  <c r="Q33" s="1"/>
  <c r="Q27" i="4" s="1"/>
  <c r="N10" i="13" s="1"/>
  <c r="R25" i="3"/>
  <c r="R27"/>
  <c r="R26"/>
  <c r="R28"/>
  <c r="L19" i="16"/>
  <c r="M16" s="1"/>
  <c r="M17" s="1"/>
  <c r="M18" s="1"/>
  <c r="U87" i="32"/>
  <c r="U88" s="1"/>
  <c r="N76" i="4"/>
  <c r="N60" s="1"/>
  <c r="T87" i="32"/>
  <c r="M25" i="12"/>
  <c r="L8" i="10" s="1"/>
  <c r="Q131" i="32"/>
  <c r="S34"/>
  <c r="S39" s="1"/>
  <c r="T117" i="5"/>
  <c r="S95" i="32"/>
  <c r="T162"/>
  <c r="T9" i="4" s="1"/>
  <c r="Q10" i="12" s="1"/>
  <c r="U71" i="32"/>
  <c r="U72" s="1"/>
  <c r="T141" i="5"/>
  <c r="S98" i="32"/>
  <c r="S103" s="1"/>
  <c r="S111"/>
  <c r="S68" i="36"/>
  <c r="P12" i="15" s="1"/>
  <c r="R60" i="36"/>
  <c r="R63" s="1"/>
  <c r="M40" i="34"/>
  <c r="M50" s="1"/>
  <c r="S127" i="32"/>
  <c r="S165"/>
  <c r="S10" i="4" s="1"/>
  <c r="P11" i="12" s="1"/>
  <c r="U144" i="5"/>
  <c r="U106" i="32" s="1"/>
  <c r="T106"/>
  <c r="K28" i="31"/>
  <c r="U108" i="5"/>
  <c r="U10" i="32" s="1"/>
  <c r="T10"/>
  <c r="T92"/>
  <c r="T93" s="1"/>
  <c r="U64" i="5"/>
  <c r="U92" i="32" s="1"/>
  <c r="U93" s="1"/>
  <c r="T116"/>
  <c r="T117" s="1"/>
  <c r="T119" s="1"/>
  <c r="T120" s="1"/>
  <c r="U79" i="5"/>
  <c r="U116" i="32" s="1"/>
  <c r="U117" s="1"/>
  <c r="U119" s="1"/>
  <c r="U120" s="1"/>
  <c r="K25" i="31"/>
  <c r="K31" s="1"/>
  <c r="L17" i="11"/>
  <c r="L19" s="1"/>
  <c r="U170" i="5"/>
  <c r="V170" s="1"/>
  <c r="U167"/>
  <c r="V167" s="1"/>
  <c r="U164"/>
  <c r="V164" s="1"/>
  <c r="U155"/>
  <c r="U92"/>
  <c r="U90"/>
  <c r="U5" i="3"/>
  <c r="U100" i="5"/>
  <c r="U99"/>
  <c r="U98"/>
  <c r="U95"/>
  <c r="U94"/>
  <c r="U91"/>
  <c r="U89"/>
  <c r="U101"/>
  <c r="U96"/>
  <c r="U6" i="36"/>
  <c r="U161" i="5"/>
  <c r="V161" s="1"/>
  <c r="U158"/>
  <c r="V158" s="1"/>
  <c r="U103"/>
  <c r="U93"/>
  <c r="U102"/>
  <c r="U97"/>
  <c r="N21" i="16"/>
  <c r="P74" i="4"/>
  <c r="N10" i="15"/>
  <c r="N15" s="1"/>
  <c r="Q70" i="36"/>
  <c r="T100" i="32"/>
  <c r="T101" s="1"/>
  <c r="U69" i="5"/>
  <c r="U100" i="32" s="1"/>
  <c r="U101" s="1"/>
  <c r="H41" i="4"/>
  <c r="H97"/>
  <c r="U84" i="5"/>
  <c r="U124" i="32" s="1"/>
  <c r="U125" s="1"/>
  <c r="T124"/>
  <c r="T125" s="1"/>
  <c r="M9" i="16"/>
  <c r="O72" i="4"/>
  <c r="L33" i="16"/>
  <c r="L16" i="9" s="1"/>
  <c r="N15" i="34"/>
  <c r="N38" s="1"/>
  <c r="N14"/>
  <c r="N37" s="1"/>
  <c r="N12"/>
  <c r="N35" s="1"/>
  <c r="N13"/>
  <c r="N36" s="1"/>
  <c r="J12" i="10"/>
  <c r="R189" i="32"/>
  <c r="R68" i="3"/>
  <c r="T108" i="32"/>
  <c r="T109" s="1"/>
  <c r="U74" i="5"/>
  <c r="U108" i="32" s="1"/>
  <c r="U109" s="1"/>
  <c r="T43" i="3"/>
  <c r="T41"/>
  <c r="T9"/>
  <c r="T10"/>
  <c r="T46"/>
  <c r="T17"/>
  <c r="T15"/>
  <c r="T45"/>
  <c r="T16"/>
  <c r="T44"/>
  <c r="T42"/>
  <c r="T123" i="4" s="1"/>
  <c r="T12" i="3"/>
  <c r="T38"/>
  <c r="T40"/>
  <c r="T13"/>
  <c r="T8"/>
  <c r="T39"/>
  <c r="T11"/>
  <c r="T14"/>
  <c r="N22" i="12"/>
  <c r="P87" i="4"/>
  <c r="P110"/>
  <c r="P112" s="1"/>
  <c r="E17" i="9"/>
  <c r="E18" s="1"/>
  <c r="H78" i="4"/>
  <c r="H61" s="1"/>
  <c r="H62" s="1"/>
  <c r="U114" i="5"/>
  <c r="U26" i="32" s="1"/>
  <c r="U31" s="1"/>
  <c r="U32" s="1"/>
  <c r="T26"/>
  <c r="T31" s="1"/>
  <c r="U150" i="5"/>
  <c r="U122" i="32" s="1"/>
  <c r="T122"/>
  <c r="S7"/>
  <c r="O11" i="34" s="1"/>
  <c r="S53" i="3"/>
  <c r="S23"/>
  <c r="T8" i="5"/>
  <c r="R10" i="4"/>
  <c r="R16"/>
  <c r="R195" i="32"/>
  <c r="U132" i="5"/>
  <c r="U74" i="32" s="1"/>
  <c r="U79" s="1"/>
  <c r="U80" s="1"/>
  <c r="T74"/>
  <c r="T79" s="1"/>
  <c r="T80" s="1"/>
  <c r="O10" i="15"/>
  <c r="O15" s="1"/>
  <c r="R70" i="36"/>
  <c r="U126" i="5"/>
  <c r="U58" i="32" s="1"/>
  <c r="T58"/>
  <c r="J25" i="31"/>
  <c r="J31" s="1"/>
  <c r="J32" s="1"/>
  <c r="K17" i="11"/>
  <c r="K19" s="1"/>
  <c r="T44" i="36"/>
  <c r="T42"/>
  <c r="T37"/>
  <c r="T53"/>
  <c r="T43"/>
  <c r="T51"/>
  <c r="T58"/>
  <c r="T69" s="1"/>
  <c r="Q13" i="15" s="1"/>
  <c r="T52" i="36"/>
  <c r="T46"/>
  <c r="T45"/>
  <c r="T41"/>
  <c r="N12" i="12"/>
  <c r="N35" i="4"/>
  <c r="U120" i="5"/>
  <c r="U42" i="32" s="1"/>
  <c r="U47" s="1"/>
  <c r="U48" s="1"/>
  <c r="T42"/>
  <c r="U44" i="5"/>
  <c r="U60" i="32" s="1"/>
  <c r="U61" s="1"/>
  <c r="T60"/>
  <c r="T61" s="1"/>
  <c r="M15" i="16"/>
  <c r="O73" i="4"/>
  <c r="R55" i="3"/>
  <c r="R60"/>
  <c r="R59"/>
  <c r="R58"/>
  <c r="R56"/>
  <c r="Q8" i="4"/>
  <c r="Q203" i="32"/>
  <c r="Q205" s="1"/>
  <c r="B21" i="20"/>
  <c r="C24" s="1"/>
  <c r="C31" i="9"/>
  <c r="T36" i="32"/>
  <c r="T37" s="1"/>
  <c r="U29" i="5"/>
  <c r="U36" i="32" s="1"/>
  <c r="U37" s="1"/>
  <c r="Q14" i="4"/>
  <c r="T12" i="32"/>
  <c r="T13" s="1"/>
  <c r="U14" i="5"/>
  <c r="U12" i="32" s="1"/>
  <c r="U13" s="1"/>
  <c r="R17" i="4"/>
  <c r="U138" i="5"/>
  <c r="U90" i="32" s="1"/>
  <c r="T90"/>
  <c r="L28" i="31"/>
  <c r="S180" i="32"/>
  <c r="V23"/>
  <c r="T55"/>
  <c r="L25" i="12"/>
  <c r="K8" i="10" s="1"/>
  <c r="S38" i="36"/>
  <c r="T47" i="32"/>
  <c r="C8" i="21"/>
  <c r="S63" i="32"/>
  <c r="S64" s="1"/>
  <c r="R130"/>
  <c r="S171"/>
  <c r="S49" i="3"/>
  <c r="S19"/>
  <c r="T172" i="5"/>
  <c r="T71" i="32"/>
  <c r="T72" s="1"/>
  <c r="S15"/>
  <c r="S16" s="1"/>
  <c r="U55"/>
  <c r="U56" s="1"/>
  <c r="M31" i="16"/>
  <c r="N28" s="1"/>
  <c r="N29" s="1"/>
  <c r="N30" s="1"/>
  <c r="M25"/>
  <c r="N22" s="1"/>
  <c r="N23" s="1"/>
  <c r="N24" s="1"/>
  <c r="M101" i="4"/>
  <c r="J13" i="11" s="1"/>
  <c r="J13" i="9"/>
  <c r="N64" i="4"/>
  <c r="I18" i="31"/>
  <c r="J16"/>
  <c r="I77" i="4"/>
  <c r="F10" i="11"/>
  <c r="E13" i="10"/>
  <c r="I37" i="4"/>
  <c r="F35" i="16"/>
  <c r="R75" i="4"/>
  <c r="P27" i="16"/>
  <c r="F13"/>
  <c r="C9" i="21" l="1"/>
  <c r="C11" s="1"/>
  <c r="O33" i="4"/>
  <c r="O35" s="1"/>
  <c r="T48" i="36"/>
  <c r="T67" s="1"/>
  <c r="Q11" i="15" s="1"/>
  <c r="Q124" i="4"/>
  <c r="Q126" s="1"/>
  <c r="Q64" i="3"/>
  <c r="Q66" s="1"/>
  <c r="Q28" i="4" s="1"/>
  <c r="N11" i="13" s="1"/>
  <c r="N14" s="1"/>
  <c r="M10" i="10" s="1"/>
  <c r="S62" i="3"/>
  <c r="T168"/>
  <c r="U80"/>
  <c r="U86"/>
  <c r="V86" s="1"/>
  <c r="U92"/>
  <c r="V92" s="1"/>
  <c r="U98"/>
  <c r="V98" s="1"/>
  <c r="U104"/>
  <c r="V104" s="1"/>
  <c r="U110"/>
  <c r="V110" s="1"/>
  <c r="U116"/>
  <c r="V116" s="1"/>
  <c r="U122"/>
  <c r="V122" s="1"/>
  <c r="U128"/>
  <c r="V128" s="1"/>
  <c r="U134"/>
  <c r="V134" s="1"/>
  <c r="U140"/>
  <c r="V140" s="1"/>
  <c r="U146"/>
  <c r="V146" s="1"/>
  <c r="U152"/>
  <c r="V152" s="1"/>
  <c r="U158"/>
  <c r="V158" s="1"/>
  <c r="U164"/>
  <c r="V164" s="1"/>
  <c r="U79"/>
  <c r="V79" s="1"/>
  <c r="U85"/>
  <c r="V85" s="1"/>
  <c r="U91"/>
  <c r="U97"/>
  <c r="V97" s="1"/>
  <c r="U103"/>
  <c r="V103" s="1"/>
  <c r="U109"/>
  <c r="V109" s="1"/>
  <c r="U115"/>
  <c r="V115" s="1"/>
  <c r="U121"/>
  <c r="V121" s="1"/>
  <c r="U127"/>
  <c r="V127" s="1"/>
  <c r="U133"/>
  <c r="V133" s="1"/>
  <c r="U139"/>
  <c r="V139" s="1"/>
  <c r="U145"/>
  <c r="V145" s="1"/>
  <c r="U151"/>
  <c r="V151" s="1"/>
  <c r="U157"/>
  <c r="V157" s="1"/>
  <c r="U163"/>
  <c r="V163" s="1"/>
  <c r="T167"/>
  <c r="T62" s="1"/>
  <c r="T166"/>
  <c r="T29" s="1"/>
  <c r="U162"/>
  <c r="V162" s="1"/>
  <c r="U156"/>
  <c r="V156" s="1"/>
  <c r="U150"/>
  <c r="V150" s="1"/>
  <c r="U144"/>
  <c r="V144" s="1"/>
  <c r="U138"/>
  <c r="V138" s="1"/>
  <c r="U132"/>
  <c r="V132" s="1"/>
  <c r="U126"/>
  <c r="V126" s="1"/>
  <c r="U96"/>
  <c r="V96" s="1"/>
  <c r="U90"/>
  <c r="V90" s="1"/>
  <c r="U84"/>
  <c r="V84" s="1"/>
  <c r="U120"/>
  <c r="V120" s="1"/>
  <c r="U114"/>
  <c r="V114" s="1"/>
  <c r="U108"/>
  <c r="V108" s="1"/>
  <c r="U102"/>
  <c r="V102" s="1"/>
  <c r="U78"/>
  <c r="K12" i="10"/>
  <c r="O93" i="4"/>
  <c r="O54" s="1"/>
  <c r="L35" i="9" s="1"/>
  <c r="T171" i="32"/>
  <c r="T12" i="4" s="1"/>
  <c r="Q13" i="12" s="1"/>
  <c r="T48" i="32"/>
  <c r="T165"/>
  <c r="T10" i="4" s="1"/>
  <c r="Q11" i="12" s="1"/>
  <c r="T32" i="32"/>
  <c r="S192"/>
  <c r="S19" i="4" s="1"/>
  <c r="P20" i="12" s="1"/>
  <c r="S104" i="32"/>
  <c r="S189"/>
  <c r="S18" i="4" s="1"/>
  <c r="P19" i="12" s="1"/>
  <c r="S96" i="32"/>
  <c r="T174"/>
  <c r="T13" i="4" s="1"/>
  <c r="Q14" i="12" s="1"/>
  <c r="T56" i="32"/>
  <c r="S201"/>
  <c r="S22" i="4" s="1"/>
  <c r="P23" i="12" s="1"/>
  <c r="S128" i="32"/>
  <c r="S195"/>
  <c r="S20" i="4" s="1"/>
  <c r="P21" i="12" s="1"/>
  <c r="S112" i="32"/>
  <c r="S168"/>
  <c r="S11" i="4" s="1"/>
  <c r="S40" i="32"/>
  <c r="T186"/>
  <c r="T17" i="4" s="1"/>
  <c r="Q18" i="12" s="1"/>
  <c r="T88" i="32"/>
  <c r="P29" i="4"/>
  <c r="P33" s="1"/>
  <c r="P35" s="1"/>
  <c r="T55" i="36"/>
  <c r="T68" s="1"/>
  <c r="Q12" i="15" s="1"/>
  <c r="D9" i="11"/>
  <c r="D14" s="1"/>
  <c r="D36" s="1"/>
  <c r="U95" i="32"/>
  <c r="U96" s="1"/>
  <c r="L23" i="31"/>
  <c r="P127" i="4"/>
  <c r="M11" i="13"/>
  <c r="M14" s="1"/>
  <c r="L10" i="10" s="1"/>
  <c r="C22" i="20"/>
  <c r="G56" i="4"/>
  <c r="G102"/>
  <c r="T108"/>
  <c r="Q33" i="9"/>
  <c r="U52" i="4"/>
  <c r="R31" i="3"/>
  <c r="R33" s="1"/>
  <c r="R27" i="4" s="1"/>
  <c r="O10" i="13" s="1"/>
  <c r="S25" i="3"/>
  <c r="S26"/>
  <c r="S27"/>
  <c r="S28"/>
  <c r="V71" i="32"/>
  <c r="V87"/>
  <c r="O76" i="4"/>
  <c r="O60" s="1"/>
  <c r="R131" i="32"/>
  <c r="U141" i="5"/>
  <c r="U98" i="32" s="1"/>
  <c r="U103" s="1"/>
  <c r="U104" s="1"/>
  <c r="T98"/>
  <c r="T103" s="1"/>
  <c r="T34"/>
  <c r="T39" s="1"/>
  <c r="U117" i="5"/>
  <c r="U34" i="32" s="1"/>
  <c r="U39" s="1"/>
  <c r="U40" s="1"/>
  <c r="N40" i="34"/>
  <c r="N50" s="1"/>
  <c r="U15" i="32"/>
  <c r="U16" s="1"/>
  <c r="U63"/>
  <c r="U64" s="1"/>
  <c r="T183"/>
  <c r="T16" i="4" s="1"/>
  <c r="Q17" i="12" s="1"/>
  <c r="V79" i="32"/>
  <c r="V47"/>
  <c r="S68" i="3"/>
  <c r="S15" i="4"/>
  <c r="D24" i="20"/>
  <c r="C25" i="11"/>
  <c r="C28" s="1"/>
  <c r="C30" s="1"/>
  <c r="C32" s="1"/>
  <c r="S12" i="4"/>
  <c r="S60" i="36"/>
  <c r="S63" s="1"/>
  <c r="S66"/>
  <c r="O18" i="12"/>
  <c r="O20"/>
  <c r="N15" i="16"/>
  <c r="P73" i="4"/>
  <c r="S55" i="3"/>
  <c r="S56"/>
  <c r="S59"/>
  <c r="S58"/>
  <c r="S60"/>
  <c r="U182" i="32"/>
  <c r="V182" s="1"/>
  <c r="V97" i="5"/>
  <c r="U194" i="32"/>
  <c r="V101" i="5"/>
  <c r="U176" i="32"/>
  <c r="V95" i="5"/>
  <c r="U10" i="3"/>
  <c r="V10" s="1"/>
  <c r="U41"/>
  <c r="V41" s="1"/>
  <c r="U17"/>
  <c r="V17" s="1"/>
  <c r="U42"/>
  <c r="U43"/>
  <c r="V43" s="1"/>
  <c r="U39"/>
  <c r="V39" s="1"/>
  <c r="U45"/>
  <c r="V45" s="1"/>
  <c r="U14"/>
  <c r="V14" s="1"/>
  <c r="U38"/>
  <c r="U46"/>
  <c r="V46" s="1"/>
  <c r="U12"/>
  <c r="V12" s="1"/>
  <c r="U9"/>
  <c r="V9" s="1"/>
  <c r="U13"/>
  <c r="V13" s="1"/>
  <c r="U15"/>
  <c r="V15" s="1"/>
  <c r="U8"/>
  <c r="U11"/>
  <c r="V11" s="1"/>
  <c r="U16"/>
  <c r="V16" s="1"/>
  <c r="U40"/>
  <c r="V40" s="1"/>
  <c r="U44"/>
  <c r="V44" s="1"/>
  <c r="P14" i="12"/>
  <c r="S130" i="32"/>
  <c r="S159"/>
  <c r="O17" i="12"/>
  <c r="M17" i="11"/>
  <c r="M19" s="1"/>
  <c r="L25" i="31"/>
  <c r="O21" i="16"/>
  <c r="Q74" i="4"/>
  <c r="U200" i="32"/>
  <c r="V200" s="1"/>
  <c r="V103" i="5"/>
  <c r="U179" i="32"/>
  <c r="V96" i="5"/>
  <c r="U173" i="32"/>
  <c r="V94" i="5"/>
  <c r="U191" i="32"/>
  <c r="V191" s="1"/>
  <c r="V100" i="5"/>
  <c r="U172"/>
  <c r="V155"/>
  <c r="V172" s="1"/>
  <c r="M19" i="16"/>
  <c r="N16" s="1"/>
  <c r="N17" s="1"/>
  <c r="N18" s="1"/>
  <c r="K32" i="31"/>
  <c r="T180" i="32"/>
  <c r="T15" i="4" s="1"/>
  <c r="Q16" i="12" s="1"/>
  <c r="V55" i="32"/>
  <c r="T19" i="3"/>
  <c r="U111" i="32"/>
  <c r="U112" s="1"/>
  <c r="U127"/>
  <c r="U128" s="1"/>
  <c r="S177"/>
  <c r="N15" i="12"/>
  <c r="O23"/>
  <c r="T53" i="3"/>
  <c r="T23"/>
  <c r="U8" i="5"/>
  <c r="T7" i="32"/>
  <c r="P11" i="34" s="1"/>
  <c r="R18" i="4"/>
  <c r="O9" i="12"/>
  <c r="U170" i="32"/>
  <c r="V93" i="5"/>
  <c r="U37" i="36"/>
  <c r="U44"/>
  <c r="U52"/>
  <c r="U58"/>
  <c r="U69" s="1"/>
  <c r="R13" i="15" s="1"/>
  <c r="S13" s="1"/>
  <c r="U41" i="36"/>
  <c r="U46"/>
  <c r="U53"/>
  <c r="U43"/>
  <c r="U51"/>
  <c r="U55" s="1"/>
  <c r="U42"/>
  <c r="U45"/>
  <c r="U164" i="32"/>
  <c r="V91" i="5"/>
  <c r="U188" i="32"/>
  <c r="V99" i="5"/>
  <c r="U167" i="32"/>
  <c r="V92" i="5"/>
  <c r="T198" i="32"/>
  <c r="V119"/>
  <c r="R57" i="3"/>
  <c r="D6" i="21"/>
  <c r="N9" i="12"/>
  <c r="Q24" i="4"/>
  <c r="R87"/>
  <c r="O17" i="11" s="1"/>
  <c r="O19" s="1"/>
  <c r="R110" i="4"/>
  <c r="R112" s="1"/>
  <c r="R20"/>
  <c r="O11" i="12"/>
  <c r="O12" i="34"/>
  <c r="O35" s="1"/>
  <c r="O13"/>
  <c r="O36" s="1"/>
  <c r="O15"/>
  <c r="O38" s="1"/>
  <c r="O14"/>
  <c r="O37" s="1"/>
  <c r="P72" i="4"/>
  <c r="N9" i="16"/>
  <c r="M33"/>
  <c r="M16" i="9" s="1"/>
  <c r="H96" i="4"/>
  <c r="H43"/>
  <c r="Q87"/>
  <c r="N17" i="11" s="1"/>
  <c r="N19" s="1"/>
  <c r="Q110" i="4"/>
  <c r="Q112" s="1"/>
  <c r="U197" i="32"/>
  <c r="V197" s="1"/>
  <c r="V102" i="5"/>
  <c r="U158" i="32"/>
  <c r="V89" i="5"/>
  <c r="U185" i="32"/>
  <c r="V98" i="5"/>
  <c r="U161" i="32"/>
  <c r="V90" i="5"/>
  <c r="T49" i="3"/>
  <c r="T127" i="32"/>
  <c r="T128" s="1"/>
  <c r="V31"/>
  <c r="T95"/>
  <c r="T96" s="1"/>
  <c r="T63"/>
  <c r="T38" i="36"/>
  <c r="R203" i="32"/>
  <c r="R205" s="1"/>
  <c r="T15"/>
  <c r="T16" s="1"/>
  <c r="T111"/>
  <c r="T112" s="1"/>
  <c r="N25" i="16"/>
  <c r="O22" s="1"/>
  <c r="O23" s="1"/>
  <c r="O24" s="1"/>
  <c r="N31"/>
  <c r="O28" s="1"/>
  <c r="O29" s="1"/>
  <c r="O30" s="1"/>
  <c r="G10"/>
  <c r="G11" s="1"/>
  <c r="F36"/>
  <c r="I79" i="4" s="1"/>
  <c r="I78"/>
  <c r="I61" s="1"/>
  <c r="I62" s="1"/>
  <c r="F17" i="9"/>
  <c r="F18" s="1"/>
  <c r="I97" i="4"/>
  <c r="I41"/>
  <c r="K16" i="31"/>
  <c r="J18"/>
  <c r="O64" i="4"/>
  <c r="K13" i="9"/>
  <c r="N101" i="4"/>
  <c r="K13" i="11" s="1"/>
  <c r="Q27" i="16"/>
  <c r="S75" i="4"/>
  <c r="E16" i="10"/>
  <c r="Q117" i="4" l="1"/>
  <c r="Q118" s="1"/>
  <c r="Q90" s="1"/>
  <c r="Q29"/>
  <c r="Q33" s="1"/>
  <c r="Q127"/>
  <c r="T61" i="3"/>
  <c r="U168"/>
  <c r="U61" s="1"/>
  <c r="V80"/>
  <c r="U167"/>
  <c r="U62" s="1"/>
  <c r="V62" s="1"/>
  <c r="V91"/>
  <c r="U166"/>
  <c r="V78"/>
  <c r="P93" i="4"/>
  <c r="Q93" s="1"/>
  <c r="U123"/>
  <c r="V42" i="3"/>
  <c r="T192" i="32"/>
  <c r="T19" i="4" s="1"/>
  <c r="Q20" i="12" s="1"/>
  <c r="T104" i="32"/>
  <c r="T177"/>
  <c r="T14" i="4" s="1"/>
  <c r="Q15" i="12" s="1"/>
  <c r="T64" i="32"/>
  <c r="T168"/>
  <c r="T11" i="4" s="1"/>
  <c r="Q12" i="12" s="1"/>
  <c r="T40" i="32"/>
  <c r="P31" i="4"/>
  <c r="U48" i="36"/>
  <c r="U67" s="1"/>
  <c r="R11" i="15" s="1"/>
  <c r="S11" s="1"/>
  <c r="U201" i="32"/>
  <c r="U22" i="4" s="1"/>
  <c r="R23" i="12" s="1"/>
  <c r="L31" i="31"/>
  <c r="L32" s="1"/>
  <c r="R64" i="3"/>
  <c r="R66" s="1"/>
  <c r="R28" i="4" s="1"/>
  <c r="R29" s="1"/>
  <c r="R124"/>
  <c r="R126" s="1"/>
  <c r="D20" i="10"/>
  <c r="H100" i="4"/>
  <c r="E10" i="18" s="1"/>
  <c r="H49" i="4"/>
  <c r="H86" s="1"/>
  <c r="H91" s="1"/>
  <c r="H92" s="1"/>
  <c r="D20" i="20"/>
  <c r="C21"/>
  <c r="C25" s="1"/>
  <c r="D25" i="11" s="1"/>
  <c r="D28" s="1"/>
  <c r="D30" s="1"/>
  <c r="D32" s="1"/>
  <c r="H46" i="4"/>
  <c r="C35" i="31"/>
  <c r="C33"/>
  <c r="G105" i="4"/>
  <c r="G103"/>
  <c r="D9" i="14"/>
  <c r="U108" i="4"/>
  <c r="R33" i="9"/>
  <c r="T25" i="3"/>
  <c r="T27"/>
  <c r="T28"/>
  <c r="T26"/>
  <c r="S31"/>
  <c r="S33" s="1"/>
  <c r="S27" i="4" s="1"/>
  <c r="P10" i="13" s="1"/>
  <c r="R24" i="4"/>
  <c r="D8" i="21" s="1"/>
  <c r="N19" i="16"/>
  <c r="O16" s="1"/>
  <c r="O17" s="1"/>
  <c r="O18" s="1"/>
  <c r="V39" i="32"/>
  <c r="U198"/>
  <c r="U21" i="4" s="1"/>
  <c r="R22" i="12" s="1"/>
  <c r="V103" i="32"/>
  <c r="U68" i="36"/>
  <c r="R12" i="15" s="1"/>
  <c r="S12" s="1"/>
  <c r="U38" i="36"/>
  <c r="U66" s="1"/>
  <c r="U183" i="32"/>
  <c r="V183" s="1"/>
  <c r="B16" i="40" s="1"/>
  <c r="U192" i="32"/>
  <c r="U130"/>
  <c r="T195"/>
  <c r="V111"/>
  <c r="O9" i="16"/>
  <c r="Q72" i="4"/>
  <c r="N33" i="16"/>
  <c r="N16" i="9" s="1"/>
  <c r="U171" i="32"/>
  <c r="V170"/>
  <c r="O19" i="12"/>
  <c r="U7" i="32"/>
  <c r="Q11" i="34" s="1"/>
  <c r="U53" i="3"/>
  <c r="U23"/>
  <c r="S14" i="4"/>
  <c r="T68" i="3"/>
  <c r="U174" i="32"/>
  <c r="V173"/>
  <c r="S57" i="3"/>
  <c r="U195" i="32"/>
  <c r="U20" i="4" s="1"/>
  <c r="R21" i="12" s="1"/>
  <c r="V194" i="32"/>
  <c r="V161"/>
  <c r="U162"/>
  <c r="U159"/>
  <c r="V158"/>
  <c r="U168"/>
  <c r="V167"/>
  <c r="U165"/>
  <c r="V164"/>
  <c r="P13" i="34"/>
  <c r="P36" s="1"/>
  <c r="P15"/>
  <c r="P38" s="1"/>
  <c r="P12"/>
  <c r="P35" s="1"/>
  <c r="P14"/>
  <c r="P37" s="1"/>
  <c r="S8" i="4"/>
  <c r="S203" i="32"/>
  <c r="S205" s="1"/>
  <c r="Q73" i="4"/>
  <c r="O15" i="16"/>
  <c r="B25" i="20"/>
  <c r="E24"/>
  <c r="N25" i="12"/>
  <c r="M8" i="10" s="1"/>
  <c r="V63" i="32"/>
  <c r="S131"/>
  <c r="T55" i="3"/>
  <c r="T58"/>
  <c r="T60"/>
  <c r="T59"/>
  <c r="T56"/>
  <c r="U180" i="32"/>
  <c r="U15" i="4" s="1"/>
  <c r="R16" i="12" s="1"/>
  <c r="V179" i="32"/>
  <c r="R74" i="4"/>
  <c r="P21" i="16"/>
  <c r="P12" i="12"/>
  <c r="U49" i="3"/>
  <c r="V49" s="1"/>
  <c r="V38"/>
  <c r="U177" i="32"/>
  <c r="U14" i="4" s="1"/>
  <c r="R15" i="12" s="1"/>
  <c r="V176" i="32"/>
  <c r="S70" i="36"/>
  <c r="P10" i="15"/>
  <c r="P15" s="1"/>
  <c r="T130" i="32"/>
  <c r="T159"/>
  <c r="T66" i="36"/>
  <c r="T60"/>
  <c r="T63" s="1"/>
  <c r="V95" i="32"/>
  <c r="T189"/>
  <c r="T201"/>
  <c r="V127"/>
  <c r="U186"/>
  <c r="V185"/>
  <c r="O21" i="12"/>
  <c r="T21" i="4"/>
  <c r="U189" i="32"/>
  <c r="U18" i="4" s="1"/>
  <c r="R19" i="12" s="1"/>
  <c r="V188" i="32"/>
  <c r="U19" i="3"/>
  <c r="V8"/>
  <c r="L12" i="10"/>
  <c r="P13" i="12"/>
  <c r="P16"/>
  <c r="P76" i="4"/>
  <c r="P60" s="1"/>
  <c r="O40" i="34"/>
  <c r="O50" s="1"/>
  <c r="V15" i="32"/>
  <c r="O31" i="16"/>
  <c r="P28" s="1"/>
  <c r="P29" s="1"/>
  <c r="P30" s="1"/>
  <c r="O25"/>
  <c r="P22" s="1"/>
  <c r="P23" s="1"/>
  <c r="P24" s="1"/>
  <c r="T75" i="4"/>
  <c r="R27" i="16"/>
  <c r="O101" i="4"/>
  <c r="L13" i="11" s="1"/>
  <c r="P64" i="4"/>
  <c r="L13" i="9"/>
  <c r="I96" i="4"/>
  <c r="I43"/>
  <c r="G34" i="16"/>
  <c r="G12"/>
  <c r="K18" i="31"/>
  <c r="L16"/>
  <c r="L18" s="1"/>
  <c r="V192" i="32" l="1"/>
  <c r="B23" i="40" s="1"/>
  <c r="V61" i="3"/>
  <c r="V168"/>
  <c r="Q31" i="4"/>
  <c r="U57" i="3"/>
  <c r="U124" i="4" s="1"/>
  <c r="U126" s="1"/>
  <c r="T57" i="3"/>
  <c r="T124" i="4" s="1"/>
  <c r="T126" s="1"/>
  <c r="R127"/>
  <c r="V167" i="3"/>
  <c r="R117" i="4"/>
  <c r="R118" s="1"/>
  <c r="R90" s="1"/>
  <c r="U29" i="3"/>
  <c r="V29" s="1"/>
  <c r="V166"/>
  <c r="P54" i="4"/>
  <c r="M35" i="9" s="1"/>
  <c r="R93" i="4"/>
  <c r="Q54"/>
  <c r="N35" i="9" s="1"/>
  <c r="O11" i="13"/>
  <c r="O14" s="1"/>
  <c r="N10" i="10" s="1"/>
  <c r="S64" i="3"/>
  <c r="S66" s="1"/>
  <c r="S28" i="4" s="1"/>
  <c r="S29" s="1"/>
  <c r="S124"/>
  <c r="S126" s="1"/>
  <c r="V198" i="32"/>
  <c r="B25" i="40" s="1"/>
  <c r="H102" i="4"/>
  <c r="D17" i="14"/>
  <c r="D29" i="9"/>
  <c r="D31" s="1"/>
  <c r="D22" i="20"/>
  <c r="H56" i="4"/>
  <c r="G109"/>
  <c r="G113" s="1"/>
  <c r="D25" i="20"/>
  <c r="E25" s="1"/>
  <c r="E9" i="11"/>
  <c r="E14" s="1"/>
  <c r="E36" s="1"/>
  <c r="H47" i="4"/>
  <c r="O25" i="12"/>
  <c r="N8" i="10" s="1"/>
  <c r="R33" i="4"/>
  <c r="R35" s="1"/>
  <c r="T31" i="3"/>
  <c r="T33" s="1"/>
  <c r="T27" i="4" s="1"/>
  <c r="Q10" i="13" s="1"/>
  <c r="U25" i="3"/>
  <c r="V25" s="1"/>
  <c r="U28"/>
  <c r="V28" s="1"/>
  <c r="U26"/>
  <c r="V26" s="1"/>
  <c r="U27"/>
  <c r="V27" s="1"/>
  <c r="U16" i="4"/>
  <c r="R17" i="12" s="1"/>
  <c r="V15" i="4"/>
  <c r="E6" i="21"/>
  <c r="T131" i="32"/>
  <c r="U131" s="1"/>
  <c r="V159"/>
  <c r="B4" i="40" s="1"/>
  <c r="U19" i="4"/>
  <c r="R20" i="12" s="1"/>
  <c r="U60" i="36"/>
  <c r="U63" s="1"/>
  <c r="V63" s="1"/>
  <c r="Q76" i="4"/>
  <c r="Q60" s="1"/>
  <c r="T18"/>
  <c r="V189" i="32"/>
  <c r="B20" i="40" s="1"/>
  <c r="T8" i="4"/>
  <c r="T203" i="32"/>
  <c r="T205" s="1"/>
  <c r="Q21" i="16"/>
  <c r="S74" i="4"/>
  <c r="P15" i="16"/>
  <c r="R73" i="4"/>
  <c r="S24"/>
  <c r="P9" i="12"/>
  <c r="U10" i="4"/>
  <c r="V165" i="32"/>
  <c r="B6" i="40" s="1"/>
  <c r="Q12" i="34"/>
  <c r="Q35" s="1"/>
  <c r="Q13"/>
  <c r="Q36" s="1"/>
  <c r="Q15"/>
  <c r="Q38" s="1"/>
  <c r="Q14"/>
  <c r="Q37" s="1"/>
  <c r="U12" i="4"/>
  <c r="V171" i="32"/>
  <c r="B10" i="40" s="1"/>
  <c r="U68" i="3"/>
  <c r="V68" s="1"/>
  <c r="T22" i="4"/>
  <c r="V201" i="32"/>
  <c r="B28" i="40" s="1"/>
  <c r="B29" s="1"/>
  <c r="Q10" i="15"/>
  <c r="Q15" s="1"/>
  <c r="T70" i="36"/>
  <c r="R31" i="4"/>
  <c r="D9" i="21"/>
  <c r="D11" s="1"/>
  <c r="Q35" i="4"/>
  <c r="U55" i="3"/>
  <c r="U58"/>
  <c r="V58" s="1"/>
  <c r="U59"/>
  <c r="V59" s="1"/>
  <c r="U56"/>
  <c r="V56" s="1"/>
  <c r="U60"/>
  <c r="V60" s="1"/>
  <c r="R72" i="4"/>
  <c r="R76" s="1"/>
  <c r="R60" s="1"/>
  <c r="P9" i="16"/>
  <c r="O33"/>
  <c r="O16" i="9" s="1"/>
  <c r="T20" i="4"/>
  <c r="V195" i="32"/>
  <c r="B24" i="40" s="1"/>
  <c r="P40" i="34"/>
  <c r="P50" s="1"/>
  <c r="V177" i="32"/>
  <c r="B14" i="40" s="1"/>
  <c r="V130" i="32"/>
  <c r="F6" i="21" s="1"/>
  <c r="V180" i="32"/>
  <c r="B15" i="40" s="1"/>
  <c r="U70" i="36"/>
  <c r="R10" i="15"/>
  <c r="C15" i="14"/>
  <c r="F24" i="20"/>
  <c r="U11" i="4"/>
  <c r="V168" i="32"/>
  <c r="B9" i="40" s="1"/>
  <c r="U9" i="4"/>
  <c r="V162" i="32"/>
  <c r="B5" i="40" s="1"/>
  <c r="Q22" i="12"/>
  <c r="V21" i="4"/>
  <c r="U17"/>
  <c r="V186" i="32"/>
  <c r="B19" i="40" s="1"/>
  <c r="S110" i="4"/>
  <c r="S112" s="1"/>
  <c r="S87"/>
  <c r="P17" i="11" s="1"/>
  <c r="P19" s="1"/>
  <c r="M12" i="10"/>
  <c r="U8" i="4"/>
  <c r="U203" i="32"/>
  <c r="U205" s="1"/>
  <c r="U13" i="4"/>
  <c r="V174" i="32"/>
  <c r="B11" i="40" s="1"/>
  <c r="P15" i="12"/>
  <c r="V14" i="4"/>
  <c r="O19" i="16"/>
  <c r="P16" s="1"/>
  <c r="P17" s="1"/>
  <c r="P18" s="1"/>
  <c r="P19" s="1"/>
  <c r="Q16" s="1"/>
  <c r="Q17" s="1"/>
  <c r="Q18" s="1"/>
  <c r="P31"/>
  <c r="Q28" s="1"/>
  <c r="Q29" s="1"/>
  <c r="Q30" s="1"/>
  <c r="P25"/>
  <c r="Q22" s="1"/>
  <c r="Q23" s="1"/>
  <c r="Q24" s="1"/>
  <c r="J77" i="4"/>
  <c r="F13" i="10"/>
  <c r="F16" s="1"/>
  <c r="G10" i="11"/>
  <c r="J37" i="4"/>
  <c r="G35" i="16"/>
  <c r="P101" i="4"/>
  <c r="M13" i="11" s="1"/>
  <c r="Q64" i="4"/>
  <c r="M13" i="9"/>
  <c r="G13" i="16"/>
  <c r="I49" i="4"/>
  <c r="E20" i="10"/>
  <c r="I100" i="4"/>
  <c r="F10" i="18" s="1"/>
  <c r="U75" i="4"/>
  <c r="I46"/>
  <c r="B21" i="40" l="1"/>
  <c r="B26"/>
  <c r="B12"/>
  <c r="B17"/>
  <c r="B7"/>
  <c r="S127" i="4"/>
  <c r="T127" s="1"/>
  <c r="U127" s="1"/>
  <c r="T64" i="3"/>
  <c r="T66" s="1"/>
  <c r="T28" i="4" s="1"/>
  <c r="Q11" i="13" s="1"/>
  <c r="Q14" s="1"/>
  <c r="P10" i="10" s="1"/>
  <c r="V57" i="3"/>
  <c r="S117" i="4"/>
  <c r="S118" s="1"/>
  <c r="S90" s="1"/>
  <c r="U31" i="3"/>
  <c r="U33" s="1"/>
  <c r="U27" i="4" s="1"/>
  <c r="V27" s="1"/>
  <c r="S93"/>
  <c r="R54"/>
  <c r="O35" i="9" s="1"/>
  <c r="N12" i="10"/>
  <c r="P11" i="13"/>
  <c r="P14" s="1"/>
  <c r="O10" i="10" s="1"/>
  <c r="V126" i="4"/>
  <c r="B26" i="20"/>
  <c r="E20"/>
  <c r="D21"/>
  <c r="C26" s="1"/>
  <c r="E25" i="11" s="1"/>
  <c r="E28" s="1"/>
  <c r="E30" s="1"/>
  <c r="E32" s="1"/>
  <c r="E9" i="14"/>
  <c r="D35" i="31"/>
  <c r="H105" i="4"/>
  <c r="H103"/>
  <c r="D33" i="31"/>
  <c r="V19" i="4"/>
  <c r="V70" i="36"/>
  <c r="V31" i="3"/>
  <c r="V33" s="1"/>
  <c r="V16" i="4"/>
  <c r="V8"/>
  <c r="R12" i="12"/>
  <c r="V11" i="4"/>
  <c r="S73"/>
  <c r="Q15" i="16"/>
  <c r="Q19" s="1"/>
  <c r="R16" s="1"/>
  <c r="R17" s="1"/>
  <c r="R18" s="1"/>
  <c r="Q9" i="12"/>
  <c r="T24" i="4"/>
  <c r="R9" i="12"/>
  <c r="U24" i="4"/>
  <c r="R15" i="15"/>
  <c r="S10"/>
  <c r="Q21" i="12"/>
  <c r="V20" i="4"/>
  <c r="V55" i="3"/>
  <c r="U64"/>
  <c r="U66" s="1"/>
  <c r="U28" i="4" s="1"/>
  <c r="R11" i="13" s="1"/>
  <c r="T87" i="4"/>
  <c r="Q17" i="11" s="1"/>
  <c r="Q19" s="1"/>
  <c r="T110" i="4"/>
  <c r="T112" s="1"/>
  <c r="R11" i="12"/>
  <c r="V10" i="4"/>
  <c r="Q40" i="34"/>
  <c r="Q50" s="1"/>
  <c r="R18" i="12"/>
  <c r="V17" i="4"/>
  <c r="V9"/>
  <c r="R10" i="12"/>
  <c r="X39" i="4"/>
  <c r="B17" i="10"/>
  <c r="B19" s="1"/>
  <c r="B22" s="1"/>
  <c r="S33" i="4"/>
  <c r="R21" i="16"/>
  <c r="U74" i="4" s="1"/>
  <c r="T74"/>
  <c r="Q19" i="12"/>
  <c r="V18" i="4"/>
  <c r="R14" i="12"/>
  <c r="V13" i="4"/>
  <c r="P33" i="16"/>
  <c r="P16" i="9" s="1"/>
  <c r="Q9" i="16"/>
  <c r="S72" i="4"/>
  <c r="D15" i="14"/>
  <c r="F25" i="20"/>
  <c r="Q23" i="12"/>
  <c r="V22" i="4"/>
  <c r="R13" i="12"/>
  <c r="V12" i="4"/>
  <c r="V203" i="32"/>
  <c r="V205" s="1"/>
  <c r="S31" i="4"/>
  <c r="P25" i="12"/>
  <c r="O8" i="10" s="1"/>
  <c r="I102" i="4"/>
  <c r="Q25" i="16"/>
  <c r="R22" s="1"/>
  <c r="R23" s="1"/>
  <c r="R24" s="1"/>
  <c r="Q31"/>
  <c r="R28" s="1"/>
  <c r="R29" s="1"/>
  <c r="R30" s="1"/>
  <c r="R31" s="1"/>
  <c r="I86" i="4"/>
  <c r="I91" s="1"/>
  <c r="I92" s="1"/>
  <c r="I47"/>
  <c r="F9" i="11"/>
  <c r="F14" s="1"/>
  <c r="G36" i="16"/>
  <c r="J79" i="4" s="1"/>
  <c r="H10" i="16"/>
  <c r="H11" s="1"/>
  <c r="R64" i="4"/>
  <c r="Q101"/>
  <c r="N13" i="11" s="1"/>
  <c r="N13" i="9"/>
  <c r="G17"/>
  <c r="G18" s="1"/>
  <c r="J78" i="4"/>
  <c r="J61" s="1"/>
  <c r="J62" s="1"/>
  <c r="J97"/>
  <c r="J41"/>
  <c r="B31" i="40" l="1"/>
  <c r="E17" s="1"/>
  <c r="V64" i="3"/>
  <c r="V66" s="1"/>
  <c r="R25" i="16"/>
  <c r="T117" i="4"/>
  <c r="T118" s="1"/>
  <c r="T90" s="1"/>
  <c r="T29"/>
  <c r="T31" s="1"/>
  <c r="R10" i="13"/>
  <c r="T93" i="4"/>
  <c r="S54"/>
  <c r="P35" i="9" s="1"/>
  <c r="H109" i="4"/>
  <c r="H113" s="1"/>
  <c r="D26" i="20"/>
  <c r="E29" i="9"/>
  <c r="E31" s="1"/>
  <c r="E17" i="14"/>
  <c r="E8" i="21"/>
  <c r="V24" i="4"/>
  <c r="F8" i="21" s="1"/>
  <c r="V28" i="4"/>
  <c r="U29"/>
  <c r="T72"/>
  <c r="Q33" i="16"/>
  <c r="Q16" i="9" s="1"/>
  <c r="R9" i="16"/>
  <c r="S35" i="4"/>
  <c r="U110"/>
  <c r="U112" s="1"/>
  <c r="U87"/>
  <c r="R17" i="11" s="1"/>
  <c r="R19" s="1"/>
  <c r="S19" s="1"/>
  <c r="S15" i="15"/>
  <c r="Q25" i="12"/>
  <c r="P8" i="10" s="1"/>
  <c r="P12" s="1"/>
  <c r="S76" i="4"/>
  <c r="S60" s="1"/>
  <c r="R25" i="12"/>
  <c r="Q8" i="10" s="1"/>
  <c r="U117" i="4"/>
  <c r="O12" i="10"/>
  <c r="Y39" i="4"/>
  <c r="C17" i="10"/>
  <c r="C19" s="1"/>
  <c r="C22" s="1"/>
  <c r="B23"/>
  <c r="B26"/>
  <c r="C36" i="9"/>
  <c r="C37" s="1"/>
  <c r="C39" s="1"/>
  <c r="T73" i="4"/>
  <c r="R15" i="16"/>
  <c r="U73" i="4" s="1"/>
  <c r="J96"/>
  <c r="J43"/>
  <c r="H34" i="16"/>
  <c r="H12"/>
  <c r="R101" i="4"/>
  <c r="O13" i="11" s="1"/>
  <c r="S64" i="4"/>
  <c r="O13" i="9"/>
  <c r="F36" i="11"/>
  <c r="I56" i="4"/>
  <c r="E22" i="20"/>
  <c r="D17" i="40" l="1"/>
  <c r="E21"/>
  <c r="E7"/>
  <c r="D21"/>
  <c r="D26"/>
  <c r="D12"/>
  <c r="E26"/>
  <c r="E29"/>
  <c r="D29"/>
  <c r="D7"/>
  <c r="E12"/>
  <c r="U118" i="4"/>
  <c r="U90" s="1"/>
  <c r="T33"/>
  <c r="T35" s="1"/>
  <c r="E9" i="21"/>
  <c r="E11" s="1"/>
  <c r="R14" i="13"/>
  <c r="S14" s="1"/>
  <c r="U31" i="4"/>
  <c r="U93"/>
  <c r="U54" s="1"/>
  <c r="R35" i="9" s="1"/>
  <c r="T54" i="4"/>
  <c r="Q35" i="9" s="1"/>
  <c r="E26" i="20"/>
  <c r="B27"/>
  <c r="R8" i="10"/>
  <c r="S25" i="12"/>
  <c r="V29" i="4"/>
  <c r="V31" s="1"/>
  <c r="U33"/>
  <c r="U35" s="1"/>
  <c r="T76"/>
  <c r="T60" s="1"/>
  <c r="D36" i="9"/>
  <c r="D37" s="1"/>
  <c r="D39" s="1"/>
  <c r="C23" i="10"/>
  <c r="U72" i="4"/>
  <c r="U76" s="1"/>
  <c r="R33" i="16"/>
  <c r="R16" i="9" s="1"/>
  <c r="F55" i="4"/>
  <c r="F58" s="1"/>
  <c r="C26" i="10"/>
  <c r="R19" i="16"/>
  <c r="E21" i="20"/>
  <c r="C27" s="1"/>
  <c r="F20"/>
  <c r="H13" i="16"/>
  <c r="F20" i="10"/>
  <c r="J100" i="4"/>
  <c r="G10" i="18" s="1"/>
  <c r="J49" i="4"/>
  <c r="J46"/>
  <c r="F9" i="14"/>
  <c r="E35" i="31"/>
  <c r="E33"/>
  <c r="I105" i="4"/>
  <c r="I103"/>
  <c r="P13" i="9"/>
  <c r="T64" i="4"/>
  <c r="S101"/>
  <c r="P13" i="11" s="1"/>
  <c r="K77" i="4"/>
  <c r="H10" i="11"/>
  <c r="K37" i="4"/>
  <c r="G13" i="10"/>
  <c r="G16" s="1"/>
  <c r="H35" i="16"/>
  <c r="K29" i="40" l="1"/>
  <c r="K17"/>
  <c r="K21"/>
  <c r="E31"/>
  <c r="K26"/>
  <c r="D31"/>
  <c r="K7"/>
  <c r="K12"/>
  <c r="Q10" i="10"/>
  <c r="R10" s="1"/>
  <c r="F20" i="21"/>
  <c r="F26" i="20"/>
  <c r="E15" i="14"/>
  <c r="V33" i="4"/>
  <c r="V35" s="1"/>
  <c r="F9" i="21"/>
  <c r="F11" s="1"/>
  <c r="F105" i="4"/>
  <c r="F109" s="1"/>
  <c r="F113" s="1"/>
  <c r="F114" s="1"/>
  <c r="G114" s="1"/>
  <c r="H114" s="1"/>
  <c r="F65"/>
  <c r="U60"/>
  <c r="V76"/>
  <c r="G55"/>
  <c r="G58" s="1"/>
  <c r="G65" s="1"/>
  <c r="J102"/>
  <c r="I109"/>
  <c r="I113" s="1"/>
  <c r="K78"/>
  <c r="K61" s="1"/>
  <c r="K62" s="1"/>
  <c r="H17" i="9"/>
  <c r="H18" s="1"/>
  <c r="K97" i="4"/>
  <c r="K41"/>
  <c r="Q13" i="9"/>
  <c r="U64" i="4"/>
  <c r="T101"/>
  <c r="Q13" i="11" s="1"/>
  <c r="F25"/>
  <c r="F28" s="1"/>
  <c r="F30" s="1"/>
  <c r="F32" s="1"/>
  <c r="D27" i="20"/>
  <c r="F29" i="9"/>
  <c r="F31" s="1"/>
  <c r="F17" i="14"/>
  <c r="G9" i="11"/>
  <c r="G14" s="1"/>
  <c r="J47" i="4"/>
  <c r="J86"/>
  <c r="J91" s="1"/>
  <c r="J92" s="1"/>
  <c r="H36" i="16"/>
  <c r="K79" i="4" s="1"/>
  <c r="I10" i="16"/>
  <c r="I11" s="1"/>
  <c r="Q12" i="10" l="1"/>
  <c r="R12" s="1"/>
  <c r="Z39" i="4"/>
  <c r="D17" i="10"/>
  <c r="D19" s="1"/>
  <c r="D22" s="1"/>
  <c r="G120" i="4"/>
  <c r="D10" i="9"/>
  <c r="G66" i="4"/>
  <c r="G67" s="1"/>
  <c r="C10" i="9"/>
  <c r="F120" i="4"/>
  <c r="F66"/>
  <c r="F67" s="1"/>
  <c r="I114"/>
  <c r="F22" i="20"/>
  <c r="J56" i="4"/>
  <c r="R13" i="9"/>
  <c r="U101" i="4"/>
  <c r="R13" i="11" s="1"/>
  <c r="K96" i="4"/>
  <c r="K43"/>
  <c r="I34" i="16"/>
  <c r="I12"/>
  <c r="G36" i="11"/>
  <c r="E27" i="20"/>
  <c r="B28"/>
  <c r="D23" i="10" l="1"/>
  <c r="E36" i="9"/>
  <c r="E37" s="1"/>
  <c r="E39" s="1"/>
  <c r="D26" i="10"/>
  <c r="H55" i="4" s="1"/>
  <c r="H58" s="1"/>
  <c r="H65" s="1"/>
  <c r="C14" i="9"/>
  <c r="C21" s="1"/>
  <c r="C40" s="1"/>
  <c r="C33" i="11"/>
  <c r="D14" i="9"/>
  <c r="D21" s="1"/>
  <c r="D40" s="1"/>
  <c r="D33" i="11"/>
  <c r="F27" i="20"/>
  <c r="F15" i="14"/>
  <c r="I13" i="16"/>
  <c r="G20" i="20"/>
  <c r="F21"/>
  <c r="C28" s="1"/>
  <c r="D28" s="1"/>
  <c r="L77" i="4"/>
  <c r="I10" i="11"/>
  <c r="L37" i="4"/>
  <c r="H13" i="10"/>
  <c r="H16" s="1"/>
  <c r="I35" i="16"/>
  <c r="K100" i="4"/>
  <c r="H10" i="18" s="1"/>
  <c r="G20" i="10"/>
  <c r="K49" i="4"/>
  <c r="G9" i="14"/>
  <c r="F35" i="31"/>
  <c r="F33"/>
  <c r="J103" i="4"/>
  <c r="J105"/>
  <c r="K46"/>
  <c r="H120" l="1"/>
  <c r="E10" i="9"/>
  <c r="H66" i="4"/>
  <c r="H67" s="1"/>
  <c r="K102"/>
  <c r="J109"/>
  <c r="J113" s="1"/>
  <c r="J114" s="1"/>
  <c r="E28" i="20"/>
  <c r="B29"/>
  <c r="G29" i="9"/>
  <c r="G31" s="1"/>
  <c r="G17" i="14"/>
  <c r="K86" i="4"/>
  <c r="K91" s="1"/>
  <c r="K92" s="1"/>
  <c r="L78"/>
  <c r="L61" s="1"/>
  <c r="L62" s="1"/>
  <c r="I17" i="9"/>
  <c r="I18" s="1"/>
  <c r="L97" i="4"/>
  <c r="L41"/>
  <c r="K47"/>
  <c r="H9" i="11"/>
  <c r="H14" s="1"/>
  <c r="G25"/>
  <c r="G28" s="1"/>
  <c r="I36" i="16"/>
  <c r="L79" i="4" s="1"/>
  <c r="J10" i="16"/>
  <c r="J11" s="1"/>
  <c r="E17" i="10"/>
  <c r="E19" s="1"/>
  <c r="E22" s="1"/>
  <c r="AA39" i="4"/>
  <c r="E33" i="11" l="1"/>
  <c r="E14" i="9"/>
  <c r="E21" s="1"/>
  <c r="E40" s="1"/>
  <c r="J34" i="16"/>
  <c r="J12"/>
  <c r="F28" i="20"/>
  <c r="G15" i="14"/>
  <c r="E23" i="10"/>
  <c r="F36" i="9"/>
  <c r="E26" i="10"/>
  <c r="G30" i="11"/>
  <c r="G32" s="1"/>
  <c r="H36"/>
  <c r="L96" i="4"/>
  <c r="L43"/>
  <c r="K56"/>
  <c r="G22" i="20"/>
  <c r="G21" l="1"/>
  <c r="C29" s="1"/>
  <c r="H20"/>
  <c r="L100" i="4"/>
  <c r="I10" i="18" s="1"/>
  <c r="H20" i="10"/>
  <c r="L49" i="4"/>
  <c r="I55"/>
  <c r="I58" s="1"/>
  <c r="I65" s="1"/>
  <c r="M77"/>
  <c r="M37"/>
  <c r="I13" i="10"/>
  <c r="I16" s="1"/>
  <c r="J10" i="11"/>
  <c r="J35" i="16"/>
  <c r="G33" i="31"/>
  <c r="K103" i="4"/>
  <c r="G35" i="31"/>
  <c r="H9" i="14"/>
  <c r="K105" i="4"/>
  <c r="F37" i="9"/>
  <c r="F39" s="1"/>
  <c r="AB39" i="4"/>
  <c r="F17" i="10"/>
  <c r="F19" s="1"/>
  <c r="F22" s="1"/>
  <c r="F23" s="1"/>
  <c r="J13" i="16"/>
  <c r="L46" i="4"/>
  <c r="L102" l="1"/>
  <c r="K10" i="16"/>
  <c r="K11" s="1"/>
  <c r="J36"/>
  <c r="M79" i="4" s="1"/>
  <c r="H29" i="9"/>
  <c r="H31" s="1"/>
  <c r="H17" i="14"/>
  <c r="M97" i="4"/>
  <c r="M41"/>
  <c r="I66"/>
  <c r="I67" s="1"/>
  <c r="F10" i="9"/>
  <c r="I120" i="4"/>
  <c r="H25" i="11"/>
  <c r="H28" s="1"/>
  <c r="D29" i="20"/>
  <c r="G36" i="9"/>
  <c r="K109" i="4"/>
  <c r="K113" s="1"/>
  <c r="K114" s="1"/>
  <c r="L47"/>
  <c r="I9" i="11"/>
  <c r="I14" s="1"/>
  <c r="M78" i="4"/>
  <c r="M61" s="1"/>
  <c r="M62" s="1"/>
  <c r="J17" i="9"/>
  <c r="J18" s="1"/>
  <c r="L86" i="4"/>
  <c r="L91" s="1"/>
  <c r="L92" s="1"/>
  <c r="F26" i="10"/>
  <c r="K34" i="16" l="1"/>
  <c r="K12"/>
  <c r="J55" i="4"/>
  <c r="J58" s="1"/>
  <c r="J65" s="1"/>
  <c r="I36" i="11"/>
  <c r="E29" i="20"/>
  <c r="B30"/>
  <c r="H30" i="11"/>
  <c r="H32" s="1"/>
  <c r="F33"/>
  <c r="F14" i="9"/>
  <c r="F21" s="1"/>
  <c r="F40" s="1"/>
  <c r="M43" i="4"/>
  <c r="M96"/>
  <c r="H22" i="20"/>
  <c r="L56" i="4"/>
  <c r="G37" i="9"/>
  <c r="G39" s="1"/>
  <c r="L103" i="4" l="1"/>
  <c r="H35" i="31"/>
  <c r="H33"/>
  <c r="L105" i="4"/>
  <c r="I9" i="14"/>
  <c r="M100" i="4"/>
  <c r="J10" i="18" s="1"/>
  <c r="I20" i="10"/>
  <c r="M49" i="4"/>
  <c r="J66"/>
  <c r="J67" s="1"/>
  <c r="J120"/>
  <c r="G10" i="9"/>
  <c r="N77" i="4"/>
  <c r="J13" i="10"/>
  <c r="J16" s="1"/>
  <c r="K10" i="11"/>
  <c r="N37" i="4"/>
  <c r="K35" i="16"/>
  <c r="H21" i="20"/>
  <c r="C30" s="1"/>
  <c r="D30" s="1"/>
  <c r="I20"/>
  <c r="H15" i="14"/>
  <c r="F29" i="20"/>
  <c r="K13" i="16"/>
  <c r="M46" i="4"/>
  <c r="M102" l="1"/>
  <c r="B31" i="20"/>
  <c r="E30"/>
  <c r="J9" i="11"/>
  <c r="J14" s="1"/>
  <c r="M47" i="4"/>
  <c r="N78"/>
  <c r="N61" s="1"/>
  <c r="N62" s="1"/>
  <c r="K17" i="9"/>
  <c r="K18" s="1"/>
  <c r="I29"/>
  <c r="I31" s="1"/>
  <c r="I17" i="14"/>
  <c r="L109" i="4"/>
  <c r="L113" s="1"/>
  <c r="L114" s="1"/>
  <c r="K36" i="16"/>
  <c r="N79" i="4" s="1"/>
  <c r="L10" i="16"/>
  <c r="L11" s="1"/>
  <c r="G17" i="10"/>
  <c r="AC39" i="4"/>
  <c r="I25" i="11"/>
  <c r="I28" s="1"/>
  <c r="N97" i="4"/>
  <c r="N41"/>
  <c r="G14" i="9"/>
  <c r="G21" s="1"/>
  <c r="G40" s="1"/>
  <c r="G33" i="11"/>
  <c r="M86" i="4"/>
  <c r="M91" s="1"/>
  <c r="M92" s="1"/>
  <c r="N43" l="1"/>
  <c r="N96"/>
  <c r="N46"/>
  <c r="G19" i="10"/>
  <c r="J36" i="11"/>
  <c r="I22" i="20"/>
  <c r="M56" i="4"/>
  <c r="I30" i="11"/>
  <c r="I32" s="1"/>
  <c r="L34" i="16"/>
  <c r="L12"/>
  <c r="F30" i="20"/>
  <c r="I15" i="14"/>
  <c r="K9" i="11" l="1"/>
  <c r="K14" s="1"/>
  <c r="K36" s="1"/>
  <c r="N47" i="4"/>
  <c r="H17" i="10"/>
  <c r="AD39" i="4"/>
  <c r="L13" i="16"/>
  <c r="I21" i="20"/>
  <c r="C31" s="1"/>
  <c r="J20"/>
  <c r="G22" i="10"/>
  <c r="O77" i="4"/>
  <c r="K13" i="10"/>
  <c r="K16" s="1"/>
  <c r="O37" i="4"/>
  <c r="L10" i="11"/>
  <c r="L35" i="16"/>
  <c r="M103" i="4"/>
  <c r="M105"/>
  <c r="J9" i="14"/>
  <c r="I35" i="31"/>
  <c r="I33"/>
  <c r="N49" i="4"/>
  <c r="N86" s="1"/>
  <c r="N91" s="1"/>
  <c r="N92" s="1"/>
  <c r="N100"/>
  <c r="K10" i="18" s="1"/>
  <c r="J20" i="10"/>
  <c r="M109" i="4" l="1"/>
  <c r="M113" s="1"/>
  <c r="M114" s="1"/>
  <c r="J22" i="20"/>
  <c r="N56" i="4"/>
  <c r="O78"/>
  <c r="O61" s="1"/>
  <c r="O62" s="1"/>
  <c r="L17" i="9"/>
  <c r="L18" s="1"/>
  <c r="O97" i="4"/>
  <c r="O41"/>
  <c r="C13" i="21"/>
  <c r="C15" s="1"/>
  <c r="L36" i="16"/>
  <c r="O79" i="4" s="1"/>
  <c r="M10" i="16"/>
  <c r="M11" s="1"/>
  <c r="H19" i="10"/>
  <c r="N102" i="4"/>
  <c r="J17" i="14"/>
  <c r="J29" i="9"/>
  <c r="J31" s="1"/>
  <c r="G23" i="10"/>
  <c r="G26"/>
  <c r="H36" i="9"/>
  <c r="J25" i="11"/>
  <c r="J28" s="1"/>
  <c r="D31" i="20"/>
  <c r="B32" l="1"/>
  <c r="E31"/>
  <c r="J30" i="11"/>
  <c r="J32" s="1"/>
  <c r="H37" i="9"/>
  <c r="H39" s="1"/>
  <c r="M34" i="16"/>
  <c r="M12"/>
  <c r="J21" i="20"/>
  <c r="C32" s="1"/>
  <c r="K20"/>
  <c r="K55" i="4"/>
  <c r="K58" s="1"/>
  <c r="K65" s="1"/>
  <c r="H22" i="10"/>
  <c r="O43" i="4"/>
  <c r="O96"/>
  <c r="J35" i="31"/>
  <c r="N105" i="4"/>
  <c r="J33" i="31"/>
  <c r="N103" i="4"/>
  <c r="K9" i="14"/>
  <c r="N109" i="4" l="1"/>
  <c r="N113" s="1"/>
  <c r="N114" s="1"/>
  <c r="O49"/>
  <c r="O86" s="1"/>
  <c r="O91" s="1"/>
  <c r="O92" s="1"/>
  <c r="O100"/>
  <c r="L10" i="18" s="1"/>
  <c r="K20" i="10"/>
  <c r="H23"/>
  <c r="K120" i="4"/>
  <c r="K66"/>
  <c r="K67" s="1"/>
  <c r="H10" i="9"/>
  <c r="K25" i="11"/>
  <c r="K28" s="1"/>
  <c r="P77" i="4"/>
  <c r="P37"/>
  <c r="L13" i="10"/>
  <c r="L16" s="1"/>
  <c r="M10" i="11"/>
  <c r="M35" i="16"/>
  <c r="I36" i="9"/>
  <c r="D32" i="20"/>
  <c r="K17" i="14"/>
  <c r="K29" i="9"/>
  <c r="K31" s="1"/>
  <c r="M13" i="16"/>
  <c r="F31" i="20"/>
  <c r="J15" i="14"/>
  <c r="O46" i="4"/>
  <c r="H26" i="10"/>
  <c r="O102" i="4" l="1"/>
  <c r="L55"/>
  <c r="L58" s="1"/>
  <c r="L65" s="1"/>
  <c r="I37" i="9"/>
  <c r="I39" s="1"/>
  <c r="P97" i="4"/>
  <c r="P41"/>
  <c r="H14" i="9"/>
  <c r="H21" s="1"/>
  <c r="H40" s="1"/>
  <c r="H33" i="11"/>
  <c r="O56" i="4"/>
  <c r="K22" i="20"/>
  <c r="O47" i="4"/>
  <c r="L9" i="11"/>
  <c r="L14" s="1"/>
  <c r="I17" i="10"/>
  <c r="AE39" i="4"/>
  <c r="M36" i="16"/>
  <c r="P79" i="4" s="1"/>
  <c r="N10" i="16"/>
  <c r="N11" s="1"/>
  <c r="B33" i="20"/>
  <c r="E32"/>
  <c r="P78" i="4"/>
  <c r="P61" s="1"/>
  <c r="P62" s="1"/>
  <c r="M17" i="9"/>
  <c r="M18" s="1"/>
  <c r="K30" i="11"/>
  <c r="K32" s="1"/>
  <c r="L36" l="1"/>
  <c r="F32" i="20"/>
  <c r="K15" i="14"/>
  <c r="N34" i="16"/>
  <c r="N12"/>
  <c r="I19" i="10"/>
  <c r="K21" i="20"/>
  <c r="C33" s="1"/>
  <c r="L25" i="11" s="1"/>
  <c r="L28" s="1"/>
  <c r="L30" s="1"/>
  <c r="L32" s="1"/>
  <c r="L20" i="20"/>
  <c r="P96" i="4"/>
  <c r="P43"/>
  <c r="P46"/>
  <c r="O105"/>
  <c r="L9" i="14"/>
  <c r="K33" i="31"/>
  <c r="O103" i="4"/>
  <c r="K35" i="31"/>
  <c r="C21" i="21"/>
  <c r="L66" i="4"/>
  <c r="L67" s="1"/>
  <c r="I10" i="9"/>
  <c r="L120" i="4"/>
  <c r="D33" i="20" l="1"/>
  <c r="B34" s="1"/>
  <c r="O109" i="4"/>
  <c r="O113" s="1"/>
  <c r="O114" s="1"/>
  <c r="P100"/>
  <c r="M10" i="18" s="1"/>
  <c r="P49" i="4"/>
  <c r="P86" s="1"/>
  <c r="P91" s="1"/>
  <c r="P92" s="1"/>
  <c r="L20" i="10"/>
  <c r="N13" i="16"/>
  <c r="I14" i="9"/>
  <c r="I21" s="1"/>
  <c r="I40" s="1"/>
  <c r="I33" i="11"/>
  <c r="L17" i="14"/>
  <c r="L29" i="9"/>
  <c r="L31" s="1"/>
  <c r="P47" i="4"/>
  <c r="M9" i="11"/>
  <c r="M14" s="1"/>
  <c r="M36" s="1"/>
  <c r="I22" i="10"/>
  <c r="Q77" i="4"/>
  <c r="M13" i="10"/>
  <c r="M16" s="1"/>
  <c r="Q37" i="4"/>
  <c r="N10" i="11"/>
  <c r="N35" i="16"/>
  <c r="J17" i="10"/>
  <c r="AF39" i="4"/>
  <c r="P102" l="1"/>
  <c r="E33" i="20"/>
  <c r="F33" s="1"/>
  <c r="J19" i="10"/>
  <c r="N17" i="9"/>
  <c r="N18" s="1"/>
  <c r="Q78" i="4"/>
  <c r="Q61" s="1"/>
  <c r="Q62" s="1"/>
  <c r="Q97"/>
  <c r="Q41"/>
  <c r="I23" i="10"/>
  <c r="I26"/>
  <c r="J36" i="9"/>
  <c r="N36" i="16"/>
  <c r="Q79" i="4" s="1"/>
  <c r="O10" i="16"/>
  <c r="O11" s="1"/>
  <c r="P56" i="4"/>
  <c r="L22" i="20"/>
  <c r="L15" i="14" l="1"/>
  <c r="AG39" i="4" s="1"/>
  <c r="M20" i="20"/>
  <c r="L21"/>
  <c r="C34" s="1"/>
  <c r="O34" i="16"/>
  <c r="O12"/>
  <c r="J37" i="9"/>
  <c r="J39" s="1"/>
  <c r="Q43" i="4"/>
  <c r="Q96"/>
  <c r="J22" i="10"/>
  <c r="J26" s="1"/>
  <c r="M9" i="14"/>
  <c r="P103" i="4"/>
  <c r="L35" i="31"/>
  <c r="L33"/>
  <c r="P105" i="4"/>
  <c r="M55"/>
  <c r="M58" s="1"/>
  <c r="M65" s="1"/>
  <c r="K17" i="10" l="1"/>
  <c r="K19" s="1"/>
  <c r="P109" i="4"/>
  <c r="P113" s="1"/>
  <c r="P114" s="1"/>
  <c r="M20" i="10"/>
  <c r="Q100" i="4"/>
  <c r="N10" i="18" s="1"/>
  <c r="Q49" i="4"/>
  <c r="Q86" s="1"/>
  <c r="Q91" s="1"/>
  <c r="Q92" s="1"/>
  <c r="R77"/>
  <c r="R37"/>
  <c r="O10" i="11"/>
  <c r="N13" i="10"/>
  <c r="N16" s="1"/>
  <c r="O35" i="16"/>
  <c r="N55" i="4"/>
  <c r="N58" s="1"/>
  <c r="N65" s="1"/>
  <c r="M120"/>
  <c r="J10" i="9"/>
  <c r="M66" i="4"/>
  <c r="M67" s="1"/>
  <c r="M29" i="9"/>
  <c r="M31" s="1"/>
  <c r="M17" i="14"/>
  <c r="J23" i="10"/>
  <c r="O13" i="16"/>
  <c r="M25" i="11"/>
  <c r="M28" s="1"/>
  <c r="M30" s="1"/>
  <c r="M32" s="1"/>
  <c r="D34" i="20"/>
  <c r="Q46" i="4"/>
  <c r="K36" i="9"/>
  <c r="Q102" i="4" l="1"/>
  <c r="K37" i="9"/>
  <c r="K39" s="1"/>
  <c r="P10" i="16"/>
  <c r="P11" s="1"/>
  <c r="O36"/>
  <c r="R79" i="4" s="1"/>
  <c r="N9" i="11"/>
  <c r="N14" s="1"/>
  <c r="N36" s="1"/>
  <c r="Q47" i="4"/>
  <c r="J14" i="9"/>
  <c r="J21" s="1"/>
  <c r="J40" s="1"/>
  <c r="J33" i="11"/>
  <c r="N120" i="4"/>
  <c r="K10" i="9"/>
  <c r="N66" i="4"/>
  <c r="N67" s="1"/>
  <c r="R78"/>
  <c r="R61" s="1"/>
  <c r="R62" s="1"/>
  <c r="O17" i="9"/>
  <c r="O18" s="1"/>
  <c r="K22" i="10"/>
  <c r="B35" i="20"/>
  <c r="E34"/>
  <c r="R97" i="4"/>
  <c r="R41"/>
  <c r="D13" i="21"/>
  <c r="D15" s="1"/>
  <c r="M22" i="20"/>
  <c r="Q56" i="4"/>
  <c r="M21" i="20" l="1"/>
  <c r="C35" s="1"/>
  <c r="N25" i="11" s="1"/>
  <c r="N28" s="1"/>
  <c r="N30" s="1"/>
  <c r="N32" s="1"/>
  <c r="N20" i="20"/>
  <c r="R43" i="4"/>
  <c r="R96"/>
  <c r="R46"/>
  <c r="M15" i="14"/>
  <c r="F34" i="20"/>
  <c r="K23" i="10"/>
  <c r="K26"/>
  <c r="P34" i="16"/>
  <c r="P12"/>
  <c r="L36" i="9"/>
  <c r="Q105" i="4"/>
  <c r="Q103"/>
  <c r="N9" i="14"/>
  <c r="K14" i="9"/>
  <c r="K21" s="1"/>
  <c r="K40" s="1"/>
  <c r="K33" i="11"/>
  <c r="D35" i="20" l="1"/>
  <c r="E35" s="1"/>
  <c r="Q109" i="4"/>
  <c r="Q113" s="1"/>
  <c r="Q114" s="1"/>
  <c r="O9" i="11"/>
  <c r="O14" s="1"/>
  <c r="O36" s="1"/>
  <c r="R47" i="4"/>
  <c r="N17" i="14"/>
  <c r="N29" i="9"/>
  <c r="N31" s="1"/>
  <c r="P13" i="16"/>
  <c r="AH39" i="4"/>
  <c r="L17" i="10"/>
  <c r="L19" s="1"/>
  <c r="L22" s="1"/>
  <c r="L23" s="1"/>
  <c r="L37" i="9"/>
  <c r="L39" s="1"/>
  <c r="S77" i="4"/>
  <c r="P10" i="11"/>
  <c r="O13" i="10"/>
  <c r="O16" s="1"/>
  <c r="S37" i="4"/>
  <c r="P35" i="16"/>
  <c r="O55" i="4"/>
  <c r="O58" s="1"/>
  <c r="O65" s="1"/>
  <c r="N20" i="10"/>
  <c r="R100" i="4"/>
  <c r="O10" i="18" s="1"/>
  <c r="R49" i="4"/>
  <c r="R86" s="1"/>
  <c r="R91" s="1"/>
  <c r="R92" s="1"/>
  <c r="R102" l="1"/>
  <c r="B36" i="20"/>
  <c r="L26" i="10"/>
  <c r="P55" i="4" s="1"/>
  <c r="P58" s="1"/>
  <c r="P65" s="1"/>
  <c r="M36" i="9"/>
  <c r="M37" s="1"/>
  <c r="M39" s="1"/>
  <c r="R56" i="4"/>
  <c r="N22" i="20"/>
  <c r="S97" i="4"/>
  <c r="S41"/>
  <c r="P36" i="16"/>
  <c r="S79" i="4" s="1"/>
  <c r="Q10" i="16"/>
  <c r="Q11" s="1"/>
  <c r="O120" i="4"/>
  <c r="L10" i="9"/>
  <c r="O66" i="4"/>
  <c r="O67" s="1"/>
  <c r="P17" i="9"/>
  <c r="P18" s="1"/>
  <c r="S78" i="4"/>
  <c r="S61" s="1"/>
  <c r="S62" s="1"/>
  <c r="F35" i="20"/>
  <c r="N15" i="14"/>
  <c r="AI39" i="4" l="1"/>
  <c r="M17" i="10"/>
  <c r="M19" s="1"/>
  <c r="M22" s="1"/>
  <c r="Q34" i="16"/>
  <c r="Q12"/>
  <c r="S43" i="4"/>
  <c r="S96"/>
  <c r="S46"/>
  <c r="R103"/>
  <c r="R105"/>
  <c r="O9" i="14"/>
  <c r="D21" i="21"/>
  <c r="L14" i="9"/>
  <c r="L21" s="1"/>
  <c r="L40" s="1"/>
  <c r="L33" i="11"/>
  <c r="P120" i="4"/>
  <c r="M10" i="9"/>
  <c r="P66" i="4"/>
  <c r="P67" s="1"/>
  <c r="N21" i="20"/>
  <c r="C36" s="1"/>
  <c r="O20"/>
  <c r="P9" i="11" l="1"/>
  <c r="P14" s="1"/>
  <c r="P36" s="1"/>
  <c r="S47" i="4"/>
  <c r="O25" i="11"/>
  <c r="O28" s="1"/>
  <c r="O30" s="1"/>
  <c r="O32" s="1"/>
  <c r="D36" i="20"/>
  <c r="M14" i="9"/>
  <c r="M21" s="1"/>
  <c r="M40" s="1"/>
  <c r="M33" i="11"/>
  <c r="O29" i="9"/>
  <c r="O31" s="1"/>
  <c r="O17" i="14"/>
  <c r="T77" i="4"/>
  <c r="T37"/>
  <c r="P13" i="10"/>
  <c r="P16" s="1"/>
  <c r="Q10" i="11"/>
  <c r="Q35" i="16"/>
  <c r="R109" i="4"/>
  <c r="R113" s="1"/>
  <c r="R114" s="1"/>
  <c r="S49"/>
  <c r="S86" s="1"/>
  <c r="S91" s="1"/>
  <c r="S92" s="1"/>
  <c r="O20" i="10"/>
  <c r="S100" i="4"/>
  <c r="P10" i="18" s="1"/>
  <c r="Q13" i="16"/>
  <c r="M23" i="10"/>
  <c r="M26"/>
  <c r="N36" i="9"/>
  <c r="S102" i="4" l="1"/>
  <c r="N37" i="9"/>
  <c r="N39" s="1"/>
  <c r="O22" i="20"/>
  <c r="S56" i="4"/>
  <c r="Q17" i="9"/>
  <c r="Q18" s="1"/>
  <c r="T78" i="4"/>
  <c r="T61" s="1"/>
  <c r="T62" s="1"/>
  <c r="Q55"/>
  <c r="Q58" s="1"/>
  <c r="Q65" s="1"/>
  <c r="Q36" i="16"/>
  <c r="T79" i="4" s="1"/>
  <c r="R10" i="16"/>
  <c r="R11" s="1"/>
  <c r="T97" i="4"/>
  <c r="T41"/>
  <c r="E36" i="20"/>
  <c r="B37"/>
  <c r="O15" i="14" l="1"/>
  <c r="F36" i="20"/>
  <c r="T96" i="4"/>
  <c r="T43"/>
  <c r="T46"/>
  <c r="R34" i="16"/>
  <c r="R12"/>
  <c r="R13" s="1"/>
  <c r="R36" s="1"/>
  <c r="U79" i="4" s="1"/>
  <c r="O21" i="20"/>
  <c r="C37" s="1"/>
  <c r="P25" i="11" s="1"/>
  <c r="P28" s="1"/>
  <c r="P30" s="1"/>
  <c r="P32" s="1"/>
  <c r="P20" i="20"/>
  <c r="N10" i="9"/>
  <c r="Q120" i="4"/>
  <c r="Q66"/>
  <c r="Q67" s="1"/>
  <c r="S103"/>
  <c r="S105"/>
  <c r="P9" i="14"/>
  <c r="S109" i="4" l="1"/>
  <c r="S113" s="1"/>
  <c r="S114" s="1"/>
  <c r="D37" i="20"/>
  <c r="B38" s="1"/>
  <c r="T47" i="4"/>
  <c r="Q9" i="11"/>
  <c r="Q14" s="1"/>
  <c r="Q36" s="1"/>
  <c r="P17" i="14"/>
  <c r="P29" i="9"/>
  <c r="P31" s="1"/>
  <c r="N14"/>
  <c r="N21" s="1"/>
  <c r="N40" s="1"/>
  <c r="N33" i="11"/>
  <c r="U77" i="4"/>
  <c r="V77" s="1"/>
  <c r="U37"/>
  <c r="R10" i="11"/>
  <c r="Q13" i="10"/>
  <c r="S34" i="16"/>
  <c r="R35"/>
  <c r="N17" i="10"/>
  <c r="N19" s="1"/>
  <c r="N22" s="1"/>
  <c r="AJ39" i="4"/>
  <c r="P20" i="10"/>
  <c r="T49" i="4"/>
  <c r="T86" s="1"/>
  <c r="T91" s="1"/>
  <c r="T92" s="1"/>
  <c r="T100"/>
  <c r="Q10" i="18" s="1"/>
  <c r="E37" i="20" l="1"/>
  <c r="F37" s="1"/>
  <c r="T56" i="4"/>
  <c r="P22" i="20"/>
  <c r="N23" i="10"/>
  <c r="O36" i="9"/>
  <c r="N26" i="10"/>
  <c r="T102" i="4"/>
  <c r="R17" i="9"/>
  <c r="R18" s="1"/>
  <c r="U78" i="4"/>
  <c r="U61" s="1"/>
  <c r="U62" s="1"/>
  <c r="Q16" i="10"/>
  <c r="R13"/>
  <c r="U97" i="4"/>
  <c r="U41"/>
  <c r="V37"/>
  <c r="F13" i="21" s="1"/>
  <c r="F15" s="1"/>
  <c r="E13"/>
  <c r="E15" s="1"/>
  <c r="P15" i="14" l="1"/>
  <c r="AK39" i="4" s="1"/>
  <c r="U43"/>
  <c r="U96"/>
  <c r="V41"/>
  <c r="R55"/>
  <c r="R58" s="1"/>
  <c r="R65" s="1"/>
  <c r="Q9" i="14"/>
  <c r="T103" i="4"/>
  <c r="T105"/>
  <c r="R16" i="10"/>
  <c r="O37" i="9"/>
  <c r="O39" s="1"/>
  <c r="P21" i="20"/>
  <c r="C38" s="1"/>
  <c r="Q20"/>
  <c r="O17" i="10" l="1"/>
  <c r="O19" s="1"/>
  <c r="O22" s="1"/>
  <c r="O23" s="1"/>
  <c r="T109" i="4"/>
  <c r="T113" s="1"/>
  <c r="T114" s="1"/>
  <c r="Q25" i="11"/>
  <c r="Q28" s="1"/>
  <c r="Q30" s="1"/>
  <c r="Q32" s="1"/>
  <c r="D38" i="20"/>
  <c r="Q17" i="14"/>
  <c r="Q29" i="9"/>
  <c r="Q31" s="1"/>
  <c r="U100" i="4"/>
  <c r="R10" i="18" s="1"/>
  <c r="Q20" i="10"/>
  <c r="R20" s="1"/>
  <c r="U49" i="4"/>
  <c r="U46"/>
  <c r="R120"/>
  <c r="O10" i="9"/>
  <c r="R66" i="4"/>
  <c r="R67" s="1"/>
  <c r="U102" l="1"/>
  <c r="O26" i="10"/>
  <c r="S55" i="4" s="1"/>
  <c r="S58" s="1"/>
  <c r="S65" s="1"/>
  <c r="P36" i="9"/>
  <c r="P37" s="1"/>
  <c r="P39" s="1"/>
  <c r="O14"/>
  <c r="O21" s="1"/>
  <c r="O40" s="1"/>
  <c r="O33" i="11"/>
  <c r="U47" i="4"/>
  <c r="R9" i="11"/>
  <c r="R14" s="1"/>
  <c r="V46" i="4"/>
  <c r="U86"/>
  <c r="V49"/>
  <c r="E38" i="20"/>
  <c r="B39"/>
  <c r="P10" i="9" l="1"/>
  <c r="S120" i="4"/>
  <c r="S66"/>
  <c r="S67" s="1"/>
  <c r="F38" i="20"/>
  <c r="R15" i="14" s="1"/>
  <c r="Q15"/>
  <c r="V86" i="4"/>
  <c r="U91"/>
  <c r="U92" s="1"/>
  <c r="R36" i="11"/>
  <c r="R38" s="1"/>
  <c r="F24" i="21" s="1"/>
  <c r="S14" i="11"/>
  <c r="AM39" i="4" l="1"/>
  <c r="Q17" i="10"/>
  <c r="S15" i="14"/>
  <c r="P14" i="9"/>
  <c r="P21" s="1"/>
  <c r="P40" s="1"/>
  <c r="P33" i="11"/>
  <c r="Q22" i="20"/>
  <c r="Q21" s="1"/>
  <c r="C39" s="1"/>
  <c r="U56" i="4"/>
  <c r="F21" i="21"/>
  <c r="F22" s="1"/>
  <c r="H18" s="1"/>
  <c r="P17" i="10"/>
  <c r="P19" s="1"/>
  <c r="AL39" i="4"/>
  <c r="G21" i="21" l="1"/>
  <c r="G19"/>
  <c r="G18"/>
  <c r="G20"/>
  <c r="I18"/>
  <c r="P22" i="10"/>
  <c r="T19"/>
  <c r="R9" i="14"/>
  <c r="U103" i="4"/>
  <c r="U105"/>
  <c r="E21" i="21"/>
  <c r="AN39" i="4"/>
  <c r="W39" s="1"/>
  <c r="R25" i="11"/>
  <c r="R28" s="1"/>
  <c r="C40" i="20"/>
  <c r="D39"/>
  <c r="E39" s="1"/>
  <c r="R17" i="10"/>
  <c r="Q19"/>
  <c r="F39" i="20" l="1"/>
  <c r="F40" s="1"/>
  <c r="E40"/>
  <c r="S28" i="11"/>
  <c r="R30"/>
  <c r="R32" s="1"/>
  <c r="U109" i="4"/>
  <c r="U113" s="1"/>
  <c r="U114" s="1"/>
  <c r="Q22" i="10"/>
  <c r="R19"/>
  <c r="R29" i="9"/>
  <c r="R31" s="1"/>
  <c r="R17" i="14"/>
  <c r="P23" i="10"/>
  <c r="Q36" i="9"/>
  <c r="P26" i="10"/>
  <c r="Q37" i="9" l="1"/>
  <c r="Q39" s="1"/>
  <c r="R36"/>
  <c r="R37" s="1"/>
  <c r="R39" s="1"/>
  <c r="T55" i="4"/>
  <c r="Q26" i="10"/>
  <c r="U55" i="4" s="1"/>
  <c r="U58" s="1"/>
  <c r="U65" s="1"/>
  <c r="Q23" i="10"/>
  <c r="R23" s="1"/>
  <c r="R22"/>
  <c r="V55" i="4" l="1"/>
  <c r="T58"/>
  <c r="T65" s="1"/>
  <c r="R10" i="9"/>
  <c r="U120" i="4"/>
  <c r="U66"/>
  <c r="U67" s="1"/>
  <c r="R14" i="9" l="1"/>
  <c r="R21" s="1"/>
  <c r="R40" s="1"/>
  <c r="R33" i="11"/>
  <c r="Q10" i="9"/>
  <c r="T120" i="4"/>
  <c r="T66"/>
  <c r="T67" s="1"/>
  <c r="Q14" i="9" l="1"/>
  <c r="Q21" s="1"/>
  <c r="Q40" s="1"/>
  <c r="Q33" i="11"/>
  <c r="Q29" i="41"/>
  <c r="Q46" s="1"/>
</calcChain>
</file>

<file path=xl/comments1.xml><?xml version="1.0" encoding="utf-8"?>
<comments xmlns="http://schemas.openxmlformats.org/spreadsheetml/2006/main">
  <authors>
    <author>Vipin</author>
  </authors>
  <commentList>
    <comment ref="B12" authorId="0">
      <text>
        <r>
          <rPr>
            <b/>
            <sz val="9"/>
            <color indexed="81"/>
            <rFont val="Tahoma"/>
            <family val="2"/>
          </rPr>
          <t xml:space="preserve">Vipin:To be charged to CSTC for 3 years only, assuming the site work is completed in 3 years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GAURAV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Trainer shall be course wise, thus average has been taken.</t>
        </r>
      </text>
    </comment>
    <comment ref="D79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79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85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85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91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91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9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9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0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0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09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09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15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15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21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21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2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2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3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3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39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39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45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45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51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51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5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5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  <comment ref="D16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No of days of training.</t>
        </r>
      </text>
    </comment>
    <comment ref="E16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Cost per day.</t>
        </r>
      </text>
    </comment>
  </commentList>
</comments>
</file>

<file path=xl/comments3.xml><?xml version="1.0" encoding="utf-8"?>
<comments xmlns="http://schemas.openxmlformats.org/spreadsheetml/2006/main">
  <authors>
    <author>GAURAV</author>
  </authors>
  <commentList>
    <comment ref="E137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Per student expense</t>
        </r>
      </text>
    </comment>
    <comment ref="E15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Per student expense</t>
        </r>
      </text>
    </comment>
  </commentList>
</comments>
</file>

<file path=xl/comments4.xml><?xml version="1.0" encoding="utf-8"?>
<comments xmlns="http://schemas.openxmlformats.org/spreadsheetml/2006/main">
  <authors>
    <author>GAURAV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Turnover basis. 
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Turnover Basis.</t>
        </r>
      </text>
    </comment>
  </commentList>
</comments>
</file>

<file path=xl/comments5.xml><?xml version="1.0" encoding="utf-8"?>
<comments xmlns="http://schemas.openxmlformats.org/spreadsheetml/2006/main">
  <authors>
    <author>GAURAV</author>
  </authors>
  <commentList>
    <comment ref="A39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On basis of turnover
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On basis of turnover
</t>
        </r>
      </text>
    </comment>
  </commentList>
</comments>
</file>

<file path=xl/comments6.xml><?xml version="1.0" encoding="utf-8"?>
<comments xmlns="http://schemas.openxmlformats.org/spreadsheetml/2006/main">
  <authors>
    <author>GAURAV</author>
  </authors>
  <commentList>
    <comment ref="F130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Rent per month
</t>
        </r>
      </text>
    </comment>
    <comment ref="G130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No of months for which security to be made.</t>
        </r>
      </text>
    </comment>
    <comment ref="F13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Per month Rent
</t>
        </r>
      </text>
    </comment>
    <comment ref="G133" authorId="0">
      <text>
        <r>
          <rPr>
            <b/>
            <sz val="9"/>
            <color indexed="81"/>
            <rFont val="Tahoma"/>
            <family val="2"/>
          </rPr>
          <t>GAURAV:</t>
        </r>
        <r>
          <rPr>
            <sz val="9"/>
            <color indexed="81"/>
            <rFont val="Tahoma"/>
            <family val="2"/>
          </rPr>
          <t xml:space="preserve">
No of months for which security to be made.</t>
        </r>
      </text>
    </comment>
  </commentList>
</comments>
</file>

<file path=xl/sharedStrings.xml><?xml version="1.0" encoding="utf-8"?>
<sst xmlns="http://schemas.openxmlformats.org/spreadsheetml/2006/main" count="1476" uniqueCount="644">
  <si>
    <t>Item</t>
  </si>
  <si>
    <t>Total</t>
  </si>
  <si>
    <t>Number</t>
  </si>
  <si>
    <t>% of Total Workforce Impacted</t>
  </si>
  <si>
    <t>Number of Trades included in Labour Market Intelligence System</t>
  </si>
  <si>
    <t>FY</t>
  </si>
  <si>
    <t>Cum</t>
  </si>
  <si>
    <t>Number of Trades for which skill gap analysis, occupation standards framework and  skill development plan created</t>
  </si>
  <si>
    <t>Number of Trades for which competency framework developed</t>
  </si>
  <si>
    <t>Number of Trades for which curriculum  development facilitated</t>
  </si>
  <si>
    <t>Number of Trades for which training of trainers conducted</t>
  </si>
  <si>
    <t>No. of training organisations certified</t>
  </si>
  <si>
    <t>Number of Trainers Trained</t>
  </si>
  <si>
    <t>Number of people  certified</t>
  </si>
  <si>
    <t>Placement, as percentage of numbers certified</t>
  </si>
  <si>
    <t xml:space="preserve">Salaries </t>
  </si>
  <si>
    <t>S.No.</t>
  </si>
  <si>
    <t>Designation</t>
  </si>
  <si>
    <t>Preliminary Expenses</t>
  </si>
  <si>
    <t>Share Capital</t>
  </si>
  <si>
    <t>P &amp; L A/c (Rs. Lakh)</t>
  </si>
  <si>
    <t>Total receipts</t>
  </si>
  <si>
    <t>Admin</t>
  </si>
  <si>
    <t>Total expenses</t>
  </si>
  <si>
    <t>Depreciation</t>
  </si>
  <si>
    <t>Amortisation</t>
  </si>
  <si>
    <t>Interest Expenses</t>
  </si>
  <si>
    <t>Surplus/(Deficit)</t>
  </si>
  <si>
    <t>Tax</t>
  </si>
  <si>
    <t>EAT</t>
  </si>
  <si>
    <t>Cash Surplus/(Deficit)</t>
  </si>
  <si>
    <t>Balance Sheet (Rs. Lakh)</t>
  </si>
  <si>
    <t>Grants from NSDC</t>
  </si>
  <si>
    <t>Reserve &amp; Surplus (from P&amp;L)</t>
  </si>
  <si>
    <t>Term Loan</t>
  </si>
  <si>
    <t>Total Source of funds</t>
  </si>
  <si>
    <t>Accumulated Depreciation</t>
  </si>
  <si>
    <t>Cash</t>
  </si>
  <si>
    <t>Total Funds Deployed</t>
  </si>
  <si>
    <t>Depreciation Schedule (Rs. Lakh)</t>
  </si>
  <si>
    <t>Gross Block</t>
  </si>
  <si>
    <t>Total Depreciation</t>
  </si>
  <si>
    <t>Total Accumulated Depreciation</t>
  </si>
  <si>
    <t>Grant from NSDC</t>
  </si>
  <si>
    <t>Capex</t>
  </si>
  <si>
    <t>Term Loan requirement</t>
  </si>
  <si>
    <t>Cash surplus(deficit)</t>
  </si>
  <si>
    <t>Cumulative funds required</t>
  </si>
  <si>
    <t>Term Loan Required</t>
  </si>
  <si>
    <t>Revenue</t>
  </si>
  <si>
    <t xml:space="preserve">Please ensure that the cells are linked </t>
  </si>
  <si>
    <t xml:space="preserve">Instruction to Proposal owners </t>
  </si>
  <si>
    <t xml:space="preserve">Tax Details </t>
  </si>
  <si>
    <t>Taxes</t>
  </si>
  <si>
    <t xml:space="preserve">Capital Expenditure Details </t>
  </si>
  <si>
    <t>Interest and Principal Payment Schedule</t>
  </si>
  <si>
    <t xml:space="preserve">Interest-Principal </t>
  </si>
  <si>
    <t>Amortization Schedule</t>
  </si>
  <si>
    <t>Depreciation Schedule</t>
  </si>
  <si>
    <t xml:space="preserve">Operating Expenses Calculations </t>
  </si>
  <si>
    <t>Operational Expenses</t>
  </si>
  <si>
    <t xml:space="preserve">Revenue Calculations </t>
  </si>
  <si>
    <t>Revenue Schedule</t>
  </si>
  <si>
    <t>Cash Flow Statement</t>
  </si>
  <si>
    <t>P&amp;L Statement</t>
  </si>
  <si>
    <t>Balance Sheet</t>
  </si>
  <si>
    <t>Key Assumptions</t>
  </si>
  <si>
    <t>Description</t>
  </si>
  <si>
    <t>Worksheet</t>
  </si>
  <si>
    <t xml:space="preserve">This financial model Template is designed to enable prospective firms/individuals to project their financials for a ten year duration period. Given below are the principal spreadsheets that can be used for developing the financial model </t>
  </si>
  <si>
    <t xml:space="preserve"> </t>
  </si>
  <si>
    <t>BACK TO INDEX</t>
  </si>
  <si>
    <t>TOTAL LIABILITIES &amp; EQUITY</t>
  </si>
  <si>
    <t xml:space="preserve">TOTAL EQUITY </t>
  </si>
  <si>
    <t>Reserves and Surplus</t>
  </si>
  <si>
    <t>TOTAL LIABILITIES</t>
  </si>
  <si>
    <t xml:space="preserve">Long Term Debt </t>
  </si>
  <si>
    <t>Other Current Liabilities</t>
  </si>
  <si>
    <t>Accounts Payable &amp; Accrued Expenses</t>
  </si>
  <si>
    <t>Short Term Debt</t>
  </si>
  <si>
    <t>CURRENT LIABILITIES</t>
  </si>
  <si>
    <t>LIABILITIES &amp; SHAREHOLDERS EQUITY</t>
  </si>
  <si>
    <t>TOTAL ASSETS</t>
  </si>
  <si>
    <t>Net Fixed Assets</t>
  </si>
  <si>
    <t>Gross Fixed Assets</t>
  </si>
  <si>
    <t>Total Current Assets</t>
  </si>
  <si>
    <t>Other Current Assets</t>
  </si>
  <si>
    <t>Inventories</t>
  </si>
  <si>
    <t>Accounts Receivables</t>
  </si>
  <si>
    <t>Current Assets</t>
  </si>
  <si>
    <t>ASSETS</t>
  </si>
  <si>
    <t>Note: - Proposal owner can add sub heads in each of the main heads whereever it deemed necessary</t>
  </si>
  <si>
    <t>BALANCE SHEET</t>
  </si>
  <si>
    <t>Earning After Taxes (EAT)</t>
  </si>
  <si>
    <t>Earning Before Taxes (EBT)</t>
  </si>
  <si>
    <t>Interest Expense</t>
  </si>
  <si>
    <t>Earning Before Interest and Taxes (EBIT)</t>
  </si>
  <si>
    <t>Amortization</t>
  </si>
  <si>
    <t>Earning Before Interest, Depreciation, Taxes and Amortization (EBITDA)</t>
  </si>
  <si>
    <t>Total Operating Expenses</t>
  </si>
  <si>
    <t>Total Revenue</t>
  </si>
  <si>
    <t>PROFIT AND LOSS STATEMENT</t>
  </si>
  <si>
    <t>Project IRR</t>
  </si>
  <si>
    <t>Free Cash Flows (FCE)</t>
  </si>
  <si>
    <t xml:space="preserve">Cumulative Cash Balance </t>
  </si>
  <si>
    <t>Net cash flow</t>
  </si>
  <si>
    <t>Cash flow from financing activities</t>
  </si>
  <si>
    <t>Debt raised/(Repaid)</t>
  </si>
  <si>
    <t>Increase/(Decrease) In Equity</t>
  </si>
  <si>
    <t>Financing Activities</t>
  </si>
  <si>
    <t>Cash flow from investing activities</t>
  </si>
  <si>
    <t>Fixed Assets Purchased</t>
  </si>
  <si>
    <t>Investing Activities</t>
  </si>
  <si>
    <t>Cash flow from operating activities</t>
  </si>
  <si>
    <t>Add amortisation</t>
  </si>
  <si>
    <t>Add depreciation</t>
  </si>
  <si>
    <t>Operating Activities</t>
  </si>
  <si>
    <t>CASH FLOW STATEMENT</t>
  </si>
  <si>
    <t>Total  Revenue</t>
  </si>
  <si>
    <t>Revenue Heads</t>
  </si>
  <si>
    <t xml:space="preserve">Note: - Proposal owner should show complete workings of all relevant revenue streams </t>
  </si>
  <si>
    <t>REVENUE SUMMARY</t>
  </si>
  <si>
    <t>Total  Operational Expenses</t>
  </si>
  <si>
    <t>Operational Costs</t>
  </si>
  <si>
    <t xml:space="preserve">Note: - Proposal owner should show complete workings of all relevant cost centres  </t>
  </si>
  <si>
    <t>COST STRUCTURE</t>
  </si>
  <si>
    <t xml:space="preserve">Principal Repayment </t>
  </si>
  <si>
    <t xml:space="preserve">Interest </t>
  </si>
  <si>
    <t>NSDC Debt</t>
  </si>
  <si>
    <t>Note: - Proposal owner should show complete workings of interest and Principal repayment of NSDC Debt, if applicable</t>
  </si>
  <si>
    <t>LOAN REPAYMENT SCHEDULE</t>
  </si>
  <si>
    <t xml:space="preserve">Note: - Proposal owner should show complete workings of capital expenditure being during the course of the project </t>
  </si>
  <si>
    <t>CAPITAL EXPENDITURE</t>
  </si>
  <si>
    <t xml:space="preserve">Total Depreciation </t>
  </si>
  <si>
    <t>Note: - Proposal owner should show complete workings of Depreciation details using COMPANIES ACT</t>
  </si>
  <si>
    <t>DEPRECIATION</t>
  </si>
  <si>
    <t>Amortization Details</t>
  </si>
  <si>
    <t>Note: - Proposal owner should show complete workings of amortization details if applicable</t>
  </si>
  <si>
    <t>AMORTIZATION SCHEDULE</t>
  </si>
  <si>
    <t>Tax Details</t>
  </si>
  <si>
    <t>Note: - Proposal owner should show complete workings of Tax details if applicable</t>
  </si>
  <si>
    <t>TAX SCHEDULE</t>
  </si>
  <si>
    <t>No. of students per batch</t>
  </si>
  <si>
    <t>Year 1</t>
  </si>
  <si>
    <t>Year 2</t>
  </si>
  <si>
    <t>Less: Depreciation</t>
  </si>
  <si>
    <t>Total Current Liabilities</t>
  </si>
  <si>
    <t>Details of Utilisation of Grant and Loan from NSDC</t>
  </si>
  <si>
    <t>Details of Items Funded from Grant ( Rs. Lac)</t>
  </si>
  <si>
    <t>Year 3</t>
  </si>
  <si>
    <t>Year 4</t>
  </si>
  <si>
    <t>Year 5</t>
  </si>
  <si>
    <t>Salaries</t>
  </si>
  <si>
    <t>Admin. Exp.</t>
  </si>
  <si>
    <t>Working capital</t>
  </si>
  <si>
    <t>Cumulative Balance</t>
  </si>
  <si>
    <t>Details of Items Funded from Loan ( Rs. Lac)</t>
  </si>
  <si>
    <t>Interest</t>
  </si>
  <si>
    <t xml:space="preserve">Key Revenue Expenses and other Assumptions </t>
  </si>
  <si>
    <t>One Page financials and workings</t>
  </si>
  <si>
    <t>Utilisation of Grant and Loan</t>
  </si>
  <si>
    <t>Utilisation of Grant and Loan for various revenue expenses and capex</t>
  </si>
  <si>
    <t>Expenses Assumptions</t>
  </si>
  <si>
    <t>Working of salary, Admin expenses and Capex</t>
  </si>
  <si>
    <t>Pilot Project Cost</t>
  </si>
  <si>
    <t>Principal moratorium</t>
  </si>
  <si>
    <t>Principal Repayment period</t>
  </si>
  <si>
    <t>Interest Repayment period</t>
  </si>
  <si>
    <t>[Please note Interest will be paid quarterly ]</t>
  </si>
  <si>
    <t>Interest rate</t>
  </si>
  <si>
    <t>Total loan requirement</t>
  </si>
  <si>
    <t>Instalments(in months)</t>
  </si>
  <si>
    <t>[Please note Actual Interest will be calculated on the basis of the actual date of disbursement]</t>
  </si>
  <si>
    <t>Principal  Balance</t>
  </si>
  <si>
    <t>Closing Balance</t>
  </si>
  <si>
    <t>Interest Due</t>
  </si>
  <si>
    <t>Interest Repayment</t>
  </si>
  <si>
    <t>Year 6</t>
  </si>
  <si>
    <t>Year 7</t>
  </si>
  <si>
    <t>Year 8</t>
  </si>
  <si>
    <t>Year 9</t>
  </si>
  <si>
    <t>Year 10</t>
  </si>
  <si>
    <t>Head Office</t>
  </si>
  <si>
    <t>Date of Joining</t>
  </si>
  <si>
    <t>Electricity</t>
  </si>
  <si>
    <t>Repair &amp; Maintenace (AMC, Office R &amp;M etc.)</t>
  </si>
  <si>
    <t>Security</t>
  </si>
  <si>
    <t>House Keeping and Pantry</t>
  </si>
  <si>
    <t>Communication(Tel,Fax, Mobile, Internet)</t>
  </si>
  <si>
    <t>Printing &amp; Stationery</t>
  </si>
  <si>
    <t>Offices</t>
  </si>
  <si>
    <t>Total Admin Cost Head Office</t>
  </si>
  <si>
    <t>Cost/Month</t>
  </si>
  <si>
    <t>Manpower Costs</t>
  </si>
  <si>
    <t>Rs. Lacs</t>
  </si>
  <si>
    <t>YEAR 1</t>
  </si>
  <si>
    <t>YEAR 2</t>
  </si>
  <si>
    <t>Loan Balance as on end of the year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</si>
  <si>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</si>
  <si>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</si>
  <si>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</si>
  <si>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</si>
  <si>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</si>
  <si>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</si>
  <si>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</si>
  <si>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</si>
  <si>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EBDIT</t>
  </si>
  <si>
    <t>(Rs. Lac)</t>
  </si>
  <si>
    <t>EBT</t>
  </si>
  <si>
    <t>Loan Requirement - Maximum</t>
  </si>
  <si>
    <t>Funding Requirement</t>
  </si>
  <si>
    <t>Total No. of People to be trained (in Lac)</t>
  </si>
  <si>
    <t>Project IRR (%)</t>
  </si>
  <si>
    <t>Deposit for Office</t>
  </si>
  <si>
    <t>Local Conveyance</t>
  </si>
  <si>
    <t>Depreciation, Amortisation &amp; Finance Charges</t>
  </si>
  <si>
    <t>Working Capital Requirement</t>
  </si>
  <si>
    <t>Cash &amp; bank balances</t>
  </si>
  <si>
    <t>nos.</t>
  </si>
  <si>
    <t>No.of training organisations conducting pilot</t>
  </si>
  <si>
    <t xml:space="preserve">No. of Pilot Training Batches </t>
  </si>
  <si>
    <t>Total No.of students</t>
  </si>
  <si>
    <t>Number of training batches facilitated</t>
  </si>
  <si>
    <t>Legal &amp; Professional Expenses</t>
  </si>
  <si>
    <t>Intermediate</t>
  </si>
  <si>
    <t>Advanced</t>
  </si>
  <si>
    <t>Loan-Int</t>
  </si>
  <si>
    <t>Details of Loan Principal and Interest repayment</t>
  </si>
  <si>
    <t>Roles to be connected with the no. of trades</t>
  </si>
  <si>
    <t>Programmes</t>
  </si>
  <si>
    <t>Apprentice ship</t>
  </si>
  <si>
    <t>class room</t>
  </si>
  <si>
    <t>Master Plumber</t>
  </si>
  <si>
    <t>Supervisor</t>
  </si>
  <si>
    <t>3m</t>
  </si>
  <si>
    <t>2m</t>
  </si>
  <si>
    <t>1m</t>
  </si>
  <si>
    <t>cert fee</t>
  </si>
  <si>
    <t>apprentice training for existing will not be there</t>
  </si>
  <si>
    <t>Plumber</t>
  </si>
  <si>
    <t>Basic</t>
  </si>
  <si>
    <t>TTT</t>
  </si>
  <si>
    <t xml:space="preserve">Pilot </t>
  </si>
  <si>
    <t>Roles</t>
  </si>
  <si>
    <t>( 3 Levels of 1 trade-Plumbing)</t>
  </si>
  <si>
    <t>3 Pilots 1 each for each level in 4 regions ( 12 Pilots)</t>
  </si>
  <si>
    <t>INCREMENT</t>
  </si>
  <si>
    <t>Year</t>
  </si>
  <si>
    <t>% growth</t>
  </si>
  <si>
    <t>Manpower in Mn in Construction Industry</t>
  </si>
  <si>
    <t>Plumbers in Mn in Construction Sector</t>
  </si>
  <si>
    <t>Rs.</t>
  </si>
  <si>
    <t>Disbursement/(Repayment) Schedule</t>
  </si>
  <si>
    <t>Manufacturing Manpower</t>
  </si>
  <si>
    <t>No. people engaged in manufacturing sector</t>
  </si>
  <si>
    <t>% Growth</t>
  </si>
  <si>
    <t>Total manpower</t>
  </si>
  <si>
    <t>CTC / Month</t>
  </si>
  <si>
    <t>Fin Smmry</t>
  </si>
  <si>
    <t>Number of certification organizations registered</t>
  </si>
  <si>
    <t>Highlights</t>
  </si>
  <si>
    <t>Advertisement and Publicity</t>
  </si>
  <si>
    <t>10 years forecast</t>
  </si>
  <si>
    <t>3 Monhts Course</t>
  </si>
  <si>
    <t xml:space="preserve">Pilot Project Cost ( Per Student per Month Rs. 0.05 Lac) </t>
  </si>
  <si>
    <t>Accumulated loss effect considered</t>
  </si>
  <si>
    <t xml:space="preserve">Regional Offices  </t>
  </si>
  <si>
    <t>Year 0</t>
  </si>
  <si>
    <t>Workshop expenses</t>
  </si>
  <si>
    <t>Website &amp; IT Equipment Maintainence cost</t>
  </si>
  <si>
    <t>Total at the end of 10 Years</t>
  </si>
  <si>
    <t>Number of Trades for which Standards and NOS will be developed</t>
  </si>
  <si>
    <t>Accrediation of Institutes</t>
  </si>
  <si>
    <t>Yearly number of institutes being setup/identified by SSC for accrediation</t>
  </si>
  <si>
    <t>Courses running in institutes available for accrediation  (assumption 1 training course for each trade)</t>
  </si>
  <si>
    <t>Trainee Certification</t>
  </si>
  <si>
    <t>% pass out</t>
  </si>
  <si>
    <t>SSC will accredit training agencies to do the accrediation of trainees, trainers. SSC will not have any trainer on its rolls.</t>
  </si>
  <si>
    <t>Interest Moratorium</t>
  </si>
  <si>
    <t>Pilot is being conducted in 10 Trades and 3 Training institutes for 2 batches</t>
  </si>
  <si>
    <t>Each batch of 25 nos.</t>
  </si>
  <si>
    <t xml:space="preserve">YEAR 0 </t>
  </si>
  <si>
    <t>No. of Trades in which Pilot conducted</t>
  </si>
  <si>
    <t>Total no. of people trained &amp; certified</t>
  </si>
  <si>
    <t>Percentage of total trades in which each institute conducts training</t>
  </si>
  <si>
    <t xml:space="preserve"> Projections for the 10 yrs Financial Plan :  Construction Sector Skill Council</t>
  </si>
  <si>
    <t>Number of Site Construction Training Centres (CSTCs) mobilised</t>
  </si>
  <si>
    <t>Number of batches in the training instt/trade 
( Assuming 4 serial batches in a yr)</t>
  </si>
  <si>
    <t>Number of trainees per batch</t>
  </si>
  <si>
    <t>Number of People assessed &amp; Certified after training at Instts</t>
  </si>
  <si>
    <t>FRESH</t>
  </si>
  <si>
    <t>IN-SERVICE</t>
  </si>
  <si>
    <t>No. of days on which the CSTC is conducting assessment</t>
  </si>
  <si>
    <t>No. of assessments done per day</t>
  </si>
  <si>
    <t>Number of experienced/site trained people assessed &amp; certified at sites</t>
  </si>
  <si>
    <t>TRAINEE CERTIFICATION FEE COLLECTED</t>
  </si>
  <si>
    <t>No. of trainees traineed by one trainer per year</t>
  </si>
  <si>
    <t>No. of Freshers trained at Instts</t>
  </si>
  <si>
    <t>No. of Freshers/In-service personnel trained at CSTCs (assuming 20% of assessed &amp; certified at sites)</t>
  </si>
  <si>
    <t>TOTAL NO. OF PEOPLE TRAINED</t>
  </si>
  <si>
    <t>No. of Trainers required</t>
  </si>
  <si>
    <t>TRAINER CERTIFICATION FEE COLLECTED</t>
  </si>
  <si>
    <t>Trainers Certification</t>
  </si>
  <si>
    <t>Licence Fee</t>
  </si>
  <si>
    <t xml:space="preserve">Licence Fee collected for YR 3 and YR 4 </t>
  </si>
  <si>
    <t xml:space="preserve">Licence Fee collected from 5th Yr onwards </t>
  </si>
  <si>
    <t>Licence fee collected from 10% of assessed &amp; cerrtified manpower</t>
  </si>
  <si>
    <t>TOTAL NO. OF PEOPLE ASSESSED</t>
  </si>
  <si>
    <t>TOTAL NO. OF PEOPLE  CERTIFIED</t>
  </si>
  <si>
    <t>REVENUE ASSUMPTION</t>
  </si>
  <si>
    <t>GM</t>
  </si>
  <si>
    <t>AGM</t>
  </si>
  <si>
    <t xml:space="preserve">Senior Manager </t>
  </si>
  <si>
    <t>Senior Accountant</t>
  </si>
  <si>
    <t>LMIS Executive</t>
  </si>
  <si>
    <t>Trainer</t>
  </si>
  <si>
    <t>MIS Executive</t>
  </si>
  <si>
    <t>Finance Executive</t>
  </si>
  <si>
    <t>Number of People certified in 10 yrs</t>
  </si>
  <si>
    <t>No. of Concurrent Batches</t>
  </si>
  <si>
    <t>No. of trainees per batch</t>
  </si>
  <si>
    <t>No. of students certified</t>
  </si>
  <si>
    <t>TOTAL</t>
  </si>
  <si>
    <t xml:space="preserve">Site - Manpower </t>
  </si>
  <si>
    <t>Chief Trainer/ per 5 sites</t>
  </si>
  <si>
    <t>TOTAL REVENUE</t>
  </si>
  <si>
    <t>Area Manager</t>
  </si>
  <si>
    <t>Increase per year</t>
  </si>
  <si>
    <t>GRAND TOTAL</t>
  </si>
  <si>
    <t>OPEX DETAILS</t>
  </si>
  <si>
    <t>( Rs in lacs)</t>
  </si>
  <si>
    <t>(Please fill yellow coloured cells)</t>
  </si>
  <si>
    <t>HEAD OFFICE</t>
  </si>
  <si>
    <t>Area</t>
  </si>
  <si>
    <t>Per sq. ft</t>
  </si>
  <si>
    <t>Date of rental</t>
  </si>
  <si>
    <t>Amount per year</t>
  </si>
  <si>
    <t>Amount per month</t>
  </si>
  <si>
    <t>Amount - 80% of total</t>
  </si>
  <si>
    <t>Amount</t>
  </si>
  <si>
    <t>Rental cost</t>
  </si>
  <si>
    <t>The Rent increases at the rate of 5 % in the block of three years</t>
  </si>
  <si>
    <t>Office expenses:</t>
  </si>
  <si>
    <t>Electricity &amp; other utility cost</t>
  </si>
  <si>
    <t>Consultancy expenses</t>
  </si>
  <si>
    <t>Meetings and Confrences</t>
  </si>
  <si>
    <t>Travelling Cost:</t>
  </si>
  <si>
    <t>Misc. Expenses</t>
  </si>
  <si>
    <t xml:space="preserve">Recruitment Expenses- 8.33% of CTC  </t>
  </si>
  <si>
    <t>SITE EXPENSES</t>
  </si>
  <si>
    <t>Conveyance</t>
  </si>
  <si>
    <t>Snack &amp; Food expenses for trainees</t>
  </si>
  <si>
    <t>Consumables</t>
  </si>
  <si>
    <t>Training material</t>
  </si>
  <si>
    <t>Maintenance cost of Movie</t>
  </si>
  <si>
    <t>Communication expenses</t>
  </si>
  <si>
    <t>Staff Welfare</t>
  </si>
  <si>
    <t>Developing cost of Training content</t>
  </si>
  <si>
    <t>Vehicle &amp; running maintenance</t>
  </si>
  <si>
    <t>Electricity cost, if any</t>
  </si>
  <si>
    <t>Review Meeting expenses</t>
  </si>
  <si>
    <t>Mobalisation expenses</t>
  </si>
  <si>
    <t>Others ( Pls specify)</t>
  </si>
  <si>
    <t>CENTRE EXPENSES FOR DOMESTIC HELP</t>
  </si>
  <si>
    <t>REGIONAL OFFICE/OTHER OFFICE</t>
  </si>
  <si>
    <t>Total Admin Cost- Regional office</t>
  </si>
  <si>
    <t>- Size of each batch</t>
  </si>
  <si>
    <t>Total Head office Manpower expenses</t>
  </si>
  <si>
    <t xml:space="preserve">Total Manpower Cost </t>
  </si>
  <si>
    <t>EBITDA</t>
  </si>
  <si>
    <t>Nos.</t>
  </si>
  <si>
    <t>Per unit cost</t>
  </si>
  <si>
    <t>Computers</t>
  </si>
  <si>
    <t>Printer</t>
  </si>
  <si>
    <t xml:space="preserve">Table </t>
  </si>
  <si>
    <t>Chairs</t>
  </si>
  <si>
    <t xml:space="preserve">White Board </t>
  </si>
  <si>
    <t>Rs in lac</t>
  </si>
  <si>
    <t>Furniture &amp; Fixture</t>
  </si>
  <si>
    <t>Per site</t>
  </si>
  <si>
    <t>SUMMARY OF TOTAL ASSETS</t>
  </si>
  <si>
    <t xml:space="preserve">Inflation rate every year </t>
  </si>
  <si>
    <t>CAPEX ASSUMPTIONS</t>
  </si>
  <si>
    <t>ASSETS REQUIRED AT HEAD OFFICE</t>
  </si>
  <si>
    <t>Assumptions and projections of revenue</t>
  </si>
  <si>
    <t>CAPEX Assumptions</t>
  </si>
  <si>
    <t xml:space="preserve"> No. of Sites Operational</t>
  </si>
  <si>
    <t xml:space="preserve">No. of students trained </t>
  </si>
  <si>
    <t>EXPENSES</t>
  </si>
  <si>
    <t>Rent</t>
  </si>
  <si>
    <t>Manpower Cost</t>
  </si>
  <si>
    <t>EBITDA %</t>
  </si>
  <si>
    <t>Expenses to Revenue %</t>
  </si>
  <si>
    <t>% of Revenue</t>
  </si>
  <si>
    <t>Cost of training of Trainers</t>
  </si>
  <si>
    <t>- 'No. of Concurrent Batches per site</t>
  </si>
  <si>
    <t>Revenue streams :</t>
  </si>
  <si>
    <t>(Net of drop outs)</t>
  </si>
  <si>
    <t>Year  1 - Year 4</t>
  </si>
  <si>
    <t>Year 5 - Year 7</t>
  </si>
  <si>
    <t>Year 8 - Year 10</t>
  </si>
  <si>
    <t>Content Development Cost</t>
  </si>
  <si>
    <t xml:space="preserve">Note: - Proposal owner should clearly ariculate the step wise contenet development process along with the step wise contenet development cost incurred during the course of the project </t>
  </si>
  <si>
    <t>Q1</t>
  </si>
  <si>
    <t>Q2</t>
  </si>
  <si>
    <t>Q3</t>
  </si>
  <si>
    <t>Q4</t>
  </si>
  <si>
    <t>Q 1</t>
  </si>
  <si>
    <t>Q 2</t>
  </si>
  <si>
    <t>Q 3</t>
  </si>
  <si>
    <t>Q 4</t>
  </si>
  <si>
    <t>No. of Concurrent Batches per site</t>
  </si>
  <si>
    <t>Q 2 - Year 1</t>
  </si>
  <si>
    <t>Q 1 - Year 1</t>
  </si>
  <si>
    <t>Q 3 - Year 1</t>
  </si>
  <si>
    <t>Q 4 - Year 1</t>
  </si>
  <si>
    <t>Q 1 - Year 2</t>
  </si>
  <si>
    <t>Q 2 - Year 2</t>
  </si>
  <si>
    <t>Q 4 - Year 2</t>
  </si>
  <si>
    <t>Q 3 - Year 2</t>
  </si>
  <si>
    <t>- 'No. of  serial batches in a qtr/year per site per trade</t>
  </si>
  <si>
    <t>No. of  serial batches in a qtr/year per Site</t>
  </si>
  <si>
    <t>Total No. of Batches in qtr/year</t>
  </si>
  <si>
    <t>Total No. of Batches in qtr/ year</t>
  </si>
  <si>
    <t>Head Office Expenses</t>
  </si>
  <si>
    <t>Highlights of 10 year Financial Plan</t>
  </si>
  <si>
    <t>Cummulative</t>
  </si>
  <si>
    <t>MDA from NSDC</t>
  </si>
  <si>
    <t>(I) Course fee per student:</t>
  </si>
  <si>
    <t>Two months Salary &amp; Adm. expenses</t>
  </si>
  <si>
    <t>Change in Working Capital</t>
  </si>
  <si>
    <t>Total Admin Cost</t>
  </si>
  <si>
    <t>Promotors Contribution</t>
  </si>
  <si>
    <t>No.of people trained</t>
  </si>
  <si>
    <t>Centre Based Training</t>
  </si>
  <si>
    <t>Fan</t>
  </si>
  <si>
    <t>Cost</t>
  </si>
  <si>
    <t>Inflation rate</t>
  </si>
  <si>
    <t>Capital Expenditure made</t>
  </si>
  <si>
    <t>Total Capex Introduced</t>
  </si>
  <si>
    <t>Depreciation @ 40%</t>
  </si>
  <si>
    <t>Depreciation @ 13.91%</t>
  </si>
  <si>
    <t>Depreciation @ 18.1%</t>
  </si>
  <si>
    <t>Total G Block of Assets</t>
  </si>
  <si>
    <t>Total N Block of Assets</t>
  </si>
  <si>
    <t>Cost of Content Development</t>
  </si>
  <si>
    <t>Total Amortization</t>
  </si>
  <si>
    <t>Unamortized Cost</t>
  </si>
  <si>
    <t>Net Assets</t>
  </si>
  <si>
    <t>Increase/(Decrease) of Working Capital</t>
  </si>
  <si>
    <t>Net Block - Capital Expenditure</t>
  </si>
  <si>
    <t>NSDC Loan at ----6%  Interest opening</t>
  </si>
  <si>
    <t>Disbursement/ Repayment</t>
  </si>
  <si>
    <t>Unamortized Expenses</t>
  </si>
  <si>
    <t>Inflation Index</t>
  </si>
  <si>
    <t>No of Centres</t>
  </si>
  <si>
    <t>Centre - Manpower</t>
  </si>
  <si>
    <t>Centre Expenses</t>
  </si>
  <si>
    <t>Number of Centres</t>
  </si>
  <si>
    <t>Per Sq feet</t>
  </si>
  <si>
    <t>ASSETS REQUIRED AT CENTRES</t>
  </si>
  <si>
    <t>Grand Total at Centres</t>
  </si>
  <si>
    <t>Reserves &amp; Surplus</t>
  </si>
  <si>
    <t>Add Interest</t>
  </si>
  <si>
    <t>Less:Interest Paid</t>
  </si>
  <si>
    <t>Cash Flow Statement (Rs. Lakh)</t>
  </si>
  <si>
    <t>Surplus/Deficit</t>
  </si>
  <si>
    <t>add; Depreciation</t>
  </si>
  <si>
    <t>add; Amortisation</t>
  </si>
  <si>
    <t>add; Interest</t>
  </si>
  <si>
    <t>Income tax paid</t>
  </si>
  <si>
    <t>Increase/Decrease in Working Capital</t>
  </si>
  <si>
    <t>Cash Flow from Operations</t>
  </si>
  <si>
    <t>add; Debt raised</t>
  </si>
  <si>
    <t>less; Interest</t>
  </si>
  <si>
    <t>less; Debt repayment</t>
  </si>
  <si>
    <t>Cash Flow from Financing</t>
  </si>
  <si>
    <t>Less; Capital Expenditure</t>
  </si>
  <si>
    <t>Cash Flow from Investing</t>
  </si>
  <si>
    <t>Net change in cash</t>
  </si>
  <si>
    <t>Cash in Hand at the end of the year</t>
  </si>
  <si>
    <t>Gross Block of Assets</t>
  </si>
  <si>
    <t>Assets to be amortized</t>
  </si>
  <si>
    <t>Promoters Contribution</t>
  </si>
  <si>
    <t>add; Increase in Promoters Contribution</t>
  </si>
  <si>
    <t>add; Grant from NSDC</t>
  </si>
  <si>
    <t>add; MDA</t>
  </si>
  <si>
    <t>Less; Assets to be amortized</t>
  </si>
  <si>
    <t>Asset to be amortized</t>
  </si>
  <si>
    <t>Total cost to be amortized</t>
  </si>
  <si>
    <t>Amortization details</t>
  </si>
  <si>
    <t>Total Centre Manpower</t>
  </si>
  <si>
    <t>Over all Total No. of people trained</t>
  </si>
  <si>
    <t>Total Centre cost</t>
  </si>
  <si>
    <t>IT Equipments</t>
  </si>
  <si>
    <t>Cumulative MDA</t>
  </si>
  <si>
    <t>CEO</t>
  </si>
  <si>
    <t>Assistant to CEO</t>
  </si>
  <si>
    <t>Operations Head</t>
  </si>
  <si>
    <t>Operations Exec</t>
  </si>
  <si>
    <t>MIS Exec</t>
  </si>
  <si>
    <t>HR and Admin Mgr</t>
  </si>
  <si>
    <t>Accts Manager</t>
  </si>
  <si>
    <t>Accts Exec</t>
  </si>
  <si>
    <t>Marketing Mgr</t>
  </si>
  <si>
    <t>Training Mgr</t>
  </si>
  <si>
    <t>Front Office</t>
  </si>
  <si>
    <t>Renovation</t>
  </si>
  <si>
    <t>Software</t>
  </si>
  <si>
    <t>Telephone &amp; Internet</t>
  </si>
  <si>
    <t>Traveling</t>
  </si>
  <si>
    <t>Advertising &amp; Marketing</t>
  </si>
  <si>
    <t>Legal and regulatory</t>
  </si>
  <si>
    <t>Repairs &amp; Maintenance</t>
  </si>
  <si>
    <t>Projector</t>
  </si>
  <si>
    <t>Center Mgr</t>
  </si>
  <si>
    <t>Admin &amp; MIS Exec</t>
  </si>
  <si>
    <t>Office Assistant</t>
  </si>
  <si>
    <t>Trainers</t>
  </si>
  <si>
    <t>Head Office - Manpower</t>
  </si>
  <si>
    <t>Administration Cost</t>
  </si>
  <si>
    <t>CTC per</t>
  </si>
  <si>
    <t>Month</t>
  </si>
  <si>
    <t>Nos</t>
  </si>
  <si>
    <t>Rent Head Office</t>
  </si>
  <si>
    <t>Area in sq ft</t>
  </si>
  <si>
    <t>Total Admin Cost Centre</t>
  </si>
  <si>
    <t>Total Head Office cost</t>
  </si>
  <si>
    <t>No. of Centres</t>
  </si>
  <si>
    <t>Revenue in 10 years</t>
  </si>
  <si>
    <t>Total Course fee collected</t>
  </si>
  <si>
    <t>No. of Centres Course Wise</t>
  </si>
  <si>
    <t>Cumulative</t>
  </si>
  <si>
    <t>Land &amp; Building</t>
  </si>
  <si>
    <t>Renovation Cost</t>
  </si>
  <si>
    <t>Rate/ sq ft</t>
  </si>
  <si>
    <t>Printers</t>
  </si>
  <si>
    <t>Electrical Fittings</t>
  </si>
  <si>
    <t>Cupboards &amp; Shelves</t>
  </si>
  <si>
    <t>Plant &amp; Machinery</t>
  </si>
  <si>
    <t>Air Conditioners</t>
  </si>
  <si>
    <t>DG Set</t>
  </si>
  <si>
    <t>Grand Total at H.O.</t>
  </si>
  <si>
    <t>Book Shelves &amp; Cup Board</t>
  </si>
  <si>
    <t>Reception Furniture</t>
  </si>
  <si>
    <t>Mobilization Expenses</t>
  </si>
  <si>
    <t>Capex Course Wise</t>
  </si>
  <si>
    <t>Hospitality Course</t>
  </si>
  <si>
    <t>Information Techonology</t>
  </si>
  <si>
    <t>Health Care</t>
  </si>
  <si>
    <t>REVENUES</t>
  </si>
  <si>
    <t>Opening WDV</t>
  </si>
  <si>
    <t>Closing WDV</t>
  </si>
  <si>
    <t>Furniture &amp; Fixtures</t>
  </si>
  <si>
    <t>Depreciation @ 5%</t>
  </si>
  <si>
    <t>Deposit for Office  ( Equal to 2 Month rental)</t>
  </si>
  <si>
    <t>Reqd Cash for W. Capital</t>
  </si>
  <si>
    <t>Number of Centers Operationalised</t>
  </si>
  <si>
    <t>- Cumulative Number of Centres operational</t>
  </si>
  <si>
    <t>Food Processing</t>
  </si>
  <si>
    <t>IT Equipment</t>
  </si>
  <si>
    <t>Course content already available</t>
  </si>
  <si>
    <t>Cost excluding pre-existing content</t>
  </si>
  <si>
    <t>Hospitality course : House keeping (60 Days, 240 hrs)</t>
  </si>
  <si>
    <t>Hospitality course : Front Office Management (40Days, 180 hrs)</t>
  </si>
  <si>
    <t>Hospitality course : Food &amp; Beverages (40 Days, 180 hrs)</t>
  </si>
  <si>
    <t>IT/ITES : BPO Voice (60 Days, 180 hrs)</t>
  </si>
  <si>
    <t>IT/ITES : BPO Non Voice (60 Days, 180 hrs)</t>
  </si>
  <si>
    <t>IT/ITES : Hardware &amp; networking (40 Days, 180 hrs)</t>
  </si>
  <si>
    <t>Health Care : General Duty Attendant (40 Days, 180 hrs)</t>
  </si>
  <si>
    <t>Health Care : Asha (Health workers) (40 Days, 180 hrs)</t>
  </si>
  <si>
    <t>Health Care : Home Health Aide (40 Days, 180 hrs)</t>
  </si>
  <si>
    <t>Retail : Cashier (40 Days, 180 hrs)</t>
  </si>
  <si>
    <t>Retail : Assistant (40 Days, 180 hrs)</t>
  </si>
  <si>
    <t>Agriculture : Apiculture (16 Days, 48 hrs)</t>
  </si>
  <si>
    <t>Agriculture : Mushroom farming  (16 Days, 48 hrs)</t>
  </si>
  <si>
    <t>Agriculture : Floriculture  (16 Days, 48 hrs)</t>
  </si>
  <si>
    <t>Food Processing  (16 Days, 60 hrs)</t>
  </si>
  <si>
    <t>Retail</t>
  </si>
  <si>
    <t>Agriculture</t>
  </si>
  <si>
    <t>Cumulative No. of Centres</t>
  </si>
  <si>
    <t>Recruitment Expenses</t>
  </si>
  <si>
    <t>Security Deposit</t>
  </si>
  <si>
    <t xml:space="preserve">Head Office </t>
  </si>
  <si>
    <t>Security Amount</t>
  </si>
  <si>
    <t>Centres</t>
  </si>
  <si>
    <t>Total Security Deposit</t>
  </si>
  <si>
    <t>Operational Expenses for centre will not change to a larger extent, irrespective of the number of courses, running in a centre.</t>
  </si>
  <si>
    <t>Fees</t>
  </si>
  <si>
    <t>Labs (other than IT/ITES)</t>
  </si>
  <si>
    <t>Lab (IT/ITES)</t>
  </si>
  <si>
    <t>Students Trained Per Centre</t>
  </si>
  <si>
    <t>Mobilization</t>
  </si>
  <si>
    <t>HO Manpower</t>
  </si>
  <si>
    <t>HO Admin</t>
  </si>
  <si>
    <t>Trainers Expense</t>
  </si>
  <si>
    <t>Salary</t>
  </si>
  <si>
    <t>Training Cost</t>
  </si>
  <si>
    <t>CTC pm</t>
  </si>
  <si>
    <t>No of trainers</t>
  </si>
  <si>
    <t>Total Salary</t>
  </si>
  <si>
    <t>Total Training Expense</t>
  </si>
  <si>
    <t>Security Deposit for Gwalior (Pagadi)</t>
  </si>
  <si>
    <t>Recruitment Cost</t>
  </si>
  <si>
    <t>Total Recruitment Cost</t>
  </si>
  <si>
    <t>Trainer Salary</t>
  </si>
  <si>
    <t>Current Assets (other than cash)</t>
  </si>
  <si>
    <t>Depreciaiton Labs</t>
  </si>
  <si>
    <t>Course Wise</t>
  </si>
  <si>
    <t>Dimapur1 (Khermahal)</t>
  </si>
  <si>
    <t>Dimapur2 (Nuton basti)</t>
  </si>
  <si>
    <t>Dimapur3 (Nagarjan)</t>
  </si>
  <si>
    <t>Kohima</t>
  </si>
  <si>
    <t>Wokha</t>
  </si>
  <si>
    <t>Mokokchung</t>
  </si>
  <si>
    <t>Mon</t>
  </si>
  <si>
    <t>Aizawl</t>
  </si>
  <si>
    <t>Shillong</t>
  </si>
  <si>
    <t>Guwahati 1</t>
  </si>
  <si>
    <t>Guwahati 2</t>
  </si>
  <si>
    <t>Diphu</t>
  </si>
  <si>
    <t>Jorhat</t>
  </si>
  <si>
    <t>Gangtok</t>
  </si>
  <si>
    <t>Ghaziabad</t>
  </si>
  <si>
    <t>Hospitality: House Keeping</t>
  </si>
  <si>
    <t>Hospitality: Front Office</t>
  </si>
  <si>
    <t>Hospitality: Foods &amp; Beverages</t>
  </si>
  <si>
    <t>IT/ITES: BPO Voice</t>
  </si>
  <si>
    <t>IT/ITES: BPO Non Voice</t>
  </si>
  <si>
    <t>IT/ITES: BPO Hardware &amp; Networking</t>
  </si>
  <si>
    <t>Health Care: General Duty Attendant</t>
  </si>
  <si>
    <t>Health Care: Asha (Health Workers)</t>
  </si>
  <si>
    <t>Health Care: Home Health Aide</t>
  </si>
  <si>
    <t>Retail: Cashier</t>
  </si>
  <si>
    <t>Retail: Assistant</t>
  </si>
  <si>
    <t>Agriculture: Apiculture</t>
  </si>
  <si>
    <t>Agriculture: Mushroom Farming</t>
  </si>
  <si>
    <t>Agriculture: Floriculture</t>
  </si>
  <si>
    <t>No. of Courses</t>
  </si>
  <si>
    <t>Centre Manpower</t>
  </si>
  <si>
    <t>Centre Admin</t>
  </si>
  <si>
    <t>Centre Name</t>
  </si>
  <si>
    <t>REVENUE (Net of Mobilization)</t>
  </si>
  <si>
    <t>Net Profit from Centre</t>
  </si>
</sst>
</file>

<file path=xl/styles.xml><?xml version="1.0" encoding="utf-8"?>
<styleSheet xmlns="http://schemas.openxmlformats.org/spreadsheetml/2006/main">
  <numFmts count="20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.00_-;\-* #,##0.00_-;_-* &quot;-&quot;??_-;_-@_-"/>
    <numFmt numFmtId="167" formatCode="#,##0.0"/>
    <numFmt numFmtId="168" formatCode="#,##0_ ;\-#,##0\ "/>
    <numFmt numFmtId="169" formatCode="0.0%"/>
    <numFmt numFmtId="170" formatCode="_(* #,##0_);_(* \(#,##0\);_(* &quot;-&quot;??_);_(@_)"/>
    <numFmt numFmtId="171" formatCode="_ * #,##0_ ;_ * \-#,##0_ ;_ * &quot;-&quot;??_ ;_ @_ "/>
    <numFmt numFmtId="172" formatCode="0.0"/>
    <numFmt numFmtId="173" formatCode="_-* #,##0_-;\-* #,##0_-;_-* &quot;-&quot;??_-;_-@_-"/>
    <numFmt numFmtId="174" formatCode="[$-409]mmmm\-yy;@"/>
    <numFmt numFmtId="175" formatCode="#,##0_ ;[Red]\-#,##0\ "/>
    <numFmt numFmtId="176" formatCode="#,##0.0_);[Red]\(#,##0.0\)"/>
    <numFmt numFmtId="177" formatCode="#,##0_);[Red]\-\ #,##0"/>
    <numFmt numFmtId="178" formatCode="_-* #,##0.000_-;\-* #,##0.000_-;_-* &quot;-&quot;??_-;_-@_-"/>
    <numFmt numFmtId="179" formatCode="_-* #,##0.0_-;\-* #,##0.0_-;_-* &quot;-&quot;??_-;_-@_-"/>
    <numFmt numFmtId="180" formatCode="0.000"/>
    <numFmt numFmtId="182" formatCode="#,##0.0_);[Red]\-\ #,##0.0"/>
    <numFmt numFmtId="183" formatCode="_-* #,##0.0000_-;\-* #,##0.0000_-;_-* &quot;-&quot;??_-;_-@_-"/>
  </numFmts>
  <fonts count="9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Times New Roman"/>
      <family val="1"/>
    </font>
    <font>
      <sz val="8"/>
      <color indexed="8"/>
      <name val="Calibri"/>
      <family val="2"/>
    </font>
    <font>
      <b/>
      <sz val="9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i/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b/>
      <sz val="11"/>
      <color indexed="18"/>
      <name val="Calibri"/>
      <family val="2"/>
    </font>
    <font>
      <b/>
      <u/>
      <sz val="11"/>
      <name val="Calibri"/>
      <family val="2"/>
    </font>
    <font>
      <b/>
      <u/>
      <sz val="11"/>
      <color indexed="12"/>
      <name val="Calibri"/>
      <family val="2"/>
    </font>
    <font>
      <sz val="10"/>
      <name val="Calibri"/>
      <family val="2"/>
    </font>
    <font>
      <b/>
      <i/>
      <sz val="11"/>
      <color indexed="56"/>
      <name val="Calibri"/>
      <family val="2"/>
    </font>
    <font>
      <sz val="11"/>
      <color indexed="12"/>
      <name val="Calibri"/>
      <family val="2"/>
    </font>
    <font>
      <sz val="11"/>
      <color indexed="56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1"/>
      <name val="Calibri"/>
      <family val="2"/>
    </font>
    <font>
      <i/>
      <sz val="11"/>
      <name val="Calibri"/>
      <family val="2"/>
    </font>
    <font>
      <b/>
      <sz val="16"/>
      <name val="Arial"/>
      <family val="2"/>
    </font>
    <font>
      <sz val="12"/>
      <color indexed="81"/>
      <name val="Tahoma"/>
      <family val="2"/>
    </font>
    <font>
      <b/>
      <u/>
      <sz val="16"/>
      <name val="Arial"/>
      <family val="2"/>
    </font>
    <font>
      <sz val="16"/>
      <name val="Arial"/>
      <family val="2"/>
    </font>
    <font>
      <u/>
      <sz val="12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indexed="1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indexed="17"/>
      <name val="Calibri"/>
      <family val="2"/>
      <scheme val="minor"/>
    </font>
    <font>
      <sz val="13"/>
      <name val="Calibri"/>
      <family val="2"/>
      <scheme val="minor"/>
    </font>
    <font>
      <b/>
      <sz val="13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56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4" tint="-0.249977111117893"/>
      <name val="Arial"/>
      <family val="2"/>
    </font>
    <font>
      <b/>
      <sz val="14"/>
      <color theme="3" tint="0.39997558519241921"/>
      <name val="Calibri"/>
      <family val="2"/>
      <scheme val="minor"/>
    </font>
    <font>
      <b/>
      <sz val="12"/>
      <color rgb="FF002060"/>
      <name val="Arial"/>
      <family val="2"/>
    </font>
    <font>
      <sz val="12"/>
      <color rgb="FF0070C0"/>
      <name val="Arial"/>
      <family val="2"/>
    </font>
    <font>
      <sz val="12"/>
      <color rgb="FF002060"/>
      <name val="Arial"/>
      <family val="2"/>
    </font>
    <font>
      <b/>
      <sz val="12"/>
      <color theme="3" tint="0.39997558519241921"/>
      <name val="Arial"/>
      <family val="2"/>
    </font>
    <font>
      <b/>
      <sz val="12"/>
      <color rgb="FF0070C0"/>
      <name val="Arial"/>
      <family val="2"/>
    </font>
    <font>
      <sz val="12"/>
      <color theme="0"/>
      <name val="Arial"/>
      <family val="2"/>
    </font>
    <font>
      <b/>
      <sz val="12"/>
      <color theme="3" tint="-0.249977111117893"/>
      <name val="Arial"/>
      <family val="2"/>
    </font>
    <font>
      <b/>
      <sz val="12"/>
      <color theme="0"/>
      <name val="Arial"/>
      <family val="2"/>
    </font>
    <font>
      <b/>
      <u/>
      <sz val="12"/>
      <color rgb="FF00B0F0"/>
      <name val="Arial"/>
      <family val="2"/>
    </font>
    <font>
      <sz val="12"/>
      <color rgb="FF00B0F0"/>
      <name val="Arial"/>
      <family val="2"/>
    </font>
    <font>
      <sz val="12"/>
      <color theme="3" tint="0.39997558519241921"/>
      <name val="Arial"/>
      <family val="2"/>
    </font>
    <font>
      <sz val="11"/>
      <color rgb="FF00B0F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0"/>
      <color theme="3" tint="0.39997558519241921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rgb="FFFF0000"/>
      <name val="Calibri"/>
      <family val="2"/>
    </font>
    <font>
      <b/>
      <sz val="20"/>
      <name val="Arial"/>
      <family val="2"/>
    </font>
    <font>
      <b/>
      <sz val="11"/>
      <color rgb="FF00B0F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3">
    <xf numFmtId="174" fontId="0" fillId="0" borderId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4" fontId="21" fillId="0" borderId="0" applyNumberFormat="0" applyFill="0" applyBorder="0" applyAlignment="0" applyProtection="0">
      <alignment vertical="top"/>
      <protection locked="0"/>
    </xf>
    <xf numFmtId="174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48" fillId="0" borderId="0"/>
    <xf numFmtId="0" fontId="40" fillId="0" borderId="0"/>
    <xf numFmtId="174" fontId="48" fillId="0" borderId="0"/>
    <xf numFmtId="174" fontId="6" fillId="0" borderId="0"/>
    <xf numFmtId="174" fontId="6" fillId="0" borderId="0"/>
    <xf numFmtId="0" fontId="6" fillId="0" borderId="0"/>
    <xf numFmtId="174" fontId="48" fillId="0" borderId="0"/>
    <xf numFmtId="174" fontId="48" fillId="0" borderId="0"/>
    <xf numFmtId="174" fontId="48" fillId="0" borderId="0"/>
    <xf numFmtId="174" fontId="19" fillId="0" borderId="0"/>
    <xf numFmtId="174" fontId="30" fillId="0" borderId="0"/>
    <xf numFmtId="174" fontId="6" fillId="0" borderId="0"/>
    <xf numFmtId="0" fontId="48" fillId="0" borderId="0"/>
    <xf numFmtId="0" fontId="48" fillId="0" borderId="0"/>
    <xf numFmtId="9" fontId="4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8" fillId="0" borderId="0" applyFont="0" applyFill="0" applyBorder="0" applyAlignment="0" applyProtection="0"/>
  </cellStyleXfs>
  <cellXfs count="1026">
    <xf numFmtId="174" fontId="0" fillId="0" borderId="0" xfId="0"/>
    <xf numFmtId="174" fontId="0" fillId="0" borderId="0" xfId="0" applyAlignment="1">
      <alignment vertical="center" wrapText="1"/>
    </xf>
    <xf numFmtId="167" fontId="0" fillId="0" borderId="0" xfId="0" applyNumberFormat="1" applyAlignment="1">
      <alignment vertical="center" wrapText="1"/>
    </xf>
    <xf numFmtId="174" fontId="6" fillId="0" borderId="0" xfId="0" applyFont="1" applyAlignment="1">
      <alignment vertical="center" wrapText="1"/>
    </xf>
    <xf numFmtId="167" fontId="7" fillId="0" borderId="0" xfId="0" applyNumberFormat="1" applyFont="1" applyAlignment="1">
      <alignment vertical="center" wrapText="1"/>
    </xf>
    <xf numFmtId="174" fontId="0" fillId="0" borderId="0" xfId="0" applyAlignment="1">
      <alignment horizontal="left" vertical="center" wrapText="1"/>
    </xf>
    <xf numFmtId="174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4" fontId="10" fillId="0" borderId="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74" fontId="9" fillId="0" borderId="2" xfId="0" applyFont="1" applyBorder="1" applyAlignment="1">
      <alignment horizontal="center" vertical="center" wrapText="1"/>
    </xf>
    <xf numFmtId="174" fontId="0" fillId="0" borderId="3" xfId="0" applyBorder="1" applyAlignment="1">
      <alignment horizontal="center" vertical="center" wrapText="1"/>
    </xf>
    <xf numFmtId="174" fontId="11" fillId="0" borderId="2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168" fontId="12" fillId="0" borderId="3" xfId="4" applyNumberFormat="1" applyFont="1" applyBorder="1" applyAlignment="1">
      <alignment horizontal="center" vertical="center" wrapText="1"/>
    </xf>
    <xf numFmtId="174" fontId="11" fillId="2" borderId="2" xfId="0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9" fontId="0" fillId="2" borderId="2" xfId="0" applyNumberFormat="1" applyFill="1" applyBorder="1" applyAlignment="1">
      <alignment horizontal="center" vertical="center" wrapText="1"/>
    </xf>
    <xf numFmtId="169" fontId="0" fillId="2" borderId="2" xfId="0" applyNumberFormat="1" applyFill="1" applyBorder="1" applyAlignment="1">
      <alignment horizontal="center" vertical="center" wrapText="1"/>
    </xf>
    <xf numFmtId="168" fontId="13" fillId="3" borderId="3" xfId="4" applyNumberFormat="1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169" fontId="0" fillId="0" borderId="2" xfId="0" applyNumberFormat="1" applyFill="1" applyBorder="1" applyAlignment="1">
      <alignment horizontal="center" vertical="center" wrapText="1"/>
    </xf>
    <xf numFmtId="168" fontId="13" fillId="0" borderId="3" xfId="4" applyNumberFormat="1" applyFont="1" applyFill="1" applyBorder="1" applyAlignment="1">
      <alignment horizontal="center" vertical="center" wrapText="1"/>
    </xf>
    <xf numFmtId="169" fontId="0" fillId="0" borderId="2" xfId="0" applyNumberFormat="1" applyBorder="1" applyAlignment="1">
      <alignment horizontal="center" vertical="center" wrapText="1"/>
    </xf>
    <xf numFmtId="168" fontId="12" fillId="0" borderId="4" xfId="4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174" fontId="7" fillId="0" borderId="0" xfId="0" applyFont="1" applyAlignment="1">
      <alignment vertical="center" wrapText="1"/>
    </xf>
    <xf numFmtId="170" fontId="0" fillId="0" borderId="0" xfId="0" applyNumberFormat="1" applyAlignment="1">
      <alignment vertical="center" wrapText="1"/>
    </xf>
    <xf numFmtId="166" fontId="0" fillId="0" borderId="0" xfId="1" applyFont="1" applyAlignment="1">
      <alignment vertical="center" wrapText="1"/>
    </xf>
    <xf numFmtId="3" fontId="12" fillId="0" borderId="0" xfId="4" applyNumberFormat="1" applyFont="1" applyAlignment="1">
      <alignment vertical="center" wrapText="1"/>
    </xf>
    <xf numFmtId="171" fontId="12" fillId="0" borderId="0" xfId="4" applyNumberFormat="1" applyFont="1" applyAlignment="1">
      <alignment vertical="center" wrapText="1"/>
    </xf>
    <xf numFmtId="9" fontId="12" fillId="0" borderId="0" xfId="38" applyFont="1" applyAlignment="1">
      <alignment vertical="center" wrapText="1"/>
    </xf>
    <xf numFmtId="3" fontId="12" fillId="0" borderId="0" xfId="38" applyNumberFormat="1" applyFont="1" applyAlignment="1">
      <alignment vertical="center" wrapText="1"/>
    </xf>
    <xf numFmtId="174" fontId="17" fillId="0" borderId="0" xfId="32" applyFont="1" applyBorder="1"/>
    <xf numFmtId="174" fontId="17" fillId="0" borderId="0" xfId="32" applyFont="1" applyFill="1" applyBorder="1"/>
    <xf numFmtId="174" fontId="18" fillId="0" borderId="0" xfId="32" applyFont="1" applyBorder="1"/>
    <xf numFmtId="174" fontId="20" fillId="0" borderId="0" xfId="32" applyFont="1" applyBorder="1"/>
    <xf numFmtId="174" fontId="22" fillId="4" borderId="0" xfId="19" applyFont="1" applyFill="1" applyBorder="1" applyAlignment="1" applyProtection="1"/>
    <xf numFmtId="174" fontId="22" fillId="4" borderId="0" xfId="19" applyFont="1" applyFill="1" applyBorder="1" applyAlignment="1" applyProtection="1">
      <alignment horizontal="left"/>
    </xf>
    <xf numFmtId="174" fontId="23" fillId="2" borderId="0" xfId="32" applyFont="1" applyFill="1" applyBorder="1" applyAlignment="1">
      <alignment horizontal="left" vertical="center" wrapText="1"/>
    </xf>
    <xf numFmtId="174" fontId="20" fillId="0" borderId="0" xfId="32" applyFont="1" applyBorder="1" applyAlignment="1">
      <alignment horizontal="left" vertical="top" wrapText="1"/>
    </xf>
    <xf numFmtId="174" fontId="20" fillId="0" borderId="0" xfId="32" applyFont="1" applyAlignment="1">
      <alignment vertical="center"/>
    </xf>
    <xf numFmtId="174" fontId="25" fillId="0" borderId="0" xfId="19" applyFont="1" applyBorder="1" applyAlignment="1" applyProtection="1">
      <alignment vertical="center"/>
    </xf>
    <xf numFmtId="174" fontId="17" fillId="0" borderId="0" xfId="32" applyFont="1" applyBorder="1" applyAlignment="1">
      <alignment vertical="center"/>
    </xf>
    <xf numFmtId="3" fontId="17" fillId="0" borderId="0" xfId="11" applyNumberFormat="1" applyFont="1" applyBorder="1" applyAlignment="1">
      <alignment vertical="center"/>
    </xf>
    <xf numFmtId="174" fontId="18" fillId="5" borderId="0" xfId="32" applyFont="1" applyFill="1" applyBorder="1" applyAlignment="1">
      <alignment vertical="center"/>
    </xf>
    <xf numFmtId="175" fontId="17" fillId="0" borderId="0" xfId="1" applyNumberFormat="1" applyFont="1" applyFill="1" applyBorder="1" applyAlignment="1">
      <alignment vertical="center"/>
    </xf>
    <xf numFmtId="175" fontId="15" fillId="0" borderId="0" xfId="1" applyNumberFormat="1" applyFont="1" applyFill="1" applyBorder="1" applyAlignment="1">
      <alignment vertical="center"/>
    </xf>
    <xf numFmtId="174" fontId="18" fillId="0" borderId="0" xfId="32" applyFont="1" applyBorder="1" applyAlignment="1">
      <alignment vertical="center"/>
    </xf>
    <xf numFmtId="175" fontId="17" fillId="0" borderId="0" xfId="1" applyNumberFormat="1" applyFont="1" applyBorder="1" applyAlignment="1">
      <alignment vertical="center"/>
    </xf>
    <xf numFmtId="174" fontId="17" fillId="0" borderId="0" xfId="32" applyFont="1" applyBorder="1" applyAlignment="1">
      <alignment horizontal="left" vertical="center"/>
    </xf>
    <xf numFmtId="174" fontId="17" fillId="0" borderId="0" xfId="32" applyFont="1" applyFill="1" applyBorder="1" applyAlignment="1">
      <alignment vertical="center"/>
    </xf>
    <xf numFmtId="173" fontId="16" fillId="0" borderId="0" xfId="1" applyNumberFormat="1" applyFont="1" applyFill="1" applyBorder="1" applyAlignment="1">
      <alignment vertical="center"/>
    </xf>
    <xf numFmtId="174" fontId="18" fillId="0" borderId="0" xfId="32" applyFont="1" applyFill="1" applyBorder="1" applyAlignment="1">
      <alignment horizontal="left" vertical="center"/>
    </xf>
    <xf numFmtId="173" fontId="17" fillId="0" borderId="0" xfId="1" applyNumberFormat="1" applyFont="1" applyFill="1" applyBorder="1" applyAlignment="1">
      <alignment vertical="center"/>
    </xf>
    <xf numFmtId="173" fontId="18" fillId="0" borderId="0" xfId="1" applyNumberFormat="1" applyFont="1" applyFill="1" applyBorder="1" applyAlignment="1">
      <alignment vertical="center"/>
    </xf>
    <xf numFmtId="174" fontId="17" fillId="0" borderId="0" xfId="32" applyFont="1" applyFill="1" applyBorder="1" applyAlignment="1">
      <alignment horizontal="left" vertical="center" indent="1"/>
    </xf>
    <xf numFmtId="174" fontId="17" fillId="0" borderId="0" xfId="32" applyFont="1" applyBorder="1" applyAlignment="1">
      <alignment horizontal="left" vertical="center" indent="1"/>
    </xf>
    <xf numFmtId="173" fontId="15" fillId="0" borderId="0" xfId="1" applyNumberFormat="1" applyFont="1" applyFill="1" applyBorder="1" applyAlignment="1">
      <alignment vertical="center"/>
    </xf>
    <xf numFmtId="174" fontId="18" fillId="0" borderId="0" xfId="32" applyFont="1" applyBorder="1" applyAlignment="1">
      <alignment horizontal="left" vertical="center"/>
    </xf>
    <xf numFmtId="174" fontId="24" fillId="0" borderId="0" xfId="32" applyFont="1" applyBorder="1" applyAlignment="1">
      <alignment vertical="center"/>
    </xf>
    <xf numFmtId="3" fontId="17" fillId="0" borderId="0" xfId="11" applyNumberFormat="1" applyFont="1" applyFill="1" applyBorder="1" applyAlignment="1">
      <alignment vertical="center"/>
    </xf>
    <xf numFmtId="175" fontId="18" fillId="0" borderId="0" xfId="1" applyNumberFormat="1" applyFont="1" applyBorder="1" applyAlignment="1">
      <alignment vertical="center"/>
    </xf>
    <xf numFmtId="175" fontId="15" fillId="0" borderId="0" xfId="1" applyNumberFormat="1" applyFont="1" applyBorder="1" applyAlignment="1">
      <alignment vertical="center"/>
    </xf>
    <xf numFmtId="173" fontId="15" fillId="0" borderId="0" xfId="1" applyNumberFormat="1" applyFont="1" applyBorder="1" applyAlignment="1">
      <alignment vertical="center"/>
    </xf>
    <xf numFmtId="37" fontId="17" fillId="0" borderId="0" xfId="1" applyNumberFormat="1" applyFont="1" applyBorder="1" applyAlignment="1">
      <alignment vertical="center"/>
    </xf>
    <xf numFmtId="173" fontId="17" fillId="0" borderId="0" xfId="1" applyNumberFormat="1" applyFont="1" applyBorder="1" applyAlignment="1">
      <alignment vertical="center"/>
    </xf>
    <xf numFmtId="3" fontId="16" fillId="0" borderId="0" xfId="11" applyNumberFormat="1" applyFont="1" applyFill="1" applyBorder="1" applyAlignment="1">
      <alignment horizontal="right" vertical="center"/>
    </xf>
    <xf numFmtId="174" fontId="16" fillId="0" borderId="0" xfId="32" applyFont="1" applyFill="1" applyBorder="1" applyAlignment="1">
      <alignment horizontal="right" vertical="center" wrapText="1"/>
    </xf>
    <xf numFmtId="174" fontId="18" fillId="0" borderId="0" xfId="32" applyFont="1" applyFill="1" applyBorder="1" applyAlignment="1">
      <alignment vertical="center"/>
    </xf>
    <xf numFmtId="174" fontId="27" fillId="0" borderId="0" xfId="32" applyFont="1" applyFill="1" applyBorder="1" applyAlignment="1">
      <alignment horizontal="right" vertical="center" wrapText="1"/>
    </xf>
    <xf numFmtId="9" fontId="17" fillId="0" borderId="0" xfId="32" applyNumberFormat="1" applyFont="1" applyBorder="1" applyAlignment="1">
      <alignment vertical="center"/>
    </xf>
    <xf numFmtId="9" fontId="18" fillId="5" borderId="0" xfId="41" applyFont="1" applyFill="1" applyBorder="1" applyAlignment="1">
      <alignment vertical="center"/>
    </xf>
    <xf numFmtId="175" fontId="18" fillId="5" borderId="0" xfId="13" applyNumberFormat="1" applyFont="1" applyFill="1" applyBorder="1" applyAlignment="1">
      <alignment vertical="center"/>
    </xf>
    <xf numFmtId="173" fontId="26" fillId="0" borderId="0" xfId="1" applyNumberFormat="1" applyFont="1" applyFill="1" applyBorder="1" applyAlignment="1">
      <alignment vertical="center"/>
    </xf>
    <xf numFmtId="37" fontId="17" fillId="0" borderId="0" xfId="1" applyNumberFormat="1" applyFont="1" applyFill="1" applyBorder="1" applyAlignment="1">
      <alignment vertical="center"/>
    </xf>
    <xf numFmtId="174" fontId="17" fillId="0" borderId="0" xfId="32" applyFont="1" applyFill="1" applyBorder="1" applyAlignment="1">
      <alignment horizontal="left" vertical="center"/>
    </xf>
    <xf numFmtId="175" fontId="18" fillId="0" borderId="0" xfId="13" applyNumberFormat="1" applyFont="1" applyFill="1" applyBorder="1" applyAlignment="1">
      <alignment vertical="center"/>
    </xf>
    <xf numFmtId="174" fontId="24" fillId="0" borderId="0" xfId="32" applyFont="1" applyFill="1" applyBorder="1" applyAlignment="1">
      <alignment vertical="center"/>
    </xf>
    <xf numFmtId="37" fontId="17" fillId="0" borderId="0" xfId="13" applyNumberFormat="1" applyFont="1" applyFill="1" applyBorder="1" applyAlignment="1">
      <alignment vertical="center"/>
    </xf>
    <xf numFmtId="38" fontId="18" fillId="0" borderId="0" xfId="32" applyNumberFormat="1" applyFont="1" applyFill="1" applyBorder="1"/>
    <xf numFmtId="38" fontId="25" fillId="0" borderId="0" xfId="19" applyNumberFormat="1" applyFont="1" applyFill="1" applyBorder="1" applyAlignment="1" applyProtection="1">
      <alignment horizontal="left"/>
    </xf>
    <xf numFmtId="38" fontId="18" fillId="0" borderId="0" xfId="32" applyNumberFormat="1" applyFont="1" applyFill="1" applyBorder="1" applyAlignment="1">
      <alignment horizontal="left"/>
    </xf>
    <xf numFmtId="38" fontId="17" fillId="0" borderId="0" xfId="32" applyNumberFormat="1" applyFont="1" applyFill="1" applyBorder="1"/>
    <xf numFmtId="173" fontId="17" fillId="0" borderId="0" xfId="1" applyNumberFormat="1" applyFont="1" applyFill="1" applyBorder="1"/>
    <xf numFmtId="3" fontId="16" fillId="0" borderId="0" xfId="14" applyNumberFormat="1" applyFont="1" applyFill="1" applyBorder="1" applyAlignment="1">
      <alignment horizontal="right"/>
    </xf>
    <xf numFmtId="38" fontId="24" fillId="0" borderId="0" xfId="32" applyNumberFormat="1" applyFont="1" applyFill="1" applyBorder="1"/>
    <xf numFmtId="38" fontId="18" fillId="0" borderId="0" xfId="32" applyNumberFormat="1" applyFont="1" applyFill="1" applyBorder="1" applyAlignment="1">
      <alignment horizontal="center"/>
    </xf>
    <xf numFmtId="174" fontId="25" fillId="0" borderId="0" xfId="19" applyFont="1" applyFill="1" applyBorder="1" applyAlignment="1" applyProtection="1"/>
    <xf numFmtId="174" fontId="23" fillId="0" borderId="0" xfId="32" applyFont="1" applyFill="1" applyBorder="1" applyAlignment="1">
      <alignment horizontal="left" indent="1"/>
    </xf>
    <xf numFmtId="173" fontId="18" fillId="0" borderId="0" xfId="1" applyNumberFormat="1" applyFont="1" applyFill="1" applyBorder="1"/>
    <xf numFmtId="174" fontId="23" fillId="0" borderId="0" xfId="32" applyFont="1" applyFill="1" applyBorder="1"/>
    <xf numFmtId="1" fontId="28" fillId="0" borderId="0" xfId="41" applyNumberFormat="1" applyFont="1" applyFill="1" applyBorder="1"/>
    <xf numFmtId="174" fontId="18" fillId="0" borderId="0" xfId="32" applyFont="1" applyFill="1" applyBorder="1"/>
    <xf numFmtId="3" fontId="16" fillId="0" borderId="0" xfId="15" applyNumberFormat="1" applyFont="1" applyFill="1" applyBorder="1" applyAlignment="1">
      <alignment horizontal="right"/>
    </xf>
    <xf numFmtId="177" fontId="18" fillId="0" borderId="0" xfId="32" applyNumberFormat="1" applyFont="1" applyFill="1" applyBorder="1"/>
    <xf numFmtId="174" fontId="17" fillId="0" borderId="0" xfId="32" applyFont="1" applyFill="1" applyBorder="1" applyAlignment="1">
      <alignment horizontal="left" indent="1"/>
    </xf>
    <xf numFmtId="173" fontId="28" fillId="0" borderId="0" xfId="1" applyNumberFormat="1" applyFont="1" applyFill="1" applyBorder="1"/>
    <xf numFmtId="173" fontId="15" fillId="0" borderId="0" xfId="1" applyNumberFormat="1" applyFont="1" applyFill="1" applyBorder="1"/>
    <xf numFmtId="177" fontId="24" fillId="0" borderId="0" xfId="32" applyNumberFormat="1" applyFont="1" applyFill="1" applyBorder="1"/>
    <xf numFmtId="174" fontId="29" fillId="0" borderId="0" xfId="32" applyFont="1" applyFill="1" applyBorder="1"/>
    <xf numFmtId="173" fontId="17" fillId="0" borderId="0" xfId="32" applyNumberFormat="1" applyFont="1" applyFill="1" applyBorder="1"/>
    <xf numFmtId="177" fontId="17" fillId="0" borderId="0" xfId="32" applyNumberFormat="1" applyFont="1" applyFill="1" applyBorder="1"/>
    <xf numFmtId="177" fontId="17" fillId="0" borderId="0" xfId="1" applyNumberFormat="1" applyFont="1" applyFill="1" applyBorder="1"/>
    <xf numFmtId="3" fontId="16" fillId="0" borderId="0" xfId="17" applyNumberFormat="1" applyFont="1" applyFill="1" applyBorder="1" applyAlignment="1">
      <alignment horizontal="right"/>
    </xf>
    <xf numFmtId="174" fontId="24" fillId="0" borderId="0" xfId="32" applyFont="1" applyFill="1" applyBorder="1"/>
    <xf numFmtId="1" fontId="17" fillId="0" borderId="0" xfId="32" applyNumberFormat="1" applyFont="1" applyFill="1" applyBorder="1"/>
    <xf numFmtId="3" fontId="16" fillId="0" borderId="0" xfId="18" applyNumberFormat="1" applyFont="1" applyFill="1" applyBorder="1" applyAlignment="1">
      <alignment horizontal="right"/>
    </xf>
    <xf numFmtId="174" fontId="0" fillId="0" borderId="0" xfId="0" applyAlignment="1">
      <alignment vertical="center"/>
    </xf>
    <xf numFmtId="174" fontId="7" fillId="0" borderId="0" xfId="0" applyFont="1" applyAlignment="1">
      <alignment vertical="center"/>
    </xf>
    <xf numFmtId="2" fontId="51" fillId="0" borderId="0" xfId="0" applyNumberFormat="1" applyFont="1" applyFill="1" applyAlignment="1">
      <alignment vertical="center"/>
    </xf>
    <xf numFmtId="173" fontId="0" fillId="0" borderId="0" xfId="1" applyNumberFormat="1" applyFont="1" applyAlignment="1">
      <alignment vertical="center"/>
    </xf>
    <xf numFmtId="174" fontId="17" fillId="4" borderId="0" xfId="32" applyFont="1" applyFill="1" applyBorder="1" applyAlignment="1">
      <alignment horizontal="left"/>
    </xf>
    <xf numFmtId="174" fontId="52" fillId="0" borderId="0" xfId="33" applyFont="1" applyFill="1" applyBorder="1"/>
    <xf numFmtId="38" fontId="53" fillId="0" borderId="0" xfId="33" applyNumberFormat="1" applyFont="1" applyFill="1" applyBorder="1" applyAlignment="1">
      <alignment horizontal="left"/>
    </xf>
    <xf numFmtId="174" fontId="54" fillId="0" borderId="0" xfId="19" applyFont="1" applyFill="1" applyBorder="1" applyAlignment="1" applyProtection="1"/>
    <xf numFmtId="174" fontId="53" fillId="0" borderId="0" xfId="33" applyFont="1" applyFill="1" applyBorder="1"/>
    <xf numFmtId="174" fontId="55" fillId="0" borderId="0" xfId="33" applyFont="1" applyAlignment="1">
      <alignment vertical="center"/>
    </xf>
    <xf numFmtId="174" fontId="56" fillId="0" borderId="0" xfId="33" applyFont="1" applyAlignment="1">
      <alignment vertical="center"/>
    </xf>
    <xf numFmtId="174" fontId="31" fillId="0" borderId="0" xfId="33" applyFont="1"/>
    <xf numFmtId="174" fontId="30" fillId="0" borderId="0" xfId="33"/>
    <xf numFmtId="174" fontId="6" fillId="7" borderId="5" xfId="33" applyFont="1" applyFill="1" applyBorder="1" applyAlignment="1">
      <alignment horizontal="center" wrapText="1"/>
    </xf>
    <xf numFmtId="170" fontId="7" fillId="7" borderId="2" xfId="1" applyNumberFormat="1" applyFont="1" applyFill="1" applyBorder="1"/>
    <xf numFmtId="43" fontId="6" fillId="7" borderId="5" xfId="1" applyNumberFormat="1" applyFont="1" applyFill="1" applyBorder="1" applyAlignment="1">
      <alignment horizontal="center"/>
    </xf>
    <xf numFmtId="43" fontId="0" fillId="0" borderId="0" xfId="1" applyNumberFormat="1" applyFont="1"/>
    <xf numFmtId="177" fontId="57" fillId="0" borderId="0" xfId="33" applyNumberFormat="1" applyFont="1" applyFill="1" applyBorder="1"/>
    <xf numFmtId="174" fontId="52" fillId="0" borderId="2" xfId="33" applyFont="1" applyFill="1" applyBorder="1"/>
    <xf numFmtId="174" fontId="52" fillId="0" borderId="0" xfId="33" applyFont="1" applyFill="1" applyBorder="1" applyAlignment="1">
      <alignment vertical="top"/>
    </xf>
    <xf numFmtId="173" fontId="58" fillId="0" borderId="2" xfId="1" applyNumberFormat="1" applyFont="1" applyFill="1" applyBorder="1"/>
    <xf numFmtId="173" fontId="52" fillId="0" borderId="2" xfId="1" applyNumberFormat="1" applyFont="1" applyFill="1" applyBorder="1"/>
    <xf numFmtId="177" fontId="53" fillId="0" borderId="0" xfId="33" applyNumberFormat="1" applyFont="1" applyFill="1" applyBorder="1"/>
    <xf numFmtId="174" fontId="52" fillId="0" borderId="0" xfId="26" applyFont="1" applyAlignment="1">
      <alignment vertical="center" wrapText="1"/>
    </xf>
    <xf numFmtId="174" fontId="52" fillId="0" borderId="0" xfId="26" applyFont="1" applyAlignment="1">
      <alignment horizontal="center" vertical="center" wrapText="1"/>
    </xf>
    <xf numFmtId="174" fontId="53" fillId="0" borderId="0" xfId="26" applyFont="1" applyAlignment="1">
      <alignment vertical="center" wrapText="1"/>
    </xf>
    <xf numFmtId="174" fontId="53" fillId="0" borderId="0" xfId="26" applyFont="1" applyAlignment="1">
      <alignment horizontal="center" vertical="center" wrapText="1"/>
    </xf>
    <xf numFmtId="15" fontId="52" fillId="0" borderId="0" xfId="26" applyNumberFormat="1" applyFont="1" applyAlignment="1">
      <alignment vertical="center" wrapText="1"/>
    </xf>
    <xf numFmtId="2" fontId="52" fillId="0" borderId="0" xfId="26" applyNumberFormat="1" applyFont="1" applyAlignment="1">
      <alignment vertical="center" wrapText="1"/>
    </xf>
    <xf numFmtId="174" fontId="53" fillId="0" borderId="0" xfId="26" applyFont="1" applyFill="1" applyAlignment="1">
      <alignment vertical="center" wrapText="1"/>
    </xf>
    <xf numFmtId="174" fontId="53" fillId="0" borderId="0" xfId="26" applyFont="1" applyFill="1" applyAlignment="1">
      <alignment horizontal="center" vertical="center" wrapText="1"/>
    </xf>
    <xf numFmtId="2" fontId="52" fillId="0" borderId="0" xfId="26" applyNumberFormat="1" applyFont="1" applyFill="1" applyAlignment="1">
      <alignment vertical="center" wrapText="1"/>
    </xf>
    <xf numFmtId="174" fontId="53" fillId="0" borderId="2" xfId="33" applyFont="1" applyFill="1" applyBorder="1" applyAlignment="1">
      <alignment horizontal="center" vertical="center"/>
    </xf>
    <xf numFmtId="174" fontId="0" fillId="0" borderId="0" xfId="0" applyFill="1" applyAlignment="1">
      <alignment horizontal="left" vertical="center" wrapText="1"/>
    </xf>
    <xf numFmtId="174" fontId="0" fillId="0" borderId="0" xfId="0" applyFill="1" applyAlignment="1">
      <alignment vertical="center" wrapText="1"/>
    </xf>
    <xf numFmtId="9" fontId="12" fillId="0" borderId="0" xfId="38" applyFont="1" applyFill="1" applyAlignment="1">
      <alignment vertical="center" wrapText="1"/>
    </xf>
    <xf numFmtId="3" fontId="0" fillId="0" borderId="0" xfId="0" applyNumberFormat="1" applyFill="1" applyAlignment="1">
      <alignment vertical="center" wrapText="1"/>
    </xf>
    <xf numFmtId="174" fontId="13" fillId="0" borderId="0" xfId="0" applyFont="1" applyFill="1" applyAlignment="1">
      <alignment horizontal="left" vertical="center" wrapText="1"/>
    </xf>
    <xf numFmtId="3" fontId="14" fillId="0" borderId="0" xfId="0" applyNumberFormat="1" applyFont="1" applyFill="1" applyAlignment="1">
      <alignment vertical="center" wrapText="1"/>
    </xf>
    <xf numFmtId="167" fontId="0" fillId="0" borderId="0" xfId="0" applyNumberFormat="1" applyFill="1" applyAlignment="1">
      <alignment vertical="center" wrapText="1"/>
    </xf>
    <xf numFmtId="1" fontId="52" fillId="0" borderId="0" xfId="26" applyNumberFormat="1" applyFont="1" applyAlignment="1">
      <alignment horizontal="center" vertical="center" wrapText="1"/>
    </xf>
    <xf numFmtId="1" fontId="0" fillId="0" borderId="0" xfId="0" applyNumberFormat="1" applyAlignment="1">
      <alignment vertical="center"/>
    </xf>
    <xf numFmtId="9" fontId="0" fillId="0" borderId="2" xfId="0" applyNumberFormat="1" applyFill="1" applyBorder="1" applyAlignment="1">
      <alignment horizontal="center" vertical="center" wrapText="1"/>
    </xf>
    <xf numFmtId="174" fontId="11" fillId="0" borderId="2" xfId="0" applyFont="1" applyFill="1" applyBorder="1" applyAlignment="1">
      <alignment horizontal="center" vertical="center" wrapText="1"/>
    </xf>
    <xf numFmtId="166" fontId="51" fillId="0" borderId="0" xfId="1" applyFont="1" applyAlignment="1">
      <alignment vertical="center"/>
    </xf>
    <xf numFmtId="2" fontId="0" fillId="0" borderId="0" xfId="0" applyNumberFormat="1" applyAlignment="1">
      <alignment vertical="center"/>
    </xf>
    <xf numFmtId="1" fontId="0" fillId="0" borderId="2" xfId="0" applyNumberFormat="1" applyBorder="1" applyAlignment="1">
      <alignment horizontal="center" vertical="center" wrapText="1"/>
    </xf>
    <xf numFmtId="174" fontId="7" fillId="0" borderId="0" xfId="0" applyFont="1" applyAlignment="1">
      <alignment horizontal="center" vertical="center"/>
    </xf>
    <xf numFmtId="174" fontId="0" fillId="0" borderId="2" xfId="0" applyBorder="1" applyAlignment="1">
      <alignment vertical="center"/>
    </xf>
    <xf numFmtId="174" fontId="7" fillId="0" borderId="2" xfId="0" applyFont="1" applyBorder="1" applyAlignment="1">
      <alignment vertical="center"/>
    </xf>
    <xf numFmtId="1" fontId="0" fillId="0" borderId="2" xfId="0" applyNumberFormat="1" applyBorder="1" applyAlignment="1">
      <alignment vertical="center"/>
    </xf>
    <xf numFmtId="174" fontId="0" fillId="0" borderId="0" xfId="0" applyAlignment="1">
      <alignment horizontal="center" vertical="center"/>
    </xf>
    <xf numFmtId="9" fontId="0" fillId="0" borderId="2" xfId="37" applyFont="1" applyFill="1" applyBorder="1" applyAlignment="1">
      <alignment horizontal="center" vertical="center" wrapText="1"/>
    </xf>
    <xf numFmtId="173" fontId="7" fillId="0" borderId="0" xfId="0" applyNumberFormat="1" applyFont="1" applyAlignment="1">
      <alignment vertical="center"/>
    </xf>
    <xf numFmtId="0" fontId="0" fillId="0" borderId="0" xfId="0" applyNumberFormat="1"/>
    <xf numFmtId="0" fontId="48" fillId="0" borderId="0" xfId="35" applyAlignment="1">
      <alignment horizontal="center" vertical="center"/>
    </xf>
    <xf numFmtId="0" fontId="48" fillId="8" borderId="0" xfId="35" applyFill="1" applyAlignment="1">
      <alignment horizontal="center" vertical="center"/>
    </xf>
    <xf numFmtId="0" fontId="48" fillId="0" borderId="0" xfId="35" applyAlignment="1">
      <alignment horizontal="center" vertical="center" wrapText="1"/>
    </xf>
    <xf numFmtId="0" fontId="48" fillId="9" borderId="0" xfId="35" applyFill="1" applyAlignment="1">
      <alignment horizontal="center" vertical="center"/>
    </xf>
    <xf numFmtId="0" fontId="48" fillId="10" borderId="0" xfId="35" applyFill="1" applyAlignment="1">
      <alignment horizontal="center" vertical="center"/>
    </xf>
    <xf numFmtId="1" fontId="48" fillId="0" borderId="0" xfId="35" applyNumberFormat="1" applyAlignment="1">
      <alignment horizontal="center" vertical="center"/>
    </xf>
    <xf numFmtId="172" fontId="49" fillId="8" borderId="0" xfId="35" applyNumberFormat="1" applyFont="1" applyFill="1" applyAlignment="1">
      <alignment horizontal="center" vertical="center"/>
    </xf>
    <xf numFmtId="2" fontId="48" fillId="0" borderId="0" xfId="35" applyNumberFormat="1" applyAlignment="1">
      <alignment horizontal="center" vertical="center"/>
    </xf>
    <xf numFmtId="2" fontId="48" fillId="9" borderId="0" xfId="35" applyNumberFormat="1" applyFill="1" applyAlignment="1">
      <alignment horizontal="center" vertical="center"/>
    </xf>
    <xf numFmtId="2" fontId="48" fillId="10" borderId="0" xfId="35" applyNumberFormat="1" applyFill="1" applyAlignment="1">
      <alignment horizontal="center" vertical="center"/>
    </xf>
    <xf numFmtId="172" fontId="48" fillId="0" borderId="0" xfId="35" applyNumberFormat="1" applyAlignment="1">
      <alignment horizontal="center" vertical="center"/>
    </xf>
    <xf numFmtId="166" fontId="48" fillId="0" borderId="0" xfId="1" applyFont="1" applyAlignment="1">
      <alignment horizontal="center" vertical="center"/>
    </xf>
    <xf numFmtId="9" fontId="52" fillId="0" borderId="0" xfId="37" applyFont="1" applyFill="1" applyBorder="1"/>
    <xf numFmtId="174" fontId="59" fillId="7" borderId="0" xfId="26" applyFont="1" applyFill="1" applyAlignment="1">
      <alignment horizontal="center" vertical="center" wrapText="1"/>
    </xf>
    <xf numFmtId="174" fontId="7" fillId="7" borderId="0" xfId="0" applyFont="1" applyFill="1" applyAlignment="1">
      <alignment vertical="center"/>
    </xf>
    <xf numFmtId="174" fontId="60" fillId="7" borderId="0" xfId="26" applyFont="1" applyFill="1" applyAlignment="1">
      <alignment horizontal="center" vertical="center" wrapText="1"/>
    </xf>
    <xf numFmtId="174" fontId="61" fillId="7" borderId="0" xfId="26" applyFont="1" applyFill="1" applyBorder="1" applyAlignment="1">
      <alignment horizontal="center" vertical="center" wrapText="1"/>
    </xf>
    <xf numFmtId="0" fontId="17" fillId="0" borderId="0" xfId="32" applyNumberFormat="1" applyFont="1" applyFill="1" applyBorder="1"/>
    <xf numFmtId="174" fontId="7" fillId="0" borderId="0" xfId="0" applyFont="1" applyAlignment="1">
      <alignment horizontal="left" vertical="center" wrapText="1"/>
    </xf>
    <xf numFmtId="0" fontId="48" fillId="0" borderId="0" xfId="35" applyFont="1" applyAlignment="1">
      <alignment horizontal="center" vertical="center"/>
    </xf>
    <xf numFmtId="9" fontId="48" fillId="0" borderId="0" xfId="35" applyNumberFormat="1" applyAlignment="1">
      <alignment horizontal="center" vertical="center"/>
    </xf>
    <xf numFmtId="178" fontId="48" fillId="0" borderId="0" xfId="1" applyNumberFormat="1" applyFont="1" applyAlignment="1">
      <alignment horizontal="center" vertical="center"/>
    </xf>
    <xf numFmtId="174" fontId="17" fillId="11" borderId="0" xfId="32" applyFont="1" applyFill="1" applyBorder="1" applyAlignment="1">
      <alignment vertical="center"/>
    </xf>
    <xf numFmtId="3" fontId="18" fillId="0" borderId="0" xfId="32" applyNumberFormat="1" applyFont="1" applyFill="1" applyBorder="1"/>
    <xf numFmtId="4" fontId="17" fillId="0" borderId="0" xfId="32" applyNumberFormat="1" applyFont="1" applyBorder="1" applyAlignment="1">
      <alignment vertical="center"/>
    </xf>
    <xf numFmtId="166" fontId="7" fillId="0" borderId="0" xfId="1" applyFont="1" applyFill="1" applyAlignment="1">
      <alignment vertical="center"/>
    </xf>
    <xf numFmtId="174" fontId="6" fillId="0" borderId="0" xfId="26" applyAlignment="1">
      <alignment vertical="center"/>
    </xf>
    <xf numFmtId="173" fontId="62" fillId="0" borderId="2" xfId="1" applyNumberFormat="1" applyFont="1" applyBorder="1" applyAlignment="1">
      <alignment horizontal="justify" vertical="center"/>
    </xf>
    <xf numFmtId="173" fontId="63" fillId="0" borderId="2" xfId="1" applyNumberFormat="1" applyFont="1" applyBorder="1" applyAlignment="1">
      <alignment horizontal="justify" vertical="center"/>
    </xf>
    <xf numFmtId="174" fontId="63" fillId="0" borderId="0" xfId="26" applyFont="1" applyAlignment="1">
      <alignment horizontal="justify" vertical="center" wrapText="1"/>
    </xf>
    <xf numFmtId="173" fontId="63" fillId="0" borderId="0" xfId="26" applyNumberFormat="1" applyFont="1" applyAlignment="1">
      <alignment horizontal="justify" vertical="center"/>
    </xf>
    <xf numFmtId="173" fontId="6" fillId="0" borderId="0" xfId="26" applyNumberFormat="1" applyAlignment="1">
      <alignment vertical="center"/>
    </xf>
    <xf numFmtId="174" fontId="6" fillId="0" borderId="0" xfId="26" applyFont="1" applyAlignment="1">
      <alignment vertical="center"/>
    </xf>
    <xf numFmtId="1" fontId="0" fillId="0" borderId="2" xfId="0" applyNumberFormat="1" applyFill="1" applyBorder="1" applyAlignment="1">
      <alignment vertical="center"/>
    </xf>
    <xf numFmtId="173" fontId="7" fillId="7" borderId="2" xfId="1" applyNumberFormat="1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1" fontId="7" fillId="7" borderId="2" xfId="0" applyNumberFormat="1" applyFont="1" applyFill="1" applyBorder="1" applyAlignment="1">
      <alignment vertical="center"/>
    </xf>
    <xf numFmtId="174" fontId="35" fillId="7" borderId="2" xfId="0" applyFont="1" applyFill="1" applyBorder="1" applyAlignment="1">
      <alignment horizontal="center" vertical="center"/>
    </xf>
    <xf numFmtId="174" fontId="53" fillId="7" borderId="2" xfId="26" applyFont="1" applyFill="1" applyBorder="1" applyAlignment="1">
      <alignment horizontal="center" vertical="center" wrapText="1"/>
    </xf>
    <xf numFmtId="174" fontId="0" fillId="0" borderId="1" xfId="0" applyBorder="1" applyAlignment="1">
      <alignment vertical="center"/>
    </xf>
    <xf numFmtId="174" fontId="7" fillId="0" borderId="6" xfId="0" applyFont="1" applyBorder="1" applyAlignment="1">
      <alignment vertical="center"/>
    </xf>
    <xf numFmtId="174" fontId="0" fillId="0" borderId="7" xfId="0" applyBorder="1" applyAlignment="1">
      <alignment vertical="center"/>
    </xf>
    <xf numFmtId="174" fontId="52" fillId="0" borderId="7" xfId="26" applyFont="1" applyBorder="1" applyAlignment="1">
      <alignment vertical="center" wrapText="1"/>
    </xf>
    <xf numFmtId="174" fontId="0" fillId="0" borderId="8" xfId="0" applyBorder="1" applyAlignment="1">
      <alignment vertical="center"/>
    </xf>
    <xf numFmtId="174" fontId="0" fillId="0" borderId="0" xfId="0" applyBorder="1" applyAlignment="1">
      <alignment vertical="center"/>
    </xf>
    <xf numFmtId="174" fontId="52" fillId="0" borderId="0" xfId="26" applyFont="1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174" fontId="7" fillId="0" borderId="3" xfId="0" applyFont="1" applyBorder="1" applyAlignment="1">
      <alignment vertical="center"/>
    </xf>
    <xf numFmtId="174" fontId="7" fillId="0" borderId="7" xfId="0" applyFont="1" applyBorder="1" applyAlignment="1">
      <alignment vertical="center"/>
    </xf>
    <xf numFmtId="174" fontId="53" fillId="7" borderId="9" xfId="26" applyFont="1" applyFill="1" applyBorder="1" applyAlignment="1">
      <alignment vertical="center" wrapText="1"/>
    </xf>
    <xf numFmtId="174" fontId="52" fillId="7" borderId="10" xfId="26" applyFont="1" applyFill="1" applyBorder="1" applyAlignment="1">
      <alignment vertical="center" wrapText="1"/>
    </xf>
    <xf numFmtId="174" fontId="52" fillId="7" borderId="10" xfId="26" applyFont="1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1" fontId="52" fillId="12" borderId="0" xfId="26" applyNumberFormat="1" applyFont="1" applyFill="1" applyAlignment="1">
      <alignment horizontal="center" vertical="center" wrapText="1"/>
    </xf>
    <xf numFmtId="2" fontId="52" fillId="12" borderId="0" xfId="26" applyNumberFormat="1" applyFont="1" applyFill="1" applyAlignment="1">
      <alignment vertical="center" wrapText="1"/>
    </xf>
    <xf numFmtId="0" fontId="0" fillId="12" borderId="0" xfId="0" applyNumberFormat="1" applyFill="1" applyBorder="1" applyAlignment="1">
      <alignment horizontal="center"/>
    </xf>
    <xf numFmtId="174" fontId="64" fillId="12" borderId="8" xfId="31" applyFont="1" applyFill="1" applyBorder="1" applyAlignment="1">
      <alignment vertical="center" wrapText="1"/>
    </xf>
    <xf numFmtId="0" fontId="48" fillId="12" borderId="2" xfId="36" applyFill="1" applyBorder="1" applyAlignment="1">
      <alignment horizontal="center" vertical="center" wrapText="1"/>
    </xf>
    <xf numFmtId="0" fontId="48" fillId="12" borderId="2" xfId="36" applyFill="1" applyBorder="1" applyAlignment="1">
      <alignment horizontal="center" vertical="center"/>
    </xf>
    <xf numFmtId="0" fontId="52" fillId="12" borderId="2" xfId="36" applyFont="1" applyFill="1" applyBorder="1" applyAlignment="1">
      <alignment horizontal="center" vertical="center"/>
    </xf>
    <xf numFmtId="0" fontId="49" fillId="0" borderId="2" xfId="36" applyFont="1" applyFill="1" applyBorder="1" applyAlignment="1">
      <alignment horizontal="left" vertical="center"/>
    </xf>
    <xf numFmtId="0" fontId="48" fillId="12" borderId="0" xfId="36" applyFill="1" applyBorder="1" applyAlignment="1">
      <alignment horizontal="center" vertical="center"/>
    </xf>
    <xf numFmtId="9" fontId="48" fillId="12" borderId="2" xfId="36" applyNumberFormat="1" applyFill="1" applyBorder="1" applyAlignment="1">
      <alignment horizontal="center" vertical="center"/>
    </xf>
    <xf numFmtId="9" fontId="52" fillId="12" borderId="2" xfId="36" applyNumberFormat="1" applyFont="1" applyFill="1" applyBorder="1" applyAlignment="1">
      <alignment horizontal="center" vertical="center"/>
    </xf>
    <xf numFmtId="2" fontId="48" fillId="12" borderId="2" xfId="36" applyNumberFormat="1" applyFill="1" applyBorder="1" applyAlignment="1">
      <alignment horizontal="center" vertical="center"/>
    </xf>
    <xf numFmtId="0" fontId="48" fillId="12" borderId="10" xfId="36" applyFill="1" applyBorder="1" applyAlignment="1">
      <alignment horizontal="center" vertical="center"/>
    </xf>
    <xf numFmtId="0" fontId="52" fillId="12" borderId="11" xfId="36" applyFont="1" applyFill="1" applyBorder="1" applyAlignment="1">
      <alignment horizontal="center" vertical="center"/>
    </xf>
    <xf numFmtId="170" fontId="52" fillId="12" borderId="2" xfId="7" applyNumberFormat="1" applyFont="1" applyFill="1" applyBorder="1" applyAlignment="1">
      <alignment horizontal="center" vertical="center"/>
    </xf>
    <xf numFmtId="170" fontId="48" fillId="12" borderId="2" xfId="7" applyNumberFormat="1" applyFont="1" applyFill="1" applyBorder="1" applyAlignment="1">
      <alignment horizontal="center" vertical="center"/>
    </xf>
    <xf numFmtId="0" fontId="49" fillId="0" borderId="2" xfId="36" applyFont="1" applyFill="1" applyBorder="1" applyAlignment="1">
      <alignment horizontal="center" vertical="center"/>
    </xf>
    <xf numFmtId="0" fontId="49" fillId="0" borderId="2" xfId="36" applyFont="1" applyFill="1" applyBorder="1" applyAlignment="1">
      <alignment horizontal="center" vertical="center"/>
    </xf>
    <xf numFmtId="174" fontId="7" fillId="0" borderId="0" xfId="0" applyFont="1" applyFill="1" applyBorder="1" applyAlignment="1">
      <alignment vertical="center"/>
    </xf>
    <xf numFmtId="173" fontId="48" fillId="12" borderId="9" xfId="1" applyNumberFormat="1" applyFont="1" applyFill="1" applyBorder="1" applyAlignment="1">
      <alignment horizontal="center" vertical="center"/>
    </xf>
    <xf numFmtId="1" fontId="52" fillId="12" borderId="2" xfId="36" applyNumberFormat="1" applyFont="1" applyFill="1" applyBorder="1" applyAlignment="1">
      <alignment horizontal="center" vertical="center"/>
    </xf>
    <xf numFmtId="173" fontId="52" fillId="12" borderId="2" xfId="1" applyNumberFormat="1" applyFont="1" applyFill="1" applyBorder="1" applyAlignment="1">
      <alignment horizontal="center" vertical="center"/>
    </xf>
    <xf numFmtId="0" fontId="0" fillId="12" borderId="2" xfId="0" applyNumberFormat="1" applyFill="1" applyBorder="1" applyAlignment="1">
      <alignment horizontal="center" vertical="center"/>
    </xf>
    <xf numFmtId="173" fontId="48" fillId="12" borderId="2" xfId="1" applyNumberFormat="1" applyFont="1" applyFill="1" applyBorder="1" applyAlignment="1">
      <alignment horizontal="center" vertical="center"/>
    </xf>
    <xf numFmtId="9" fontId="50" fillId="12" borderId="2" xfId="36" applyNumberFormat="1" applyFont="1" applyFill="1" applyBorder="1" applyAlignment="1">
      <alignment horizontal="center" vertical="center"/>
    </xf>
    <xf numFmtId="170" fontId="50" fillId="12" borderId="2" xfId="7" applyNumberFormat="1" applyFont="1" applyFill="1" applyBorder="1" applyAlignment="1">
      <alignment horizontal="center" vertical="center"/>
    </xf>
    <xf numFmtId="0" fontId="48" fillId="0" borderId="0" xfId="36" applyFill="1" applyAlignment="1">
      <alignment vertical="center"/>
    </xf>
    <xf numFmtId="0" fontId="49" fillId="0" borderId="0" xfId="36" applyFont="1" applyFill="1" applyAlignment="1">
      <alignment vertical="center"/>
    </xf>
    <xf numFmtId="0" fontId="48" fillId="0" borderId="12" xfId="36" applyFill="1" applyBorder="1" applyAlignment="1">
      <alignment vertical="center" wrapText="1"/>
    </xf>
    <xf numFmtId="0" fontId="48" fillId="12" borderId="2" xfId="36" applyFill="1" applyBorder="1" applyAlignment="1">
      <alignment vertical="center" wrapText="1"/>
    </xf>
    <xf numFmtId="170" fontId="48" fillId="0" borderId="0" xfId="36" applyNumberFormat="1" applyFill="1" applyAlignment="1">
      <alignment vertical="center"/>
    </xf>
    <xf numFmtId="0" fontId="52" fillId="12" borderId="13" xfId="36" applyFont="1" applyFill="1" applyBorder="1" applyAlignment="1">
      <alignment horizontal="center" vertical="center"/>
    </xf>
    <xf numFmtId="0" fontId="48" fillId="0" borderId="0" xfId="36" applyFill="1" applyAlignment="1">
      <alignment horizontal="center" vertical="center"/>
    </xf>
    <xf numFmtId="0" fontId="49" fillId="0" borderId="0" xfId="36" applyFont="1" applyFill="1" applyBorder="1" applyAlignment="1">
      <alignment horizontal="center" vertical="center"/>
    </xf>
    <xf numFmtId="0" fontId="48" fillId="0" borderId="0" xfId="36" applyFill="1" applyBorder="1" applyAlignment="1">
      <alignment horizontal="center" vertical="center"/>
    </xf>
    <xf numFmtId="170" fontId="48" fillId="0" borderId="0" xfId="36" applyNumberFormat="1" applyFill="1" applyBorder="1" applyAlignment="1">
      <alignment horizontal="center" vertical="center"/>
    </xf>
    <xf numFmtId="170" fontId="49" fillId="12" borderId="2" xfId="7" applyNumberFormat="1" applyFont="1" applyFill="1" applyBorder="1" applyAlignment="1">
      <alignment horizontal="center" vertical="center"/>
    </xf>
    <xf numFmtId="170" fontId="53" fillId="12" borderId="2" xfId="7" applyNumberFormat="1" applyFont="1" applyFill="1" applyBorder="1" applyAlignment="1">
      <alignment horizontal="center" vertical="center"/>
    </xf>
    <xf numFmtId="173" fontId="49" fillId="12" borderId="2" xfId="1" applyNumberFormat="1" applyFont="1" applyFill="1" applyBorder="1" applyAlignment="1">
      <alignment horizontal="center" vertical="center"/>
    </xf>
    <xf numFmtId="173" fontId="48" fillId="12" borderId="2" xfId="36" applyNumberFormat="1" applyFill="1" applyBorder="1" applyAlignment="1">
      <alignment horizontal="center" vertical="center"/>
    </xf>
    <xf numFmtId="170" fontId="48" fillId="12" borderId="2" xfId="36" applyNumberFormat="1" applyFill="1" applyBorder="1" applyAlignment="1">
      <alignment horizontal="center" vertical="center"/>
    </xf>
    <xf numFmtId="1" fontId="48" fillId="12" borderId="2" xfId="36" applyNumberFormat="1" applyFill="1" applyBorder="1" applyAlignment="1">
      <alignment horizontal="center" vertical="center"/>
    </xf>
    <xf numFmtId="173" fontId="49" fillId="12" borderId="2" xfId="1" applyNumberFormat="1" applyFont="1" applyFill="1" applyBorder="1" applyAlignment="1">
      <alignment vertical="center" wrapText="1"/>
    </xf>
    <xf numFmtId="173" fontId="53" fillId="12" borderId="2" xfId="1" applyNumberFormat="1" applyFont="1" applyFill="1" applyBorder="1" applyAlignment="1">
      <alignment horizontal="center" vertical="center"/>
    </xf>
    <xf numFmtId="173" fontId="49" fillId="0" borderId="0" xfId="1" applyNumberFormat="1" applyFont="1" applyFill="1" applyAlignment="1">
      <alignment vertical="center"/>
    </xf>
    <xf numFmtId="173" fontId="49" fillId="12" borderId="0" xfId="1" applyNumberFormat="1" applyFont="1" applyFill="1" applyBorder="1" applyAlignment="1">
      <alignment horizontal="center" vertical="center"/>
    </xf>
    <xf numFmtId="173" fontId="53" fillId="12" borderId="0" xfId="1" applyNumberFormat="1" applyFont="1" applyFill="1" applyBorder="1" applyAlignment="1">
      <alignment horizontal="center" vertical="center"/>
    </xf>
    <xf numFmtId="173" fontId="49" fillId="12" borderId="2" xfId="1" applyNumberFormat="1" applyFont="1" applyFill="1" applyBorder="1" applyAlignment="1">
      <alignment horizontal="center" vertical="center" wrapText="1"/>
    </xf>
    <xf numFmtId="0" fontId="48" fillId="0" borderId="2" xfId="36" applyFill="1" applyBorder="1" applyAlignment="1">
      <alignment vertical="center"/>
    </xf>
    <xf numFmtId="173" fontId="49" fillId="12" borderId="2" xfId="1" applyNumberFormat="1" applyFont="1" applyFill="1" applyBorder="1" applyAlignment="1">
      <alignment horizontal="center" vertical="center"/>
    </xf>
    <xf numFmtId="174" fontId="0" fillId="12" borderId="0" xfId="0" applyFill="1" applyAlignment="1">
      <alignment vertical="center"/>
    </xf>
    <xf numFmtId="166" fontId="17" fillId="0" borderId="0" xfId="1" applyFont="1" applyBorder="1" applyAlignment="1">
      <alignment vertical="center"/>
    </xf>
    <xf numFmtId="0" fontId="49" fillId="12" borderId="2" xfId="36" applyFont="1" applyFill="1" applyBorder="1" applyAlignment="1">
      <alignment horizontal="center" vertical="center"/>
    </xf>
    <xf numFmtId="0" fontId="48" fillId="12" borderId="0" xfId="36" applyFill="1" applyAlignment="1">
      <alignment vertical="center"/>
    </xf>
    <xf numFmtId="0" fontId="65" fillId="12" borderId="0" xfId="36" applyFont="1" applyFill="1" applyBorder="1" applyAlignment="1">
      <alignment horizontal="center" vertical="center" wrapText="1"/>
    </xf>
    <xf numFmtId="0" fontId="48" fillId="12" borderId="14" xfId="36" applyFill="1" applyBorder="1" applyAlignment="1">
      <alignment horizontal="center" vertical="center" wrapText="1"/>
    </xf>
    <xf numFmtId="0" fontId="48" fillId="12" borderId="14" xfId="36" applyFill="1" applyBorder="1" applyAlignment="1">
      <alignment horizontal="center" vertical="center"/>
    </xf>
    <xf numFmtId="0" fontId="0" fillId="12" borderId="14" xfId="0" applyNumberFormat="1" applyFill="1" applyBorder="1" applyAlignment="1">
      <alignment horizontal="center" vertical="center"/>
    </xf>
    <xf numFmtId="9" fontId="48" fillId="12" borderId="14" xfId="36" applyNumberFormat="1" applyFill="1" applyBorder="1" applyAlignment="1">
      <alignment horizontal="center" vertical="center"/>
    </xf>
    <xf numFmtId="2" fontId="48" fillId="12" borderId="14" xfId="36" applyNumberFormat="1" applyFill="1" applyBorder="1" applyAlignment="1">
      <alignment horizontal="center" vertical="center"/>
    </xf>
    <xf numFmtId="173" fontId="48" fillId="12" borderId="10" xfId="1" applyNumberFormat="1" applyFont="1" applyFill="1" applyBorder="1" applyAlignment="1">
      <alignment horizontal="center" vertical="center"/>
    </xf>
    <xf numFmtId="173" fontId="48" fillId="12" borderId="14" xfId="1" applyNumberFormat="1" applyFont="1" applyFill="1" applyBorder="1" applyAlignment="1">
      <alignment horizontal="center" vertical="center"/>
    </xf>
    <xf numFmtId="0" fontId="48" fillId="12" borderId="15" xfId="36" applyFill="1" applyBorder="1" applyAlignment="1">
      <alignment horizontal="center" vertical="center"/>
    </xf>
    <xf numFmtId="0" fontId="48" fillId="12" borderId="13" xfId="36" applyFill="1" applyBorder="1" applyAlignment="1">
      <alignment horizontal="center" vertical="center"/>
    </xf>
    <xf numFmtId="173" fontId="48" fillId="12" borderId="11" xfId="1" applyNumberFormat="1" applyFont="1" applyFill="1" applyBorder="1" applyAlignment="1">
      <alignment horizontal="center" vertical="center"/>
    </xf>
    <xf numFmtId="9" fontId="50" fillId="12" borderId="14" xfId="36" applyNumberFormat="1" applyFont="1" applyFill="1" applyBorder="1" applyAlignment="1">
      <alignment horizontal="center" vertical="center"/>
    </xf>
    <xf numFmtId="1" fontId="52" fillId="12" borderId="14" xfId="36" applyNumberFormat="1" applyFont="1" applyFill="1" applyBorder="1" applyAlignment="1">
      <alignment horizontal="center" vertical="center"/>
    </xf>
    <xf numFmtId="170" fontId="48" fillId="12" borderId="14" xfId="7" applyNumberFormat="1" applyFont="1" applyFill="1" applyBorder="1" applyAlignment="1">
      <alignment horizontal="center" vertical="center"/>
    </xf>
    <xf numFmtId="170" fontId="49" fillId="12" borderId="14" xfId="7" applyNumberFormat="1" applyFont="1" applyFill="1" applyBorder="1" applyAlignment="1">
      <alignment horizontal="center" vertical="center"/>
    </xf>
    <xf numFmtId="173" fontId="49" fillId="12" borderId="14" xfId="1" applyNumberFormat="1" applyFont="1" applyFill="1" applyBorder="1" applyAlignment="1">
      <alignment horizontal="center" vertical="center"/>
    </xf>
    <xf numFmtId="173" fontId="48" fillId="12" borderId="14" xfId="36" applyNumberFormat="1" applyFill="1" applyBorder="1" applyAlignment="1">
      <alignment horizontal="center" vertical="center"/>
    </xf>
    <xf numFmtId="170" fontId="48" fillId="12" borderId="14" xfId="36" applyNumberFormat="1" applyFill="1" applyBorder="1" applyAlignment="1">
      <alignment horizontal="center" vertical="center"/>
    </xf>
    <xf numFmtId="49" fontId="48" fillId="0" borderId="2" xfId="36" applyNumberFormat="1" applyFill="1" applyBorder="1" applyAlignment="1">
      <alignment horizontal="center" vertical="center" wrapText="1"/>
    </xf>
    <xf numFmtId="0" fontId="48" fillId="12" borderId="2" xfId="36" quotePrefix="1" applyFill="1" applyBorder="1" applyAlignment="1">
      <alignment horizontal="center" vertical="center" wrapText="1"/>
    </xf>
    <xf numFmtId="0" fontId="50" fillId="12" borderId="2" xfId="36" applyFont="1" applyFill="1" applyBorder="1" applyAlignment="1">
      <alignment horizontal="center" vertical="center" wrapText="1"/>
    </xf>
    <xf numFmtId="0" fontId="52" fillId="12" borderId="2" xfId="36" applyFont="1" applyFill="1" applyBorder="1" applyAlignment="1">
      <alignment horizontal="center" vertical="center" wrapText="1"/>
    </xf>
    <xf numFmtId="0" fontId="49" fillId="12" borderId="2" xfId="36" applyFont="1" applyFill="1" applyBorder="1" applyAlignment="1">
      <alignment horizontal="center" vertical="center" wrapText="1"/>
    </xf>
    <xf numFmtId="2" fontId="48" fillId="12" borderId="2" xfId="36" applyNumberFormat="1" applyFill="1" applyBorder="1" applyAlignment="1">
      <alignment horizontal="center" vertical="center" wrapText="1"/>
    </xf>
    <xf numFmtId="0" fontId="48" fillId="12" borderId="5" xfId="36" applyFill="1" applyBorder="1" applyAlignment="1">
      <alignment vertical="center" wrapText="1"/>
    </xf>
    <xf numFmtId="0" fontId="48" fillId="12" borderId="5" xfId="36" applyFont="1" applyFill="1" applyBorder="1" applyAlignment="1">
      <alignment vertical="center" wrapText="1"/>
    </xf>
    <xf numFmtId="0" fontId="48" fillId="12" borderId="5" xfId="36" applyFont="1" applyFill="1" applyBorder="1" applyAlignment="1">
      <alignment horizontal="right" vertical="center" wrapText="1"/>
    </xf>
    <xf numFmtId="0" fontId="50" fillId="12" borderId="5" xfId="36" applyFont="1" applyFill="1" applyBorder="1" applyAlignment="1">
      <alignment vertical="center" wrapText="1"/>
    </xf>
    <xf numFmtId="0" fontId="52" fillId="12" borderId="5" xfId="36" applyFont="1" applyFill="1" applyBorder="1" applyAlignment="1">
      <alignment vertical="center" wrapText="1"/>
    </xf>
    <xf numFmtId="0" fontId="49" fillId="12" borderId="5" xfId="36" applyFont="1" applyFill="1" applyBorder="1" applyAlignment="1">
      <alignment vertical="center" wrapText="1"/>
    </xf>
    <xf numFmtId="173" fontId="49" fillId="12" borderId="5" xfId="1" applyNumberFormat="1" applyFont="1" applyFill="1" applyBorder="1" applyAlignment="1">
      <alignment vertical="center" wrapText="1"/>
    </xf>
    <xf numFmtId="1" fontId="48" fillId="12" borderId="2" xfId="36" applyNumberFormat="1" applyFill="1" applyBorder="1" applyAlignment="1">
      <alignment horizontal="center" vertical="center" wrapText="1"/>
    </xf>
    <xf numFmtId="0" fontId="48" fillId="12" borderId="2" xfId="36" applyFill="1" applyBorder="1" applyAlignment="1">
      <alignment horizontal="left" vertical="center" wrapText="1"/>
    </xf>
    <xf numFmtId="0" fontId="49" fillId="12" borderId="2" xfId="36" applyFont="1" applyFill="1" applyBorder="1" applyAlignment="1">
      <alignment horizontal="left" vertical="center" wrapText="1"/>
    </xf>
    <xf numFmtId="1" fontId="49" fillId="12" borderId="2" xfId="36" applyNumberFormat="1" applyFont="1" applyFill="1" applyBorder="1" applyAlignment="1">
      <alignment horizontal="center" vertical="center" wrapText="1"/>
    </xf>
    <xf numFmtId="43" fontId="48" fillId="12" borderId="2" xfId="7" applyNumberFormat="1" applyFont="1" applyFill="1" applyBorder="1" applyAlignment="1">
      <alignment horizontal="center" vertical="center"/>
    </xf>
    <xf numFmtId="0" fontId="48" fillId="0" borderId="0" xfId="36" applyFill="1" applyBorder="1" applyAlignment="1">
      <alignment vertical="center"/>
    </xf>
    <xf numFmtId="173" fontId="49" fillId="12" borderId="2" xfId="1" applyNumberFormat="1" applyFont="1" applyFill="1" applyBorder="1" applyAlignment="1">
      <alignment horizontal="center" vertical="center"/>
    </xf>
    <xf numFmtId="43" fontId="48" fillId="0" borderId="0" xfId="36" applyNumberFormat="1" applyFill="1" applyAlignment="1">
      <alignment vertical="center"/>
    </xf>
    <xf numFmtId="174" fontId="32" fillId="0" borderId="0" xfId="0" applyFont="1" applyAlignment="1">
      <alignment vertical="center"/>
    </xf>
    <xf numFmtId="174" fontId="11" fillId="13" borderId="2" xfId="0" applyFont="1" applyFill="1" applyBorder="1" applyAlignment="1">
      <alignment horizontal="center" vertical="center" wrapText="1"/>
    </xf>
    <xf numFmtId="3" fontId="0" fillId="13" borderId="2" xfId="0" applyNumberFormat="1" applyFill="1" applyBorder="1" applyAlignment="1">
      <alignment horizontal="center" vertical="center" wrapText="1"/>
    </xf>
    <xf numFmtId="9" fontId="0" fillId="13" borderId="2" xfId="0" applyNumberFormat="1" applyFill="1" applyBorder="1" applyAlignment="1">
      <alignment horizontal="center" vertical="center" wrapText="1"/>
    </xf>
    <xf numFmtId="168" fontId="12" fillId="13" borderId="3" xfId="4" applyNumberFormat="1" applyFont="1" applyFill="1" applyBorder="1" applyAlignment="1">
      <alignment horizontal="center" vertical="center" wrapText="1"/>
    </xf>
    <xf numFmtId="174" fontId="0" fillId="13" borderId="0" xfId="0" applyFill="1" applyAlignment="1">
      <alignment vertical="center" wrapText="1"/>
    </xf>
    <xf numFmtId="174" fontId="11" fillId="12" borderId="2" xfId="0" applyFont="1" applyFill="1" applyBorder="1" applyAlignment="1">
      <alignment horizontal="center" vertical="center" wrapText="1"/>
    </xf>
    <xf numFmtId="3" fontId="0" fillId="12" borderId="2" xfId="0" applyNumberFormat="1" applyFill="1" applyBorder="1" applyAlignment="1">
      <alignment horizontal="center" vertical="center" wrapText="1"/>
    </xf>
    <xf numFmtId="9" fontId="0" fillId="12" borderId="2" xfId="0" applyNumberFormat="1" applyFill="1" applyBorder="1" applyAlignment="1">
      <alignment horizontal="center" vertical="center" wrapText="1"/>
    </xf>
    <xf numFmtId="168" fontId="12" fillId="12" borderId="3" xfId="4" applyNumberFormat="1" applyFont="1" applyFill="1" applyBorder="1" applyAlignment="1">
      <alignment horizontal="center" vertical="center" wrapText="1"/>
    </xf>
    <xf numFmtId="174" fontId="0" fillId="12" borderId="0" xfId="0" applyFill="1" applyAlignment="1">
      <alignment vertical="center" wrapText="1"/>
    </xf>
    <xf numFmtId="166" fontId="6" fillId="13" borderId="0" xfId="1" applyFont="1" applyFill="1" applyAlignment="1">
      <alignment vertical="center" wrapText="1"/>
    </xf>
    <xf numFmtId="174" fontId="7" fillId="12" borderId="4" xfId="33" applyFont="1" applyFill="1" applyBorder="1" applyAlignment="1">
      <alignment horizontal="center" vertical="top" wrapText="1"/>
    </xf>
    <xf numFmtId="174" fontId="7" fillId="12" borderId="4" xfId="33" applyFont="1" applyFill="1" applyBorder="1" applyAlignment="1">
      <alignment horizontal="center" vertical="top"/>
    </xf>
    <xf numFmtId="9" fontId="52" fillId="12" borderId="14" xfId="36" applyNumberFormat="1" applyFont="1" applyFill="1" applyBorder="1" applyAlignment="1">
      <alignment horizontal="center" vertical="center"/>
    </xf>
    <xf numFmtId="0" fontId="65" fillId="12" borderId="0" xfId="36" applyFont="1" applyFill="1" applyBorder="1" applyAlignment="1">
      <alignment horizontal="left" vertical="center" wrapText="1"/>
    </xf>
    <xf numFmtId="0" fontId="48" fillId="12" borderId="0" xfId="36" applyFont="1" applyFill="1" applyAlignment="1">
      <alignment horizontal="center" vertical="center"/>
    </xf>
    <xf numFmtId="0" fontId="48" fillId="12" borderId="0" xfId="36" applyFill="1" applyAlignment="1">
      <alignment horizontal="center" vertical="center"/>
    </xf>
    <xf numFmtId="174" fontId="24" fillId="7" borderId="0" xfId="32" applyFont="1" applyFill="1" applyBorder="1"/>
    <xf numFmtId="174" fontId="18" fillId="7" borderId="0" xfId="32" applyFont="1" applyFill="1" applyBorder="1" applyAlignment="1">
      <alignment vertical="center"/>
    </xf>
    <xf numFmtId="173" fontId="18" fillId="7" borderId="0" xfId="32" applyNumberFormat="1" applyFont="1" applyFill="1" applyBorder="1" applyAlignment="1">
      <alignment vertical="center"/>
    </xf>
    <xf numFmtId="175" fontId="18" fillId="7" borderId="0" xfId="16" applyNumberFormat="1" applyFont="1" applyFill="1" applyBorder="1" applyAlignment="1">
      <alignment vertical="center"/>
    </xf>
    <xf numFmtId="1" fontId="17" fillId="7" borderId="0" xfId="32" applyNumberFormat="1" applyFont="1" applyFill="1" applyBorder="1"/>
    <xf numFmtId="175" fontId="18" fillId="7" borderId="0" xfId="15" applyNumberFormat="1" applyFont="1" applyFill="1" applyBorder="1" applyAlignment="1">
      <alignment vertical="center"/>
    </xf>
    <xf numFmtId="175" fontId="18" fillId="7" borderId="0" xfId="13" applyNumberFormat="1" applyFont="1" applyFill="1" applyBorder="1" applyAlignment="1">
      <alignment vertical="center"/>
    </xf>
    <xf numFmtId="174" fontId="18" fillId="7" borderId="0" xfId="32" applyFont="1" applyFill="1" applyBorder="1" applyAlignment="1">
      <alignment vertical="center" wrapText="1"/>
    </xf>
    <xf numFmtId="175" fontId="18" fillId="7" borderId="0" xfId="11" applyNumberFormat="1" applyFont="1" applyFill="1" applyBorder="1" applyAlignment="1">
      <alignment vertical="center"/>
    </xf>
    <xf numFmtId="174" fontId="7" fillId="7" borderId="9" xfId="0" applyFont="1" applyFill="1" applyBorder="1" applyAlignment="1">
      <alignment vertical="center"/>
    </xf>
    <xf numFmtId="174" fontId="7" fillId="7" borderId="10" xfId="0" applyFont="1" applyFill="1" applyBorder="1" applyAlignment="1">
      <alignment vertical="center"/>
    </xf>
    <xf numFmtId="0" fontId="49" fillId="14" borderId="2" xfId="36" applyFont="1" applyFill="1" applyBorder="1" applyAlignment="1">
      <alignment horizontal="center" vertical="center"/>
    </xf>
    <xf numFmtId="0" fontId="53" fillId="14" borderId="2" xfId="36" applyFont="1" applyFill="1" applyBorder="1" applyAlignment="1">
      <alignment horizontal="center" vertical="center"/>
    </xf>
    <xf numFmtId="0" fontId="66" fillId="14" borderId="2" xfId="36" applyFont="1" applyFill="1" applyBorder="1" applyAlignment="1">
      <alignment horizontal="center" vertical="center" wrapText="1"/>
    </xf>
    <xf numFmtId="0" fontId="67" fillId="14" borderId="5" xfId="36" applyFont="1" applyFill="1" applyBorder="1" applyAlignment="1">
      <alignment vertical="center" wrapText="1"/>
    </xf>
    <xf numFmtId="0" fontId="68" fillId="14" borderId="5" xfId="36" applyFont="1" applyFill="1" applyBorder="1" applyAlignment="1">
      <alignment vertical="center" wrapText="1"/>
    </xf>
    <xf numFmtId="174" fontId="38" fillId="14" borderId="2" xfId="0" applyFont="1" applyFill="1" applyBorder="1" applyAlignment="1">
      <alignment horizontal="left" vertical="center" wrapText="1"/>
    </xf>
    <xf numFmtId="174" fontId="53" fillId="14" borderId="0" xfId="26" applyFont="1" applyFill="1" applyAlignment="1">
      <alignment horizontal="center" vertical="center" wrapText="1"/>
    </xf>
    <xf numFmtId="174" fontId="52" fillId="14" borderId="0" xfId="26" applyFont="1" applyFill="1" applyAlignment="1">
      <alignment horizontal="center" vertical="center" wrapText="1"/>
    </xf>
    <xf numFmtId="173" fontId="7" fillId="7" borderId="0" xfId="1" applyNumberFormat="1" applyFont="1" applyFill="1" applyAlignment="1">
      <alignment vertical="center"/>
    </xf>
    <xf numFmtId="9" fontId="7" fillId="7" borderId="0" xfId="0" applyNumberFormat="1" applyFont="1" applyFill="1" applyAlignment="1">
      <alignment vertical="center"/>
    </xf>
    <xf numFmtId="173" fontId="52" fillId="0" borderId="2" xfId="1" applyNumberFormat="1" applyFont="1" applyFill="1" applyBorder="1" applyAlignment="1">
      <alignment vertical="top"/>
    </xf>
    <xf numFmtId="174" fontId="52" fillId="0" borderId="2" xfId="33" applyFont="1" applyFill="1" applyBorder="1" applyAlignment="1">
      <alignment vertical="top"/>
    </xf>
    <xf numFmtId="174" fontId="21" fillId="4" borderId="0" xfId="19" applyFill="1" applyBorder="1" applyAlignment="1" applyProtection="1"/>
    <xf numFmtId="174" fontId="21" fillId="0" borderId="0" xfId="19" applyAlignment="1" applyProtection="1"/>
    <xf numFmtId="173" fontId="26" fillId="0" borderId="0" xfId="1" applyNumberFormat="1" applyFont="1" applyBorder="1" applyAlignment="1">
      <alignment vertical="center"/>
    </xf>
    <xf numFmtId="174" fontId="11" fillId="11" borderId="2" xfId="0" applyFont="1" applyFill="1" applyBorder="1" applyAlignment="1">
      <alignment horizontal="center" vertical="center" wrapText="1"/>
    </xf>
    <xf numFmtId="3" fontId="0" fillId="11" borderId="2" xfId="0" applyNumberFormat="1" applyFill="1" applyBorder="1" applyAlignment="1">
      <alignment horizontal="center" vertical="center" wrapText="1"/>
    </xf>
    <xf numFmtId="9" fontId="0" fillId="11" borderId="2" xfId="0" applyNumberFormat="1" applyFill="1" applyBorder="1" applyAlignment="1">
      <alignment horizontal="center" vertical="center" wrapText="1"/>
    </xf>
    <xf numFmtId="168" fontId="12" fillId="11" borderId="3" xfId="4" applyNumberFormat="1" applyFont="1" applyFill="1" applyBorder="1" applyAlignment="1">
      <alignment horizontal="center" vertical="center" wrapText="1"/>
    </xf>
    <xf numFmtId="166" fontId="6" fillId="11" borderId="0" xfId="1" applyFont="1" applyFill="1" applyAlignment="1">
      <alignment vertical="center" wrapText="1"/>
    </xf>
    <xf numFmtId="174" fontId="0" fillId="11" borderId="0" xfId="0" applyFill="1" applyAlignment="1">
      <alignment vertical="center" wrapText="1"/>
    </xf>
    <xf numFmtId="0" fontId="0" fillId="0" borderId="2" xfId="0" applyNumberFormat="1" applyBorder="1"/>
    <xf numFmtId="1" fontId="52" fillId="11" borderId="0" xfId="26" applyNumberFormat="1" applyFont="1" applyFill="1" applyAlignment="1">
      <alignment horizontal="center" vertical="center" wrapText="1"/>
    </xf>
    <xf numFmtId="0" fontId="0" fillId="11" borderId="2" xfId="0" applyNumberFormat="1" applyFill="1" applyBorder="1"/>
    <xf numFmtId="0" fontId="0" fillId="0" borderId="0" xfId="0" applyNumberFormat="1" applyBorder="1"/>
    <xf numFmtId="0" fontId="0" fillId="11" borderId="0" xfId="0" applyNumberFormat="1" applyFill="1" applyBorder="1"/>
    <xf numFmtId="0" fontId="49" fillId="0" borderId="0" xfId="0" applyNumberFormat="1" applyFont="1"/>
    <xf numFmtId="0" fontId="0" fillId="0" borderId="2" xfId="0" applyNumberFormat="1" applyBorder="1" applyAlignment="1">
      <alignment horizontal="center"/>
    </xf>
    <xf numFmtId="0" fontId="0" fillId="11" borderId="2" xfId="0" applyNumberFormat="1" applyFill="1" applyBorder="1" applyAlignment="1">
      <alignment horizontal="center"/>
    </xf>
    <xf numFmtId="0" fontId="0" fillId="11" borderId="0" xfId="0" applyNumberFormat="1" applyFill="1"/>
    <xf numFmtId="173" fontId="52" fillId="0" borderId="0" xfId="1" applyNumberFormat="1" applyFont="1" applyAlignment="1">
      <alignment vertical="center" wrapText="1"/>
    </xf>
    <xf numFmtId="2" fontId="0" fillId="0" borderId="0" xfId="0" applyNumberFormat="1"/>
    <xf numFmtId="1" fontId="52" fillId="0" borderId="0" xfId="1" applyNumberFormat="1" applyFont="1" applyAlignment="1">
      <alignment vertical="center" wrapText="1"/>
    </xf>
    <xf numFmtId="1" fontId="53" fillId="0" borderId="0" xfId="26" applyNumberFormat="1" applyFont="1" applyAlignment="1">
      <alignment vertical="center" wrapText="1"/>
    </xf>
    <xf numFmtId="1" fontId="0" fillId="0" borderId="0" xfId="0" applyNumberFormat="1"/>
    <xf numFmtId="166" fontId="0" fillId="0" borderId="0" xfId="1" applyFont="1"/>
    <xf numFmtId="173" fontId="0" fillId="0" borderId="0" xfId="1" applyNumberFormat="1" applyFont="1"/>
    <xf numFmtId="0" fontId="0" fillId="0" borderId="0" xfId="0" applyNumberFormat="1" applyAlignment="1">
      <alignment horizontal="center"/>
    </xf>
    <xf numFmtId="166" fontId="6" fillId="12" borderId="0" xfId="1" applyFont="1" applyFill="1"/>
    <xf numFmtId="166" fontId="6" fillId="11" borderId="0" xfId="1" applyFont="1" applyFill="1"/>
    <xf numFmtId="9" fontId="0" fillId="0" borderId="0" xfId="37" applyFont="1"/>
    <xf numFmtId="174" fontId="53" fillId="0" borderId="2" xfId="26" applyFont="1" applyBorder="1" applyAlignment="1">
      <alignment horizontal="center" vertical="center" wrapText="1"/>
    </xf>
    <xf numFmtId="174" fontId="0" fillId="0" borderId="2" xfId="0" applyBorder="1"/>
    <xf numFmtId="0" fontId="0" fillId="0" borderId="0" xfId="0" applyNumberFormat="1" applyBorder="1" applyAlignment="1">
      <alignment horizontal="center"/>
    </xf>
    <xf numFmtId="174" fontId="7" fillId="0" borderId="0" xfId="0" applyFont="1"/>
    <xf numFmtId="166" fontId="7" fillId="11" borderId="0" xfId="1" applyFont="1" applyFill="1"/>
    <xf numFmtId="166" fontId="7" fillId="0" borderId="0" xfId="1" applyFont="1"/>
    <xf numFmtId="174" fontId="0" fillId="12" borderId="0" xfId="0" applyFill="1"/>
    <xf numFmtId="0" fontId="7" fillId="11" borderId="0" xfId="0" applyNumberFormat="1" applyFont="1" applyFill="1" applyBorder="1"/>
    <xf numFmtId="0" fontId="7" fillId="0" borderId="0" xfId="0" applyNumberFormat="1" applyFont="1" applyBorder="1" applyAlignment="1">
      <alignment horizontal="center"/>
    </xf>
    <xf numFmtId="173" fontId="7" fillId="0" borderId="0" xfId="1" applyNumberFormat="1" applyFont="1"/>
    <xf numFmtId="0" fontId="7" fillId="0" borderId="0" xfId="0" applyNumberFormat="1" applyFont="1" applyBorder="1"/>
    <xf numFmtId="174" fontId="53" fillId="15" borderId="0" xfId="26" applyFont="1" applyFill="1" applyAlignment="1">
      <alignment vertical="center" wrapText="1"/>
    </xf>
    <xf numFmtId="166" fontId="7" fillId="15" borderId="0" xfId="1" applyFont="1" applyFill="1"/>
    <xf numFmtId="0" fontId="67" fillId="0" borderId="0" xfId="22" applyFont="1"/>
    <xf numFmtId="0" fontId="48" fillId="0" borderId="0" xfId="22"/>
    <xf numFmtId="170" fontId="0" fillId="0" borderId="0" xfId="8" applyNumberFormat="1" applyFont="1"/>
    <xf numFmtId="0" fontId="48" fillId="0" borderId="0" xfId="22" applyAlignment="1">
      <alignment horizontal="center"/>
    </xf>
    <xf numFmtId="9" fontId="48" fillId="0" borderId="0" xfId="22" applyNumberFormat="1" applyAlignment="1">
      <alignment horizontal="center"/>
    </xf>
    <xf numFmtId="0" fontId="48" fillId="0" borderId="2" xfId="22" applyBorder="1"/>
    <xf numFmtId="170" fontId="0" fillId="0" borderId="2" xfId="8" applyNumberFormat="1" applyFont="1" applyBorder="1" applyAlignment="1">
      <alignment horizontal="center" wrapText="1"/>
    </xf>
    <xf numFmtId="170" fontId="0" fillId="0" borderId="2" xfId="8" applyNumberFormat="1" applyFont="1" applyFill="1" applyBorder="1" applyAlignment="1">
      <alignment horizontal="center" wrapText="1"/>
    </xf>
    <xf numFmtId="170" fontId="0" fillId="0" borderId="3" xfId="8" applyNumberFormat="1" applyFont="1" applyFill="1" applyBorder="1" applyAlignment="1">
      <alignment horizontal="center" wrapText="1"/>
    </xf>
    <xf numFmtId="0" fontId="48" fillId="11" borderId="2" xfId="22" applyFill="1" applyBorder="1"/>
    <xf numFmtId="170" fontId="6" fillId="11" borderId="2" xfId="8" applyNumberFormat="1" applyFont="1" applyFill="1" applyBorder="1"/>
    <xf numFmtId="170" fontId="0" fillId="0" borderId="2" xfId="8" applyNumberFormat="1" applyFont="1" applyBorder="1"/>
    <xf numFmtId="170" fontId="48" fillId="0" borderId="2" xfId="22" applyNumberFormat="1" applyBorder="1"/>
    <xf numFmtId="174" fontId="53" fillId="0" borderId="2" xfId="28" applyNumberFormat="1" applyFont="1" applyBorder="1" applyAlignment="1">
      <alignment vertical="center" wrapText="1"/>
    </xf>
    <xf numFmtId="170" fontId="0" fillId="0" borderId="2" xfId="8" applyNumberFormat="1" applyFont="1" applyBorder="1" applyAlignment="1">
      <alignment wrapText="1"/>
    </xf>
    <xf numFmtId="170" fontId="48" fillId="0" borderId="0" xfId="22" applyNumberFormat="1"/>
    <xf numFmtId="174" fontId="69" fillId="0" borderId="2" xfId="28" applyNumberFormat="1" applyFont="1" applyBorder="1" applyAlignment="1">
      <alignment horizontal="left" vertical="center" wrapText="1"/>
    </xf>
    <xf numFmtId="174" fontId="52" fillId="0" borderId="2" xfId="28" applyNumberFormat="1" applyFont="1" applyBorder="1" applyAlignment="1">
      <alignment horizontal="left" vertical="center" wrapText="1"/>
    </xf>
    <xf numFmtId="174" fontId="52" fillId="0" borderId="2" xfId="28" applyNumberFormat="1" applyFont="1" applyBorder="1" applyAlignment="1">
      <alignment vertical="center" wrapText="1"/>
    </xf>
    <xf numFmtId="174" fontId="52" fillId="0" borderId="2" xfId="28" applyNumberFormat="1" applyFont="1" applyFill="1" applyBorder="1" applyAlignment="1">
      <alignment vertical="center" wrapText="1"/>
    </xf>
    <xf numFmtId="174" fontId="53" fillId="16" borderId="2" xfId="28" applyNumberFormat="1" applyFont="1" applyFill="1" applyBorder="1" applyAlignment="1">
      <alignment vertical="center" wrapText="1"/>
    </xf>
    <xf numFmtId="170" fontId="49" fillId="0" borderId="2" xfId="8" applyNumberFormat="1" applyFont="1" applyBorder="1"/>
    <xf numFmtId="0" fontId="49" fillId="0" borderId="0" xfId="22" applyFont="1"/>
    <xf numFmtId="0" fontId="48" fillId="0" borderId="1" xfId="22" applyBorder="1"/>
    <xf numFmtId="170" fontId="0" fillId="0" borderId="15" xfId="8" applyNumberFormat="1" applyFont="1" applyBorder="1" applyAlignment="1">
      <alignment wrapText="1"/>
    </xf>
    <xf numFmtId="170" fontId="0" fillId="0" borderId="13" xfId="8" applyNumberFormat="1" applyFont="1" applyFill="1" applyBorder="1" applyAlignment="1">
      <alignment wrapText="1"/>
    </xf>
    <xf numFmtId="170" fontId="6" fillId="11" borderId="2" xfId="8" applyNumberFormat="1" applyFont="1" applyFill="1" applyBorder="1" applyAlignment="1">
      <alignment horizontal="left"/>
    </xf>
    <xf numFmtId="170" fontId="6" fillId="11" borderId="3" xfId="8" applyNumberFormat="1" applyFont="1" applyFill="1" applyBorder="1" applyAlignment="1">
      <alignment horizontal="left"/>
    </xf>
    <xf numFmtId="0" fontId="48" fillId="0" borderId="0" xfId="22" applyNumberFormat="1"/>
    <xf numFmtId="170" fontId="6" fillId="11" borderId="3" xfId="8" applyNumberFormat="1" applyFont="1" applyFill="1" applyBorder="1"/>
    <xf numFmtId="0" fontId="48" fillId="0" borderId="0" xfId="22" applyBorder="1"/>
    <xf numFmtId="170" fontId="0" fillId="0" borderId="0" xfId="8" applyNumberFormat="1" applyFont="1" applyBorder="1" applyAlignment="1">
      <alignment wrapText="1"/>
    </xf>
    <xf numFmtId="0" fontId="48" fillId="0" borderId="14" xfId="22" applyBorder="1"/>
    <xf numFmtId="0" fontId="48" fillId="11" borderId="0" xfId="22" applyFill="1"/>
    <xf numFmtId="170" fontId="6" fillId="11" borderId="0" xfId="8" applyNumberFormat="1" applyFont="1" applyFill="1"/>
    <xf numFmtId="0" fontId="0" fillId="0" borderId="0" xfId="0" applyNumberFormat="1" applyFill="1" applyBorder="1" applyAlignment="1">
      <alignment wrapText="1"/>
    </xf>
    <xf numFmtId="174" fontId="7" fillId="12" borderId="0" xfId="0" applyFont="1" applyFill="1" applyAlignment="1">
      <alignment vertical="center"/>
    </xf>
    <xf numFmtId="173" fontId="7" fillId="12" borderId="0" xfId="1" applyNumberFormat="1" applyFont="1" applyFill="1" applyAlignment="1">
      <alignment vertical="center"/>
    </xf>
    <xf numFmtId="173" fontId="6" fillId="12" borderId="0" xfId="1" applyNumberFormat="1" applyFont="1" applyFill="1" applyAlignment="1">
      <alignment vertical="center"/>
    </xf>
    <xf numFmtId="9" fontId="6" fillId="12" borderId="0" xfId="37" applyFont="1" applyFill="1" applyAlignment="1">
      <alignment vertical="center"/>
    </xf>
    <xf numFmtId="173" fontId="48" fillId="12" borderId="2" xfId="1" applyNumberFormat="1" applyFont="1" applyFill="1" applyBorder="1"/>
    <xf numFmtId="166" fontId="7" fillId="7" borderId="0" xfId="1" applyFont="1" applyFill="1" applyAlignment="1">
      <alignment vertical="center"/>
    </xf>
    <xf numFmtId="2" fontId="7" fillId="7" borderId="0" xfId="0" applyNumberFormat="1" applyFont="1" applyFill="1" applyAlignment="1">
      <alignment vertical="center"/>
    </xf>
    <xf numFmtId="38" fontId="17" fillId="0" borderId="0" xfId="32" applyNumberFormat="1" applyFont="1" applyBorder="1" applyAlignment="1">
      <alignment horizontal="left"/>
    </xf>
    <xf numFmtId="173" fontId="17" fillId="0" borderId="0" xfId="1" applyNumberFormat="1" applyFont="1" applyBorder="1" applyAlignment="1">
      <alignment horizontal="center" vertical="center"/>
    </xf>
    <xf numFmtId="174" fontId="16" fillId="0" borderId="0" xfId="32" applyFont="1" applyFill="1" applyBorder="1" applyAlignment="1">
      <alignment horizontal="center" vertical="center" wrapText="1"/>
    </xf>
    <xf numFmtId="0" fontId="40" fillId="0" borderId="0" xfId="24"/>
    <xf numFmtId="38" fontId="53" fillId="0" borderId="0" xfId="24" applyNumberFormat="1" applyFont="1" applyFill="1" applyBorder="1" applyAlignment="1">
      <alignment horizontal="left"/>
    </xf>
    <xf numFmtId="0" fontId="52" fillId="0" borderId="0" xfId="24" applyFont="1" applyFill="1" applyBorder="1"/>
    <xf numFmtId="0" fontId="54" fillId="0" borderId="0" xfId="21" applyFont="1" applyFill="1" applyBorder="1" applyAlignment="1" applyProtection="1"/>
    <xf numFmtId="0" fontId="53" fillId="0" borderId="0" xfId="24" applyFont="1" applyBorder="1" applyAlignment="1">
      <alignment horizontal="center" vertical="center"/>
    </xf>
    <xf numFmtId="3" fontId="70" fillId="0" borderId="0" xfId="10" applyNumberFormat="1" applyFont="1" applyFill="1" applyBorder="1" applyAlignment="1">
      <alignment horizontal="right" vertical="center"/>
    </xf>
    <xf numFmtId="173" fontId="18" fillId="0" borderId="0" xfId="1" applyNumberFormat="1" applyFont="1" applyBorder="1" applyAlignment="1">
      <alignment horizontal="center" vertical="center"/>
    </xf>
    <xf numFmtId="170" fontId="7" fillId="7" borderId="2" xfId="1" applyNumberFormat="1" applyFont="1" applyFill="1" applyBorder="1" applyAlignment="1">
      <alignment horizontal="center"/>
    </xf>
    <xf numFmtId="174" fontId="52" fillId="12" borderId="0" xfId="33" applyFont="1" applyFill="1" applyBorder="1"/>
    <xf numFmtId="174" fontId="53" fillId="12" borderId="0" xfId="33" applyFont="1" applyFill="1" applyBorder="1"/>
    <xf numFmtId="173" fontId="52" fillId="12" borderId="2" xfId="1" applyNumberFormat="1" applyFont="1" applyFill="1" applyBorder="1"/>
    <xf numFmtId="173" fontId="58" fillId="12" borderId="2" xfId="1" applyNumberFormat="1" applyFont="1" applyFill="1" applyBorder="1"/>
    <xf numFmtId="174" fontId="53" fillId="12" borderId="2" xfId="33" applyFont="1" applyFill="1" applyBorder="1"/>
    <xf numFmtId="173" fontId="53" fillId="12" borderId="2" xfId="33" applyNumberFormat="1" applyFont="1" applyFill="1" applyBorder="1"/>
    <xf numFmtId="174" fontId="7" fillId="12" borderId="11" xfId="33" applyFont="1" applyFill="1" applyBorder="1" applyAlignment="1">
      <alignment horizontal="center" vertical="top" wrapText="1"/>
    </xf>
    <xf numFmtId="173" fontId="58" fillId="12" borderId="14" xfId="1" applyNumberFormat="1" applyFont="1" applyFill="1" applyBorder="1"/>
    <xf numFmtId="174" fontId="53" fillId="12" borderId="14" xfId="33" applyFont="1" applyFill="1" applyBorder="1"/>
    <xf numFmtId="174" fontId="7" fillId="12" borderId="2" xfId="33" applyFont="1" applyFill="1" applyBorder="1" applyAlignment="1">
      <alignment horizontal="center" vertical="top" wrapText="1"/>
    </xf>
    <xf numFmtId="174" fontId="52" fillId="12" borderId="2" xfId="33" applyFont="1" applyFill="1" applyBorder="1"/>
    <xf numFmtId="2" fontId="30" fillId="0" borderId="0" xfId="33" applyNumberFormat="1"/>
    <xf numFmtId="2" fontId="0" fillId="0" borderId="0" xfId="1" applyNumberFormat="1" applyFont="1"/>
    <xf numFmtId="2" fontId="52" fillId="0" borderId="0" xfId="33" applyNumberFormat="1" applyFont="1" applyFill="1" applyBorder="1"/>
    <xf numFmtId="9" fontId="52" fillId="12" borderId="0" xfId="37" applyFont="1" applyFill="1" applyBorder="1"/>
    <xf numFmtId="177" fontId="53" fillId="12" borderId="0" xfId="33" applyNumberFormat="1" applyFont="1" applyFill="1" applyBorder="1"/>
    <xf numFmtId="2" fontId="52" fillId="0" borderId="2" xfId="33" applyNumberFormat="1" applyFont="1" applyFill="1" applyBorder="1" applyAlignment="1">
      <alignment vertical="top"/>
    </xf>
    <xf numFmtId="2" fontId="52" fillId="0" borderId="2" xfId="33" applyNumberFormat="1" applyFont="1" applyFill="1" applyBorder="1"/>
    <xf numFmtId="170" fontId="7" fillId="14" borderId="2" xfId="1" applyNumberFormat="1" applyFont="1" applyFill="1" applyBorder="1"/>
    <xf numFmtId="174" fontId="53" fillId="7" borderId="5" xfId="33" applyFont="1" applyFill="1" applyBorder="1" applyAlignment="1"/>
    <xf numFmtId="174" fontId="52" fillId="0" borderId="2" xfId="33" applyFont="1" applyFill="1" applyBorder="1" applyAlignment="1">
      <alignment horizontal="center" vertical="top"/>
    </xf>
    <xf numFmtId="174" fontId="71" fillId="12" borderId="2" xfId="31" applyFont="1" applyFill="1" applyBorder="1" applyAlignment="1">
      <alignment vertical="center" wrapText="1"/>
    </xf>
    <xf numFmtId="166" fontId="7" fillId="12" borderId="0" xfId="1" applyFont="1" applyFill="1" applyAlignment="1">
      <alignment vertical="center"/>
    </xf>
    <xf numFmtId="9" fontId="7" fillId="12" borderId="0" xfId="0" applyNumberFormat="1" applyFont="1" applyFill="1" applyAlignment="1">
      <alignment vertical="center"/>
    </xf>
    <xf numFmtId="173" fontId="6" fillId="0" borderId="0" xfId="1" applyNumberFormat="1" applyAlignment="1">
      <alignment vertical="center"/>
    </xf>
    <xf numFmtId="173" fontId="63" fillId="12" borderId="0" xfId="1" applyNumberFormat="1" applyFont="1" applyFill="1" applyBorder="1" applyAlignment="1">
      <alignment horizontal="justify" vertical="center" wrapText="1"/>
    </xf>
    <xf numFmtId="173" fontId="63" fillId="12" borderId="0" xfId="1" applyNumberFormat="1" applyFont="1" applyFill="1" applyBorder="1" applyAlignment="1">
      <alignment horizontal="justify" vertical="center"/>
    </xf>
    <xf numFmtId="173" fontId="63" fillId="0" borderId="2" xfId="1" applyNumberFormat="1" applyFont="1" applyBorder="1" applyAlignment="1">
      <alignment horizontal="center" vertical="center"/>
    </xf>
    <xf numFmtId="174" fontId="7" fillId="0" borderId="2" xfId="26" applyFont="1" applyBorder="1" applyAlignment="1">
      <alignment vertical="center"/>
    </xf>
    <xf numFmtId="173" fontId="63" fillId="7" borderId="16" xfId="1" applyNumberFormat="1" applyFont="1" applyFill="1" applyBorder="1" applyAlignment="1">
      <alignment vertical="center"/>
    </xf>
    <xf numFmtId="173" fontId="63" fillId="0" borderId="2" xfId="1" applyNumberFormat="1" applyFont="1" applyFill="1" applyBorder="1" applyAlignment="1">
      <alignment horizontal="justify" vertical="center"/>
    </xf>
    <xf numFmtId="173" fontId="63" fillId="7" borderId="2" xfId="1" applyNumberFormat="1" applyFont="1" applyFill="1" applyBorder="1" applyAlignment="1">
      <alignment horizontal="justify" vertical="center"/>
    </xf>
    <xf numFmtId="173" fontId="63" fillId="7" borderId="2" xfId="1" applyNumberFormat="1" applyFont="1" applyFill="1" applyBorder="1" applyAlignment="1">
      <alignment vertical="center"/>
    </xf>
    <xf numFmtId="173" fontId="63" fillId="0" borderId="2" xfId="1" applyNumberFormat="1" applyFont="1" applyBorder="1" applyAlignment="1">
      <alignment vertical="center"/>
    </xf>
    <xf numFmtId="173" fontId="63" fillId="0" borderId="2" xfId="1" applyNumberFormat="1" applyFont="1" applyBorder="1" applyAlignment="1">
      <alignment horizontal="justify" vertical="center" wrapText="1"/>
    </xf>
    <xf numFmtId="173" fontId="63" fillId="7" borderId="2" xfId="1" applyNumberFormat="1" applyFont="1" applyFill="1" applyBorder="1" applyAlignment="1">
      <alignment horizontal="justify" vertical="center" wrapText="1"/>
    </xf>
    <xf numFmtId="174" fontId="63" fillId="7" borderId="2" xfId="26" applyFont="1" applyFill="1" applyBorder="1" applyAlignment="1">
      <alignment horizontal="justify" vertical="center" wrapText="1"/>
    </xf>
    <xf numFmtId="174" fontId="63" fillId="0" borderId="2" xfId="26" applyFont="1" applyBorder="1" applyAlignment="1">
      <alignment horizontal="justify" vertical="center" wrapText="1"/>
    </xf>
    <xf numFmtId="170" fontId="7" fillId="7" borderId="0" xfId="1" applyNumberFormat="1" applyFont="1" applyFill="1" applyBorder="1"/>
    <xf numFmtId="174" fontId="30" fillId="7" borderId="2" xfId="33" applyFill="1" applyBorder="1" applyAlignment="1">
      <alignment horizontal="center"/>
    </xf>
    <xf numFmtId="174" fontId="30" fillId="7" borderId="5" xfId="33" applyFill="1" applyBorder="1" applyAlignment="1">
      <alignment horizontal="center"/>
    </xf>
    <xf numFmtId="9" fontId="7" fillId="12" borderId="0" xfId="37" applyFont="1" applyFill="1" applyAlignment="1">
      <alignment vertical="center"/>
    </xf>
    <xf numFmtId="173" fontId="17" fillId="0" borderId="0" xfId="1" applyNumberFormat="1" applyFont="1" applyBorder="1" applyAlignment="1">
      <alignment horizontal="left" vertical="center"/>
    </xf>
    <xf numFmtId="2" fontId="0" fillId="0" borderId="0" xfId="1" applyNumberFormat="1" applyFont="1" applyAlignment="1">
      <alignment vertical="center"/>
    </xf>
    <xf numFmtId="2" fontId="0" fillId="0" borderId="0" xfId="37" applyNumberFormat="1" applyFont="1" applyAlignment="1">
      <alignment vertical="center"/>
    </xf>
    <xf numFmtId="9" fontId="6" fillId="12" borderId="0" xfId="37" applyNumberFormat="1" applyFont="1" applyFill="1" applyAlignment="1">
      <alignment vertical="center"/>
    </xf>
    <xf numFmtId="3" fontId="17" fillId="0" borderId="0" xfId="32" applyNumberFormat="1" applyFont="1" applyBorder="1" applyAlignment="1">
      <alignment vertical="center"/>
    </xf>
    <xf numFmtId="9" fontId="17" fillId="0" borderId="0" xfId="37" applyFont="1" applyBorder="1" applyAlignment="1">
      <alignment vertical="center"/>
    </xf>
    <xf numFmtId="0" fontId="40" fillId="0" borderId="0" xfId="24" applyAlignment="1">
      <alignment horizontal="center"/>
    </xf>
    <xf numFmtId="0" fontId="72" fillId="0" borderId="0" xfId="24" applyFont="1" applyAlignment="1">
      <alignment horizontal="center"/>
    </xf>
    <xf numFmtId="0" fontId="7" fillId="15" borderId="0" xfId="24" applyFont="1" applyFill="1"/>
    <xf numFmtId="0" fontId="19" fillId="0" borderId="0" xfId="32" applyNumberFormat="1"/>
    <xf numFmtId="0" fontId="18" fillId="0" borderId="0" xfId="32" applyNumberFormat="1" applyFont="1" applyFill="1" applyBorder="1" applyAlignment="1">
      <alignment horizontal="left"/>
    </xf>
    <xf numFmtId="0" fontId="25" fillId="0" borderId="0" xfId="19" applyNumberFormat="1" applyFont="1" applyFill="1" applyBorder="1" applyAlignment="1" applyProtection="1"/>
    <xf numFmtId="0" fontId="20" fillId="0" borderId="0" xfId="32" applyNumberFormat="1" applyFont="1" applyAlignment="1">
      <alignment vertical="center"/>
    </xf>
    <xf numFmtId="0" fontId="16" fillId="0" borderId="0" xfId="32" applyNumberFormat="1" applyFont="1" applyFill="1" applyBorder="1" applyAlignment="1">
      <alignment horizontal="right" vertical="center" wrapText="1"/>
    </xf>
    <xf numFmtId="0" fontId="16" fillId="0" borderId="0" xfId="32" applyNumberFormat="1" applyFont="1" applyFill="1" applyBorder="1" applyAlignment="1">
      <alignment horizontal="center" vertical="center" wrapText="1"/>
    </xf>
    <xf numFmtId="0" fontId="5" fillId="0" borderId="0" xfId="32" applyNumberFormat="1" applyFont="1" applyBorder="1"/>
    <xf numFmtId="0" fontId="17" fillId="0" borderId="0" xfId="1" applyNumberFormat="1" applyFont="1" applyFill="1" applyBorder="1"/>
    <xf numFmtId="0" fontId="24" fillId="7" borderId="0" xfId="32" applyNumberFormat="1" applyFont="1" applyFill="1" applyBorder="1"/>
    <xf numFmtId="0" fontId="17" fillId="7" borderId="0" xfId="1" applyNumberFormat="1" applyFont="1" applyFill="1" applyBorder="1"/>
    <xf numFmtId="0" fontId="18" fillId="0" borderId="0" xfId="32" applyNumberFormat="1" applyFont="1" applyBorder="1"/>
    <xf numFmtId="0" fontId="6" fillId="0" borderId="0" xfId="32" applyNumberFormat="1" applyFont="1"/>
    <xf numFmtId="0" fontId="17" fillId="0" borderId="0" xfId="9" applyNumberFormat="1" applyFont="1" applyFill="1" applyBorder="1" applyAlignment="1">
      <alignment horizontal="right"/>
    </xf>
    <xf numFmtId="166" fontId="17" fillId="0" borderId="0" xfId="32" applyNumberFormat="1" applyFont="1" applyFill="1" applyBorder="1"/>
    <xf numFmtId="166" fontId="18" fillId="0" borderId="0" xfId="1" applyNumberFormat="1" applyFont="1" applyFill="1" applyBorder="1"/>
    <xf numFmtId="38" fontId="17" fillId="0" borderId="0" xfId="32" applyNumberFormat="1" applyFont="1" applyFill="1" applyBorder="1" applyAlignment="1">
      <alignment horizontal="left"/>
    </xf>
    <xf numFmtId="174" fontId="41" fillId="0" borderId="0" xfId="19" applyFont="1" applyFill="1" applyBorder="1" applyAlignment="1" applyProtection="1"/>
    <xf numFmtId="174" fontId="42" fillId="0" borderId="0" xfId="32" applyFont="1" applyAlignment="1">
      <alignment vertical="center"/>
    </xf>
    <xf numFmtId="174" fontId="41" fillId="0" borderId="0" xfId="32" applyFont="1" applyFill="1" applyBorder="1"/>
    <xf numFmtId="174" fontId="17" fillId="0" borderId="0" xfId="32" applyFont="1" applyFill="1" applyBorder="1" applyAlignment="1">
      <alignment horizontal="right" vertical="center" wrapText="1"/>
    </xf>
    <xf numFmtId="174" fontId="17" fillId="0" borderId="0" xfId="32" applyFont="1" applyFill="1" applyBorder="1" applyAlignment="1">
      <alignment horizontal="center" vertical="center" wrapText="1"/>
    </xf>
    <xf numFmtId="2" fontId="17" fillId="0" borderId="0" xfId="32" applyNumberFormat="1" applyFont="1" applyFill="1" applyBorder="1"/>
    <xf numFmtId="2" fontId="17" fillId="7" borderId="0" xfId="32" applyNumberFormat="1" applyFont="1" applyFill="1" applyBorder="1"/>
    <xf numFmtId="174" fontId="17" fillId="0" borderId="0" xfId="32" applyFont="1" applyFill="1" applyBorder="1" applyAlignment="1">
      <alignment horizontal="center"/>
    </xf>
    <xf numFmtId="2" fontId="16" fillId="0" borderId="0" xfId="32" applyNumberFormat="1" applyFont="1" applyFill="1" applyBorder="1" applyAlignment="1">
      <alignment horizontal="center" vertical="center" wrapText="1"/>
    </xf>
    <xf numFmtId="2" fontId="16" fillId="0" borderId="0" xfId="32" applyNumberFormat="1" applyFont="1" applyFill="1" applyBorder="1" applyAlignment="1">
      <alignment horizontal="right" vertical="center" wrapText="1"/>
    </xf>
    <xf numFmtId="2" fontId="16" fillId="0" borderId="0" xfId="18" applyNumberFormat="1" applyFont="1" applyFill="1" applyBorder="1" applyAlignment="1">
      <alignment horizontal="right"/>
    </xf>
    <xf numFmtId="174" fontId="24" fillId="0" borderId="0" xfId="19" applyFont="1" applyBorder="1" applyAlignment="1" applyProtection="1">
      <alignment vertical="center"/>
    </xf>
    <xf numFmtId="174" fontId="18" fillId="0" borderId="0" xfId="32" applyFont="1" applyFill="1" applyBorder="1" applyAlignment="1">
      <alignment horizontal="right" vertical="center" wrapText="1"/>
    </xf>
    <xf numFmtId="166" fontId="52" fillId="12" borderId="2" xfId="1" applyNumberFormat="1" applyFont="1" applyFill="1" applyBorder="1"/>
    <xf numFmtId="166" fontId="52" fillId="0" borderId="2" xfId="1" applyNumberFormat="1" applyFont="1" applyFill="1" applyBorder="1"/>
    <xf numFmtId="166" fontId="53" fillId="7" borderId="14" xfId="1" applyNumberFormat="1" applyFont="1" applyFill="1" applyBorder="1" applyAlignment="1">
      <alignment horizontal="center"/>
    </xf>
    <xf numFmtId="2" fontId="17" fillId="0" borderId="0" xfId="9" applyNumberFormat="1" applyFont="1" applyFill="1" applyBorder="1" applyAlignment="1">
      <alignment horizontal="right"/>
    </xf>
    <xf numFmtId="2" fontId="19" fillId="0" borderId="0" xfId="32" applyNumberFormat="1"/>
    <xf numFmtId="0" fontId="48" fillId="0" borderId="0" xfId="23" applyFill="1" applyBorder="1"/>
    <xf numFmtId="166" fontId="48" fillId="0" borderId="0" xfId="1" applyFont="1" applyFill="1" applyBorder="1"/>
    <xf numFmtId="0" fontId="49" fillId="0" borderId="0" xfId="23" applyFont="1" applyFill="1" applyBorder="1"/>
    <xf numFmtId="43" fontId="48" fillId="0" borderId="0" xfId="23" applyNumberFormat="1" applyFill="1" applyBorder="1"/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48" fillId="0" borderId="0" xfId="23" applyFont="1" applyFill="1" applyBorder="1"/>
    <xf numFmtId="2" fontId="18" fillId="7" borderId="0" xfId="12" applyNumberFormat="1" applyFont="1" applyFill="1" applyBorder="1" applyAlignment="1">
      <alignment vertical="center"/>
    </xf>
    <xf numFmtId="2" fontId="18" fillId="0" borderId="0" xfId="32" applyNumberFormat="1" applyFont="1" applyBorder="1" applyAlignment="1">
      <alignment vertical="center"/>
    </xf>
    <xf numFmtId="2" fontId="17" fillId="0" borderId="0" xfId="1" applyNumberFormat="1" applyFont="1" applyBorder="1" applyAlignment="1">
      <alignment vertical="center"/>
    </xf>
    <xf numFmtId="2" fontId="17" fillId="0" borderId="0" xfId="32" applyNumberFormat="1" applyFont="1" applyBorder="1" applyAlignment="1">
      <alignment vertical="center"/>
    </xf>
    <xf numFmtId="2" fontId="18" fillId="0" borderId="0" xfId="12" applyNumberFormat="1" applyFont="1" applyFill="1" applyBorder="1" applyAlignment="1">
      <alignment vertical="center"/>
    </xf>
    <xf numFmtId="2" fontId="17" fillId="0" borderId="0" xfId="32" applyNumberFormat="1" applyFont="1" applyFill="1" applyBorder="1" applyAlignment="1">
      <alignment vertical="center"/>
    </xf>
    <xf numFmtId="2" fontId="15" fillId="0" borderId="0" xfId="1" applyNumberFormat="1" applyFont="1" applyFill="1" applyBorder="1" applyAlignment="1">
      <alignment vertical="center"/>
    </xf>
    <xf numFmtId="2" fontId="64" fillId="0" borderId="0" xfId="31" applyNumberFormat="1" applyFont="1" applyBorder="1" applyAlignment="1">
      <alignment horizontal="center" vertical="center"/>
    </xf>
    <xf numFmtId="2" fontId="17" fillId="0" borderId="0" xfId="1" applyNumberFormat="1" applyFont="1" applyFill="1" applyBorder="1" applyAlignment="1">
      <alignment vertical="center"/>
    </xf>
    <xf numFmtId="173" fontId="7" fillId="12" borderId="2" xfId="1" applyNumberFormat="1" applyFont="1" applyFill="1" applyBorder="1" applyAlignment="1">
      <alignment horizontal="center" vertical="top" wrapText="1"/>
    </xf>
    <xf numFmtId="173" fontId="6" fillId="12" borderId="2" xfId="1" applyNumberFormat="1" applyFont="1" applyFill="1" applyBorder="1" applyAlignment="1">
      <alignment horizontal="center" vertical="top" wrapText="1"/>
    </xf>
    <xf numFmtId="173" fontId="48" fillId="12" borderId="14" xfId="1" applyNumberFormat="1" applyFont="1" applyFill="1" applyBorder="1"/>
    <xf numFmtId="173" fontId="48" fillId="0" borderId="2" xfId="1" applyNumberFormat="1" applyFont="1" applyFill="1" applyBorder="1"/>
    <xf numFmtId="173" fontId="52" fillId="12" borderId="14" xfId="1" applyNumberFormat="1" applyFont="1" applyFill="1" applyBorder="1"/>
    <xf numFmtId="173" fontId="53" fillId="7" borderId="14" xfId="1" applyNumberFormat="1" applyFont="1" applyFill="1" applyBorder="1" applyAlignment="1"/>
    <xf numFmtId="173" fontId="53" fillId="7" borderId="14" xfId="1" applyNumberFormat="1" applyFont="1" applyFill="1" applyBorder="1" applyAlignment="1">
      <alignment horizontal="center"/>
    </xf>
    <xf numFmtId="2" fontId="29" fillId="0" borderId="0" xfId="32" applyNumberFormat="1" applyFont="1" applyFill="1" applyBorder="1" applyAlignment="1">
      <alignment horizontal="center" vertical="center" wrapText="1"/>
    </xf>
    <xf numFmtId="1" fontId="17" fillId="0" borderId="0" xfId="32" applyNumberFormat="1" applyFont="1" applyBorder="1" applyAlignment="1">
      <alignment vertical="center"/>
    </xf>
    <xf numFmtId="1" fontId="17" fillId="7" borderId="0" xfId="1" applyNumberFormat="1" applyFont="1" applyFill="1" applyBorder="1"/>
    <xf numFmtId="169" fontId="52" fillId="12" borderId="0" xfId="37" applyNumberFormat="1" applyFont="1" applyFill="1" applyBorder="1"/>
    <xf numFmtId="9" fontId="73" fillId="0" borderId="0" xfId="37" applyFont="1" applyFill="1" applyBorder="1"/>
    <xf numFmtId="174" fontId="32" fillId="0" borderId="0" xfId="0" applyFont="1" applyFill="1" applyBorder="1" applyAlignment="1">
      <alignment vertical="center"/>
    </xf>
    <xf numFmtId="173" fontId="32" fillId="0" borderId="0" xfId="1" applyNumberFormat="1" applyFont="1" applyFill="1" applyBorder="1" applyAlignment="1">
      <alignment vertical="center"/>
    </xf>
    <xf numFmtId="2" fontId="46" fillId="17" borderId="0" xfId="0" applyNumberFormat="1" applyFont="1" applyFill="1" applyBorder="1" applyAlignment="1">
      <alignment vertical="center"/>
    </xf>
    <xf numFmtId="1" fontId="43" fillId="17" borderId="0" xfId="0" applyNumberFormat="1" applyFont="1" applyFill="1" applyBorder="1" applyAlignment="1">
      <alignment vertical="center"/>
    </xf>
    <xf numFmtId="174" fontId="46" fillId="17" borderId="0" xfId="0" applyFont="1" applyFill="1" applyBorder="1" applyAlignment="1">
      <alignment vertical="center"/>
    </xf>
    <xf numFmtId="174" fontId="45" fillId="0" borderId="0" xfId="0" applyFont="1" applyFill="1" applyBorder="1" applyAlignment="1">
      <alignment horizontal="center" vertical="center"/>
    </xf>
    <xf numFmtId="2" fontId="46" fillId="0" borderId="0" xfId="0" applyNumberFormat="1" applyFont="1" applyFill="1" applyBorder="1" applyAlignment="1">
      <alignment vertical="center"/>
    </xf>
    <xf numFmtId="1" fontId="43" fillId="0" borderId="0" xfId="0" applyNumberFormat="1" applyFont="1" applyFill="1" applyBorder="1" applyAlignment="1">
      <alignment vertical="center"/>
    </xf>
    <xf numFmtId="174" fontId="46" fillId="0" borderId="0" xfId="0" applyFont="1" applyFill="1" applyBorder="1" applyAlignment="1">
      <alignment vertical="center"/>
    </xf>
    <xf numFmtId="10" fontId="39" fillId="0" borderId="0" xfId="42" applyNumberFormat="1" applyFont="1" applyFill="1" applyBorder="1" applyAlignment="1">
      <alignment vertical="center" wrapText="1"/>
    </xf>
    <xf numFmtId="174" fontId="39" fillId="0" borderId="0" xfId="0" applyFont="1" applyFill="1" applyBorder="1" applyAlignment="1">
      <alignment vertical="center"/>
    </xf>
    <xf numFmtId="3" fontId="32" fillId="0" borderId="0" xfId="0" applyNumberFormat="1" applyFont="1" applyFill="1" applyBorder="1" applyAlignment="1">
      <alignment vertical="center"/>
    </xf>
    <xf numFmtId="2" fontId="39" fillId="0" borderId="0" xfId="42" applyNumberFormat="1" applyFont="1" applyFill="1" applyBorder="1" applyAlignment="1">
      <alignment vertical="center"/>
    </xf>
    <xf numFmtId="1" fontId="32" fillId="0" borderId="0" xfId="0" applyNumberFormat="1" applyFont="1" applyFill="1" applyBorder="1" applyAlignment="1">
      <alignment vertical="center"/>
    </xf>
    <xf numFmtId="2" fontId="39" fillId="0" borderId="0" xfId="0" applyNumberFormat="1" applyFont="1" applyFill="1" applyBorder="1" applyAlignment="1">
      <alignment vertical="center"/>
    </xf>
    <xf numFmtId="174" fontId="39" fillId="0" borderId="0" xfId="0" applyFont="1" applyFill="1" applyBorder="1" applyAlignment="1">
      <alignment vertical="center" wrapText="1"/>
    </xf>
    <xf numFmtId="173" fontId="32" fillId="0" borderId="0" xfId="1" applyNumberFormat="1" applyFont="1" applyFill="1" applyBorder="1" applyAlignment="1">
      <alignment vertical="center" wrapText="1"/>
    </xf>
    <xf numFmtId="174" fontId="75" fillId="0" borderId="0" xfId="0" applyFont="1" applyFill="1" applyBorder="1" applyAlignment="1">
      <alignment vertical="center"/>
    </xf>
    <xf numFmtId="3" fontId="39" fillId="0" borderId="0" xfId="0" applyNumberFormat="1" applyFont="1" applyFill="1" applyBorder="1" applyAlignment="1">
      <alignment vertical="center"/>
    </xf>
    <xf numFmtId="173" fontId="75" fillId="0" borderId="0" xfId="1" applyNumberFormat="1" applyFont="1" applyFill="1" applyBorder="1" applyAlignment="1">
      <alignment vertical="center"/>
    </xf>
    <xf numFmtId="2" fontId="39" fillId="0" borderId="0" xfId="1" applyNumberFormat="1" applyFont="1" applyFill="1" applyBorder="1" applyAlignment="1">
      <alignment vertical="center"/>
    </xf>
    <xf numFmtId="166" fontId="39" fillId="0" borderId="0" xfId="1" applyFont="1" applyFill="1" applyBorder="1" applyAlignment="1">
      <alignment vertical="center" wrapText="1"/>
    </xf>
    <xf numFmtId="174" fontId="32" fillId="0" borderId="0" xfId="0" applyFont="1" applyFill="1" applyBorder="1" applyAlignment="1">
      <alignment horizontal="center" vertical="center"/>
    </xf>
    <xf numFmtId="173" fontId="39" fillId="0" borderId="0" xfId="1" applyNumberFormat="1" applyFont="1" applyFill="1" applyBorder="1" applyAlignment="1">
      <alignment vertical="center"/>
    </xf>
    <xf numFmtId="174" fontId="32" fillId="0" borderId="0" xfId="0" applyFont="1" applyFill="1" applyBorder="1" applyAlignment="1">
      <alignment vertical="center" wrapText="1"/>
    </xf>
    <xf numFmtId="2" fontId="79" fillId="0" borderId="0" xfId="42" applyNumberFormat="1" applyFont="1" applyFill="1" applyBorder="1" applyAlignment="1">
      <alignment vertical="center"/>
    </xf>
    <xf numFmtId="2" fontId="79" fillId="0" borderId="0" xfId="0" applyNumberFormat="1" applyFont="1" applyFill="1" applyBorder="1" applyAlignment="1">
      <alignment vertical="center"/>
    </xf>
    <xf numFmtId="1" fontId="39" fillId="0" borderId="0" xfId="0" applyNumberFormat="1" applyFont="1" applyFill="1" applyBorder="1" applyAlignment="1">
      <alignment vertical="center"/>
    </xf>
    <xf numFmtId="174" fontId="80" fillId="0" borderId="0" xfId="0" applyFont="1" applyFill="1" applyBorder="1" applyAlignment="1">
      <alignment vertical="center"/>
    </xf>
    <xf numFmtId="1" fontId="32" fillId="0" borderId="0" xfId="1" applyNumberFormat="1" applyFont="1" applyFill="1" applyBorder="1" applyAlignment="1">
      <alignment vertical="center"/>
    </xf>
    <xf numFmtId="174" fontId="39" fillId="0" borderId="0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/>
    </xf>
    <xf numFmtId="2" fontId="32" fillId="0" borderId="0" xfId="1" applyNumberFormat="1" applyFont="1" applyFill="1" applyBorder="1" applyAlignment="1">
      <alignment vertical="center"/>
    </xf>
    <xf numFmtId="174" fontId="39" fillId="17" borderId="0" xfId="0" applyFont="1" applyFill="1" applyBorder="1" applyAlignment="1">
      <alignment vertical="center"/>
    </xf>
    <xf numFmtId="174" fontId="32" fillId="14" borderId="0" xfId="0" applyFont="1" applyFill="1" applyBorder="1" applyAlignment="1">
      <alignment horizontal="center" vertical="center"/>
    </xf>
    <xf numFmtId="174" fontId="32" fillId="17" borderId="0" xfId="0" applyFont="1" applyFill="1" applyBorder="1" applyAlignment="1">
      <alignment vertical="center"/>
    </xf>
    <xf numFmtId="174" fontId="39" fillId="17" borderId="0" xfId="0" applyFont="1" applyFill="1" applyBorder="1" applyAlignment="1">
      <alignment horizontal="center" vertical="center" wrapText="1"/>
    </xf>
    <xf numFmtId="3" fontId="32" fillId="17" borderId="0" xfId="0" applyNumberFormat="1" applyFont="1" applyFill="1" applyBorder="1" applyAlignment="1">
      <alignment horizontal="center" vertical="center"/>
    </xf>
    <xf numFmtId="2" fontId="39" fillId="17" borderId="0" xfId="0" applyNumberFormat="1" applyFont="1" applyFill="1" applyBorder="1" applyAlignment="1">
      <alignment vertical="center"/>
    </xf>
    <xf numFmtId="1" fontId="32" fillId="17" borderId="0" xfId="0" applyNumberFormat="1" applyFont="1" applyFill="1" applyBorder="1" applyAlignment="1">
      <alignment vertical="center"/>
    </xf>
    <xf numFmtId="166" fontId="39" fillId="0" borderId="0" xfId="1" applyFont="1" applyFill="1" applyBorder="1" applyAlignment="1">
      <alignment vertical="center"/>
    </xf>
    <xf numFmtId="173" fontId="32" fillId="17" borderId="0" xfId="1" applyNumberFormat="1" applyFont="1" applyFill="1" applyBorder="1" applyAlignment="1">
      <alignment vertical="center"/>
    </xf>
    <xf numFmtId="174" fontId="39" fillId="12" borderId="0" xfId="0" applyFont="1" applyFill="1" applyBorder="1" applyAlignment="1">
      <alignment vertical="center"/>
    </xf>
    <xf numFmtId="174" fontId="32" fillId="12" borderId="0" xfId="0" applyFont="1" applyFill="1" applyBorder="1" applyAlignment="1">
      <alignment horizontal="center" vertical="center"/>
    </xf>
    <xf numFmtId="174" fontId="32" fillId="12" borderId="0" xfId="0" applyFont="1" applyFill="1" applyBorder="1" applyAlignment="1">
      <alignment vertical="center"/>
    </xf>
    <xf numFmtId="174" fontId="81" fillId="12" borderId="0" xfId="0" applyFont="1" applyFill="1" applyBorder="1" applyAlignment="1">
      <alignment horizontal="center" vertical="center"/>
    </xf>
    <xf numFmtId="174" fontId="81" fillId="0" borderId="0" xfId="0" applyFont="1" applyBorder="1" applyAlignment="1">
      <alignment horizontal="center" vertical="center"/>
    </xf>
    <xf numFmtId="174" fontId="39" fillId="0" borderId="0" xfId="0" applyFont="1" applyBorder="1" applyAlignment="1">
      <alignment vertical="center"/>
    </xf>
    <xf numFmtId="1" fontId="39" fillId="12" borderId="0" xfId="0" applyNumberFormat="1" applyFont="1" applyFill="1" applyBorder="1" applyAlignment="1">
      <alignment horizontal="center" vertical="center"/>
    </xf>
    <xf numFmtId="174" fontId="47" fillId="12" borderId="0" xfId="19" applyFont="1" applyFill="1" applyBorder="1" applyAlignment="1" applyProtection="1">
      <alignment vertical="center"/>
    </xf>
    <xf numFmtId="174" fontId="39" fillId="18" borderId="0" xfId="0" applyFont="1" applyFill="1" applyBorder="1" applyAlignment="1">
      <alignment horizontal="center" vertical="center"/>
    </xf>
    <xf numFmtId="174" fontId="82" fillId="12" borderId="0" xfId="19" applyFont="1" applyFill="1" applyBorder="1" applyAlignment="1" applyProtection="1"/>
    <xf numFmtId="174" fontId="39" fillId="18" borderId="0" xfId="0" applyFont="1" applyFill="1" applyBorder="1" applyAlignment="1">
      <alignment vertical="center"/>
    </xf>
    <xf numFmtId="174" fontId="39" fillId="12" borderId="0" xfId="0" applyFont="1" applyFill="1" applyBorder="1" applyAlignment="1">
      <alignment horizontal="left" vertical="center"/>
    </xf>
    <xf numFmtId="9" fontId="83" fillId="12" borderId="0" xfId="37" applyFont="1" applyFill="1" applyBorder="1" applyAlignment="1">
      <alignment vertical="center"/>
    </xf>
    <xf numFmtId="9" fontId="83" fillId="12" borderId="0" xfId="37" applyFont="1" applyFill="1" applyBorder="1" applyAlignment="1">
      <alignment horizontal="center" vertical="center"/>
    </xf>
    <xf numFmtId="9" fontId="39" fillId="12" borderId="0" xfId="37" applyFont="1" applyFill="1" applyBorder="1" applyAlignment="1">
      <alignment horizontal="center" vertical="center"/>
    </xf>
    <xf numFmtId="173" fontId="39" fillId="12" borderId="0" xfId="1" applyNumberFormat="1" applyFont="1" applyFill="1" applyBorder="1" applyAlignment="1">
      <alignment vertical="center"/>
    </xf>
    <xf numFmtId="173" fontId="83" fillId="12" borderId="0" xfId="1" applyNumberFormat="1" applyFont="1" applyFill="1" applyBorder="1" applyAlignment="1">
      <alignment horizontal="center" vertical="center"/>
    </xf>
    <xf numFmtId="173" fontId="39" fillId="12" borderId="0" xfId="1" applyNumberFormat="1" applyFont="1" applyFill="1" applyBorder="1" applyAlignment="1">
      <alignment horizontal="center" vertical="center"/>
    </xf>
    <xf numFmtId="1" fontId="83" fillId="12" borderId="0" xfId="0" applyNumberFormat="1" applyFont="1" applyFill="1" applyBorder="1" applyAlignment="1">
      <alignment horizontal="center" vertical="center"/>
    </xf>
    <xf numFmtId="174" fontId="39" fillId="12" borderId="0" xfId="0" quotePrefix="1" applyFont="1" applyFill="1" applyBorder="1" applyAlignment="1">
      <alignment vertical="center"/>
    </xf>
    <xf numFmtId="0" fontId="39" fillId="0" borderId="0" xfId="0" applyNumberFormat="1" applyFont="1" applyBorder="1" applyAlignment="1">
      <alignment vertical="center"/>
    </xf>
    <xf numFmtId="1" fontId="39" fillId="17" borderId="0" xfId="0" applyNumberFormat="1" applyFont="1" applyFill="1" applyBorder="1" applyAlignment="1">
      <alignment horizontal="center" vertical="center"/>
    </xf>
    <xf numFmtId="173" fontId="39" fillId="17" borderId="0" xfId="1" applyNumberFormat="1" applyFont="1" applyFill="1" applyBorder="1" applyAlignment="1">
      <alignment vertical="center"/>
    </xf>
    <xf numFmtId="173" fontId="83" fillId="17" borderId="0" xfId="1" applyNumberFormat="1" applyFont="1" applyFill="1" applyBorder="1" applyAlignment="1">
      <alignment horizontal="center" vertical="center"/>
    </xf>
    <xf numFmtId="173" fontId="39" fillId="17" borderId="0" xfId="1" applyNumberFormat="1" applyFont="1" applyFill="1" applyBorder="1" applyAlignment="1">
      <alignment horizontal="center" vertical="center"/>
    </xf>
    <xf numFmtId="174" fontId="39" fillId="12" borderId="0" xfId="0" applyFont="1" applyFill="1" applyBorder="1" applyAlignment="1">
      <alignment horizontal="left" vertical="center" wrapText="1"/>
    </xf>
    <xf numFmtId="2" fontId="39" fillId="12" borderId="0" xfId="0" applyNumberFormat="1" applyFont="1" applyFill="1" applyBorder="1" applyAlignment="1">
      <alignment vertical="center"/>
    </xf>
    <xf numFmtId="174" fontId="32" fillId="12" borderId="0" xfId="0" applyFont="1" applyFill="1" applyBorder="1" applyAlignment="1">
      <alignment vertical="top"/>
    </xf>
    <xf numFmtId="174" fontId="39" fillId="12" borderId="0" xfId="0" applyFont="1" applyFill="1" applyBorder="1" applyAlignment="1">
      <alignment vertical="top"/>
    </xf>
    <xf numFmtId="174" fontId="39" fillId="12" borderId="0" xfId="0" applyFont="1" applyFill="1" applyBorder="1" applyAlignment="1">
      <alignment horizontal="right" vertical="top"/>
    </xf>
    <xf numFmtId="173" fontId="83" fillId="12" borderId="0" xfId="1" applyNumberFormat="1" applyFont="1" applyFill="1" applyBorder="1" applyAlignment="1">
      <alignment vertical="top"/>
    </xf>
    <xf numFmtId="9" fontId="83" fillId="12" borderId="0" xfId="37" applyFont="1" applyFill="1" applyBorder="1" applyAlignment="1">
      <alignment vertical="top"/>
    </xf>
    <xf numFmtId="1" fontId="39" fillId="12" borderId="0" xfId="0" applyNumberFormat="1" applyFont="1" applyFill="1" applyBorder="1" applyAlignment="1">
      <alignment vertical="center"/>
    </xf>
    <xf numFmtId="1" fontId="83" fillId="12" borderId="0" xfId="0" applyNumberFormat="1" applyFont="1" applyFill="1" applyBorder="1" applyAlignment="1">
      <alignment vertical="top"/>
    </xf>
    <xf numFmtId="174" fontId="39" fillId="12" borderId="0" xfId="0" applyFont="1" applyFill="1" applyBorder="1" applyAlignment="1">
      <alignment horizontal="center" vertical="center"/>
    </xf>
    <xf numFmtId="0" fontId="79" fillId="12" borderId="0" xfId="0" applyNumberFormat="1" applyFont="1" applyFill="1" applyBorder="1" applyAlignment="1">
      <alignment horizontal="center" vertical="center"/>
    </xf>
    <xf numFmtId="0" fontId="81" fillId="12" borderId="0" xfId="0" applyNumberFormat="1" applyFont="1" applyFill="1" applyBorder="1" applyAlignment="1">
      <alignment vertical="center"/>
    </xf>
    <xf numFmtId="174" fontId="79" fillId="12" borderId="0" xfId="0" applyFont="1" applyFill="1" applyBorder="1" applyAlignment="1">
      <alignment vertical="center"/>
    </xf>
    <xf numFmtId="166" fontId="39" fillId="12" borderId="0" xfId="1" applyFont="1" applyFill="1" applyBorder="1" applyAlignment="1">
      <alignment vertical="center"/>
    </xf>
    <xf numFmtId="1" fontId="32" fillId="19" borderId="0" xfId="0" applyNumberFormat="1" applyFont="1" applyFill="1" applyBorder="1" applyAlignment="1">
      <alignment vertical="center"/>
    </xf>
    <xf numFmtId="1" fontId="39" fillId="0" borderId="0" xfId="0" applyNumberFormat="1" applyFont="1" applyBorder="1" applyAlignment="1">
      <alignment vertical="center"/>
    </xf>
    <xf numFmtId="2" fontId="32" fillId="0" borderId="0" xfId="0" applyNumberFormat="1" applyFont="1" applyFill="1" applyBorder="1" applyAlignment="1">
      <alignment vertical="center"/>
    </xf>
    <xf numFmtId="0" fontId="67" fillId="0" borderId="0" xfId="23" applyFont="1" applyFill="1" applyBorder="1"/>
    <xf numFmtId="0" fontId="49" fillId="0" borderId="0" xfId="23" applyFont="1" applyFill="1" applyBorder="1" applyAlignment="1">
      <alignment horizontal="center"/>
    </xf>
    <xf numFmtId="9" fontId="49" fillId="0" borderId="0" xfId="23" applyNumberFormat="1" applyFont="1" applyFill="1" applyBorder="1" applyAlignment="1">
      <alignment horizontal="center"/>
    </xf>
    <xf numFmtId="0" fontId="48" fillId="0" borderId="0" xfId="23" applyFill="1" applyBorder="1" applyAlignment="1">
      <alignment horizontal="center"/>
    </xf>
    <xf numFmtId="0" fontId="48" fillId="0" borderId="0" xfId="23" applyFont="1" applyFill="1" applyBorder="1" applyAlignment="1">
      <alignment horizontal="center"/>
    </xf>
    <xf numFmtId="166" fontId="48" fillId="0" borderId="0" xfId="23" applyNumberFormat="1" applyFill="1" applyBorder="1"/>
    <xf numFmtId="173" fontId="48" fillId="0" borderId="0" xfId="1" applyNumberFormat="1" applyFont="1" applyFill="1" applyBorder="1"/>
    <xf numFmtId="166" fontId="48" fillId="0" borderId="0" xfId="23" applyNumberFormat="1" applyFill="1" applyBorder="1" applyAlignment="1">
      <alignment horizontal="center"/>
    </xf>
    <xf numFmtId="1" fontId="48" fillId="0" borderId="0" xfId="23" applyNumberFormat="1" applyFill="1" applyBorder="1"/>
    <xf numFmtId="0" fontId="85" fillId="0" borderId="0" xfId="23" applyFont="1" applyFill="1" applyBorder="1"/>
    <xf numFmtId="179" fontId="48" fillId="0" borderId="0" xfId="1" applyNumberFormat="1" applyFont="1" applyFill="1" applyBorder="1"/>
    <xf numFmtId="0" fontId="86" fillId="17" borderId="0" xfId="23" applyFont="1" applyFill="1" applyBorder="1"/>
    <xf numFmtId="0" fontId="87" fillId="0" borderId="0" xfId="23" applyFont="1" applyFill="1" applyBorder="1"/>
    <xf numFmtId="0" fontId="52" fillId="0" borderId="0" xfId="23" applyFont="1" applyFill="1" applyBorder="1"/>
    <xf numFmtId="166" fontId="52" fillId="0" borderId="0" xfId="23" applyNumberFormat="1" applyFont="1" applyFill="1" applyBorder="1" applyAlignment="1">
      <alignment horizontal="center"/>
    </xf>
    <xf numFmtId="173" fontId="87" fillId="0" borderId="0" xfId="23" applyNumberFormat="1" applyFont="1" applyFill="1" applyBorder="1" applyAlignment="1">
      <alignment horizontal="center"/>
    </xf>
    <xf numFmtId="0" fontId="48" fillId="17" borderId="0" xfId="23" applyFill="1" applyBorder="1"/>
    <xf numFmtId="0" fontId="49" fillId="17" borderId="0" xfId="23" applyFont="1" applyFill="1" applyBorder="1"/>
    <xf numFmtId="166" fontId="48" fillId="17" borderId="0" xfId="1" applyFont="1" applyFill="1" applyBorder="1"/>
    <xf numFmtId="166" fontId="48" fillId="17" borderId="0" xfId="23" applyNumberFormat="1" applyFill="1" applyBorder="1" applyAlignment="1">
      <alignment horizontal="center"/>
    </xf>
    <xf numFmtId="43" fontId="48" fillId="17" borderId="0" xfId="23" applyNumberFormat="1" applyFill="1" applyBorder="1"/>
    <xf numFmtId="166" fontId="49" fillId="0" borderId="0" xfId="1" applyFont="1" applyFill="1" applyBorder="1"/>
    <xf numFmtId="1" fontId="52" fillId="0" borderId="0" xfId="23" applyNumberFormat="1" applyFont="1" applyFill="1" applyBorder="1"/>
    <xf numFmtId="43" fontId="49" fillId="17" borderId="0" xfId="23" applyNumberFormat="1" applyFont="1" applyFill="1" applyBorder="1"/>
    <xf numFmtId="0" fontId="88" fillId="0" borderId="0" xfId="24" applyFont="1" applyAlignment="1">
      <alignment horizontal="center"/>
    </xf>
    <xf numFmtId="1" fontId="77" fillId="0" borderId="0" xfId="0" applyNumberFormat="1" applyFont="1" applyFill="1" applyBorder="1" applyAlignment="1">
      <alignment vertical="center"/>
    </xf>
    <xf numFmtId="174" fontId="17" fillId="0" borderId="0" xfId="32" applyFont="1" applyBorder="1" applyAlignment="1"/>
    <xf numFmtId="174" fontId="20" fillId="0" borderId="0" xfId="32" applyFont="1" applyAlignment="1"/>
    <xf numFmtId="174" fontId="16" fillId="0" borderId="0" xfId="32" applyFont="1" applyFill="1" applyBorder="1" applyAlignment="1">
      <alignment horizontal="right" wrapText="1"/>
    </xf>
    <xf numFmtId="174" fontId="18" fillId="0" borderId="0" xfId="32" applyFont="1" applyBorder="1" applyAlignment="1"/>
    <xf numFmtId="174" fontId="16" fillId="0" borderId="0" xfId="32" applyFont="1" applyFill="1" applyBorder="1" applyAlignment="1">
      <alignment horizontal="center" wrapText="1"/>
    </xf>
    <xf numFmtId="38" fontId="24" fillId="0" borderId="0" xfId="32" applyNumberFormat="1" applyFont="1" applyFill="1" applyBorder="1" applyAlignment="1"/>
    <xf numFmtId="174" fontId="17" fillId="0" borderId="0" xfId="32" applyFont="1" applyFill="1" applyBorder="1" applyAlignment="1"/>
    <xf numFmtId="1" fontId="17" fillId="0" borderId="0" xfId="41" applyNumberFormat="1" applyFont="1" applyFill="1" applyBorder="1" applyAlignment="1"/>
    <xf numFmtId="176" fontId="18" fillId="0" borderId="0" xfId="32" applyNumberFormat="1" applyFont="1" applyFill="1" applyBorder="1" applyAlignment="1"/>
    <xf numFmtId="38" fontId="17" fillId="0" borderId="0" xfId="32" applyNumberFormat="1" applyFont="1" applyFill="1" applyBorder="1" applyAlignment="1"/>
    <xf numFmtId="174" fontId="18" fillId="7" borderId="0" xfId="32" applyFont="1" applyFill="1" applyBorder="1" applyAlignment="1"/>
    <xf numFmtId="175" fontId="18" fillId="7" borderId="0" xfId="14" applyNumberFormat="1" applyFont="1" applyFill="1" applyBorder="1" applyAlignment="1"/>
    <xf numFmtId="4" fontId="17" fillId="0" borderId="0" xfId="32" applyNumberFormat="1" applyFont="1" applyFill="1" applyBorder="1" applyAlignment="1"/>
    <xf numFmtId="38" fontId="18" fillId="0" borderId="0" xfId="32" applyNumberFormat="1" applyFont="1" applyFill="1" applyBorder="1" applyAlignment="1"/>
    <xf numFmtId="38" fontId="18" fillId="0" borderId="0" xfId="32" applyNumberFormat="1" applyFont="1" applyBorder="1" applyAlignment="1"/>
    <xf numFmtId="174" fontId="94" fillId="0" borderId="0" xfId="32" applyFont="1" applyFill="1" applyAlignment="1">
      <alignment vertical="center"/>
    </xf>
    <xf numFmtId="182" fontId="17" fillId="0" borderId="0" xfId="32" applyNumberFormat="1" applyFont="1" applyFill="1" applyBorder="1"/>
    <xf numFmtId="182" fontId="17" fillId="0" borderId="0" xfId="1" applyNumberFormat="1" applyFont="1" applyFill="1" applyBorder="1"/>
    <xf numFmtId="174" fontId="17" fillId="17" borderId="0" xfId="32" applyFont="1" applyFill="1" applyBorder="1"/>
    <xf numFmtId="173" fontId="17" fillId="17" borderId="0" xfId="1" applyNumberFormat="1" applyFont="1" applyFill="1" applyBorder="1"/>
    <xf numFmtId="182" fontId="17" fillId="17" borderId="0" xfId="1" applyNumberFormat="1" applyFont="1" applyFill="1" applyBorder="1"/>
    <xf numFmtId="182" fontId="17" fillId="17" borderId="0" xfId="32" applyNumberFormat="1" applyFont="1" applyFill="1" applyBorder="1"/>
    <xf numFmtId="2" fontId="17" fillId="17" borderId="0" xfId="32" applyNumberFormat="1" applyFont="1" applyFill="1" applyBorder="1"/>
    <xf numFmtId="173" fontId="17" fillId="17" borderId="0" xfId="32" applyNumberFormat="1" applyFont="1" applyFill="1" applyBorder="1"/>
    <xf numFmtId="10" fontId="39" fillId="12" borderId="0" xfId="0" applyNumberFormat="1" applyFont="1" applyFill="1" applyBorder="1" applyAlignment="1">
      <alignment vertical="center"/>
    </xf>
    <xf numFmtId="9" fontId="39" fillId="12" borderId="0" xfId="0" applyNumberFormat="1" applyFont="1" applyFill="1" applyBorder="1" applyAlignment="1">
      <alignment vertical="center"/>
    </xf>
    <xf numFmtId="168" fontId="83" fillId="12" borderId="0" xfId="1" applyNumberFormat="1" applyFont="1" applyFill="1" applyBorder="1" applyAlignment="1">
      <alignment vertical="top"/>
    </xf>
    <xf numFmtId="172" fontId="83" fillId="12" borderId="0" xfId="0" applyNumberFormat="1" applyFont="1" applyFill="1" applyBorder="1" applyAlignment="1">
      <alignment horizontal="center" vertical="center"/>
    </xf>
    <xf numFmtId="172" fontId="83" fillId="12" borderId="0" xfId="1" applyNumberFormat="1" applyFont="1" applyFill="1" applyBorder="1" applyAlignment="1">
      <alignment horizontal="center" vertical="center"/>
    </xf>
    <xf numFmtId="172" fontId="39" fillId="12" borderId="0" xfId="1" applyNumberFormat="1" applyFont="1" applyFill="1" applyBorder="1" applyAlignment="1">
      <alignment horizontal="center" vertical="center"/>
    </xf>
    <xf numFmtId="172" fontId="84" fillId="12" borderId="0" xfId="1" applyNumberFormat="1" applyFont="1" applyFill="1" applyBorder="1" applyAlignment="1">
      <alignment horizontal="center" vertical="center"/>
    </xf>
    <xf numFmtId="2" fontId="39" fillId="12" borderId="0" xfId="1" applyNumberFormat="1" applyFont="1" applyFill="1" applyBorder="1" applyAlignment="1">
      <alignment horizontal="center" vertical="center"/>
    </xf>
    <xf numFmtId="2" fontId="39" fillId="12" borderId="0" xfId="0" applyNumberFormat="1" applyFont="1" applyFill="1" applyBorder="1" applyAlignment="1">
      <alignment horizontal="center" vertical="center" wrapText="1"/>
    </xf>
    <xf numFmtId="2" fontId="39" fillId="12" borderId="0" xfId="0" applyNumberFormat="1" applyFont="1" applyFill="1" applyBorder="1" applyAlignment="1">
      <alignment horizontal="center" vertical="center"/>
    </xf>
    <xf numFmtId="172" fontId="39" fillId="12" borderId="0" xfId="0" applyNumberFormat="1" applyFont="1" applyFill="1" applyBorder="1" applyAlignment="1">
      <alignment vertical="center"/>
    </xf>
    <xf numFmtId="172" fontId="32" fillId="0" borderId="0" xfId="0" applyNumberFormat="1" applyFont="1" applyBorder="1" applyAlignment="1">
      <alignment vertical="center"/>
    </xf>
    <xf numFmtId="172" fontId="39" fillId="0" borderId="0" xfId="0" applyNumberFormat="1" applyFont="1" applyBorder="1" applyAlignment="1">
      <alignment vertical="center"/>
    </xf>
    <xf numFmtId="0" fontId="3" fillId="0" borderId="0" xfId="23" applyFont="1" applyFill="1" applyBorder="1"/>
    <xf numFmtId="1" fontId="7" fillId="0" borderId="0" xfId="0" applyNumberFormat="1" applyFont="1"/>
    <xf numFmtId="9" fontId="32" fillId="0" borderId="0" xfId="37" applyFont="1" applyFill="1" applyBorder="1" applyAlignment="1">
      <alignment vertical="center"/>
    </xf>
    <xf numFmtId="174" fontId="39" fillId="17" borderId="0" xfId="26" applyFont="1" applyFill="1" applyBorder="1" applyAlignment="1">
      <alignment vertical="center" wrapText="1"/>
    </xf>
    <xf numFmtId="174" fontId="32" fillId="0" borderId="0" xfId="26" applyFont="1" applyBorder="1" applyAlignment="1">
      <alignment horizontal="center" vertical="center" wrapText="1"/>
    </xf>
    <xf numFmtId="174" fontId="32" fillId="0" borderId="0" xfId="26" applyFont="1" applyFill="1" applyBorder="1" applyAlignment="1">
      <alignment horizontal="center" vertical="center" wrapText="1"/>
    </xf>
    <xf numFmtId="174" fontId="39" fillId="0" borderId="0" xfId="26" applyFont="1" applyFill="1" applyBorder="1" applyAlignment="1">
      <alignment horizontal="center" vertical="center" wrapText="1"/>
    </xf>
    <xf numFmtId="174" fontId="39" fillId="0" borderId="0" xfId="26" applyFont="1" applyBorder="1" applyAlignment="1">
      <alignment horizontal="center" vertical="center" wrapText="1"/>
    </xf>
    <xf numFmtId="174" fontId="76" fillId="0" borderId="0" xfId="26" applyFont="1" applyFill="1" applyBorder="1" applyAlignment="1">
      <alignment horizontal="center" vertical="center" wrapText="1"/>
    </xf>
    <xf numFmtId="174" fontId="32" fillId="0" borderId="0" xfId="0" applyFont="1" applyBorder="1" applyAlignment="1">
      <alignment horizontal="center" vertical="center"/>
    </xf>
    <xf numFmtId="174" fontId="32" fillId="17" borderId="0" xfId="26" applyFont="1" applyFill="1" applyBorder="1" applyAlignment="1">
      <alignment horizontal="center" vertical="center" wrapText="1"/>
    </xf>
    <xf numFmtId="9" fontId="32" fillId="0" borderId="0" xfId="37" applyFont="1" applyFill="1" applyBorder="1" applyAlignment="1">
      <alignment horizontal="center" vertical="center" wrapText="1"/>
    </xf>
    <xf numFmtId="9" fontId="32" fillId="0" borderId="0" xfId="37" applyFont="1" applyBorder="1" applyAlignment="1">
      <alignment horizontal="center" vertical="center" wrapText="1"/>
    </xf>
    <xf numFmtId="174" fontId="32" fillId="11" borderId="0" xfId="26" applyFont="1" applyFill="1" applyBorder="1" applyAlignment="1">
      <alignment horizontal="center" vertical="center" wrapText="1"/>
    </xf>
    <xf numFmtId="174" fontId="32" fillId="0" borderId="0" xfId="26" applyFont="1" applyFill="1" applyBorder="1" applyAlignment="1">
      <alignment vertical="center" wrapText="1"/>
    </xf>
    <xf numFmtId="174" fontId="39" fillId="0" borderId="0" xfId="26" applyFont="1" applyBorder="1" applyAlignment="1">
      <alignment vertical="center" wrapText="1"/>
    </xf>
    <xf numFmtId="174" fontId="39" fillId="0" borderId="0" xfId="26" applyFont="1" applyBorder="1" applyAlignment="1">
      <alignment vertical="center"/>
    </xf>
    <xf numFmtId="0" fontId="39" fillId="0" borderId="0" xfId="0" applyNumberFormat="1" applyFont="1" applyBorder="1"/>
    <xf numFmtId="171" fontId="39" fillId="0" borderId="0" xfId="1" applyNumberFormat="1" applyFont="1" applyFill="1" applyBorder="1"/>
    <xf numFmtId="1" fontId="75" fillId="0" borderId="0" xfId="26" applyNumberFormat="1" applyFont="1" applyFill="1" applyBorder="1" applyAlignment="1">
      <alignment horizontal="center" vertical="center" wrapText="1"/>
    </xf>
    <xf numFmtId="2" fontId="75" fillId="0" borderId="0" xfId="26" applyNumberFormat="1" applyFont="1" applyFill="1" applyBorder="1" applyAlignment="1">
      <alignment vertical="center" wrapText="1"/>
    </xf>
    <xf numFmtId="166" fontId="39" fillId="0" borderId="0" xfId="1" applyFont="1" applyBorder="1" applyAlignment="1">
      <alignment vertical="center" wrapText="1"/>
    </xf>
    <xf numFmtId="2" fontId="32" fillId="0" borderId="0" xfId="26" applyNumberFormat="1" applyFont="1" applyBorder="1" applyAlignment="1">
      <alignment vertical="center" wrapText="1"/>
    </xf>
    <xf numFmtId="0" fontId="39" fillId="12" borderId="0" xfId="0" applyNumberFormat="1" applyFont="1" applyFill="1" applyBorder="1" applyAlignment="1">
      <alignment horizontal="left"/>
    </xf>
    <xf numFmtId="0" fontId="39" fillId="0" borderId="0" xfId="0" applyNumberFormat="1" applyFont="1" applyFill="1" applyBorder="1"/>
    <xf numFmtId="2" fontId="75" fillId="12" borderId="0" xfId="26" applyNumberFormat="1" applyFont="1" applyFill="1" applyBorder="1" applyAlignment="1">
      <alignment vertical="center" wrapText="1"/>
    </xf>
    <xf numFmtId="0" fontId="32" fillId="17" borderId="0" xfId="0" applyNumberFormat="1" applyFont="1" applyFill="1" applyBorder="1" applyAlignment="1">
      <alignment horizontal="center"/>
    </xf>
    <xf numFmtId="1" fontId="39" fillId="17" borderId="0" xfId="26" applyNumberFormat="1" applyFont="1" applyFill="1" applyBorder="1" applyAlignment="1">
      <alignment horizontal="center" vertical="center" wrapText="1"/>
    </xf>
    <xf numFmtId="2" fontId="39" fillId="17" borderId="0" xfId="26" applyNumberFormat="1" applyFont="1" applyFill="1" applyBorder="1" applyAlignment="1">
      <alignment vertical="center" wrapText="1"/>
    </xf>
    <xf numFmtId="2" fontId="32" fillId="17" borderId="0" xfId="26" applyNumberFormat="1" applyFont="1" applyFill="1" applyBorder="1" applyAlignment="1">
      <alignment vertical="center" wrapText="1"/>
    </xf>
    <xf numFmtId="0" fontId="32" fillId="0" borderId="0" xfId="0" applyNumberFormat="1" applyFont="1" applyFill="1" applyBorder="1" applyAlignment="1">
      <alignment horizontal="center"/>
    </xf>
    <xf numFmtId="1" fontId="39" fillId="0" borderId="0" xfId="26" applyNumberFormat="1" applyFont="1" applyFill="1" applyBorder="1" applyAlignment="1">
      <alignment horizontal="center" vertical="center" wrapText="1"/>
    </xf>
    <xf numFmtId="2" fontId="39" fillId="0" borderId="0" xfId="26" applyNumberFormat="1" applyFont="1" applyFill="1" applyBorder="1" applyAlignment="1">
      <alignment vertical="center" wrapText="1"/>
    </xf>
    <xf numFmtId="2" fontId="32" fillId="0" borderId="0" xfId="26" applyNumberFormat="1" applyFont="1" applyFill="1" applyBorder="1" applyAlignment="1">
      <alignment vertical="center" wrapText="1"/>
    </xf>
    <xf numFmtId="174" fontId="39" fillId="0" borderId="0" xfId="26" applyFont="1" applyFill="1" applyBorder="1" applyAlignment="1">
      <alignment vertical="center" wrapText="1"/>
    </xf>
    <xf numFmtId="0" fontId="32" fillId="11" borderId="0" xfId="0" applyNumberFormat="1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horizontal="center"/>
    </xf>
    <xf numFmtId="166" fontId="32" fillId="0" borderId="0" xfId="1" applyNumberFormat="1" applyFont="1" applyBorder="1" applyAlignment="1">
      <alignment vertical="center" wrapText="1"/>
    </xf>
    <xf numFmtId="2" fontId="39" fillId="12" borderId="0" xfId="26" applyNumberFormat="1" applyFont="1" applyFill="1" applyBorder="1" applyAlignment="1">
      <alignment vertical="center" wrapText="1"/>
    </xf>
    <xf numFmtId="0" fontId="39" fillId="0" borderId="0" xfId="0" applyNumberFormat="1" applyFont="1" applyBorder="1" applyAlignment="1">
      <alignment horizontal="left"/>
    </xf>
    <xf numFmtId="0" fontId="32" fillId="0" borderId="0" xfId="0" applyNumberFormat="1" applyFont="1" applyFill="1" applyBorder="1" applyAlignment="1">
      <alignment horizontal="left"/>
    </xf>
    <xf numFmtId="166" fontId="32" fillId="17" borderId="0" xfId="1" applyFont="1" applyFill="1" applyBorder="1" applyAlignment="1">
      <alignment horizontal="center" vertical="center" wrapText="1"/>
    </xf>
    <xf numFmtId="0" fontId="39" fillId="17" borderId="0" xfId="0" applyNumberFormat="1" applyFont="1" applyFill="1" applyBorder="1" applyAlignment="1">
      <alignment horizontal="center"/>
    </xf>
    <xf numFmtId="166" fontId="32" fillId="0" borderId="0" xfId="1" applyFont="1" applyFill="1" applyBorder="1" applyAlignment="1">
      <alignment horizontal="center" vertical="center" wrapText="1"/>
    </xf>
    <xf numFmtId="166" fontId="32" fillId="0" borderId="0" xfId="1" applyNumberFormat="1" applyFont="1" applyFill="1" applyBorder="1" applyAlignment="1">
      <alignment vertical="center" wrapText="1"/>
    </xf>
    <xf numFmtId="174" fontId="32" fillId="17" borderId="0" xfId="26" applyFont="1" applyFill="1" applyBorder="1" applyAlignment="1">
      <alignment vertical="center" wrapText="1"/>
    </xf>
    <xf numFmtId="2" fontId="39" fillId="0" borderId="0" xfId="26" applyNumberFormat="1" applyFont="1" applyBorder="1" applyAlignment="1">
      <alignment vertical="center" wrapText="1"/>
    </xf>
    <xf numFmtId="174" fontId="32" fillId="0" borderId="0" xfId="26" applyFont="1" applyBorder="1" applyAlignment="1">
      <alignment vertical="center" wrapText="1"/>
    </xf>
    <xf numFmtId="174" fontId="74" fillId="17" borderId="0" xfId="26" applyFont="1" applyFill="1" applyBorder="1" applyAlignment="1">
      <alignment horizontal="center" vertical="center" wrapText="1"/>
    </xf>
    <xf numFmtId="174" fontId="39" fillId="17" borderId="0" xfId="26" applyFont="1" applyFill="1" applyBorder="1" applyAlignment="1">
      <alignment horizontal="center" vertical="center" wrapText="1"/>
    </xf>
    <xf numFmtId="174" fontId="74" fillId="0" borderId="0" xfId="26" applyFont="1" applyFill="1" applyBorder="1" applyAlignment="1">
      <alignment horizontal="center" vertical="center" wrapText="1"/>
    </xf>
    <xf numFmtId="174" fontId="32" fillId="11" borderId="0" xfId="26" applyFont="1" applyFill="1" applyBorder="1" applyAlignment="1">
      <alignment horizontal="left" wrapText="1"/>
    </xf>
    <xf numFmtId="174" fontId="32" fillId="0" borderId="0" xfId="26" applyFont="1" applyFill="1" applyBorder="1" applyAlignment="1">
      <alignment horizontal="center" wrapText="1"/>
    </xf>
    <xf numFmtId="2" fontId="39" fillId="0" borderId="0" xfId="26" applyNumberFormat="1" applyFont="1" applyFill="1" applyBorder="1" applyAlignment="1">
      <alignment wrapText="1"/>
    </xf>
    <xf numFmtId="2" fontId="39" fillId="12" borderId="0" xfId="26" applyNumberFormat="1" applyFont="1" applyFill="1" applyBorder="1" applyAlignment="1">
      <alignment wrapText="1"/>
    </xf>
    <xf numFmtId="4" fontId="39" fillId="0" borderId="0" xfId="26" applyNumberFormat="1" applyFont="1" applyBorder="1" applyAlignment="1">
      <alignment wrapText="1"/>
    </xf>
    <xf numFmtId="174" fontId="39" fillId="0" borderId="0" xfId="26" applyFont="1" applyBorder="1" applyAlignment="1">
      <alignment wrapText="1"/>
    </xf>
    <xf numFmtId="174" fontId="32" fillId="0" borderId="0" xfId="26" applyFont="1" applyBorder="1" applyAlignment="1">
      <alignment wrapText="1"/>
    </xf>
    <xf numFmtId="1" fontId="77" fillId="0" borderId="0" xfId="26" applyNumberFormat="1" applyFont="1" applyFill="1" applyBorder="1" applyAlignment="1">
      <alignment vertical="center" wrapText="1"/>
    </xf>
    <xf numFmtId="2" fontId="32" fillId="12" borderId="0" xfId="26" applyNumberFormat="1" applyFont="1" applyFill="1" applyBorder="1" applyAlignment="1">
      <alignment vertical="center" wrapText="1"/>
    </xf>
    <xf numFmtId="9" fontId="77" fillId="0" borderId="0" xfId="37" applyFont="1" applyFill="1" applyBorder="1" applyAlignment="1">
      <alignment vertical="center" wrapText="1"/>
    </xf>
    <xf numFmtId="0" fontId="39" fillId="0" borderId="0" xfId="0" applyNumberFormat="1" applyFont="1" applyBorder="1" applyAlignment="1">
      <alignment horizontal="left" vertical="center"/>
    </xf>
    <xf numFmtId="174" fontId="39" fillId="0" borderId="0" xfId="26" applyFont="1" applyFill="1" applyBorder="1" applyAlignment="1">
      <alignment horizontal="right" vertical="center" wrapText="1"/>
    </xf>
    <xf numFmtId="2" fontId="77" fillId="0" borderId="0" xfId="26" applyNumberFormat="1" applyFont="1" applyFill="1" applyBorder="1" applyAlignment="1">
      <alignment vertical="center" wrapText="1"/>
    </xf>
    <xf numFmtId="174" fontId="39" fillId="12" borderId="0" xfId="26" applyFont="1" applyFill="1" applyBorder="1" applyAlignment="1">
      <alignment vertical="center" wrapText="1"/>
    </xf>
    <xf numFmtId="10" fontId="77" fillId="0" borderId="0" xfId="37" applyNumberFormat="1" applyFont="1" applyFill="1" applyBorder="1" applyAlignment="1">
      <alignment vertical="center" wrapText="1"/>
    </xf>
    <xf numFmtId="2" fontId="78" fillId="0" borderId="0" xfId="26" applyNumberFormat="1" applyFont="1" applyFill="1" applyBorder="1" applyAlignment="1">
      <alignment vertical="center" wrapText="1"/>
    </xf>
    <xf numFmtId="166" fontId="39" fillId="0" borderId="0" xfId="1" applyNumberFormat="1" applyFont="1" applyBorder="1" applyAlignment="1">
      <alignment vertical="center" wrapText="1"/>
    </xf>
    <xf numFmtId="166" fontId="39" fillId="17" borderId="0" xfId="1" applyFont="1" applyFill="1" applyBorder="1" applyAlignment="1">
      <alignment horizontal="center" vertical="center" wrapText="1"/>
    </xf>
    <xf numFmtId="174" fontId="32" fillId="12" borderId="0" xfId="26" applyFont="1" applyFill="1" applyBorder="1" applyAlignment="1">
      <alignment vertical="center" wrapText="1"/>
    </xf>
    <xf numFmtId="166" fontId="32" fillId="12" borderId="0" xfId="1" applyFont="1" applyFill="1" applyBorder="1" applyAlignment="1">
      <alignment horizontal="center" vertical="center" wrapText="1"/>
    </xf>
    <xf numFmtId="174" fontId="32" fillId="11" borderId="0" xfId="26" applyFont="1" applyFill="1" applyBorder="1" applyAlignment="1">
      <alignment vertical="center" wrapText="1"/>
    </xf>
    <xf numFmtId="166" fontId="32" fillId="0" borderId="0" xfId="1" applyNumberFormat="1" applyFont="1" applyFill="1" applyBorder="1" applyAlignment="1">
      <alignment horizontal="center" vertical="center" wrapText="1"/>
    </xf>
    <xf numFmtId="0" fontId="78" fillId="0" borderId="0" xfId="26" applyNumberFormat="1" applyFont="1" applyFill="1" applyBorder="1" applyAlignment="1">
      <alignment vertical="center" wrapText="1"/>
    </xf>
    <xf numFmtId="1" fontId="78" fillId="0" borderId="0" xfId="26" applyNumberFormat="1" applyFont="1" applyFill="1" applyBorder="1" applyAlignment="1">
      <alignment vertical="center" wrapText="1"/>
    </xf>
    <xf numFmtId="9" fontId="78" fillId="0" borderId="0" xfId="37" applyFont="1" applyFill="1" applyBorder="1" applyAlignment="1">
      <alignment vertical="center" wrapText="1"/>
    </xf>
    <xf numFmtId="180" fontId="78" fillId="0" borderId="0" xfId="26" applyNumberFormat="1" applyFont="1" applyFill="1" applyBorder="1" applyAlignment="1">
      <alignment vertical="center" wrapText="1"/>
    </xf>
    <xf numFmtId="10" fontId="78" fillId="0" borderId="0" xfId="37" applyNumberFormat="1" applyFont="1" applyFill="1" applyBorder="1" applyAlignment="1">
      <alignment vertical="center" wrapText="1"/>
    </xf>
    <xf numFmtId="0" fontId="32" fillId="0" borderId="0" xfId="0" applyNumberFormat="1" applyFont="1" applyFill="1" applyBorder="1"/>
    <xf numFmtId="1" fontId="39" fillId="0" borderId="0" xfId="26" applyNumberFormat="1" applyFont="1" applyFill="1" applyBorder="1" applyAlignment="1">
      <alignment vertical="center" wrapText="1"/>
    </xf>
    <xf numFmtId="0" fontId="39" fillId="17" borderId="0" xfId="26" applyNumberFormat="1" applyFont="1" applyFill="1" applyBorder="1" applyAlignment="1">
      <alignment vertical="center" wrapText="1"/>
    </xf>
    <xf numFmtId="0" fontId="39" fillId="0" borderId="0" xfId="26" applyNumberFormat="1" applyFont="1" applyFill="1" applyBorder="1" applyAlignment="1">
      <alignment vertical="center" wrapText="1"/>
    </xf>
    <xf numFmtId="0" fontId="39" fillId="0" borderId="0" xfId="26" applyNumberFormat="1" applyFont="1" applyBorder="1" applyAlignment="1">
      <alignment vertical="center" wrapText="1"/>
    </xf>
    <xf numFmtId="0" fontId="32" fillId="0" borderId="0" xfId="26" applyNumberFormat="1" applyFont="1" applyBorder="1" applyAlignment="1">
      <alignment vertical="center" wrapText="1"/>
    </xf>
    <xf numFmtId="0" fontId="77" fillId="0" borderId="0" xfId="26" applyNumberFormat="1" applyFont="1" applyFill="1" applyBorder="1" applyAlignment="1">
      <alignment vertical="center" wrapText="1"/>
    </xf>
    <xf numFmtId="172" fontId="39" fillId="0" borderId="0" xfId="26" applyNumberFormat="1" applyFont="1" applyBorder="1" applyAlignment="1">
      <alignment vertical="center" wrapText="1"/>
    </xf>
    <xf numFmtId="0" fontId="39" fillId="0" borderId="0" xfId="26" applyNumberFormat="1" applyFont="1" applyBorder="1" applyAlignment="1">
      <alignment horizontal="center" vertical="center" wrapText="1"/>
    </xf>
    <xf numFmtId="172" fontId="32" fillId="0" borderId="0" xfId="26" applyNumberFormat="1" applyFont="1" applyBorder="1" applyAlignment="1">
      <alignment vertical="center" wrapText="1"/>
    </xf>
    <xf numFmtId="172" fontId="32" fillId="17" borderId="0" xfId="26" applyNumberFormat="1" applyFont="1" applyFill="1" applyBorder="1" applyAlignment="1">
      <alignment vertical="center" wrapText="1"/>
    </xf>
    <xf numFmtId="10" fontId="77" fillId="0" borderId="0" xfId="26" applyNumberFormat="1" applyFont="1" applyFill="1" applyBorder="1" applyAlignment="1">
      <alignment vertical="center" wrapText="1"/>
    </xf>
    <xf numFmtId="0" fontId="32" fillId="17" borderId="0" xfId="0" applyNumberFormat="1" applyFont="1" applyFill="1" applyBorder="1"/>
    <xf numFmtId="0" fontId="95" fillId="17" borderId="0" xfId="26" applyNumberFormat="1" applyFont="1" applyFill="1" applyBorder="1" applyAlignment="1">
      <alignment horizontal="center" vertical="center" wrapText="1"/>
    </xf>
    <xf numFmtId="0" fontId="32" fillId="17" borderId="0" xfId="26" applyNumberFormat="1" applyFont="1" applyFill="1" applyBorder="1" applyAlignment="1">
      <alignment horizontal="center" vertical="center" wrapText="1"/>
    </xf>
    <xf numFmtId="174" fontId="48" fillId="0" borderId="0" xfId="31" applyFont="1" applyBorder="1" applyAlignment="1"/>
    <xf numFmtId="174" fontId="48" fillId="0" borderId="0" xfId="31" applyFont="1" applyBorder="1" applyAlignment="1">
      <alignment horizontal="center"/>
    </xf>
    <xf numFmtId="174" fontId="48" fillId="0" borderId="0" xfId="31" applyFont="1" applyFill="1" applyBorder="1" applyAlignment="1"/>
    <xf numFmtId="174" fontId="48" fillId="0" borderId="0" xfId="31" applyFont="1" applyFill="1" applyBorder="1" applyAlignment="1">
      <alignment horizontal="center"/>
    </xf>
    <xf numFmtId="174" fontId="89" fillId="0" borderId="0" xfId="31" applyFont="1" applyFill="1" applyBorder="1" applyAlignment="1">
      <alignment horizontal="center"/>
    </xf>
    <xf numFmtId="9" fontId="89" fillId="0" borderId="0" xfId="37" applyFont="1" applyFill="1" applyBorder="1" applyAlignment="1">
      <alignment horizontal="center"/>
    </xf>
    <xf numFmtId="174" fontId="49" fillId="0" borderId="0" xfId="31" applyFont="1" applyBorder="1" applyAlignment="1">
      <alignment horizontal="center"/>
    </xf>
    <xf numFmtId="174" fontId="49" fillId="12" borderId="0" xfId="31" applyFont="1" applyFill="1" applyBorder="1" applyAlignment="1">
      <alignment horizontal="center"/>
    </xf>
    <xf numFmtId="174" fontId="49" fillId="0" borderId="0" xfId="31" applyFont="1" applyBorder="1" applyAlignment="1"/>
    <xf numFmtId="174" fontId="48" fillId="0" borderId="0" xfId="31" applyFont="1" applyBorder="1" applyAlignment="1">
      <alignment wrapText="1"/>
    </xf>
    <xf numFmtId="174" fontId="48" fillId="12" borderId="0" xfId="31" applyFont="1" applyFill="1" applyBorder="1" applyAlignment="1"/>
    <xf numFmtId="174" fontId="48" fillId="7" borderId="0" xfId="31" applyFont="1" applyFill="1" applyBorder="1" applyAlignment="1">
      <alignment wrapText="1"/>
    </xf>
    <xf numFmtId="0" fontId="52" fillId="0" borderId="0" xfId="0" applyNumberFormat="1" applyFont="1" applyFill="1" applyBorder="1" applyAlignment="1">
      <alignment wrapText="1"/>
    </xf>
    <xf numFmtId="1" fontId="48" fillId="0" borderId="0" xfId="1" applyNumberFormat="1" applyFont="1" applyBorder="1" applyAlignment="1">
      <alignment horizontal="center"/>
    </xf>
    <xf numFmtId="1" fontId="89" fillId="14" borderId="0" xfId="31" applyNumberFormat="1" applyFont="1" applyFill="1" applyBorder="1" applyAlignment="1"/>
    <xf numFmtId="9" fontId="48" fillId="0" borderId="0" xfId="37" applyFont="1" applyBorder="1" applyAlignment="1">
      <alignment horizontal="center"/>
    </xf>
    <xf numFmtId="169" fontId="48" fillId="0" borderId="0" xfId="37" applyNumberFormat="1" applyFont="1" applyBorder="1" applyAlignment="1">
      <alignment horizontal="center"/>
    </xf>
    <xf numFmtId="0" fontId="48" fillId="0" borderId="0" xfId="31" applyNumberFormat="1" applyFont="1" applyBorder="1" applyAlignment="1"/>
    <xf numFmtId="1" fontId="48" fillId="0" borderId="0" xfId="31" applyNumberFormat="1" applyFont="1" applyBorder="1" applyAlignment="1"/>
    <xf numFmtId="0" fontId="89" fillId="0" borderId="0" xfId="31" applyNumberFormat="1" applyFont="1" applyBorder="1" applyAlignment="1"/>
    <xf numFmtId="10" fontId="48" fillId="0" borderId="0" xfId="37" applyNumberFormat="1" applyFont="1" applyBorder="1" applyAlignment="1">
      <alignment horizontal="center"/>
    </xf>
    <xf numFmtId="174" fontId="89" fillId="14" borderId="0" xfId="31" applyFont="1" applyFill="1" applyBorder="1" applyAlignment="1">
      <alignment wrapText="1"/>
    </xf>
    <xf numFmtId="1" fontId="89" fillId="14" borderId="0" xfId="31" applyNumberFormat="1" applyFont="1" applyFill="1" applyBorder="1" applyAlignment="1">
      <alignment horizontal="center"/>
    </xf>
    <xf numFmtId="2" fontId="48" fillId="12" borderId="0" xfId="31" applyNumberFormat="1" applyFont="1" applyFill="1" applyBorder="1" applyAlignment="1">
      <alignment horizontal="center"/>
    </xf>
    <xf numFmtId="174" fontId="89" fillId="12" borderId="0" xfId="31" applyFont="1" applyFill="1" applyBorder="1" applyAlignment="1">
      <alignment wrapText="1"/>
    </xf>
    <xf numFmtId="164" fontId="89" fillId="12" borderId="0" xfId="31" applyNumberFormat="1" applyFont="1" applyFill="1" applyBorder="1" applyAlignment="1">
      <alignment horizontal="center"/>
    </xf>
    <xf numFmtId="164" fontId="89" fillId="12" borderId="0" xfId="31" applyNumberFormat="1" applyFont="1" applyFill="1" applyBorder="1" applyAlignment="1"/>
    <xf numFmtId="174" fontId="48" fillId="7" borderId="0" xfId="31" applyFont="1" applyFill="1" applyBorder="1" applyAlignment="1"/>
    <xf numFmtId="2" fontId="48" fillId="0" borderId="0" xfId="31" applyNumberFormat="1" applyFont="1" applyBorder="1" applyAlignment="1">
      <alignment horizontal="center"/>
    </xf>
    <xf numFmtId="174" fontId="48" fillId="12" borderId="0" xfId="31" applyFont="1" applyFill="1" applyBorder="1" applyAlignment="1">
      <alignment wrapText="1"/>
    </xf>
    <xf numFmtId="2" fontId="89" fillId="12" borderId="0" xfId="31" applyNumberFormat="1" applyFont="1" applyFill="1" applyBorder="1" applyAlignment="1"/>
    <xf numFmtId="169" fontId="48" fillId="12" borderId="0" xfId="37" applyNumberFormat="1" applyFont="1" applyFill="1" applyBorder="1" applyAlignment="1">
      <alignment horizontal="center"/>
    </xf>
    <xf numFmtId="2" fontId="89" fillId="14" borderId="0" xfId="31" applyNumberFormat="1" applyFont="1" applyFill="1" applyBorder="1" applyAlignment="1">
      <alignment horizontal="center"/>
    </xf>
    <xf numFmtId="2" fontId="89" fillId="14" borderId="0" xfId="31" applyNumberFormat="1" applyFont="1" applyFill="1" applyBorder="1" applyAlignment="1"/>
    <xf numFmtId="174" fontId="89" fillId="0" borderId="0" xfId="31" applyFont="1" applyFill="1" applyBorder="1" applyAlignment="1">
      <alignment wrapText="1"/>
    </xf>
    <xf numFmtId="164" fontId="89" fillId="0" borderId="0" xfId="31" applyNumberFormat="1" applyFont="1" applyFill="1" applyBorder="1" applyAlignment="1">
      <alignment horizontal="center"/>
    </xf>
    <xf numFmtId="164" fontId="89" fillId="0" borderId="0" xfId="31" applyNumberFormat="1" applyFont="1" applyFill="1" applyBorder="1" applyAlignment="1"/>
    <xf numFmtId="169" fontId="48" fillId="0" borderId="0" xfId="37" applyNumberFormat="1" applyFont="1" applyFill="1" applyBorder="1" applyAlignment="1">
      <alignment horizontal="center"/>
    </xf>
    <xf numFmtId="9" fontId="89" fillId="12" borderId="0" xfId="37" applyFont="1" applyFill="1" applyBorder="1" applyAlignment="1">
      <alignment horizontal="center"/>
    </xf>
    <xf numFmtId="9" fontId="48" fillId="12" borderId="0" xfId="37" applyFont="1" applyFill="1" applyBorder="1" applyAlignment="1">
      <alignment horizontal="center"/>
    </xf>
    <xf numFmtId="166" fontId="48" fillId="12" borderId="0" xfId="1" applyFont="1" applyFill="1" applyBorder="1" applyAlignment="1">
      <alignment horizontal="center"/>
    </xf>
    <xf numFmtId="174" fontId="48" fillId="14" borderId="0" xfId="31" applyFont="1" applyFill="1" applyBorder="1" applyAlignment="1">
      <alignment wrapText="1"/>
    </xf>
    <xf numFmtId="2" fontId="48" fillId="14" borderId="0" xfId="31" applyNumberFormat="1" applyFont="1" applyFill="1" applyBorder="1" applyAlignment="1">
      <alignment horizontal="center"/>
    </xf>
    <xf numFmtId="2" fontId="48" fillId="14" borderId="0" xfId="31" applyNumberFormat="1" applyFont="1" applyFill="1" applyBorder="1" applyAlignment="1"/>
    <xf numFmtId="174" fontId="48" fillId="0" borderId="0" xfId="31" applyFont="1" applyFill="1" applyBorder="1" applyAlignment="1">
      <alignment wrapText="1"/>
    </xf>
    <xf numFmtId="164" fontId="48" fillId="0" borderId="0" xfId="31" applyNumberFormat="1" applyFont="1" applyFill="1" applyBorder="1" applyAlignment="1">
      <alignment horizontal="center"/>
    </xf>
    <xf numFmtId="164" fontId="48" fillId="0" borderId="0" xfId="31" applyNumberFormat="1" applyFont="1" applyFill="1" applyBorder="1" applyAlignment="1"/>
    <xf numFmtId="9" fontId="48" fillId="0" borderId="0" xfId="37" applyFont="1" applyFill="1" applyBorder="1" applyAlignment="1">
      <alignment horizontal="center"/>
    </xf>
    <xf numFmtId="174" fontId="52" fillId="12" borderId="0" xfId="31" applyFont="1" applyFill="1" applyBorder="1" applyAlignment="1">
      <alignment wrapText="1"/>
    </xf>
    <xf numFmtId="9" fontId="52" fillId="12" borderId="0" xfId="37" applyFont="1" applyFill="1" applyBorder="1" applyAlignment="1">
      <alignment horizontal="center"/>
    </xf>
    <xf numFmtId="174" fontId="52" fillId="12" borderId="0" xfId="31" applyFont="1" applyFill="1" applyBorder="1" applyAlignment="1"/>
    <xf numFmtId="164" fontId="48" fillId="12" borderId="0" xfId="31" applyNumberFormat="1" applyFont="1" applyFill="1" applyBorder="1" applyAlignment="1">
      <alignment horizontal="center"/>
    </xf>
    <xf numFmtId="164" fontId="48" fillId="12" borderId="0" xfId="31" applyNumberFormat="1" applyFont="1" applyFill="1" applyBorder="1" applyAlignment="1"/>
    <xf numFmtId="2" fontId="49" fillId="0" borderId="0" xfId="31" applyNumberFormat="1" applyFont="1" applyBorder="1" applyAlignment="1">
      <alignment horizontal="center"/>
    </xf>
    <xf numFmtId="2" fontId="48" fillId="12" borderId="0" xfId="31" applyNumberFormat="1" applyFont="1" applyFill="1" applyBorder="1" applyAlignment="1"/>
    <xf numFmtId="2" fontId="90" fillId="12" borderId="0" xfId="1" applyNumberFormat="1" applyFont="1" applyFill="1" applyBorder="1" applyAlignment="1">
      <alignment horizontal="center"/>
    </xf>
    <xf numFmtId="183" fontId="58" fillId="12" borderId="0" xfId="1" applyNumberFormat="1" applyFont="1" applyFill="1" applyBorder="1" applyAlignment="1"/>
    <xf numFmtId="166" fontId="58" fillId="12" borderId="0" xfId="1" applyNumberFormat="1" applyFont="1" applyFill="1" applyBorder="1" applyAlignment="1"/>
    <xf numFmtId="174" fontId="53" fillId="14" borderId="0" xfId="31" applyFont="1" applyFill="1" applyBorder="1" applyAlignment="1">
      <alignment wrapText="1"/>
    </xf>
    <xf numFmtId="2" fontId="52" fillId="14" borderId="0" xfId="31" applyNumberFormat="1" applyFont="1" applyFill="1" applyBorder="1" applyAlignment="1">
      <alignment horizontal="center"/>
    </xf>
    <xf numFmtId="2" fontId="53" fillId="14" borderId="0" xfId="31" applyNumberFormat="1" applyFont="1" applyFill="1" applyBorder="1" applyAlignment="1"/>
    <xf numFmtId="174" fontId="53" fillId="0" borderId="0" xfId="31" applyFont="1" applyFill="1" applyBorder="1" applyAlignment="1">
      <alignment wrapText="1"/>
    </xf>
    <xf numFmtId="164" fontId="52" fillId="0" borderId="0" xfId="31" applyNumberFormat="1" applyFont="1" applyFill="1" applyBorder="1" applyAlignment="1">
      <alignment horizontal="center"/>
    </xf>
    <xf numFmtId="164" fontId="53" fillId="0" borderId="0" xfId="31" applyNumberFormat="1" applyFont="1" applyFill="1" applyBorder="1" applyAlignment="1"/>
    <xf numFmtId="174" fontId="52" fillId="0" borderId="0" xfId="31" applyFont="1" applyFill="1" applyBorder="1" applyAlignment="1"/>
    <xf numFmtId="9" fontId="52" fillId="0" borderId="0" xfId="37" applyFont="1" applyFill="1" applyBorder="1" applyAlignment="1">
      <alignment horizontal="center"/>
    </xf>
    <xf numFmtId="174" fontId="53" fillId="12" borderId="0" xfId="31" applyFont="1" applyFill="1" applyBorder="1" applyAlignment="1">
      <alignment wrapText="1"/>
    </xf>
    <xf numFmtId="173" fontId="17" fillId="12" borderId="0" xfId="1" applyNumberFormat="1" applyFont="1" applyFill="1" applyBorder="1" applyAlignment="1"/>
    <xf numFmtId="2" fontId="52" fillId="12" borderId="0" xfId="31" applyNumberFormat="1" applyFont="1" applyFill="1" applyBorder="1" applyAlignment="1">
      <alignment horizontal="center"/>
    </xf>
    <xf numFmtId="4" fontId="52" fillId="12" borderId="0" xfId="31" applyNumberFormat="1" applyFont="1" applyFill="1" applyBorder="1" applyAlignment="1"/>
    <xf numFmtId="2" fontId="52" fillId="12" borderId="0" xfId="1" applyNumberFormat="1" applyFont="1" applyFill="1" applyBorder="1" applyAlignment="1"/>
    <xf numFmtId="2" fontId="53" fillId="12" borderId="0" xfId="31" applyNumberFormat="1" applyFont="1" applyFill="1" applyBorder="1" applyAlignment="1"/>
    <xf numFmtId="174" fontId="53" fillId="0" borderId="0" xfId="31" applyFont="1" applyBorder="1" applyAlignment="1">
      <alignment wrapText="1"/>
    </xf>
    <xf numFmtId="2" fontId="53" fillId="0" borderId="0" xfId="31" applyNumberFormat="1" applyFont="1" applyBorder="1" applyAlignment="1">
      <alignment horizontal="center"/>
    </xf>
    <xf numFmtId="174" fontId="52" fillId="0" borderId="0" xfId="31" applyFont="1" applyBorder="1" applyAlignment="1"/>
    <xf numFmtId="174" fontId="52" fillId="0" borderId="0" xfId="31" applyFont="1" applyBorder="1" applyAlignment="1">
      <alignment horizontal="center"/>
    </xf>
    <xf numFmtId="164" fontId="53" fillId="0" borderId="0" xfId="31" applyNumberFormat="1" applyFont="1" applyBorder="1" applyAlignment="1">
      <alignment horizontal="center"/>
    </xf>
    <xf numFmtId="164" fontId="53" fillId="12" borderId="0" xfId="31" applyNumberFormat="1" applyFont="1" applyFill="1" applyBorder="1" applyAlignment="1"/>
    <xf numFmtId="174" fontId="48" fillId="12" borderId="0" xfId="31" applyFont="1" applyFill="1" applyBorder="1" applyAlignment="1">
      <alignment horizontal="left" wrapText="1"/>
    </xf>
    <xf numFmtId="173" fontId="52" fillId="12" borderId="0" xfId="1" applyNumberFormat="1" applyFont="1" applyFill="1" applyBorder="1" applyAlignment="1">
      <alignment horizontal="center"/>
    </xf>
    <xf numFmtId="174" fontId="48" fillId="12" borderId="0" xfId="31" applyFont="1" applyFill="1" applyBorder="1" applyAlignment="1">
      <alignment horizontal="center"/>
    </xf>
    <xf numFmtId="173" fontId="48" fillId="12" borderId="0" xfId="1" applyNumberFormat="1" applyFont="1" applyFill="1" applyBorder="1" applyAlignment="1">
      <alignment horizontal="center"/>
    </xf>
    <xf numFmtId="173" fontId="89" fillId="20" borderId="0" xfId="1" applyNumberFormat="1" applyFont="1" applyFill="1" applyBorder="1" applyAlignment="1">
      <alignment horizontal="center"/>
    </xf>
    <xf numFmtId="173" fontId="89" fillId="12" borderId="0" xfId="1" applyNumberFormat="1" applyFont="1" applyFill="1" applyBorder="1" applyAlignment="1">
      <alignment horizontal="center"/>
    </xf>
    <xf numFmtId="174" fontId="91" fillId="12" borderId="0" xfId="31" applyFont="1" applyFill="1" applyBorder="1" applyAlignment="1">
      <alignment wrapText="1"/>
    </xf>
    <xf numFmtId="173" fontId="48" fillId="0" borderId="0" xfId="1" applyNumberFormat="1" applyFont="1" applyBorder="1" applyAlignment="1">
      <alignment horizontal="center"/>
    </xf>
    <xf numFmtId="174" fontId="89" fillId="0" borderId="0" xfId="31" applyFont="1" applyBorder="1" applyAlignment="1">
      <alignment wrapText="1"/>
    </xf>
    <xf numFmtId="172" fontId="48" fillId="0" borderId="0" xfId="31" applyNumberFormat="1" applyFont="1" applyBorder="1" applyAlignment="1">
      <alignment horizontal="center"/>
    </xf>
    <xf numFmtId="174" fontId="89" fillId="20" borderId="0" xfId="31" applyFont="1" applyFill="1" applyBorder="1" applyAlignment="1">
      <alignment wrapText="1"/>
    </xf>
    <xf numFmtId="1" fontId="48" fillId="20" borderId="0" xfId="31" applyNumberFormat="1" applyFont="1" applyFill="1" applyBorder="1" applyAlignment="1">
      <alignment horizontal="center"/>
    </xf>
    <xf numFmtId="1" fontId="48" fillId="20" borderId="0" xfId="31" applyNumberFormat="1" applyFont="1" applyFill="1" applyBorder="1" applyAlignment="1">
      <alignment horizontal="right"/>
    </xf>
    <xf numFmtId="174" fontId="48" fillId="20" borderId="0" xfId="31" applyFont="1" applyFill="1" applyBorder="1" applyAlignment="1"/>
    <xf numFmtId="174" fontId="48" fillId="20" borderId="0" xfId="31" applyFont="1" applyFill="1" applyBorder="1" applyAlignment="1">
      <alignment horizontal="center"/>
    </xf>
    <xf numFmtId="1" fontId="48" fillId="0" borderId="0" xfId="31" applyNumberFormat="1" applyFont="1" applyBorder="1" applyAlignment="1">
      <alignment horizontal="right"/>
    </xf>
    <xf numFmtId="166" fontId="52" fillId="0" borderId="0" xfId="1" applyFont="1" applyBorder="1" applyAlignment="1">
      <alignment horizontal="center"/>
    </xf>
    <xf numFmtId="174" fontId="89" fillId="7" borderId="0" xfId="31" applyFont="1" applyFill="1" applyBorder="1" applyAlignment="1">
      <alignment wrapText="1"/>
    </xf>
    <xf numFmtId="166" fontId="89" fillId="7" borderId="0" xfId="1" applyFont="1" applyFill="1" applyBorder="1" applyAlignment="1">
      <alignment horizontal="center"/>
    </xf>
    <xf numFmtId="2" fontId="89" fillId="7" borderId="0" xfId="0" applyNumberFormat="1" applyFont="1" applyFill="1" applyBorder="1" applyAlignment="1">
      <alignment horizontal="center"/>
    </xf>
    <xf numFmtId="174" fontId="89" fillId="7" borderId="0" xfId="31" applyFont="1" applyFill="1" applyBorder="1" applyAlignment="1"/>
    <xf numFmtId="174" fontId="89" fillId="0" borderId="0" xfId="31" applyFont="1" applyFill="1" applyBorder="1" applyAlignment="1"/>
    <xf numFmtId="174" fontId="52" fillId="12" borderId="0" xfId="0" applyFont="1" applyFill="1" applyBorder="1" applyAlignment="1">
      <alignment wrapText="1"/>
    </xf>
    <xf numFmtId="173" fontId="90" fillId="12" borderId="0" xfId="1" applyNumberFormat="1" applyFont="1" applyFill="1" applyBorder="1" applyAlignment="1"/>
    <xf numFmtId="1" fontId="89" fillId="12" borderId="0" xfId="0" applyNumberFormat="1" applyFont="1" applyFill="1" applyBorder="1" applyAlignment="1"/>
    <xf numFmtId="174" fontId="52" fillId="12" borderId="0" xfId="0" applyFont="1" applyFill="1" applyBorder="1" applyAlignment="1"/>
    <xf numFmtId="173" fontId="52" fillId="12" borderId="0" xfId="1" applyNumberFormat="1" applyFont="1" applyFill="1" applyBorder="1" applyAlignment="1"/>
    <xf numFmtId="173" fontId="52" fillId="0" borderId="0" xfId="1" applyNumberFormat="1" applyFont="1" applyFill="1" applyBorder="1" applyAlignment="1"/>
    <xf numFmtId="174" fontId="89" fillId="7" borderId="0" xfId="0" applyFont="1" applyFill="1" applyBorder="1" applyAlignment="1"/>
    <xf numFmtId="173" fontId="89" fillId="7" borderId="0" xfId="1" applyNumberFormat="1" applyFont="1" applyFill="1" applyBorder="1" applyAlignment="1"/>
    <xf numFmtId="174" fontId="52" fillId="7" borderId="0" xfId="0" applyFont="1" applyFill="1" applyBorder="1" applyAlignment="1"/>
    <xf numFmtId="173" fontId="52" fillId="7" borderId="0" xfId="1" applyNumberFormat="1" applyFont="1" applyFill="1" applyBorder="1" applyAlignment="1"/>
    <xf numFmtId="164" fontId="52" fillId="12" borderId="0" xfId="0" applyNumberFormat="1" applyFont="1" applyFill="1" applyBorder="1" applyAlignment="1"/>
    <xf numFmtId="174" fontId="13" fillId="0" borderId="0" xfId="31" applyFont="1" applyBorder="1" applyAlignment="1">
      <alignment wrapText="1"/>
    </xf>
    <xf numFmtId="1" fontId="64" fillId="0" borderId="0" xfId="31" applyNumberFormat="1" applyFont="1" applyBorder="1" applyAlignment="1">
      <alignment horizontal="center"/>
    </xf>
    <xf numFmtId="2" fontId="49" fillId="12" borderId="0" xfId="31" applyNumberFormat="1" applyFont="1" applyFill="1" applyBorder="1" applyAlignment="1">
      <alignment horizontal="center"/>
    </xf>
    <xf numFmtId="174" fontId="64" fillId="0" borderId="0" xfId="31" applyFont="1" applyBorder="1" applyAlignment="1">
      <alignment wrapText="1"/>
    </xf>
    <xf numFmtId="174" fontId="17" fillId="0" borderId="0" xfId="0" applyFont="1" applyBorder="1" applyAlignment="1">
      <alignment wrapText="1"/>
    </xf>
    <xf numFmtId="164" fontId="17" fillId="0" borderId="0" xfId="0" applyNumberFormat="1" applyFont="1" applyBorder="1" applyAlignment="1">
      <alignment horizontal="center"/>
    </xf>
    <xf numFmtId="174" fontId="49" fillId="14" borderId="0" xfId="31" applyFont="1" applyFill="1" applyBorder="1" applyAlignment="1"/>
    <xf numFmtId="2" fontId="48" fillId="0" borderId="0" xfId="31" applyNumberFormat="1" applyFont="1" applyBorder="1" applyAlignment="1"/>
    <xf numFmtId="164" fontId="52" fillId="0" borderId="0" xfId="31" applyNumberFormat="1" applyFont="1" applyBorder="1" applyAlignment="1">
      <alignment horizontal="center"/>
    </xf>
    <xf numFmtId="2" fontId="49" fillId="14" borderId="0" xfId="31" applyNumberFormat="1" applyFont="1" applyFill="1" applyBorder="1" applyAlignment="1"/>
    <xf numFmtId="173" fontId="49" fillId="14" borderId="0" xfId="1" applyNumberFormat="1" applyFont="1" applyFill="1" applyBorder="1" applyAlignment="1">
      <alignment horizontal="center"/>
    </xf>
    <xf numFmtId="164" fontId="48" fillId="0" borderId="0" xfId="31" applyNumberFormat="1" applyFont="1" applyBorder="1" applyAlignment="1"/>
    <xf numFmtId="173" fontId="52" fillId="0" borderId="0" xfId="1" applyNumberFormat="1" applyFont="1" applyBorder="1" applyAlignment="1"/>
    <xf numFmtId="173" fontId="49" fillId="14" borderId="0" xfId="1" applyNumberFormat="1" applyFont="1" applyFill="1" applyBorder="1" applyAlignment="1"/>
    <xf numFmtId="173" fontId="48" fillId="14" borderId="0" xfId="1" applyNumberFormat="1" applyFont="1" applyFill="1" applyBorder="1" applyAlignment="1"/>
    <xf numFmtId="174" fontId="4" fillId="17" borderId="0" xfId="31" applyFont="1" applyFill="1" applyBorder="1" applyAlignment="1"/>
    <xf numFmtId="174" fontId="4" fillId="0" borderId="0" xfId="31" applyFont="1" applyBorder="1" applyAlignment="1"/>
    <xf numFmtId="1" fontId="90" fillId="0" borderId="0" xfId="31" applyNumberFormat="1" applyFont="1" applyBorder="1" applyAlignment="1"/>
    <xf numFmtId="174" fontId="4" fillId="0" borderId="0" xfId="31" applyFont="1" applyBorder="1" applyAlignment="1">
      <alignment horizontal="center"/>
    </xf>
    <xf numFmtId="174" fontId="2" fillId="0" borderId="0" xfId="31" applyFont="1" applyBorder="1" applyAlignment="1">
      <alignment horizontal="left"/>
    </xf>
    <xf numFmtId="2" fontId="90" fillId="0" borderId="0" xfId="31" applyNumberFormat="1" applyFont="1" applyBorder="1" applyAlignment="1"/>
    <xf numFmtId="2" fontId="48" fillId="17" borderId="0" xfId="31" applyNumberFormat="1" applyFont="1" applyFill="1" applyBorder="1" applyAlignment="1"/>
    <xf numFmtId="174" fontId="7" fillId="17" borderId="0" xfId="0" applyFont="1" applyFill="1"/>
    <xf numFmtId="173" fontId="96" fillId="12" borderId="0" xfId="1" applyNumberFormat="1" applyFont="1" applyFill="1" applyBorder="1" applyAlignment="1"/>
    <xf numFmtId="174" fontId="1" fillId="0" borderId="0" xfId="31" applyFont="1" applyBorder="1" applyAlignment="1"/>
    <xf numFmtId="180" fontId="89" fillId="12" borderId="0" xfId="0" applyNumberFormat="1" applyFont="1" applyFill="1" applyBorder="1" applyAlignment="1"/>
    <xf numFmtId="2" fontId="39" fillId="0" borderId="0" xfId="37" applyNumberFormat="1" applyFont="1" applyFill="1" applyBorder="1" applyAlignment="1">
      <alignment vertical="center"/>
    </xf>
    <xf numFmtId="166" fontId="32" fillId="0" borderId="0" xfId="1" applyNumberFormat="1" applyFont="1" applyFill="1" applyBorder="1" applyAlignment="1">
      <alignment vertical="center"/>
    </xf>
    <xf numFmtId="166" fontId="32" fillId="0" borderId="0" xfId="0" applyNumberFormat="1" applyFont="1" applyFill="1" applyBorder="1" applyAlignment="1">
      <alignment vertical="center"/>
    </xf>
    <xf numFmtId="173" fontId="0" fillId="0" borderId="0" xfId="1" applyNumberFormat="1" applyFont="1" applyAlignment="1">
      <alignment horizontal="center"/>
    </xf>
    <xf numFmtId="0" fontId="0" fillId="0" borderId="0" xfId="0" applyNumberFormat="1" applyBorder="1" applyAlignment="1">
      <alignment vertical="center"/>
    </xf>
    <xf numFmtId="0" fontId="0" fillId="12" borderId="0" xfId="0" applyNumberFormat="1" applyFill="1" applyBorder="1" applyAlignment="1">
      <alignment vertical="center"/>
    </xf>
    <xf numFmtId="174" fontId="0" fillId="0" borderId="0" xfId="0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12" borderId="0" xfId="0" applyNumberFormat="1" applyFill="1" applyBorder="1" applyAlignment="1">
      <alignment horizontal="center" vertical="center"/>
    </xf>
    <xf numFmtId="174" fontId="0" fillId="0" borderId="0" xfId="0" applyFont="1"/>
    <xf numFmtId="173" fontId="7" fillId="14" borderId="0" xfId="1" applyNumberFormat="1" applyFont="1" applyFill="1" applyBorder="1" applyAlignment="1">
      <alignment horizontal="center" vertical="center"/>
    </xf>
    <xf numFmtId="173" fontId="0" fillId="0" borderId="0" xfId="0" applyNumberFormat="1" applyFill="1" applyBorder="1" applyAlignment="1">
      <alignment horizontal="center" vertical="center"/>
    </xf>
    <xf numFmtId="174" fontId="7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 vertical="center"/>
    </xf>
    <xf numFmtId="0" fontId="7" fillId="12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174" fontId="7" fillId="0" borderId="0" xfId="0" applyFont="1" applyFill="1"/>
    <xf numFmtId="174" fontId="0" fillId="11" borderId="0" xfId="0" applyFill="1" applyAlignment="1">
      <alignment horizontal="center"/>
    </xf>
    <xf numFmtId="10" fontId="0" fillId="0" borderId="0" xfId="37" applyNumberFormat="1" applyFont="1"/>
    <xf numFmtId="174" fontId="7" fillId="0" borderId="2" xfId="26" applyFont="1" applyBorder="1" applyAlignment="1">
      <alignment horizontal="center" vertical="center"/>
    </xf>
    <xf numFmtId="174" fontId="92" fillId="11" borderId="0" xfId="26" applyFont="1" applyFill="1" applyBorder="1" applyAlignment="1">
      <alignment horizontal="center" vertical="center"/>
    </xf>
    <xf numFmtId="174" fontId="33" fillId="11" borderId="0" xfId="0" applyFont="1" applyFill="1" applyAlignment="1">
      <alignment horizontal="center" vertical="center" wrapText="1"/>
    </xf>
    <xf numFmtId="174" fontId="10" fillId="0" borderId="2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74" fontId="11" fillId="11" borderId="1" xfId="0" applyFont="1" applyFill="1" applyBorder="1" applyAlignment="1">
      <alignment horizontal="left" vertical="center" wrapText="1"/>
    </xf>
    <xf numFmtId="174" fontId="11" fillId="11" borderId="4" xfId="0" applyFont="1" applyFill="1" applyBorder="1" applyAlignment="1">
      <alignment horizontal="left" vertical="center" wrapText="1"/>
    </xf>
    <xf numFmtId="174" fontId="10" fillId="0" borderId="6" xfId="0" applyFont="1" applyBorder="1" applyAlignment="1">
      <alignment horizontal="center" vertical="center" wrapText="1"/>
    </xf>
    <xf numFmtId="174" fontId="10" fillId="0" borderId="15" xfId="0" applyFont="1" applyBorder="1" applyAlignment="1">
      <alignment horizontal="center" vertical="center" wrapText="1"/>
    </xf>
    <xf numFmtId="174" fontId="8" fillId="0" borderId="1" xfId="0" applyFont="1" applyBorder="1" applyAlignment="1">
      <alignment horizontal="center" vertical="center" wrapText="1"/>
    </xf>
    <xf numFmtId="174" fontId="8" fillId="0" borderId="4" xfId="0" applyFont="1" applyBorder="1" applyAlignment="1">
      <alignment horizontal="center" vertical="center" wrapText="1"/>
    </xf>
    <xf numFmtId="174" fontId="9" fillId="0" borderId="1" xfId="0" applyFont="1" applyBorder="1" applyAlignment="1">
      <alignment horizontal="center" vertical="center" wrapText="1"/>
    </xf>
    <xf numFmtId="174" fontId="9" fillId="0" borderId="4" xfId="0" applyFont="1" applyBorder="1" applyAlignment="1">
      <alignment horizontal="center" vertical="center" wrapText="1"/>
    </xf>
    <xf numFmtId="174" fontId="0" fillId="0" borderId="1" xfId="0" applyBorder="1" applyAlignment="1">
      <alignment horizontal="center" vertical="center" wrapText="1"/>
    </xf>
    <xf numFmtId="174" fontId="0" fillId="0" borderId="4" xfId="0" applyBorder="1" applyAlignment="1">
      <alignment horizontal="center" vertical="center" wrapText="1"/>
    </xf>
    <xf numFmtId="174" fontId="38" fillId="14" borderId="1" xfId="0" applyFont="1" applyFill="1" applyBorder="1" applyAlignment="1">
      <alignment horizontal="left" vertical="center" wrapText="1"/>
    </xf>
    <xf numFmtId="174" fontId="38" fillId="14" borderId="4" xfId="0" applyFont="1" applyFill="1" applyBorder="1" applyAlignment="1">
      <alignment horizontal="left" vertical="center" wrapText="1"/>
    </xf>
    <xf numFmtId="173" fontId="49" fillId="12" borderId="2" xfId="1" applyNumberFormat="1" applyFont="1" applyFill="1" applyBorder="1" applyAlignment="1">
      <alignment horizontal="center" vertical="center"/>
    </xf>
    <xf numFmtId="0" fontId="67" fillId="11" borderId="0" xfId="36" applyFont="1" applyFill="1" applyBorder="1" applyAlignment="1">
      <alignment horizontal="center" vertical="center"/>
    </xf>
    <xf numFmtId="173" fontId="49" fillId="12" borderId="1" xfId="1" applyNumberFormat="1" applyFont="1" applyFill="1" applyBorder="1" applyAlignment="1">
      <alignment horizontal="center" vertical="center" wrapText="1"/>
    </xf>
    <xf numFmtId="173" fontId="49" fillId="12" borderId="4" xfId="1" applyNumberFormat="1" applyFont="1" applyFill="1" applyBorder="1" applyAlignment="1">
      <alignment horizontal="center" vertical="center" wrapText="1"/>
    </xf>
    <xf numFmtId="0" fontId="49" fillId="14" borderId="5" xfId="36" applyFont="1" applyFill="1" applyBorder="1" applyAlignment="1">
      <alignment horizontal="center" vertical="center"/>
    </xf>
    <xf numFmtId="0" fontId="49" fillId="14" borderId="12" xfId="36" applyFont="1" applyFill="1" applyBorder="1" applyAlignment="1">
      <alignment horizontal="center" vertical="center"/>
    </xf>
    <xf numFmtId="0" fontId="49" fillId="14" borderId="7" xfId="36" applyFont="1" applyFill="1" applyBorder="1" applyAlignment="1">
      <alignment horizontal="center" vertical="center"/>
    </xf>
    <xf numFmtId="173" fontId="49" fillId="12" borderId="14" xfId="1" applyNumberFormat="1" applyFont="1" applyFill="1" applyBorder="1" applyAlignment="1">
      <alignment horizontal="center" vertical="center"/>
    </xf>
    <xf numFmtId="173" fontId="53" fillId="12" borderId="1" xfId="1" applyNumberFormat="1" applyFont="1" applyFill="1" applyBorder="1" applyAlignment="1">
      <alignment horizontal="center" vertical="center"/>
    </xf>
    <xf numFmtId="173" fontId="53" fillId="12" borderId="4" xfId="1" applyNumberFormat="1" applyFont="1" applyFill="1" applyBorder="1" applyAlignment="1">
      <alignment horizontal="center" vertical="center"/>
    </xf>
    <xf numFmtId="174" fontId="7" fillId="11" borderId="0" xfId="0" applyFont="1" applyFill="1" applyAlignment="1">
      <alignment horizontal="center" vertical="center"/>
    </xf>
    <xf numFmtId="174" fontId="17" fillId="4" borderId="0" xfId="32" applyFont="1" applyFill="1" applyBorder="1" applyAlignment="1">
      <alignment horizontal="left"/>
    </xf>
    <xf numFmtId="174" fontId="17" fillId="0" borderId="0" xfId="32" applyFont="1" applyFill="1" applyBorder="1" applyAlignment="1">
      <alignment horizontal="left"/>
    </xf>
    <xf numFmtId="174" fontId="20" fillId="0" borderId="0" xfId="32" applyFont="1" applyBorder="1" applyAlignment="1">
      <alignment horizontal="left" vertical="center" wrapText="1"/>
    </xf>
    <xf numFmtId="174" fontId="23" fillId="2" borderId="0" xfId="32" applyFont="1" applyFill="1" applyBorder="1" applyAlignment="1">
      <alignment horizontal="left" vertical="center" wrapText="1"/>
    </xf>
    <xf numFmtId="174" fontId="32" fillId="17" borderId="0" xfId="0" applyFont="1" applyFill="1" applyBorder="1" applyAlignment="1">
      <alignment horizontal="center" vertical="center"/>
    </xf>
    <xf numFmtId="174" fontId="39" fillId="18" borderId="0" xfId="0" applyFont="1" applyFill="1" applyBorder="1" applyAlignment="1">
      <alignment horizontal="center" vertical="center"/>
    </xf>
    <xf numFmtId="174" fontId="39" fillId="12" borderId="0" xfId="0" applyFont="1" applyFill="1" applyBorder="1" applyAlignment="1"/>
    <xf numFmtId="174" fontId="34" fillId="11" borderId="0" xfId="0" applyFont="1" applyFill="1" applyAlignment="1">
      <alignment horizontal="center" vertical="center"/>
    </xf>
    <xf numFmtId="174" fontId="45" fillId="17" borderId="0" xfId="0" applyFont="1" applyFill="1" applyBorder="1" applyAlignment="1">
      <alignment horizontal="center" vertical="center"/>
    </xf>
    <xf numFmtId="174" fontId="43" fillId="17" borderId="0" xfId="0" applyFont="1" applyFill="1" applyBorder="1" applyAlignment="1">
      <alignment horizontal="center" vertical="center"/>
    </xf>
    <xf numFmtId="174" fontId="32" fillId="14" borderId="0" xfId="0" applyFont="1" applyFill="1" applyBorder="1" applyAlignment="1">
      <alignment horizontal="center" vertical="center"/>
    </xf>
    <xf numFmtId="174" fontId="17" fillId="0" borderId="0" xfId="32" applyFont="1" applyFill="1" applyBorder="1" applyAlignment="1">
      <alignment horizontal="center"/>
    </xf>
    <xf numFmtId="173" fontId="7" fillId="14" borderId="0" xfId="1" applyNumberFormat="1" applyFont="1" applyFill="1" applyBorder="1" applyAlignment="1">
      <alignment horizontal="center" vertical="center"/>
    </xf>
    <xf numFmtId="174" fontId="49" fillId="0" borderId="0" xfId="31" applyFont="1" applyBorder="1" applyAlignment="1">
      <alignment horizontal="center"/>
    </xf>
    <xf numFmtId="2" fontId="49" fillId="0" borderId="0" xfId="31" applyNumberFormat="1" applyFont="1" applyBorder="1" applyAlignment="1">
      <alignment horizontal="center"/>
    </xf>
    <xf numFmtId="174" fontId="89" fillId="11" borderId="0" xfId="31" applyFont="1" applyFill="1" applyBorder="1" applyAlignment="1">
      <alignment horizontal="center"/>
    </xf>
    <xf numFmtId="174" fontId="89" fillId="7" borderId="0" xfId="31" applyFont="1" applyFill="1" applyBorder="1" applyAlignment="1">
      <alignment horizontal="center"/>
    </xf>
    <xf numFmtId="174" fontId="4" fillId="0" borderId="0" xfId="31" applyFont="1" applyBorder="1" applyAlignment="1">
      <alignment horizontal="center"/>
    </xf>
    <xf numFmtId="174" fontId="89" fillId="0" borderId="0" xfId="31" applyFont="1" applyFill="1" applyBorder="1" applyAlignment="1">
      <alignment horizontal="center"/>
    </xf>
    <xf numFmtId="0" fontId="49" fillId="0" borderId="0" xfId="23" applyFont="1" applyFill="1" applyBorder="1" applyAlignment="1">
      <alignment horizontal="center"/>
    </xf>
    <xf numFmtId="0" fontId="93" fillId="17" borderId="0" xfId="23" applyFont="1" applyFill="1" applyBorder="1" applyAlignment="1">
      <alignment horizontal="center"/>
    </xf>
    <xf numFmtId="174" fontId="53" fillId="11" borderId="0" xfId="33" applyFont="1" applyFill="1" applyBorder="1" applyAlignment="1">
      <alignment horizontal="center"/>
    </xf>
    <xf numFmtId="174" fontId="7" fillId="7" borderId="2" xfId="33" applyFont="1" applyFill="1" applyBorder="1" applyAlignment="1">
      <alignment horizontal="center"/>
    </xf>
    <xf numFmtId="174" fontId="31" fillId="0" borderId="0" xfId="33" applyFont="1"/>
    <xf numFmtId="174" fontId="18" fillId="6" borderId="0" xfId="32" applyFont="1" applyFill="1" applyBorder="1" applyAlignment="1">
      <alignment horizontal="center" vertical="center"/>
    </xf>
    <xf numFmtId="174" fontId="18" fillId="0" borderId="0" xfId="32" applyFont="1" applyBorder="1" applyAlignment="1">
      <alignment horizontal="center" vertical="center"/>
    </xf>
    <xf numFmtId="9" fontId="18" fillId="0" borderId="0" xfId="32" applyNumberFormat="1" applyFont="1" applyBorder="1" applyAlignment="1">
      <alignment horizontal="center" vertical="center"/>
    </xf>
    <xf numFmtId="174" fontId="18" fillId="0" borderId="0" xfId="32" applyFont="1" applyFill="1" applyBorder="1" applyAlignment="1">
      <alignment horizontal="center" vertical="center"/>
    </xf>
    <xf numFmtId="38" fontId="17" fillId="0" borderId="0" xfId="32" applyNumberFormat="1" applyFont="1" applyBorder="1" applyAlignment="1">
      <alignment horizontal="left"/>
    </xf>
    <xf numFmtId="174" fontId="18" fillId="0" borderId="0" xfId="32" applyFont="1" applyBorder="1" applyAlignment="1">
      <alignment horizontal="center"/>
    </xf>
    <xf numFmtId="174" fontId="18" fillId="6" borderId="0" xfId="32" applyFont="1" applyFill="1" applyBorder="1" applyAlignment="1">
      <alignment horizontal="center"/>
    </xf>
    <xf numFmtId="174" fontId="18" fillId="0" borderId="0" xfId="32" applyFont="1" applyFill="1" applyBorder="1" applyAlignment="1">
      <alignment horizontal="center"/>
    </xf>
    <xf numFmtId="174" fontId="20" fillId="0" borderId="0" xfId="32" applyFont="1" applyAlignment="1">
      <alignment vertical="center"/>
    </xf>
    <xf numFmtId="174" fontId="16" fillId="0" borderId="0" xfId="32" applyFont="1" applyFill="1" applyBorder="1" applyAlignment="1">
      <alignment horizontal="center" vertical="center" wrapText="1"/>
    </xf>
    <xf numFmtId="0" fontId="7" fillId="0" borderId="0" xfId="32" applyNumberFormat="1" applyFont="1" applyAlignment="1">
      <alignment horizontal="center"/>
    </xf>
    <xf numFmtId="0" fontId="16" fillId="0" borderId="0" xfId="32" applyNumberFormat="1" applyFont="1" applyFill="1" applyBorder="1" applyAlignment="1">
      <alignment horizontal="center" vertical="center" wrapText="1"/>
    </xf>
    <xf numFmtId="0" fontId="18" fillId="6" borderId="0" xfId="32" applyNumberFormat="1" applyFont="1" applyFill="1" applyBorder="1" applyAlignment="1">
      <alignment horizontal="center"/>
    </xf>
    <xf numFmtId="0" fontId="53" fillId="0" borderId="0" xfId="24" applyFont="1" applyBorder="1" applyAlignment="1">
      <alignment horizontal="center" vertical="center"/>
    </xf>
    <xf numFmtId="0" fontId="53" fillId="11" borderId="0" xfId="24" applyFont="1" applyFill="1" applyBorder="1" applyAlignment="1">
      <alignment horizontal="center"/>
    </xf>
    <xf numFmtId="0" fontId="55" fillId="0" borderId="0" xfId="24" applyFont="1" applyAlignment="1">
      <alignment horizontal="center" vertical="center"/>
    </xf>
  </cellXfs>
  <cellStyles count="43">
    <cellStyle name="Comma" xfId="1" builtinId="3"/>
    <cellStyle name="Comma 2" xfId="2"/>
    <cellStyle name="Comma 2 2" xfId="3"/>
    <cellStyle name="Comma 3" xfId="4"/>
    <cellStyle name="Comma 3 2" xfId="5"/>
    <cellStyle name="Comma 4" xfId="6"/>
    <cellStyle name="Comma 5" xfId="7"/>
    <cellStyle name="Comma 6" xfId="8"/>
    <cellStyle name="Currency 10" xfId="9"/>
    <cellStyle name="Currency 11" xfId="10"/>
    <cellStyle name="Currency 2" xfId="11"/>
    <cellStyle name="Currency 3" xfId="12"/>
    <cellStyle name="Currency 4" xfId="13"/>
    <cellStyle name="Currency 5" xfId="14"/>
    <cellStyle name="Currency 6" xfId="15"/>
    <cellStyle name="Currency 7" xfId="16"/>
    <cellStyle name="Currency 8" xfId="17"/>
    <cellStyle name="Currency 9" xfId="18"/>
    <cellStyle name="Hyperlink" xfId="19" builtinId="8"/>
    <cellStyle name="Hyperlink 2" xfId="20"/>
    <cellStyle name="Hyperlink 3" xfId="21"/>
    <cellStyle name="Normal" xfId="0" builtinId="0"/>
    <cellStyle name="Normal 10" xfId="22"/>
    <cellStyle name="Normal 11" xfId="23"/>
    <cellStyle name="Normal 12" xfId="24"/>
    <cellStyle name="Normal 2" xfId="25"/>
    <cellStyle name="Normal 2 2" xfId="26"/>
    <cellStyle name="Normal 2 2 2" xfId="27"/>
    <cellStyle name="Normal 2 2 3" xfId="28"/>
    <cellStyle name="Normal 3" xfId="29"/>
    <cellStyle name="Normal 4" xfId="30"/>
    <cellStyle name="Normal 5" xfId="31"/>
    <cellStyle name="Normal 6" xfId="32"/>
    <cellStyle name="Normal 7" xfId="33"/>
    <cellStyle name="Normal 7 2" xfId="34"/>
    <cellStyle name="Normal 8" xfId="35"/>
    <cellStyle name="Normal 9" xfId="36"/>
    <cellStyle name="Percent" xfId="37" builtinId="5"/>
    <cellStyle name="Percent 2" xfId="38"/>
    <cellStyle name="Percent 2 2" xfId="39"/>
    <cellStyle name="Percent 3" xfId="40"/>
    <cellStyle name="Percent 4" xfId="41"/>
    <cellStyle name="Percent 5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AppData\Local\Microsoft\Windows\Temporary%20Internet%20Files\Content.Outlook\6PHKA0QL\SONEPAT%202010-11(01.04.2010)\PROJECT%20REPORTS%202010-11\Haryana%20Power-Kundli%20Plot\PROJECT%20REPORT%20-%20Har%20Power%20Ind%20%20KUNDL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Microsoft/Windows/Temporary%20Internet%20Files/Content.Outlook/I4ORQ7Q6/SONEPAT%202010-11(01.04.2010)/PROJECT%20REPORTS%202010-11/Haryana%20Power-Kundli%20Plot/PROJECT%20REPORT%20-%20Har%20Power%20Ind%20%20KUNDL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Microsoft/Windows/Temporary%20Internet%20Files/Content.Outlook/I4ORQ7Q6/rSSC%20Financial-Template%20Ver%205(23aug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dc%20foundry\Financial-Template(19aug1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P"/>
      <sheetName val="PROF"/>
      <sheetName val="WCAP"/>
      <sheetName val="CASH"/>
      <sheetName val="BS"/>
      <sheetName val="DSCR"/>
      <sheetName val="BEP"/>
      <sheetName val="RM"/>
      <sheetName val="SALE"/>
      <sheetName val="MAN"/>
      <sheetName val="POWER"/>
      <sheetName val="DEP-I"/>
      <sheetName val="INTT"/>
      <sheetName val="IRR"/>
    </sheetNames>
    <sheetDataSet>
      <sheetData sheetId="0">
        <row r="1">
          <cell r="A1" t="str">
            <v xml:space="preserve">M/s Haryana Power Industriess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P"/>
      <sheetName val="PROF"/>
      <sheetName val="WCAP"/>
      <sheetName val="CASH"/>
      <sheetName val="BS"/>
      <sheetName val="DSCR"/>
      <sheetName val="BEP"/>
      <sheetName val="RM"/>
      <sheetName val="SALE"/>
      <sheetName val="MAN"/>
      <sheetName val="POWER"/>
      <sheetName val="DEP-I"/>
      <sheetName val="INTT"/>
      <sheetName val="IRR"/>
    </sheetNames>
    <sheetDataSet>
      <sheetData sheetId="0">
        <row r="1">
          <cell r="A1" t="str">
            <v xml:space="preserve">M/s Haryana Power Industriess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no. of perople trained "/>
      <sheetName val="Assumptions &amp; Projections"/>
      <sheetName val="Expenses assumption"/>
      <sheetName val="fin pln"/>
      <sheetName val="utilsation of grant and loan"/>
      <sheetName val="Cover Page"/>
      <sheetName val="Index"/>
      <sheetName val="b. Sensitivity Analysis"/>
      <sheetName val="Key Assumptions"/>
      <sheetName val="Balance Sheet"/>
      <sheetName val="P&amp;L Statement"/>
      <sheetName val="Cashflow Statement"/>
      <sheetName val="Revenue Schedule"/>
      <sheetName val="Operational Expenses"/>
      <sheetName val="Interest-Principal"/>
      <sheetName val="Capex"/>
      <sheetName val="WACC"/>
      <sheetName val="Working Capital"/>
      <sheetName val="Depreciation "/>
      <sheetName val="Amortisation"/>
      <sheetName val="Tax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5">
          <cell r="D25">
            <v>0.13858000000000001</v>
          </cell>
        </row>
      </sheetData>
      <sheetData sheetId="8"/>
      <sheetData sheetId="9">
        <row r="32">
          <cell r="K32">
            <v>25</v>
          </cell>
        </row>
      </sheetData>
      <sheetData sheetId="10">
        <row r="19">
          <cell r="B19" t="e">
            <v>#REF!</v>
          </cell>
        </row>
      </sheetData>
      <sheetData sheetId="11"/>
      <sheetData sheetId="12">
        <row r="21">
          <cell r="B21" t="e">
            <v>#REF!</v>
          </cell>
        </row>
      </sheetData>
      <sheetData sheetId="13">
        <row r="19">
          <cell r="B19" t="e">
            <v>#REF!</v>
          </cell>
        </row>
      </sheetData>
      <sheetData sheetId="14">
        <row r="14">
          <cell r="B14">
            <v>0</v>
          </cell>
        </row>
      </sheetData>
      <sheetData sheetId="15"/>
      <sheetData sheetId="16"/>
      <sheetData sheetId="17"/>
      <sheetData sheetId="18">
        <row r="30">
          <cell r="B30">
            <v>2.2000000000000002</v>
          </cell>
        </row>
      </sheetData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no. of trades and students"/>
      <sheetName val="Assumptions &amp; Projections"/>
      <sheetName val="Cover Page"/>
      <sheetName val="Index"/>
      <sheetName val="b. Sensitivity Analysis"/>
      <sheetName val="Key Assumptions"/>
      <sheetName val="Balance Sheet "/>
      <sheetName val="P &amp; L Statement"/>
      <sheetName val="Cashflow Statement "/>
      <sheetName val="Revenue Schedule"/>
      <sheetName val="Operational Expenses "/>
      <sheetName val="Depreciation "/>
      <sheetName val="Preliminary Expense Calculation"/>
      <sheetName val="No. of Students Calculation"/>
      <sheetName val="Training Schedule Calculation"/>
      <sheetName val="Training Cost &amp; Placement fees"/>
      <sheetName val="Center operationalization Calc"/>
      <sheetName val="Examination Fees Calculation"/>
      <sheetName val="salary and admin"/>
      <sheetName val="Council Meeting Expenses "/>
      <sheetName val="Fixed Asset Calculation"/>
      <sheetName val="IRR Calculation"/>
      <sheetName val="WACC"/>
      <sheetName val="Working Capital"/>
    </sheetNames>
    <sheetDataSet>
      <sheetData sheetId="0"/>
      <sheetData sheetId="1"/>
      <sheetData sheetId="2"/>
      <sheetData sheetId="3"/>
      <sheetData sheetId="4">
        <row r="25">
          <cell r="D25">
            <v>0.13858000000000001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9"/>
  <sheetViews>
    <sheetView workbookViewId="0">
      <selection activeCell="D28" sqref="D28"/>
    </sheetView>
  </sheetViews>
  <sheetFormatPr defaultRowHeight="12.75"/>
  <cols>
    <col min="1" max="1" width="10" style="164" bestFit="1" customWidth="1"/>
    <col min="2" max="3" width="9.140625" style="164"/>
    <col min="4" max="5" width="10.85546875" style="164" bestFit="1" customWidth="1"/>
    <col min="6" max="16384" width="9.140625" style="164"/>
  </cols>
  <sheetData>
    <row r="2" spans="1:5">
      <c r="A2" s="164">
        <v>1</v>
      </c>
      <c r="B2" s="164" t="s">
        <v>228</v>
      </c>
    </row>
    <row r="3" spans="1:5">
      <c r="A3" s="164">
        <v>2</v>
      </c>
      <c r="B3" s="164" t="s">
        <v>229</v>
      </c>
      <c r="D3" s="164" t="s">
        <v>231</v>
      </c>
      <c r="E3" s="164" t="s">
        <v>237</v>
      </c>
    </row>
    <row r="4" spans="1:5">
      <c r="B4" s="164" t="s">
        <v>230</v>
      </c>
      <c r="D4" s="164" t="s">
        <v>234</v>
      </c>
      <c r="E4" s="164">
        <v>300</v>
      </c>
    </row>
    <row r="5" spans="1:5">
      <c r="A5" s="164">
        <v>3</v>
      </c>
      <c r="B5" s="164" t="s">
        <v>232</v>
      </c>
      <c r="D5" s="164" t="s">
        <v>235</v>
      </c>
      <c r="E5" s="164">
        <v>400</v>
      </c>
    </row>
    <row r="6" spans="1:5">
      <c r="A6" s="164">
        <v>4</v>
      </c>
      <c r="B6" s="164" t="s">
        <v>233</v>
      </c>
      <c r="D6" s="164" t="s">
        <v>236</v>
      </c>
      <c r="E6" s="164">
        <v>500</v>
      </c>
    </row>
    <row r="7" spans="1:5">
      <c r="A7" s="164">
        <v>5</v>
      </c>
    </row>
    <row r="8" spans="1:5">
      <c r="A8" s="164">
        <v>6</v>
      </c>
      <c r="B8" s="164" t="s">
        <v>238</v>
      </c>
    </row>
    <row r="9" spans="1:5">
      <c r="A9" s="164">
        <v>7</v>
      </c>
    </row>
    <row r="12" spans="1:5">
      <c r="B12" s="164" t="s">
        <v>239</v>
      </c>
      <c r="D12" s="164" t="s">
        <v>240</v>
      </c>
    </row>
    <row r="13" spans="1:5">
      <c r="B13" s="164" t="s">
        <v>232</v>
      </c>
      <c r="D13" s="164" t="s">
        <v>224</v>
      </c>
    </row>
    <row r="14" spans="1:5">
      <c r="B14" s="164" t="s">
        <v>233</v>
      </c>
      <c r="D14" s="164" t="s">
        <v>225</v>
      </c>
    </row>
    <row r="16" spans="1:5">
      <c r="B16" s="164" t="s">
        <v>241</v>
      </c>
      <c r="D16" s="164">
        <v>1500</v>
      </c>
    </row>
    <row r="18" spans="2:5">
      <c r="B18" s="164" t="s">
        <v>242</v>
      </c>
      <c r="D18" s="164">
        <v>1</v>
      </c>
      <c r="E18" s="164" t="s">
        <v>245</v>
      </c>
    </row>
    <row r="19" spans="2:5">
      <c r="B19" s="164" t="s">
        <v>243</v>
      </c>
      <c r="D19" s="164">
        <v>4</v>
      </c>
      <c r="E19" s="164" t="s">
        <v>244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AK176"/>
  <sheetViews>
    <sheetView showGridLines="0" zoomScale="70" zoomScaleNormal="70" workbookViewId="0">
      <pane ySplit="8" topLeftCell="A81" activePane="bottomLeft" state="frozen"/>
      <selection pane="bottomLeft" activeCell="O83" sqref="O83"/>
    </sheetView>
  </sheetViews>
  <sheetFormatPr defaultRowHeight="15"/>
  <cols>
    <col min="1" max="1" width="12.5703125" style="638" bestFit="1" customWidth="1"/>
    <col min="2" max="2" width="69.42578125" style="604" bestFit="1" customWidth="1"/>
    <col min="3" max="3" width="19.28515625" style="604" bestFit="1" customWidth="1"/>
    <col min="4" max="4" width="13.5703125" style="604" bestFit="1" customWidth="1"/>
    <col min="5" max="5" width="12.42578125" style="604" bestFit="1" customWidth="1"/>
    <col min="6" max="7" width="12.5703125" style="604" bestFit="1" customWidth="1"/>
    <col min="8" max="19" width="9.7109375" style="604" bestFit="1" customWidth="1"/>
    <col min="20" max="21" width="9.7109375" style="609" bestFit="1" customWidth="1"/>
    <col min="22" max="22" width="12.5703125" style="609" bestFit="1" customWidth="1"/>
    <col min="23" max="24" width="11" style="609" bestFit="1" customWidth="1"/>
    <col min="25" max="16384" width="9.140625" style="609"/>
  </cols>
  <sheetData>
    <row r="1" spans="1:37" s="595" customFormat="1" ht="15.75">
      <c r="A1" s="990" t="s">
        <v>66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/>
      <c r="T1" s="990"/>
      <c r="U1" s="990"/>
    </row>
    <row r="2" spans="1:37" ht="15.75">
      <c r="A2" s="605" t="s">
        <v>16</v>
      </c>
      <c r="B2" s="606" t="s">
        <v>67</v>
      </c>
      <c r="J2" s="607"/>
      <c r="K2" s="607"/>
      <c r="L2" s="607"/>
      <c r="M2" s="607"/>
      <c r="N2" s="607" t="s">
        <v>196</v>
      </c>
      <c r="O2" s="607" t="s">
        <v>198</v>
      </c>
      <c r="P2" s="607" t="s">
        <v>199</v>
      </c>
      <c r="Q2" s="607" t="s">
        <v>200</v>
      </c>
      <c r="R2" s="607"/>
      <c r="S2" s="607"/>
      <c r="T2" s="607"/>
      <c r="U2" s="607"/>
      <c r="V2" s="608" t="s">
        <v>205</v>
      </c>
    </row>
    <row r="3" spans="1:37">
      <c r="A3" s="610"/>
      <c r="C3" s="611"/>
      <c r="D3" s="609"/>
      <c r="F3" s="991" t="s">
        <v>143</v>
      </c>
      <c r="G3" s="991"/>
      <c r="H3" s="991"/>
      <c r="I3" s="991"/>
      <c r="J3" s="991" t="s">
        <v>144</v>
      </c>
      <c r="K3" s="991"/>
      <c r="L3" s="991"/>
      <c r="M3" s="991"/>
      <c r="N3" s="612" t="s">
        <v>149</v>
      </c>
      <c r="O3" s="612" t="s">
        <v>150</v>
      </c>
      <c r="P3" s="612" t="s">
        <v>151</v>
      </c>
      <c r="Q3" s="612" t="s">
        <v>177</v>
      </c>
      <c r="R3" s="612" t="s">
        <v>178</v>
      </c>
      <c r="S3" s="612" t="s">
        <v>179</v>
      </c>
      <c r="T3" s="612" t="s">
        <v>180</v>
      </c>
      <c r="U3" s="612" t="s">
        <v>181</v>
      </c>
    </row>
    <row r="4" spans="1:37" ht="15.75">
      <c r="A4" s="610"/>
      <c r="C4" s="613"/>
      <c r="D4" s="609"/>
      <c r="F4" s="612" t="s">
        <v>407</v>
      </c>
      <c r="G4" s="612" t="s">
        <v>408</v>
      </c>
      <c r="H4" s="612" t="s">
        <v>409</v>
      </c>
      <c r="I4" s="612" t="s">
        <v>410</v>
      </c>
      <c r="J4" s="612" t="s">
        <v>407</v>
      </c>
      <c r="K4" s="612" t="s">
        <v>408</v>
      </c>
      <c r="L4" s="612" t="s">
        <v>409</v>
      </c>
      <c r="M4" s="612" t="s">
        <v>410</v>
      </c>
      <c r="N4" s="614"/>
      <c r="O4" s="614"/>
      <c r="P4" s="614"/>
      <c r="Q4" s="614"/>
      <c r="R4" s="614"/>
      <c r="S4" s="614"/>
      <c r="T4" s="614"/>
      <c r="U4" s="614"/>
    </row>
    <row r="5" spans="1:37" s="604" customFormat="1">
      <c r="A5" s="610">
        <v>1</v>
      </c>
      <c r="B5" s="604" t="s">
        <v>381</v>
      </c>
      <c r="C5" s="615" t="s">
        <v>454</v>
      </c>
      <c r="D5" s="616">
        <v>0.1</v>
      </c>
      <c r="F5" s="617">
        <v>1</v>
      </c>
      <c r="G5" s="618">
        <f>F5</f>
        <v>1</v>
      </c>
      <c r="H5" s="618">
        <f>G5</f>
        <v>1</v>
      </c>
      <c r="I5" s="618">
        <f>H5</f>
        <v>1</v>
      </c>
      <c r="J5" s="618">
        <f>I5+I5*D5</f>
        <v>1.1000000000000001</v>
      </c>
      <c r="K5" s="618">
        <f>J5</f>
        <v>1.1000000000000001</v>
      </c>
      <c r="L5" s="618">
        <f>K5</f>
        <v>1.1000000000000001</v>
      </c>
      <c r="M5" s="618">
        <f>L5</f>
        <v>1.1000000000000001</v>
      </c>
      <c r="N5" s="618">
        <f t="shared" ref="N5:U5" si="0">M5+M5*$D$5</f>
        <v>1.2100000000000002</v>
      </c>
      <c r="O5" s="618">
        <f t="shared" si="0"/>
        <v>1.3310000000000002</v>
      </c>
      <c r="P5" s="618">
        <f t="shared" si="0"/>
        <v>1.4641000000000002</v>
      </c>
      <c r="Q5" s="618">
        <f t="shared" si="0"/>
        <v>1.6105100000000001</v>
      </c>
      <c r="R5" s="618">
        <f t="shared" si="0"/>
        <v>1.7715610000000002</v>
      </c>
      <c r="S5" s="618">
        <f t="shared" si="0"/>
        <v>1.9487171000000001</v>
      </c>
      <c r="T5" s="618">
        <f t="shared" si="0"/>
        <v>2.1435888100000002</v>
      </c>
      <c r="U5" s="618">
        <f t="shared" si="0"/>
        <v>2.3579476910000001</v>
      </c>
    </row>
    <row r="6" spans="1:37" s="604" customFormat="1">
      <c r="A6" s="610"/>
      <c r="F6" s="610"/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  <c r="T6" s="610"/>
      <c r="U6" s="610"/>
    </row>
    <row r="7" spans="1:37" s="604" customFormat="1">
      <c r="A7" s="610">
        <v>2</v>
      </c>
      <c r="B7" s="604" t="s">
        <v>557</v>
      </c>
      <c r="C7" s="604" t="s">
        <v>218</v>
      </c>
      <c r="D7" s="619">
        <f>SUM(F7:U7)</f>
        <v>15</v>
      </c>
      <c r="F7" s="620">
        <v>6</v>
      </c>
      <c r="G7" s="621">
        <v>0</v>
      </c>
      <c r="H7" s="621">
        <v>0</v>
      </c>
      <c r="I7" s="621">
        <v>0</v>
      </c>
      <c r="J7" s="622">
        <v>3</v>
      </c>
      <c r="K7" s="610">
        <v>0</v>
      </c>
      <c r="L7" s="610">
        <v>0</v>
      </c>
      <c r="M7" s="610">
        <v>0</v>
      </c>
      <c r="N7" s="622">
        <v>3</v>
      </c>
      <c r="O7" s="622">
        <v>3</v>
      </c>
      <c r="P7" s="622">
        <v>0</v>
      </c>
      <c r="Q7" s="622">
        <v>0</v>
      </c>
      <c r="R7" s="622">
        <v>0</v>
      </c>
      <c r="S7" s="622">
        <v>0</v>
      </c>
      <c r="T7" s="622">
        <v>0</v>
      </c>
      <c r="U7" s="622">
        <v>0</v>
      </c>
    </row>
    <row r="8" spans="1:37" s="604" customFormat="1">
      <c r="A8" s="610"/>
      <c r="B8" s="623" t="s">
        <v>558</v>
      </c>
      <c r="F8" s="621">
        <f>F7</f>
        <v>6</v>
      </c>
      <c r="G8" s="621">
        <f t="shared" ref="G8:U8" si="1">F8+G7</f>
        <v>6</v>
      </c>
      <c r="H8" s="621">
        <f t="shared" si="1"/>
        <v>6</v>
      </c>
      <c r="I8" s="621">
        <f t="shared" si="1"/>
        <v>6</v>
      </c>
      <c r="J8" s="610">
        <f t="shared" si="1"/>
        <v>9</v>
      </c>
      <c r="K8" s="610">
        <f t="shared" si="1"/>
        <v>9</v>
      </c>
      <c r="L8" s="610">
        <f t="shared" si="1"/>
        <v>9</v>
      </c>
      <c r="M8" s="610">
        <f t="shared" si="1"/>
        <v>9</v>
      </c>
      <c r="N8" s="610">
        <f t="shared" si="1"/>
        <v>12</v>
      </c>
      <c r="O8" s="610">
        <f t="shared" si="1"/>
        <v>15</v>
      </c>
      <c r="P8" s="610">
        <f t="shared" si="1"/>
        <v>15</v>
      </c>
      <c r="Q8" s="610">
        <f t="shared" si="1"/>
        <v>15</v>
      </c>
      <c r="R8" s="610">
        <f t="shared" si="1"/>
        <v>15</v>
      </c>
      <c r="S8" s="610">
        <f t="shared" si="1"/>
        <v>15</v>
      </c>
      <c r="T8" s="610">
        <f t="shared" si="1"/>
        <v>15</v>
      </c>
      <c r="U8" s="610">
        <f t="shared" si="1"/>
        <v>15</v>
      </c>
    </row>
    <row r="9" spans="1:37" s="604" customFormat="1">
      <c r="A9" s="624"/>
      <c r="B9" s="624"/>
      <c r="C9" s="624"/>
      <c r="D9" s="624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</row>
    <row r="10" spans="1:37" s="595" customFormat="1" ht="15.75">
      <c r="A10" s="625"/>
      <c r="B10" s="597" t="s">
        <v>434</v>
      </c>
      <c r="D10" s="626"/>
      <c r="F10" s="627"/>
      <c r="G10" s="628"/>
      <c r="H10" s="628"/>
      <c r="I10" s="628"/>
      <c r="J10" s="628"/>
      <c r="K10" s="628"/>
      <c r="L10" s="628"/>
      <c r="M10" s="628"/>
      <c r="N10" s="628"/>
      <c r="O10" s="628"/>
      <c r="P10" s="628"/>
      <c r="Q10" s="628"/>
      <c r="R10" s="628"/>
      <c r="S10" s="628"/>
      <c r="T10" s="628"/>
      <c r="U10" s="628"/>
    </row>
    <row r="11" spans="1:37" s="604" customFormat="1">
      <c r="A11" s="610">
        <v>3</v>
      </c>
      <c r="B11" s="604" t="s">
        <v>563</v>
      </c>
      <c r="D11" s="61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700"/>
    </row>
    <row r="12" spans="1:37" s="604" customFormat="1">
      <c r="A12" s="610"/>
      <c r="B12" s="623" t="s">
        <v>366</v>
      </c>
      <c r="C12" s="629" t="s">
        <v>397</v>
      </c>
      <c r="D12" s="704"/>
      <c r="E12" s="704"/>
      <c r="F12" s="700">
        <v>15</v>
      </c>
      <c r="G12" s="701">
        <f t="shared" ref="G12:N12" si="2">F12</f>
        <v>15</v>
      </c>
      <c r="H12" s="701">
        <f t="shared" si="2"/>
        <v>15</v>
      </c>
      <c r="I12" s="701">
        <f t="shared" si="2"/>
        <v>15</v>
      </c>
      <c r="J12" s="701">
        <f t="shared" si="2"/>
        <v>15</v>
      </c>
      <c r="K12" s="701">
        <f t="shared" si="2"/>
        <v>15</v>
      </c>
      <c r="L12" s="701">
        <f t="shared" si="2"/>
        <v>15</v>
      </c>
      <c r="M12" s="701">
        <f t="shared" si="2"/>
        <v>15</v>
      </c>
      <c r="N12" s="701">
        <f t="shared" si="2"/>
        <v>15</v>
      </c>
      <c r="O12" s="700">
        <v>25</v>
      </c>
      <c r="P12" s="701">
        <f t="shared" ref="P12:U14" si="3">O12</f>
        <v>25</v>
      </c>
      <c r="Q12" s="701">
        <f t="shared" si="3"/>
        <v>25</v>
      </c>
      <c r="R12" s="701">
        <f t="shared" si="3"/>
        <v>25</v>
      </c>
      <c r="S12" s="701">
        <f t="shared" si="3"/>
        <v>25</v>
      </c>
      <c r="T12" s="701">
        <f t="shared" si="3"/>
        <v>25</v>
      </c>
      <c r="U12" s="701">
        <f t="shared" si="3"/>
        <v>25</v>
      </c>
    </row>
    <row r="13" spans="1:37" s="604" customFormat="1">
      <c r="A13" s="610"/>
      <c r="B13" s="623" t="s">
        <v>420</v>
      </c>
      <c r="D13" s="703"/>
      <c r="E13" s="705"/>
      <c r="F13" s="700">
        <v>1</v>
      </c>
      <c r="G13" s="701">
        <f t="shared" ref="G13:I14" si="4">F13</f>
        <v>1</v>
      </c>
      <c r="H13" s="701">
        <f t="shared" si="4"/>
        <v>1</v>
      </c>
      <c r="I13" s="701">
        <f t="shared" si="4"/>
        <v>1</v>
      </c>
      <c r="J13" s="700">
        <v>1</v>
      </c>
      <c r="K13" s="701">
        <f t="shared" ref="K13:M14" si="5">J13</f>
        <v>1</v>
      </c>
      <c r="L13" s="701">
        <f t="shared" si="5"/>
        <v>1</v>
      </c>
      <c r="M13" s="701">
        <f t="shared" si="5"/>
        <v>1</v>
      </c>
      <c r="N13" s="702">
        <v>4</v>
      </c>
      <c r="O13" s="700">
        <v>4</v>
      </c>
      <c r="P13" s="701">
        <f t="shared" si="3"/>
        <v>4</v>
      </c>
      <c r="Q13" s="701">
        <f t="shared" si="3"/>
        <v>4</v>
      </c>
      <c r="R13" s="701">
        <f t="shared" si="3"/>
        <v>4</v>
      </c>
      <c r="S13" s="701">
        <f t="shared" si="3"/>
        <v>4</v>
      </c>
      <c r="T13" s="701">
        <f t="shared" si="3"/>
        <v>4</v>
      </c>
      <c r="U13" s="701">
        <f t="shared" si="3"/>
        <v>4</v>
      </c>
      <c r="W13" s="630"/>
      <c r="X13" s="630"/>
      <c r="Y13" s="630"/>
      <c r="Z13" s="630"/>
      <c r="AA13" s="630"/>
    </row>
    <row r="14" spans="1:37" s="604" customFormat="1">
      <c r="A14" s="610"/>
      <c r="B14" s="623" t="s">
        <v>395</v>
      </c>
      <c r="D14" s="703"/>
      <c r="E14" s="705"/>
      <c r="F14" s="700">
        <v>1</v>
      </c>
      <c r="G14" s="701">
        <f t="shared" si="4"/>
        <v>1</v>
      </c>
      <c r="H14" s="701">
        <f t="shared" si="4"/>
        <v>1</v>
      </c>
      <c r="I14" s="701">
        <f t="shared" si="4"/>
        <v>1</v>
      </c>
      <c r="J14" s="701">
        <f>I14</f>
        <v>1</v>
      </c>
      <c r="K14" s="701">
        <f t="shared" si="5"/>
        <v>1</v>
      </c>
      <c r="L14" s="701">
        <f t="shared" si="5"/>
        <v>1</v>
      </c>
      <c r="M14" s="701">
        <f t="shared" si="5"/>
        <v>1</v>
      </c>
      <c r="N14" s="701">
        <f>M14</f>
        <v>1</v>
      </c>
      <c r="O14" s="701">
        <f>N14</f>
        <v>1</v>
      </c>
      <c r="P14" s="701">
        <f t="shared" si="3"/>
        <v>1</v>
      </c>
      <c r="Q14" s="701">
        <f t="shared" si="3"/>
        <v>1</v>
      </c>
      <c r="R14" s="701">
        <f t="shared" si="3"/>
        <v>1</v>
      </c>
      <c r="S14" s="701">
        <f t="shared" si="3"/>
        <v>1</v>
      </c>
      <c r="T14" s="701">
        <f t="shared" si="3"/>
        <v>1</v>
      </c>
      <c r="U14" s="701">
        <f t="shared" si="3"/>
        <v>1</v>
      </c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  <c r="AH14" s="630"/>
      <c r="AI14" s="630"/>
      <c r="AJ14" s="630"/>
      <c r="AK14" s="630"/>
    </row>
    <row r="15" spans="1:37" s="604" customFormat="1">
      <c r="A15" s="610"/>
      <c r="B15" s="623"/>
      <c r="D15" s="703"/>
      <c r="E15" s="705"/>
      <c r="F15" s="700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</row>
    <row r="16" spans="1:37" s="604" customFormat="1">
      <c r="A16" s="610">
        <v>4</v>
      </c>
      <c r="B16" s="604" t="s">
        <v>564</v>
      </c>
      <c r="D16" s="703"/>
      <c r="E16" s="705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700"/>
    </row>
    <row r="17" spans="1:21" s="604" customFormat="1">
      <c r="A17" s="610"/>
      <c r="B17" s="623" t="s">
        <v>366</v>
      </c>
      <c r="C17" s="629" t="s">
        <v>397</v>
      </c>
      <c r="F17" s="700">
        <v>15</v>
      </c>
      <c r="G17" s="701">
        <f t="shared" ref="G17:N17" si="6">F17</f>
        <v>15</v>
      </c>
      <c r="H17" s="701">
        <f t="shared" si="6"/>
        <v>15</v>
      </c>
      <c r="I17" s="701">
        <f t="shared" si="6"/>
        <v>15</v>
      </c>
      <c r="J17" s="701">
        <f t="shared" si="6"/>
        <v>15</v>
      </c>
      <c r="K17" s="701">
        <f t="shared" si="6"/>
        <v>15</v>
      </c>
      <c r="L17" s="701">
        <f t="shared" si="6"/>
        <v>15</v>
      </c>
      <c r="M17" s="701">
        <f t="shared" si="6"/>
        <v>15</v>
      </c>
      <c r="N17" s="701">
        <f t="shared" si="6"/>
        <v>15</v>
      </c>
      <c r="O17" s="700">
        <v>25</v>
      </c>
      <c r="P17" s="701">
        <f t="shared" ref="P17:U19" si="7">O17</f>
        <v>25</v>
      </c>
      <c r="Q17" s="701">
        <f t="shared" si="7"/>
        <v>25</v>
      </c>
      <c r="R17" s="701">
        <f t="shared" si="7"/>
        <v>25</v>
      </c>
      <c r="S17" s="701">
        <f t="shared" si="7"/>
        <v>25</v>
      </c>
      <c r="T17" s="701">
        <f t="shared" si="7"/>
        <v>25</v>
      </c>
      <c r="U17" s="701">
        <f t="shared" si="7"/>
        <v>25</v>
      </c>
    </row>
    <row r="18" spans="1:21" s="604" customFormat="1">
      <c r="A18" s="610"/>
      <c r="B18" s="623" t="s">
        <v>420</v>
      </c>
      <c r="F18" s="700">
        <v>1.5</v>
      </c>
      <c r="G18" s="701">
        <f t="shared" ref="G18:I19" si="8">F18</f>
        <v>1.5</v>
      </c>
      <c r="H18" s="701">
        <f t="shared" si="8"/>
        <v>1.5</v>
      </c>
      <c r="I18" s="701">
        <f t="shared" si="8"/>
        <v>1.5</v>
      </c>
      <c r="J18" s="700">
        <v>1.5</v>
      </c>
      <c r="K18" s="701">
        <f t="shared" ref="K18:M19" si="9">J18</f>
        <v>1.5</v>
      </c>
      <c r="L18" s="701">
        <f t="shared" si="9"/>
        <v>1.5</v>
      </c>
      <c r="M18" s="701">
        <f t="shared" si="9"/>
        <v>1.5</v>
      </c>
      <c r="N18" s="702">
        <v>6</v>
      </c>
      <c r="O18" s="700">
        <v>6</v>
      </c>
      <c r="P18" s="701">
        <f t="shared" si="7"/>
        <v>6</v>
      </c>
      <c r="Q18" s="701">
        <f t="shared" si="7"/>
        <v>6</v>
      </c>
      <c r="R18" s="701">
        <f t="shared" si="7"/>
        <v>6</v>
      </c>
      <c r="S18" s="701">
        <f t="shared" si="7"/>
        <v>6</v>
      </c>
      <c r="T18" s="701">
        <f t="shared" si="7"/>
        <v>6</v>
      </c>
      <c r="U18" s="701">
        <f t="shared" si="7"/>
        <v>6</v>
      </c>
    </row>
    <row r="19" spans="1:21" s="604" customFormat="1">
      <c r="A19" s="610"/>
      <c r="B19" s="623" t="s">
        <v>395</v>
      </c>
      <c r="F19" s="700">
        <v>1</v>
      </c>
      <c r="G19" s="701">
        <f t="shared" si="8"/>
        <v>1</v>
      </c>
      <c r="H19" s="701">
        <f t="shared" si="8"/>
        <v>1</v>
      </c>
      <c r="I19" s="701">
        <f t="shared" si="8"/>
        <v>1</v>
      </c>
      <c r="J19" s="701">
        <f>I19</f>
        <v>1</v>
      </c>
      <c r="K19" s="701">
        <f t="shared" si="9"/>
        <v>1</v>
      </c>
      <c r="L19" s="701">
        <f t="shared" si="9"/>
        <v>1</v>
      </c>
      <c r="M19" s="701">
        <f t="shared" si="9"/>
        <v>1</v>
      </c>
      <c r="N19" s="701">
        <f>M19</f>
        <v>1</v>
      </c>
      <c r="O19" s="701">
        <f>N19</f>
        <v>1</v>
      </c>
      <c r="P19" s="701">
        <f t="shared" si="7"/>
        <v>1</v>
      </c>
      <c r="Q19" s="701">
        <f t="shared" si="7"/>
        <v>1</v>
      </c>
      <c r="R19" s="701">
        <f t="shared" si="7"/>
        <v>1</v>
      </c>
      <c r="S19" s="701">
        <f t="shared" si="7"/>
        <v>1</v>
      </c>
      <c r="T19" s="701">
        <f t="shared" si="7"/>
        <v>1</v>
      </c>
      <c r="U19" s="701">
        <f t="shared" si="7"/>
        <v>1</v>
      </c>
    </row>
    <row r="20" spans="1:21" s="604" customFormat="1">
      <c r="A20" s="610"/>
      <c r="B20" s="623"/>
      <c r="F20" s="700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</row>
    <row r="21" spans="1:21" s="604" customFormat="1">
      <c r="A21" s="610">
        <f>A16+1</f>
        <v>5</v>
      </c>
      <c r="B21" s="604" t="s">
        <v>565</v>
      </c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699"/>
      <c r="R21" s="699"/>
      <c r="S21" s="699"/>
      <c r="T21" s="699"/>
      <c r="U21" s="700"/>
    </row>
    <row r="22" spans="1:21" s="604" customFormat="1">
      <c r="A22" s="610"/>
      <c r="B22" s="623" t="s">
        <v>366</v>
      </c>
      <c r="C22" s="629" t="s">
        <v>397</v>
      </c>
      <c r="F22" s="700">
        <v>15</v>
      </c>
      <c r="G22" s="701">
        <f t="shared" ref="G22:N22" si="10">F22</f>
        <v>15</v>
      </c>
      <c r="H22" s="701">
        <f t="shared" si="10"/>
        <v>15</v>
      </c>
      <c r="I22" s="701">
        <f t="shared" si="10"/>
        <v>15</v>
      </c>
      <c r="J22" s="701">
        <f t="shared" si="10"/>
        <v>15</v>
      </c>
      <c r="K22" s="701">
        <f t="shared" si="10"/>
        <v>15</v>
      </c>
      <c r="L22" s="701">
        <f t="shared" si="10"/>
        <v>15</v>
      </c>
      <c r="M22" s="701">
        <f t="shared" si="10"/>
        <v>15</v>
      </c>
      <c r="N22" s="701">
        <f t="shared" si="10"/>
        <v>15</v>
      </c>
      <c r="O22" s="700">
        <v>25</v>
      </c>
      <c r="P22" s="701">
        <f t="shared" ref="P22:U24" si="11">O22</f>
        <v>25</v>
      </c>
      <c r="Q22" s="701">
        <f t="shared" si="11"/>
        <v>25</v>
      </c>
      <c r="R22" s="701">
        <f t="shared" si="11"/>
        <v>25</v>
      </c>
      <c r="S22" s="701">
        <f t="shared" si="11"/>
        <v>25</v>
      </c>
      <c r="T22" s="701">
        <f t="shared" si="11"/>
        <v>25</v>
      </c>
      <c r="U22" s="701">
        <f t="shared" si="11"/>
        <v>25</v>
      </c>
    </row>
    <row r="23" spans="1:21" s="604" customFormat="1">
      <c r="A23" s="610"/>
      <c r="B23" s="623" t="s">
        <v>420</v>
      </c>
      <c r="F23" s="700">
        <v>1.5</v>
      </c>
      <c r="G23" s="701">
        <f t="shared" ref="G23:I24" si="12">F23</f>
        <v>1.5</v>
      </c>
      <c r="H23" s="701">
        <f t="shared" si="12"/>
        <v>1.5</v>
      </c>
      <c r="I23" s="701">
        <f t="shared" si="12"/>
        <v>1.5</v>
      </c>
      <c r="J23" s="700">
        <v>1.5</v>
      </c>
      <c r="K23" s="701">
        <f t="shared" ref="K23:M24" si="13">J23</f>
        <v>1.5</v>
      </c>
      <c r="L23" s="701">
        <f t="shared" si="13"/>
        <v>1.5</v>
      </c>
      <c r="M23" s="701">
        <f t="shared" si="13"/>
        <v>1.5</v>
      </c>
      <c r="N23" s="702">
        <v>6</v>
      </c>
      <c r="O23" s="700">
        <v>6</v>
      </c>
      <c r="P23" s="701">
        <f t="shared" si="11"/>
        <v>6</v>
      </c>
      <c r="Q23" s="701">
        <f t="shared" si="11"/>
        <v>6</v>
      </c>
      <c r="R23" s="701">
        <f t="shared" si="11"/>
        <v>6</v>
      </c>
      <c r="S23" s="701">
        <f t="shared" si="11"/>
        <v>6</v>
      </c>
      <c r="T23" s="701">
        <f t="shared" si="11"/>
        <v>6</v>
      </c>
      <c r="U23" s="701">
        <f t="shared" si="11"/>
        <v>6</v>
      </c>
    </row>
    <row r="24" spans="1:21" s="604" customFormat="1">
      <c r="A24" s="610"/>
      <c r="B24" s="623" t="s">
        <v>395</v>
      </c>
      <c r="F24" s="700">
        <v>1</v>
      </c>
      <c r="G24" s="701">
        <f t="shared" si="12"/>
        <v>1</v>
      </c>
      <c r="H24" s="701">
        <f t="shared" si="12"/>
        <v>1</v>
      </c>
      <c r="I24" s="701">
        <f t="shared" si="12"/>
        <v>1</v>
      </c>
      <c r="J24" s="701">
        <f>I24</f>
        <v>1</v>
      </c>
      <c r="K24" s="701">
        <f t="shared" si="13"/>
        <v>1</v>
      </c>
      <c r="L24" s="701">
        <f t="shared" si="13"/>
        <v>1</v>
      </c>
      <c r="M24" s="701">
        <f t="shared" si="13"/>
        <v>1</v>
      </c>
      <c r="N24" s="701">
        <f>M24</f>
        <v>1</v>
      </c>
      <c r="O24" s="701">
        <f>N24</f>
        <v>1</v>
      </c>
      <c r="P24" s="701">
        <f t="shared" si="11"/>
        <v>1</v>
      </c>
      <c r="Q24" s="701">
        <f t="shared" si="11"/>
        <v>1</v>
      </c>
      <c r="R24" s="701">
        <f t="shared" si="11"/>
        <v>1</v>
      </c>
      <c r="S24" s="701">
        <f t="shared" si="11"/>
        <v>1</v>
      </c>
      <c r="T24" s="701">
        <f t="shared" si="11"/>
        <v>1</v>
      </c>
      <c r="U24" s="701">
        <f t="shared" si="11"/>
        <v>1</v>
      </c>
    </row>
    <row r="25" spans="1:21" s="604" customFormat="1">
      <c r="A25" s="610"/>
      <c r="B25" s="623"/>
      <c r="F25" s="700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</row>
    <row r="26" spans="1:21" s="604" customFormat="1">
      <c r="A26" s="610">
        <v>6</v>
      </c>
      <c r="B26" s="604" t="s">
        <v>566</v>
      </c>
      <c r="F26" s="699"/>
      <c r="G26" s="699"/>
      <c r="H26" s="699"/>
      <c r="I26" s="699"/>
      <c r="J26" s="699"/>
      <c r="K26" s="699"/>
      <c r="L26" s="699"/>
      <c r="M26" s="699"/>
      <c r="N26" s="699"/>
      <c r="O26" s="699"/>
      <c r="P26" s="699"/>
      <c r="Q26" s="699"/>
      <c r="R26" s="699"/>
      <c r="S26" s="699"/>
      <c r="T26" s="699"/>
      <c r="U26" s="700"/>
    </row>
    <row r="27" spans="1:21" s="604" customFormat="1">
      <c r="A27" s="610"/>
      <c r="B27" s="623" t="s">
        <v>366</v>
      </c>
      <c r="C27" s="629" t="s">
        <v>397</v>
      </c>
      <c r="D27" s="629"/>
      <c r="E27" s="629"/>
      <c r="F27" s="700">
        <v>15</v>
      </c>
      <c r="G27" s="701">
        <f t="shared" ref="G27:N27" si="14">F27</f>
        <v>15</v>
      </c>
      <c r="H27" s="701">
        <f t="shared" si="14"/>
        <v>15</v>
      </c>
      <c r="I27" s="701">
        <f t="shared" si="14"/>
        <v>15</v>
      </c>
      <c r="J27" s="701">
        <f t="shared" si="14"/>
        <v>15</v>
      </c>
      <c r="K27" s="701">
        <f t="shared" si="14"/>
        <v>15</v>
      </c>
      <c r="L27" s="701">
        <f t="shared" si="14"/>
        <v>15</v>
      </c>
      <c r="M27" s="701">
        <f t="shared" si="14"/>
        <v>15</v>
      </c>
      <c r="N27" s="701">
        <f t="shared" si="14"/>
        <v>15</v>
      </c>
      <c r="O27" s="700">
        <v>25</v>
      </c>
      <c r="P27" s="701">
        <f t="shared" ref="P27:U29" si="15">O27</f>
        <v>25</v>
      </c>
      <c r="Q27" s="701">
        <f t="shared" si="15"/>
        <v>25</v>
      </c>
      <c r="R27" s="701">
        <f t="shared" si="15"/>
        <v>25</v>
      </c>
      <c r="S27" s="701">
        <f t="shared" si="15"/>
        <v>25</v>
      </c>
      <c r="T27" s="701">
        <f t="shared" si="15"/>
        <v>25</v>
      </c>
      <c r="U27" s="701">
        <f t="shared" si="15"/>
        <v>25</v>
      </c>
    </row>
    <row r="28" spans="1:21" s="604" customFormat="1">
      <c r="A28" s="610"/>
      <c r="B28" s="623" t="s">
        <v>420</v>
      </c>
      <c r="D28" s="619"/>
      <c r="F28" s="700">
        <v>1</v>
      </c>
      <c r="G28" s="701">
        <f t="shared" ref="G28:I29" si="16">F28</f>
        <v>1</v>
      </c>
      <c r="H28" s="701">
        <f t="shared" si="16"/>
        <v>1</v>
      </c>
      <c r="I28" s="701">
        <f t="shared" si="16"/>
        <v>1</v>
      </c>
      <c r="J28" s="700">
        <v>1</v>
      </c>
      <c r="K28" s="701">
        <f t="shared" ref="K28:M29" si="17">J28</f>
        <v>1</v>
      </c>
      <c r="L28" s="701">
        <f t="shared" si="17"/>
        <v>1</v>
      </c>
      <c r="M28" s="701">
        <f t="shared" si="17"/>
        <v>1</v>
      </c>
      <c r="N28" s="702">
        <v>4</v>
      </c>
      <c r="O28" s="700">
        <v>4</v>
      </c>
      <c r="P28" s="701">
        <f t="shared" si="15"/>
        <v>4</v>
      </c>
      <c r="Q28" s="701">
        <f t="shared" si="15"/>
        <v>4</v>
      </c>
      <c r="R28" s="701">
        <f t="shared" si="15"/>
        <v>4</v>
      </c>
      <c r="S28" s="701">
        <f t="shared" si="15"/>
        <v>4</v>
      </c>
      <c r="T28" s="701">
        <f t="shared" si="15"/>
        <v>4</v>
      </c>
      <c r="U28" s="701">
        <f t="shared" si="15"/>
        <v>4</v>
      </c>
    </row>
    <row r="29" spans="1:21" s="604" customFormat="1">
      <c r="A29" s="610"/>
      <c r="B29" s="623" t="s">
        <v>395</v>
      </c>
      <c r="D29" s="619"/>
      <c r="F29" s="700">
        <v>1</v>
      </c>
      <c r="G29" s="701">
        <f t="shared" si="16"/>
        <v>1</v>
      </c>
      <c r="H29" s="701">
        <f t="shared" si="16"/>
        <v>1</v>
      </c>
      <c r="I29" s="701">
        <f t="shared" si="16"/>
        <v>1</v>
      </c>
      <c r="J29" s="701">
        <f>I29</f>
        <v>1</v>
      </c>
      <c r="K29" s="701">
        <f t="shared" si="17"/>
        <v>1</v>
      </c>
      <c r="L29" s="701">
        <f t="shared" si="17"/>
        <v>1</v>
      </c>
      <c r="M29" s="701">
        <f t="shared" si="17"/>
        <v>1</v>
      </c>
      <c r="N29" s="701">
        <f>M29</f>
        <v>1</v>
      </c>
      <c r="O29" s="701">
        <f>N29</f>
        <v>1</v>
      </c>
      <c r="P29" s="701">
        <f t="shared" si="15"/>
        <v>1</v>
      </c>
      <c r="Q29" s="701">
        <f t="shared" si="15"/>
        <v>1</v>
      </c>
      <c r="R29" s="701">
        <f t="shared" si="15"/>
        <v>1</v>
      </c>
      <c r="S29" s="701">
        <f t="shared" si="15"/>
        <v>1</v>
      </c>
      <c r="T29" s="701">
        <f t="shared" si="15"/>
        <v>1</v>
      </c>
      <c r="U29" s="701">
        <f t="shared" si="15"/>
        <v>1</v>
      </c>
    </row>
    <row r="30" spans="1:21" s="604" customFormat="1">
      <c r="A30" s="610"/>
      <c r="B30" s="623"/>
      <c r="D30" s="619"/>
      <c r="F30" s="700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</row>
    <row r="31" spans="1:21" s="604" customFormat="1">
      <c r="A31" s="610">
        <v>7</v>
      </c>
      <c r="B31" s="604" t="s">
        <v>567</v>
      </c>
      <c r="D31" s="619"/>
      <c r="F31" s="699"/>
      <c r="G31" s="699"/>
      <c r="H31" s="699"/>
      <c r="I31" s="699"/>
      <c r="J31" s="699"/>
      <c r="K31" s="699"/>
      <c r="L31" s="699"/>
      <c r="M31" s="699"/>
      <c r="N31" s="699"/>
      <c r="O31" s="699"/>
      <c r="P31" s="699"/>
      <c r="Q31" s="699"/>
      <c r="R31" s="699"/>
      <c r="S31" s="699"/>
      <c r="T31" s="699"/>
      <c r="U31" s="700"/>
    </row>
    <row r="32" spans="1:21" s="604" customFormat="1">
      <c r="A32" s="610"/>
      <c r="B32" s="623" t="s">
        <v>366</v>
      </c>
      <c r="C32" s="629" t="s">
        <v>397</v>
      </c>
      <c r="D32" s="629"/>
      <c r="E32" s="629"/>
      <c r="F32" s="700">
        <v>15</v>
      </c>
      <c r="G32" s="701">
        <f t="shared" ref="G32:N32" si="18">F32</f>
        <v>15</v>
      </c>
      <c r="H32" s="701">
        <f t="shared" si="18"/>
        <v>15</v>
      </c>
      <c r="I32" s="701">
        <f t="shared" si="18"/>
        <v>15</v>
      </c>
      <c r="J32" s="701">
        <f t="shared" si="18"/>
        <v>15</v>
      </c>
      <c r="K32" s="701">
        <f t="shared" si="18"/>
        <v>15</v>
      </c>
      <c r="L32" s="701">
        <f t="shared" si="18"/>
        <v>15</v>
      </c>
      <c r="M32" s="701">
        <f t="shared" si="18"/>
        <v>15</v>
      </c>
      <c r="N32" s="701">
        <f t="shared" si="18"/>
        <v>15</v>
      </c>
      <c r="O32" s="700">
        <v>25</v>
      </c>
      <c r="P32" s="701">
        <f t="shared" ref="P32:U34" si="19">O32</f>
        <v>25</v>
      </c>
      <c r="Q32" s="701">
        <f t="shared" si="19"/>
        <v>25</v>
      </c>
      <c r="R32" s="701">
        <f t="shared" si="19"/>
        <v>25</v>
      </c>
      <c r="S32" s="701">
        <f t="shared" si="19"/>
        <v>25</v>
      </c>
      <c r="T32" s="701">
        <f t="shared" si="19"/>
        <v>25</v>
      </c>
      <c r="U32" s="701">
        <f t="shared" si="19"/>
        <v>25</v>
      </c>
    </row>
    <row r="33" spans="1:32" s="604" customFormat="1">
      <c r="A33" s="610"/>
      <c r="B33" s="623" t="s">
        <v>420</v>
      </c>
      <c r="D33" s="619"/>
      <c r="F33" s="700">
        <v>1</v>
      </c>
      <c r="G33" s="701">
        <f t="shared" ref="G33:I34" si="20">F33</f>
        <v>1</v>
      </c>
      <c r="H33" s="701">
        <f t="shared" si="20"/>
        <v>1</v>
      </c>
      <c r="I33" s="701">
        <f t="shared" si="20"/>
        <v>1</v>
      </c>
      <c r="J33" s="700">
        <v>1</v>
      </c>
      <c r="K33" s="701">
        <f t="shared" ref="K33:M34" si="21">J33</f>
        <v>1</v>
      </c>
      <c r="L33" s="701">
        <f t="shared" si="21"/>
        <v>1</v>
      </c>
      <c r="M33" s="701">
        <f t="shared" si="21"/>
        <v>1</v>
      </c>
      <c r="N33" s="702">
        <v>4</v>
      </c>
      <c r="O33" s="700">
        <v>4</v>
      </c>
      <c r="P33" s="701">
        <f t="shared" si="19"/>
        <v>4</v>
      </c>
      <c r="Q33" s="701">
        <f t="shared" si="19"/>
        <v>4</v>
      </c>
      <c r="R33" s="701">
        <f t="shared" si="19"/>
        <v>4</v>
      </c>
      <c r="S33" s="701">
        <f t="shared" si="19"/>
        <v>4</v>
      </c>
      <c r="T33" s="701">
        <f t="shared" si="19"/>
        <v>4</v>
      </c>
      <c r="U33" s="701">
        <f t="shared" si="19"/>
        <v>4</v>
      </c>
    </row>
    <row r="34" spans="1:32" s="604" customFormat="1">
      <c r="A34" s="610"/>
      <c r="B34" s="623" t="s">
        <v>395</v>
      </c>
      <c r="D34" s="619"/>
      <c r="F34" s="700">
        <v>1</v>
      </c>
      <c r="G34" s="701">
        <f t="shared" si="20"/>
        <v>1</v>
      </c>
      <c r="H34" s="701">
        <f t="shared" si="20"/>
        <v>1</v>
      </c>
      <c r="I34" s="701">
        <f t="shared" si="20"/>
        <v>1</v>
      </c>
      <c r="J34" s="701">
        <f>I34</f>
        <v>1</v>
      </c>
      <c r="K34" s="701">
        <f t="shared" si="21"/>
        <v>1</v>
      </c>
      <c r="L34" s="701">
        <f t="shared" si="21"/>
        <v>1</v>
      </c>
      <c r="M34" s="701">
        <f t="shared" si="21"/>
        <v>1</v>
      </c>
      <c r="N34" s="701">
        <f>M34</f>
        <v>1</v>
      </c>
      <c r="O34" s="701">
        <f>N34</f>
        <v>1</v>
      </c>
      <c r="P34" s="701">
        <f t="shared" si="19"/>
        <v>1</v>
      </c>
      <c r="Q34" s="701">
        <f t="shared" si="19"/>
        <v>1</v>
      </c>
      <c r="R34" s="701">
        <f t="shared" si="19"/>
        <v>1</v>
      </c>
      <c r="S34" s="701">
        <f t="shared" si="19"/>
        <v>1</v>
      </c>
      <c r="T34" s="701">
        <f t="shared" si="19"/>
        <v>1</v>
      </c>
      <c r="U34" s="701">
        <f t="shared" si="19"/>
        <v>1</v>
      </c>
    </row>
    <row r="35" spans="1:32" s="604" customFormat="1">
      <c r="A35" s="610"/>
      <c r="B35" s="623"/>
      <c r="D35" s="619"/>
      <c r="F35" s="700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</row>
    <row r="36" spans="1:32" s="604" customFormat="1">
      <c r="A36" s="610">
        <f>A31+1</f>
        <v>8</v>
      </c>
      <c r="B36" s="604" t="s">
        <v>568</v>
      </c>
      <c r="D36" s="619"/>
      <c r="F36" s="699"/>
      <c r="G36" s="699"/>
      <c r="H36" s="699"/>
      <c r="I36" s="699"/>
      <c r="J36" s="699"/>
      <c r="K36" s="699"/>
      <c r="L36" s="699"/>
      <c r="M36" s="699"/>
      <c r="N36" s="699"/>
      <c r="O36" s="699"/>
      <c r="P36" s="699"/>
      <c r="Q36" s="699"/>
      <c r="R36" s="699"/>
      <c r="S36" s="699"/>
      <c r="T36" s="699"/>
      <c r="U36" s="700"/>
    </row>
    <row r="37" spans="1:32" s="604" customFormat="1">
      <c r="A37" s="610"/>
      <c r="B37" s="623" t="s">
        <v>366</v>
      </c>
      <c r="C37" s="629" t="s">
        <v>397</v>
      </c>
      <c r="D37" s="629"/>
      <c r="E37" s="629"/>
      <c r="F37" s="700">
        <v>15</v>
      </c>
      <c r="G37" s="701">
        <f t="shared" ref="G37:N37" si="22">F37</f>
        <v>15</v>
      </c>
      <c r="H37" s="701">
        <f t="shared" si="22"/>
        <v>15</v>
      </c>
      <c r="I37" s="701">
        <f t="shared" si="22"/>
        <v>15</v>
      </c>
      <c r="J37" s="701">
        <f t="shared" si="22"/>
        <v>15</v>
      </c>
      <c r="K37" s="701">
        <f t="shared" si="22"/>
        <v>15</v>
      </c>
      <c r="L37" s="701">
        <f t="shared" si="22"/>
        <v>15</v>
      </c>
      <c r="M37" s="701">
        <f t="shared" si="22"/>
        <v>15</v>
      </c>
      <c r="N37" s="701">
        <f t="shared" si="22"/>
        <v>15</v>
      </c>
      <c r="O37" s="700">
        <v>25</v>
      </c>
      <c r="P37" s="701">
        <f t="shared" ref="P37:U39" si="23">O37</f>
        <v>25</v>
      </c>
      <c r="Q37" s="701">
        <f t="shared" si="23"/>
        <v>25</v>
      </c>
      <c r="R37" s="701">
        <f t="shared" si="23"/>
        <v>25</v>
      </c>
      <c r="S37" s="701">
        <f t="shared" si="23"/>
        <v>25</v>
      </c>
      <c r="T37" s="701">
        <f t="shared" si="23"/>
        <v>25</v>
      </c>
      <c r="U37" s="701">
        <f t="shared" si="23"/>
        <v>25</v>
      </c>
      <c r="V37" s="624"/>
      <c r="W37" s="630"/>
      <c r="X37" s="630"/>
      <c r="Y37" s="630"/>
      <c r="Z37" s="630"/>
      <c r="AA37" s="630"/>
      <c r="AB37" s="630"/>
      <c r="AC37" s="630"/>
      <c r="AD37" s="630"/>
      <c r="AE37" s="630"/>
      <c r="AF37" s="630"/>
    </row>
    <row r="38" spans="1:32" s="604" customFormat="1">
      <c r="A38" s="610"/>
      <c r="B38" s="623" t="s">
        <v>420</v>
      </c>
      <c r="D38" s="619"/>
      <c r="F38" s="700">
        <v>1.5</v>
      </c>
      <c r="G38" s="701">
        <f t="shared" ref="G38:I39" si="24">F38</f>
        <v>1.5</v>
      </c>
      <c r="H38" s="701">
        <f t="shared" si="24"/>
        <v>1.5</v>
      </c>
      <c r="I38" s="701">
        <f t="shared" si="24"/>
        <v>1.5</v>
      </c>
      <c r="J38" s="700">
        <v>1.5</v>
      </c>
      <c r="K38" s="701">
        <f t="shared" ref="K38:M39" si="25">J38</f>
        <v>1.5</v>
      </c>
      <c r="L38" s="701">
        <f t="shared" si="25"/>
        <v>1.5</v>
      </c>
      <c r="M38" s="701">
        <f t="shared" si="25"/>
        <v>1.5</v>
      </c>
      <c r="N38" s="702">
        <v>6</v>
      </c>
      <c r="O38" s="700">
        <v>6</v>
      </c>
      <c r="P38" s="701">
        <f t="shared" si="23"/>
        <v>6</v>
      </c>
      <c r="Q38" s="701">
        <f t="shared" si="23"/>
        <v>6</v>
      </c>
      <c r="R38" s="701">
        <f t="shared" si="23"/>
        <v>6</v>
      </c>
      <c r="S38" s="701">
        <f t="shared" si="23"/>
        <v>6</v>
      </c>
      <c r="T38" s="701">
        <f t="shared" si="23"/>
        <v>6</v>
      </c>
      <c r="U38" s="701">
        <f t="shared" si="23"/>
        <v>6</v>
      </c>
      <c r="V38" s="624"/>
    </row>
    <row r="39" spans="1:32" s="604" customFormat="1">
      <c r="A39" s="610"/>
      <c r="B39" s="623" t="s">
        <v>395</v>
      </c>
      <c r="D39" s="619"/>
      <c r="F39" s="700">
        <v>1</v>
      </c>
      <c r="G39" s="701">
        <f t="shared" si="24"/>
        <v>1</v>
      </c>
      <c r="H39" s="701">
        <f t="shared" si="24"/>
        <v>1</v>
      </c>
      <c r="I39" s="701">
        <f t="shared" si="24"/>
        <v>1</v>
      </c>
      <c r="J39" s="701">
        <f>I39</f>
        <v>1</v>
      </c>
      <c r="K39" s="701">
        <f t="shared" si="25"/>
        <v>1</v>
      </c>
      <c r="L39" s="701">
        <f t="shared" si="25"/>
        <v>1</v>
      </c>
      <c r="M39" s="701">
        <f t="shared" si="25"/>
        <v>1</v>
      </c>
      <c r="N39" s="701">
        <f>M39</f>
        <v>1</v>
      </c>
      <c r="O39" s="701">
        <f>N39</f>
        <v>1</v>
      </c>
      <c r="P39" s="701">
        <f t="shared" si="23"/>
        <v>1</v>
      </c>
      <c r="Q39" s="701">
        <f t="shared" si="23"/>
        <v>1</v>
      </c>
      <c r="R39" s="701">
        <f t="shared" si="23"/>
        <v>1</v>
      </c>
      <c r="S39" s="701">
        <f t="shared" si="23"/>
        <v>1</v>
      </c>
      <c r="T39" s="701">
        <f t="shared" si="23"/>
        <v>1</v>
      </c>
      <c r="U39" s="701">
        <f t="shared" si="23"/>
        <v>1</v>
      </c>
      <c r="V39" s="624"/>
    </row>
    <row r="40" spans="1:32" s="604" customFormat="1">
      <c r="A40" s="610"/>
      <c r="B40" s="623"/>
      <c r="D40" s="619"/>
      <c r="F40" s="700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624"/>
    </row>
    <row r="41" spans="1:32" s="604" customFormat="1">
      <c r="A41" s="610">
        <v>9</v>
      </c>
      <c r="B41" s="604" t="s">
        <v>569</v>
      </c>
      <c r="D41" s="61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700"/>
      <c r="V41" s="624"/>
    </row>
    <row r="42" spans="1:32" s="604" customFormat="1">
      <c r="A42" s="610"/>
      <c r="B42" s="623" t="s">
        <v>366</v>
      </c>
      <c r="C42" s="629" t="s">
        <v>397</v>
      </c>
      <c r="D42" s="629"/>
      <c r="E42" s="629"/>
      <c r="F42" s="700">
        <v>15</v>
      </c>
      <c r="G42" s="701">
        <f t="shared" ref="G42:N42" si="26">F42</f>
        <v>15</v>
      </c>
      <c r="H42" s="701">
        <f t="shared" si="26"/>
        <v>15</v>
      </c>
      <c r="I42" s="701">
        <f t="shared" si="26"/>
        <v>15</v>
      </c>
      <c r="J42" s="701">
        <f t="shared" si="26"/>
        <v>15</v>
      </c>
      <c r="K42" s="701">
        <f t="shared" si="26"/>
        <v>15</v>
      </c>
      <c r="L42" s="701">
        <f t="shared" si="26"/>
        <v>15</v>
      </c>
      <c r="M42" s="701">
        <f t="shared" si="26"/>
        <v>15</v>
      </c>
      <c r="N42" s="701">
        <f t="shared" si="26"/>
        <v>15</v>
      </c>
      <c r="O42" s="700">
        <v>25</v>
      </c>
      <c r="P42" s="701">
        <f t="shared" ref="P42:U44" si="27">O42</f>
        <v>25</v>
      </c>
      <c r="Q42" s="701">
        <f t="shared" si="27"/>
        <v>25</v>
      </c>
      <c r="R42" s="701">
        <f t="shared" si="27"/>
        <v>25</v>
      </c>
      <c r="S42" s="701">
        <f t="shared" si="27"/>
        <v>25</v>
      </c>
      <c r="T42" s="701">
        <f t="shared" si="27"/>
        <v>25</v>
      </c>
      <c r="U42" s="701">
        <f t="shared" si="27"/>
        <v>25</v>
      </c>
      <c r="V42" s="624"/>
    </row>
    <row r="43" spans="1:32" s="604" customFormat="1">
      <c r="A43" s="610"/>
      <c r="B43" s="623" t="s">
        <v>420</v>
      </c>
      <c r="D43" s="619"/>
      <c r="F43" s="700">
        <v>1.5</v>
      </c>
      <c r="G43" s="701">
        <f t="shared" ref="G43:I44" si="28">F43</f>
        <v>1.5</v>
      </c>
      <c r="H43" s="701">
        <f t="shared" si="28"/>
        <v>1.5</v>
      </c>
      <c r="I43" s="701">
        <f t="shared" si="28"/>
        <v>1.5</v>
      </c>
      <c r="J43" s="700">
        <v>1.5</v>
      </c>
      <c r="K43" s="701">
        <f t="shared" ref="K43:M44" si="29">J43</f>
        <v>1.5</v>
      </c>
      <c r="L43" s="701">
        <f t="shared" si="29"/>
        <v>1.5</v>
      </c>
      <c r="M43" s="701">
        <f t="shared" si="29"/>
        <v>1.5</v>
      </c>
      <c r="N43" s="702">
        <v>6</v>
      </c>
      <c r="O43" s="700">
        <v>6</v>
      </c>
      <c r="P43" s="701">
        <f t="shared" si="27"/>
        <v>6</v>
      </c>
      <c r="Q43" s="701">
        <f t="shared" si="27"/>
        <v>6</v>
      </c>
      <c r="R43" s="701">
        <f t="shared" si="27"/>
        <v>6</v>
      </c>
      <c r="S43" s="701">
        <f t="shared" si="27"/>
        <v>6</v>
      </c>
      <c r="T43" s="701">
        <f t="shared" si="27"/>
        <v>6</v>
      </c>
      <c r="U43" s="701">
        <f t="shared" si="27"/>
        <v>6</v>
      </c>
      <c r="V43" s="624"/>
    </row>
    <row r="44" spans="1:32" s="604" customFormat="1">
      <c r="A44" s="610"/>
      <c r="B44" s="623" t="s">
        <v>395</v>
      </c>
      <c r="D44" s="619"/>
      <c r="F44" s="700">
        <v>1</v>
      </c>
      <c r="G44" s="701">
        <f t="shared" si="28"/>
        <v>1</v>
      </c>
      <c r="H44" s="701">
        <f t="shared" si="28"/>
        <v>1</v>
      </c>
      <c r="I44" s="701">
        <f t="shared" si="28"/>
        <v>1</v>
      </c>
      <c r="J44" s="701">
        <f>I44</f>
        <v>1</v>
      </c>
      <c r="K44" s="701">
        <f t="shared" si="29"/>
        <v>1</v>
      </c>
      <c r="L44" s="701">
        <f t="shared" si="29"/>
        <v>1</v>
      </c>
      <c r="M44" s="701">
        <f t="shared" si="29"/>
        <v>1</v>
      </c>
      <c r="N44" s="701">
        <f>M44</f>
        <v>1</v>
      </c>
      <c r="O44" s="701">
        <f>N44</f>
        <v>1</v>
      </c>
      <c r="P44" s="701">
        <f t="shared" si="27"/>
        <v>1</v>
      </c>
      <c r="Q44" s="701">
        <f t="shared" si="27"/>
        <v>1</v>
      </c>
      <c r="R44" s="701">
        <f t="shared" si="27"/>
        <v>1</v>
      </c>
      <c r="S44" s="701">
        <f t="shared" si="27"/>
        <v>1</v>
      </c>
      <c r="T44" s="701">
        <f t="shared" si="27"/>
        <v>1</v>
      </c>
      <c r="U44" s="701">
        <f t="shared" si="27"/>
        <v>1</v>
      </c>
      <c r="V44" s="624"/>
    </row>
    <row r="45" spans="1:32" s="604" customFormat="1">
      <c r="A45" s="610"/>
      <c r="B45" s="623"/>
      <c r="D45" s="619"/>
      <c r="F45" s="700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624"/>
    </row>
    <row r="46" spans="1:32" s="604" customFormat="1">
      <c r="A46" s="610">
        <v>10</v>
      </c>
      <c r="B46" s="604" t="s">
        <v>570</v>
      </c>
      <c r="D46" s="619"/>
      <c r="F46" s="699"/>
      <c r="G46" s="699"/>
      <c r="H46" s="699"/>
      <c r="I46" s="699"/>
      <c r="J46" s="699"/>
      <c r="K46" s="699"/>
      <c r="L46" s="699"/>
      <c r="M46" s="699"/>
      <c r="N46" s="699"/>
      <c r="O46" s="699"/>
      <c r="P46" s="699"/>
      <c r="Q46" s="699"/>
      <c r="R46" s="699"/>
      <c r="S46" s="699"/>
      <c r="T46" s="699"/>
      <c r="U46" s="700"/>
      <c r="V46" s="624"/>
    </row>
    <row r="47" spans="1:32" s="604" customFormat="1">
      <c r="A47" s="610"/>
      <c r="B47" s="623" t="s">
        <v>366</v>
      </c>
      <c r="C47" s="629" t="s">
        <v>397</v>
      </c>
      <c r="D47" s="704"/>
      <c r="E47" s="704"/>
      <c r="F47" s="700">
        <v>15</v>
      </c>
      <c r="G47" s="701">
        <f t="shared" ref="G47:N47" si="30">F47</f>
        <v>15</v>
      </c>
      <c r="H47" s="701">
        <f t="shared" si="30"/>
        <v>15</v>
      </c>
      <c r="I47" s="701">
        <f t="shared" si="30"/>
        <v>15</v>
      </c>
      <c r="J47" s="701">
        <f t="shared" si="30"/>
        <v>15</v>
      </c>
      <c r="K47" s="701">
        <f t="shared" si="30"/>
        <v>15</v>
      </c>
      <c r="L47" s="701">
        <f t="shared" si="30"/>
        <v>15</v>
      </c>
      <c r="M47" s="701">
        <f t="shared" si="30"/>
        <v>15</v>
      </c>
      <c r="N47" s="701">
        <f t="shared" si="30"/>
        <v>15</v>
      </c>
      <c r="O47" s="700">
        <v>25</v>
      </c>
      <c r="P47" s="701">
        <f t="shared" ref="P47:U49" si="31">O47</f>
        <v>25</v>
      </c>
      <c r="Q47" s="701">
        <f t="shared" si="31"/>
        <v>25</v>
      </c>
      <c r="R47" s="701">
        <f t="shared" si="31"/>
        <v>25</v>
      </c>
      <c r="S47" s="701">
        <f t="shared" si="31"/>
        <v>25</v>
      </c>
      <c r="T47" s="701">
        <f t="shared" si="31"/>
        <v>25</v>
      </c>
      <c r="U47" s="701">
        <f t="shared" si="31"/>
        <v>25</v>
      </c>
    </row>
    <row r="48" spans="1:32" s="604" customFormat="1">
      <c r="A48" s="610"/>
      <c r="B48" s="623" t="s">
        <v>420</v>
      </c>
      <c r="D48" s="703"/>
      <c r="E48" s="705"/>
      <c r="F48" s="700">
        <v>1.5</v>
      </c>
      <c r="G48" s="701">
        <f t="shared" ref="G48:I49" si="32">F48</f>
        <v>1.5</v>
      </c>
      <c r="H48" s="701">
        <f t="shared" si="32"/>
        <v>1.5</v>
      </c>
      <c r="I48" s="701">
        <f t="shared" si="32"/>
        <v>1.5</v>
      </c>
      <c r="J48" s="700">
        <v>1.5</v>
      </c>
      <c r="K48" s="701">
        <f t="shared" ref="K48:M49" si="33">J48</f>
        <v>1.5</v>
      </c>
      <c r="L48" s="701">
        <f t="shared" si="33"/>
        <v>1.5</v>
      </c>
      <c r="M48" s="701">
        <f t="shared" si="33"/>
        <v>1.5</v>
      </c>
      <c r="N48" s="702">
        <v>6</v>
      </c>
      <c r="O48" s="700">
        <v>6</v>
      </c>
      <c r="P48" s="701">
        <f t="shared" si="31"/>
        <v>6</v>
      </c>
      <c r="Q48" s="701">
        <f t="shared" si="31"/>
        <v>6</v>
      </c>
      <c r="R48" s="701">
        <f t="shared" si="31"/>
        <v>6</v>
      </c>
      <c r="S48" s="701">
        <f t="shared" si="31"/>
        <v>6</v>
      </c>
      <c r="T48" s="701">
        <f t="shared" si="31"/>
        <v>6</v>
      </c>
      <c r="U48" s="701">
        <f t="shared" si="31"/>
        <v>6</v>
      </c>
    </row>
    <row r="49" spans="1:21" s="604" customFormat="1">
      <c r="A49" s="610"/>
      <c r="B49" s="623" t="s">
        <v>395</v>
      </c>
      <c r="D49" s="703"/>
      <c r="E49" s="705"/>
      <c r="F49" s="700">
        <v>1</v>
      </c>
      <c r="G49" s="701">
        <f t="shared" si="32"/>
        <v>1</v>
      </c>
      <c r="H49" s="701">
        <f t="shared" si="32"/>
        <v>1</v>
      </c>
      <c r="I49" s="701">
        <f t="shared" si="32"/>
        <v>1</v>
      </c>
      <c r="J49" s="701">
        <f>I49</f>
        <v>1</v>
      </c>
      <c r="K49" s="701">
        <f t="shared" si="33"/>
        <v>1</v>
      </c>
      <c r="L49" s="701">
        <f t="shared" si="33"/>
        <v>1</v>
      </c>
      <c r="M49" s="701">
        <f t="shared" si="33"/>
        <v>1</v>
      </c>
      <c r="N49" s="701">
        <f>M49</f>
        <v>1</v>
      </c>
      <c r="O49" s="701">
        <f>N49</f>
        <v>1</v>
      </c>
      <c r="P49" s="701">
        <f t="shared" si="31"/>
        <v>1</v>
      </c>
      <c r="Q49" s="701">
        <f t="shared" si="31"/>
        <v>1</v>
      </c>
      <c r="R49" s="701">
        <f t="shared" si="31"/>
        <v>1</v>
      </c>
      <c r="S49" s="701">
        <f t="shared" si="31"/>
        <v>1</v>
      </c>
      <c r="T49" s="701">
        <f t="shared" si="31"/>
        <v>1</v>
      </c>
      <c r="U49" s="701">
        <f t="shared" si="31"/>
        <v>1</v>
      </c>
    </row>
    <row r="50" spans="1:21" s="604" customFormat="1">
      <c r="A50" s="610"/>
      <c r="B50" s="623"/>
      <c r="D50" s="703"/>
      <c r="E50" s="705"/>
      <c r="F50" s="700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</row>
    <row r="51" spans="1:21" s="604" customFormat="1">
      <c r="A51" s="610">
        <f>A46+1</f>
        <v>11</v>
      </c>
      <c r="B51" s="604" t="s">
        <v>571</v>
      </c>
      <c r="D51" s="703"/>
      <c r="E51" s="705"/>
      <c r="F51" s="699"/>
      <c r="G51" s="699"/>
      <c r="H51" s="699"/>
      <c r="I51" s="699"/>
      <c r="J51" s="699"/>
      <c r="K51" s="699"/>
      <c r="L51" s="699"/>
      <c r="M51" s="699"/>
      <c r="N51" s="699"/>
      <c r="O51" s="699"/>
      <c r="P51" s="699"/>
      <c r="Q51" s="699"/>
      <c r="R51" s="699"/>
      <c r="S51" s="699"/>
      <c r="T51" s="699"/>
      <c r="U51" s="700"/>
    </row>
    <row r="52" spans="1:21" s="604" customFormat="1">
      <c r="A52" s="610"/>
      <c r="B52" s="623" t="s">
        <v>366</v>
      </c>
      <c r="C52" s="629" t="s">
        <v>397</v>
      </c>
      <c r="D52" s="704"/>
      <c r="E52" s="704"/>
      <c r="F52" s="700">
        <v>15</v>
      </c>
      <c r="G52" s="701">
        <f t="shared" ref="G52:N52" si="34">F52</f>
        <v>15</v>
      </c>
      <c r="H52" s="701">
        <f t="shared" si="34"/>
        <v>15</v>
      </c>
      <c r="I52" s="701">
        <f t="shared" si="34"/>
        <v>15</v>
      </c>
      <c r="J52" s="701">
        <f t="shared" si="34"/>
        <v>15</v>
      </c>
      <c r="K52" s="701">
        <f t="shared" si="34"/>
        <v>15</v>
      </c>
      <c r="L52" s="701">
        <f t="shared" si="34"/>
        <v>15</v>
      </c>
      <c r="M52" s="701">
        <f t="shared" si="34"/>
        <v>15</v>
      </c>
      <c r="N52" s="701">
        <f t="shared" si="34"/>
        <v>15</v>
      </c>
      <c r="O52" s="700">
        <v>25</v>
      </c>
      <c r="P52" s="701">
        <f t="shared" ref="P52:U54" si="35">O52</f>
        <v>25</v>
      </c>
      <c r="Q52" s="701">
        <f t="shared" si="35"/>
        <v>25</v>
      </c>
      <c r="R52" s="701">
        <f t="shared" si="35"/>
        <v>25</v>
      </c>
      <c r="S52" s="701">
        <f t="shared" si="35"/>
        <v>25</v>
      </c>
      <c r="T52" s="701">
        <f t="shared" si="35"/>
        <v>25</v>
      </c>
      <c r="U52" s="701">
        <f t="shared" si="35"/>
        <v>25</v>
      </c>
    </row>
    <row r="53" spans="1:21" s="604" customFormat="1">
      <c r="A53" s="610"/>
      <c r="B53" s="623" t="s">
        <v>420</v>
      </c>
      <c r="D53" s="703"/>
      <c r="E53" s="705"/>
      <c r="F53" s="700">
        <v>1.5</v>
      </c>
      <c r="G53" s="701">
        <f t="shared" ref="G53:I54" si="36">F53</f>
        <v>1.5</v>
      </c>
      <c r="H53" s="701">
        <f t="shared" si="36"/>
        <v>1.5</v>
      </c>
      <c r="I53" s="701">
        <f t="shared" si="36"/>
        <v>1.5</v>
      </c>
      <c r="J53" s="700">
        <v>1.5</v>
      </c>
      <c r="K53" s="701">
        <f t="shared" ref="K53:M54" si="37">J53</f>
        <v>1.5</v>
      </c>
      <c r="L53" s="701">
        <f t="shared" si="37"/>
        <v>1.5</v>
      </c>
      <c r="M53" s="701">
        <f t="shared" si="37"/>
        <v>1.5</v>
      </c>
      <c r="N53" s="702">
        <v>6</v>
      </c>
      <c r="O53" s="700">
        <v>6</v>
      </c>
      <c r="P53" s="701">
        <f t="shared" si="35"/>
        <v>6</v>
      </c>
      <c r="Q53" s="701">
        <f t="shared" si="35"/>
        <v>6</v>
      </c>
      <c r="R53" s="701">
        <f t="shared" si="35"/>
        <v>6</v>
      </c>
      <c r="S53" s="701">
        <f t="shared" si="35"/>
        <v>6</v>
      </c>
      <c r="T53" s="701">
        <f t="shared" si="35"/>
        <v>6</v>
      </c>
      <c r="U53" s="701">
        <f t="shared" si="35"/>
        <v>6</v>
      </c>
    </row>
    <row r="54" spans="1:21" s="604" customFormat="1">
      <c r="A54" s="610"/>
      <c r="B54" s="623" t="s">
        <v>395</v>
      </c>
      <c r="D54" s="703"/>
      <c r="E54" s="705"/>
      <c r="F54" s="700">
        <v>1</v>
      </c>
      <c r="G54" s="701">
        <f t="shared" si="36"/>
        <v>1</v>
      </c>
      <c r="H54" s="701">
        <f t="shared" si="36"/>
        <v>1</v>
      </c>
      <c r="I54" s="701">
        <f t="shared" si="36"/>
        <v>1</v>
      </c>
      <c r="J54" s="701">
        <f>I54</f>
        <v>1</v>
      </c>
      <c r="K54" s="701">
        <f t="shared" si="37"/>
        <v>1</v>
      </c>
      <c r="L54" s="701">
        <f t="shared" si="37"/>
        <v>1</v>
      </c>
      <c r="M54" s="701">
        <f t="shared" si="37"/>
        <v>1</v>
      </c>
      <c r="N54" s="701">
        <f>M54</f>
        <v>1</v>
      </c>
      <c r="O54" s="701">
        <f>N54</f>
        <v>1</v>
      </c>
      <c r="P54" s="701">
        <f t="shared" si="35"/>
        <v>1</v>
      </c>
      <c r="Q54" s="701">
        <f t="shared" si="35"/>
        <v>1</v>
      </c>
      <c r="R54" s="701">
        <f t="shared" si="35"/>
        <v>1</v>
      </c>
      <c r="S54" s="701">
        <f t="shared" si="35"/>
        <v>1</v>
      </c>
      <c r="T54" s="701">
        <f t="shared" si="35"/>
        <v>1</v>
      </c>
      <c r="U54" s="701">
        <f t="shared" si="35"/>
        <v>1</v>
      </c>
    </row>
    <row r="55" spans="1:21" s="604" customFormat="1">
      <c r="A55" s="610"/>
      <c r="B55" s="623"/>
      <c r="D55" s="703"/>
      <c r="E55" s="705"/>
      <c r="F55" s="700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</row>
    <row r="56" spans="1:21" s="604" customFormat="1">
      <c r="A56" s="610">
        <v>12</v>
      </c>
      <c r="B56" s="604" t="s">
        <v>572</v>
      </c>
      <c r="D56" s="703"/>
      <c r="E56" s="705"/>
      <c r="F56" s="699"/>
      <c r="G56" s="699"/>
      <c r="H56" s="699"/>
      <c r="I56" s="699"/>
      <c r="J56" s="699"/>
      <c r="K56" s="699"/>
      <c r="L56" s="699"/>
      <c r="M56" s="699"/>
      <c r="N56" s="699"/>
      <c r="O56" s="699"/>
      <c r="P56" s="699"/>
      <c r="Q56" s="699"/>
      <c r="R56" s="699"/>
      <c r="S56" s="699"/>
      <c r="T56" s="699"/>
      <c r="U56" s="700"/>
    </row>
    <row r="57" spans="1:21" s="604" customFormat="1">
      <c r="A57" s="610"/>
      <c r="B57" s="623" t="s">
        <v>366</v>
      </c>
      <c r="C57" s="629" t="s">
        <v>397</v>
      </c>
      <c r="D57" s="629"/>
      <c r="E57" s="629"/>
      <c r="F57" s="700">
        <v>15</v>
      </c>
      <c r="G57" s="701">
        <f t="shared" ref="G57:N57" si="38">F57</f>
        <v>15</v>
      </c>
      <c r="H57" s="701">
        <f t="shared" si="38"/>
        <v>15</v>
      </c>
      <c r="I57" s="701">
        <f t="shared" si="38"/>
        <v>15</v>
      </c>
      <c r="J57" s="701">
        <f t="shared" si="38"/>
        <v>15</v>
      </c>
      <c r="K57" s="701">
        <f t="shared" si="38"/>
        <v>15</v>
      </c>
      <c r="L57" s="701">
        <f t="shared" si="38"/>
        <v>15</v>
      </c>
      <c r="M57" s="701">
        <f t="shared" si="38"/>
        <v>15</v>
      </c>
      <c r="N57" s="701">
        <f t="shared" si="38"/>
        <v>15</v>
      </c>
      <c r="O57" s="700">
        <v>25</v>
      </c>
      <c r="P57" s="701">
        <f t="shared" ref="P57:U59" si="39">O57</f>
        <v>25</v>
      </c>
      <c r="Q57" s="701">
        <f t="shared" si="39"/>
        <v>25</v>
      </c>
      <c r="R57" s="701">
        <f t="shared" si="39"/>
        <v>25</v>
      </c>
      <c r="S57" s="701">
        <f t="shared" si="39"/>
        <v>25</v>
      </c>
      <c r="T57" s="701">
        <f t="shared" si="39"/>
        <v>25</v>
      </c>
      <c r="U57" s="701">
        <f t="shared" si="39"/>
        <v>25</v>
      </c>
    </row>
    <row r="58" spans="1:21" s="604" customFormat="1">
      <c r="A58" s="610"/>
      <c r="B58" s="623" t="s">
        <v>420</v>
      </c>
      <c r="D58" s="619"/>
      <c r="F58" s="700">
        <v>1.5</v>
      </c>
      <c r="G58" s="701">
        <f t="shared" ref="G58:I59" si="40">F58</f>
        <v>1.5</v>
      </c>
      <c r="H58" s="701">
        <f t="shared" si="40"/>
        <v>1.5</v>
      </c>
      <c r="I58" s="701">
        <f t="shared" si="40"/>
        <v>1.5</v>
      </c>
      <c r="J58" s="700">
        <v>1.5</v>
      </c>
      <c r="K58" s="701">
        <f t="shared" ref="K58:M59" si="41">J58</f>
        <v>1.5</v>
      </c>
      <c r="L58" s="701">
        <f t="shared" si="41"/>
        <v>1.5</v>
      </c>
      <c r="M58" s="701">
        <f t="shared" si="41"/>
        <v>1.5</v>
      </c>
      <c r="N58" s="702">
        <v>6</v>
      </c>
      <c r="O58" s="700">
        <v>6</v>
      </c>
      <c r="P58" s="701">
        <f t="shared" si="39"/>
        <v>6</v>
      </c>
      <c r="Q58" s="701">
        <f t="shared" si="39"/>
        <v>6</v>
      </c>
      <c r="R58" s="701">
        <f t="shared" si="39"/>
        <v>6</v>
      </c>
      <c r="S58" s="701">
        <f t="shared" si="39"/>
        <v>6</v>
      </c>
      <c r="T58" s="701">
        <f t="shared" si="39"/>
        <v>6</v>
      </c>
      <c r="U58" s="701">
        <f t="shared" si="39"/>
        <v>6</v>
      </c>
    </row>
    <row r="59" spans="1:21" s="604" customFormat="1">
      <c r="A59" s="610"/>
      <c r="B59" s="623" t="s">
        <v>395</v>
      </c>
      <c r="D59" s="619"/>
      <c r="F59" s="700">
        <v>1</v>
      </c>
      <c r="G59" s="701">
        <f t="shared" si="40"/>
        <v>1</v>
      </c>
      <c r="H59" s="701">
        <f t="shared" si="40"/>
        <v>1</v>
      </c>
      <c r="I59" s="701">
        <f t="shared" si="40"/>
        <v>1</v>
      </c>
      <c r="J59" s="701">
        <f>I59</f>
        <v>1</v>
      </c>
      <c r="K59" s="701">
        <f t="shared" si="41"/>
        <v>1</v>
      </c>
      <c r="L59" s="701">
        <f t="shared" si="41"/>
        <v>1</v>
      </c>
      <c r="M59" s="701">
        <f t="shared" si="41"/>
        <v>1</v>
      </c>
      <c r="N59" s="701">
        <f>M59</f>
        <v>1</v>
      </c>
      <c r="O59" s="701">
        <f>N59</f>
        <v>1</v>
      </c>
      <c r="P59" s="701">
        <f t="shared" si="39"/>
        <v>1</v>
      </c>
      <c r="Q59" s="701">
        <f t="shared" si="39"/>
        <v>1</v>
      </c>
      <c r="R59" s="701">
        <f t="shared" si="39"/>
        <v>1</v>
      </c>
      <c r="S59" s="701">
        <f t="shared" si="39"/>
        <v>1</v>
      </c>
      <c r="T59" s="701">
        <f t="shared" si="39"/>
        <v>1</v>
      </c>
      <c r="U59" s="701">
        <f t="shared" si="39"/>
        <v>1</v>
      </c>
    </row>
    <row r="60" spans="1:21" s="604" customFormat="1">
      <c r="A60" s="610"/>
      <c r="B60" s="623"/>
      <c r="D60" s="619"/>
      <c r="F60" s="700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</row>
    <row r="61" spans="1:21" s="604" customFormat="1">
      <c r="A61" s="610">
        <v>13</v>
      </c>
      <c r="B61" s="604" t="s">
        <v>573</v>
      </c>
      <c r="D61" s="619"/>
      <c r="F61" s="699"/>
      <c r="G61" s="699"/>
      <c r="H61" s="699"/>
      <c r="I61" s="699"/>
      <c r="J61" s="699"/>
      <c r="K61" s="699"/>
      <c r="L61" s="699"/>
      <c r="M61" s="699"/>
      <c r="N61" s="699"/>
      <c r="O61" s="699"/>
      <c r="P61" s="699"/>
      <c r="Q61" s="699"/>
      <c r="R61" s="699"/>
      <c r="S61" s="699"/>
      <c r="T61" s="699"/>
      <c r="U61" s="700"/>
    </row>
    <row r="62" spans="1:21" s="604" customFormat="1">
      <c r="A62" s="610"/>
      <c r="B62" s="623" t="s">
        <v>366</v>
      </c>
      <c r="C62" s="629" t="s">
        <v>397</v>
      </c>
      <c r="D62" s="629"/>
      <c r="E62" s="629"/>
      <c r="F62" s="700">
        <v>15</v>
      </c>
      <c r="G62" s="701">
        <f t="shared" ref="G62:N62" si="42">F62</f>
        <v>15</v>
      </c>
      <c r="H62" s="701">
        <f t="shared" si="42"/>
        <v>15</v>
      </c>
      <c r="I62" s="701">
        <f t="shared" si="42"/>
        <v>15</v>
      </c>
      <c r="J62" s="701">
        <f t="shared" si="42"/>
        <v>15</v>
      </c>
      <c r="K62" s="701">
        <f t="shared" si="42"/>
        <v>15</v>
      </c>
      <c r="L62" s="701">
        <f t="shared" si="42"/>
        <v>15</v>
      </c>
      <c r="M62" s="701">
        <f t="shared" si="42"/>
        <v>15</v>
      </c>
      <c r="N62" s="701">
        <f t="shared" si="42"/>
        <v>15</v>
      </c>
      <c r="O62" s="700">
        <v>25</v>
      </c>
      <c r="P62" s="701">
        <f t="shared" ref="P62:U64" si="43">O62</f>
        <v>25</v>
      </c>
      <c r="Q62" s="701">
        <f t="shared" si="43"/>
        <v>25</v>
      </c>
      <c r="R62" s="701">
        <f t="shared" si="43"/>
        <v>25</v>
      </c>
      <c r="S62" s="701">
        <f t="shared" si="43"/>
        <v>25</v>
      </c>
      <c r="T62" s="701">
        <f t="shared" si="43"/>
        <v>25</v>
      </c>
      <c r="U62" s="701">
        <f t="shared" si="43"/>
        <v>25</v>
      </c>
    </row>
    <row r="63" spans="1:21" s="604" customFormat="1">
      <c r="A63" s="610"/>
      <c r="B63" s="623" t="s">
        <v>420</v>
      </c>
      <c r="D63" s="619"/>
      <c r="F63" s="700">
        <v>1.5</v>
      </c>
      <c r="G63" s="701">
        <f t="shared" ref="G63:I64" si="44">F63</f>
        <v>1.5</v>
      </c>
      <c r="H63" s="701">
        <f t="shared" si="44"/>
        <v>1.5</v>
      </c>
      <c r="I63" s="701">
        <f t="shared" si="44"/>
        <v>1.5</v>
      </c>
      <c r="J63" s="700">
        <v>1.5</v>
      </c>
      <c r="K63" s="701">
        <f t="shared" ref="K63:M64" si="45">J63</f>
        <v>1.5</v>
      </c>
      <c r="L63" s="701">
        <f t="shared" si="45"/>
        <v>1.5</v>
      </c>
      <c r="M63" s="701">
        <f t="shared" si="45"/>
        <v>1.5</v>
      </c>
      <c r="N63" s="702">
        <v>6</v>
      </c>
      <c r="O63" s="700">
        <v>6</v>
      </c>
      <c r="P63" s="701">
        <f t="shared" si="43"/>
        <v>6</v>
      </c>
      <c r="Q63" s="701">
        <f t="shared" si="43"/>
        <v>6</v>
      </c>
      <c r="R63" s="701">
        <f t="shared" si="43"/>
        <v>6</v>
      </c>
      <c r="S63" s="701">
        <f t="shared" si="43"/>
        <v>6</v>
      </c>
      <c r="T63" s="701">
        <f t="shared" si="43"/>
        <v>6</v>
      </c>
      <c r="U63" s="701">
        <f t="shared" si="43"/>
        <v>6</v>
      </c>
    </row>
    <row r="64" spans="1:21" s="604" customFormat="1">
      <c r="A64" s="610"/>
      <c r="B64" s="623" t="s">
        <v>395</v>
      </c>
      <c r="D64" s="619"/>
      <c r="F64" s="700">
        <v>1</v>
      </c>
      <c r="G64" s="701">
        <f t="shared" si="44"/>
        <v>1</v>
      </c>
      <c r="H64" s="701">
        <f t="shared" si="44"/>
        <v>1</v>
      </c>
      <c r="I64" s="701">
        <f t="shared" si="44"/>
        <v>1</v>
      </c>
      <c r="J64" s="701">
        <f>I64</f>
        <v>1</v>
      </c>
      <c r="K64" s="701">
        <f t="shared" si="45"/>
        <v>1</v>
      </c>
      <c r="L64" s="701">
        <f t="shared" si="45"/>
        <v>1</v>
      </c>
      <c r="M64" s="701">
        <f t="shared" si="45"/>
        <v>1</v>
      </c>
      <c r="N64" s="701">
        <f>M64</f>
        <v>1</v>
      </c>
      <c r="O64" s="701">
        <f>N64</f>
        <v>1</v>
      </c>
      <c r="P64" s="701">
        <f t="shared" si="43"/>
        <v>1</v>
      </c>
      <c r="Q64" s="701">
        <f t="shared" si="43"/>
        <v>1</v>
      </c>
      <c r="R64" s="701">
        <f t="shared" si="43"/>
        <v>1</v>
      </c>
      <c r="S64" s="701">
        <f t="shared" si="43"/>
        <v>1</v>
      </c>
      <c r="T64" s="701">
        <f t="shared" si="43"/>
        <v>1</v>
      </c>
      <c r="U64" s="701">
        <f t="shared" si="43"/>
        <v>1</v>
      </c>
    </row>
    <row r="65" spans="1:21" s="604" customFormat="1">
      <c r="A65" s="610"/>
      <c r="B65" s="623"/>
      <c r="D65" s="619"/>
      <c r="F65" s="700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</row>
    <row r="66" spans="1:21" s="604" customFormat="1">
      <c r="A66" s="610">
        <v>14</v>
      </c>
      <c r="B66" s="604" t="s">
        <v>574</v>
      </c>
      <c r="D66" s="619"/>
      <c r="F66" s="699"/>
      <c r="G66" s="699"/>
      <c r="H66" s="699"/>
      <c r="I66" s="699"/>
      <c r="J66" s="699"/>
      <c r="K66" s="699"/>
      <c r="L66" s="699"/>
      <c r="M66" s="699"/>
      <c r="N66" s="699"/>
      <c r="O66" s="699"/>
      <c r="P66" s="699"/>
      <c r="Q66" s="699"/>
      <c r="R66" s="699"/>
      <c r="S66" s="699"/>
      <c r="T66" s="699"/>
      <c r="U66" s="700"/>
    </row>
    <row r="67" spans="1:21" s="604" customFormat="1">
      <c r="A67" s="610"/>
      <c r="B67" s="623" t="s">
        <v>366</v>
      </c>
      <c r="C67" s="629" t="s">
        <v>397</v>
      </c>
      <c r="D67" s="629"/>
      <c r="E67" s="629"/>
      <c r="F67" s="700">
        <v>15</v>
      </c>
      <c r="G67" s="701">
        <f t="shared" ref="G67:N67" si="46">F67</f>
        <v>15</v>
      </c>
      <c r="H67" s="701">
        <f t="shared" si="46"/>
        <v>15</v>
      </c>
      <c r="I67" s="701">
        <f t="shared" si="46"/>
        <v>15</v>
      </c>
      <c r="J67" s="701">
        <f t="shared" si="46"/>
        <v>15</v>
      </c>
      <c r="K67" s="701">
        <f t="shared" si="46"/>
        <v>15</v>
      </c>
      <c r="L67" s="701">
        <f t="shared" si="46"/>
        <v>15</v>
      </c>
      <c r="M67" s="701">
        <f t="shared" si="46"/>
        <v>15</v>
      </c>
      <c r="N67" s="701">
        <f t="shared" si="46"/>
        <v>15</v>
      </c>
      <c r="O67" s="700">
        <v>25</v>
      </c>
      <c r="P67" s="701">
        <f t="shared" ref="P67:U69" si="47">O67</f>
        <v>25</v>
      </c>
      <c r="Q67" s="701">
        <f t="shared" si="47"/>
        <v>25</v>
      </c>
      <c r="R67" s="701">
        <f t="shared" si="47"/>
        <v>25</v>
      </c>
      <c r="S67" s="701">
        <f t="shared" si="47"/>
        <v>25</v>
      </c>
      <c r="T67" s="701">
        <f t="shared" si="47"/>
        <v>25</v>
      </c>
      <c r="U67" s="701">
        <f t="shared" si="47"/>
        <v>25</v>
      </c>
    </row>
    <row r="68" spans="1:21" s="604" customFormat="1">
      <c r="A68" s="610"/>
      <c r="B68" s="623" t="s">
        <v>420</v>
      </c>
      <c r="D68" s="619"/>
      <c r="F68" s="700">
        <v>2.5</v>
      </c>
      <c r="G68" s="701">
        <f t="shared" ref="G68:I69" si="48">F68</f>
        <v>2.5</v>
      </c>
      <c r="H68" s="701">
        <f t="shared" si="48"/>
        <v>2.5</v>
      </c>
      <c r="I68" s="701">
        <f t="shared" si="48"/>
        <v>2.5</v>
      </c>
      <c r="J68" s="700">
        <v>2.5</v>
      </c>
      <c r="K68" s="701">
        <f t="shared" ref="K68:M69" si="49">J68</f>
        <v>2.5</v>
      </c>
      <c r="L68" s="701">
        <f t="shared" si="49"/>
        <v>2.5</v>
      </c>
      <c r="M68" s="701">
        <f t="shared" si="49"/>
        <v>2.5</v>
      </c>
      <c r="N68" s="702">
        <v>10</v>
      </c>
      <c r="O68" s="700">
        <v>10</v>
      </c>
      <c r="P68" s="701">
        <f t="shared" si="47"/>
        <v>10</v>
      </c>
      <c r="Q68" s="701">
        <f t="shared" si="47"/>
        <v>10</v>
      </c>
      <c r="R68" s="701">
        <f t="shared" si="47"/>
        <v>10</v>
      </c>
      <c r="S68" s="701">
        <f t="shared" si="47"/>
        <v>10</v>
      </c>
      <c r="T68" s="701">
        <f t="shared" si="47"/>
        <v>10</v>
      </c>
      <c r="U68" s="701">
        <f t="shared" si="47"/>
        <v>10</v>
      </c>
    </row>
    <row r="69" spans="1:21" s="604" customFormat="1">
      <c r="A69" s="610"/>
      <c r="B69" s="623" t="s">
        <v>395</v>
      </c>
      <c r="D69" s="619"/>
      <c r="F69" s="700">
        <v>1</v>
      </c>
      <c r="G69" s="701">
        <f t="shared" si="48"/>
        <v>1</v>
      </c>
      <c r="H69" s="701">
        <f t="shared" si="48"/>
        <v>1</v>
      </c>
      <c r="I69" s="701">
        <f t="shared" si="48"/>
        <v>1</v>
      </c>
      <c r="J69" s="701">
        <f>I69</f>
        <v>1</v>
      </c>
      <c r="K69" s="701">
        <f t="shared" si="49"/>
        <v>1</v>
      </c>
      <c r="L69" s="701">
        <f t="shared" si="49"/>
        <v>1</v>
      </c>
      <c r="M69" s="701">
        <f t="shared" si="49"/>
        <v>1</v>
      </c>
      <c r="N69" s="701">
        <f>M69</f>
        <v>1</v>
      </c>
      <c r="O69" s="701">
        <f>N69</f>
        <v>1</v>
      </c>
      <c r="P69" s="701">
        <f t="shared" si="47"/>
        <v>1</v>
      </c>
      <c r="Q69" s="701">
        <f t="shared" si="47"/>
        <v>1</v>
      </c>
      <c r="R69" s="701">
        <f t="shared" si="47"/>
        <v>1</v>
      </c>
      <c r="S69" s="701">
        <f t="shared" si="47"/>
        <v>1</v>
      </c>
      <c r="T69" s="701">
        <f t="shared" si="47"/>
        <v>1</v>
      </c>
      <c r="U69" s="701">
        <f t="shared" si="47"/>
        <v>1</v>
      </c>
    </row>
    <row r="70" spans="1:21" s="604" customFormat="1">
      <c r="A70" s="610"/>
      <c r="B70" s="623"/>
      <c r="D70" s="619"/>
      <c r="F70" s="700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</row>
    <row r="71" spans="1:21" s="604" customFormat="1">
      <c r="A71" s="610">
        <v>15</v>
      </c>
      <c r="B71" s="604" t="s">
        <v>575</v>
      </c>
      <c r="D71" s="619"/>
      <c r="F71" s="699"/>
      <c r="G71" s="699"/>
      <c r="H71" s="699"/>
      <c r="I71" s="699"/>
      <c r="J71" s="699"/>
      <c r="K71" s="699"/>
      <c r="L71" s="699"/>
      <c r="M71" s="699"/>
      <c r="N71" s="699"/>
      <c r="O71" s="699"/>
      <c r="P71" s="699"/>
      <c r="Q71" s="699"/>
      <c r="R71" s="699"/>
      <c r="S71" s="699"/>
      <c r="T71" s="699"/>
      <c r="U71" s="700"/>
    </row>
    <row r="72" spans="1:21" s="604" customFormat="1">
      <c r="A72" s="610"/>
      <c r="B72" s="623" t="s">
        <v>366</v>
      </c>
      <c r="C72" s="629" t="s">
        <v>397</v>
      </c>
      <c r="D72" s="629"/>
      <c r="E72" s="629"/>
      <c r="F72" s="700">
        <v>15</v>
      </c>
      <c r="G72" s="701">
        <f t="shared" ref="G72:N72" si="50">F72</f>
        <v>15</v>
      </c>
      <c r="H72" s="701">
        <f t="shared" si="50"/>
        <v>15</v>
      </c>
      <c r="I72" s="701">
        <f t="shared" si="50"/>
        <v>15</v>
      </c>
      <c r="J72" s="701">
        <f t="shared" si="50"/>
        <v>15</v>
      </c>
      <c r="K72" s="701">
        <f t="shared" si="50"/>
        <v>15</v>
      </c>
      <c r="L72" s="701">
        <f t="shared" si="50"/>
        <v>15</v>
      </c>
      <c r="M72" s="701">
        <f t="shared" si="50"/>
        <v>15</v>
      </c>
      <c r="N72" s="701">
        <f t="shared" si="50"/>
        <v>15</v>
      </c>
      <c r="O72" s="700">
        <v>25</v>
      </c>
      <c r="P72" s="701">
        <f t="shared" ref="P72:U74" si="51">O72</f>
        <v>25</v>
      </c>
      <c r="Q72" s="701">
        <f t="shared" si="51"/>
        <v>25</v>
      </c>
      <c r="R72" s="701">
        <f t="shared" si="51"/>
        <v>25</v>
      </c>
      <c r="S72" s="701">
        <f t="shared" si="51"/>
        <v>25</v>
      </c>
      <c r="T72" s="701">
        <f t="shared" si="51"/>
        <v>25</v>
      </c>
      <c r="U72" s="701">
        <f t="shared" si="51"/>
        <v>25</v>
      </c>
    </row>
    <row r="73" spans="1:21" s="604" customFormat="1">
      <c r="A73" s="610"/>
      <c r="B73" s="623" t="s">
        <v>420</v>
      </c>
      <c r="D73" s="619"/>
      <c r="F73" s="700">
        <v>2.5</v>
      </c>
      <c r="G73" s="701">
        <f t="shared" ref="G73:I74" si="52">F73</f>
        <v>2.5</v>
      </c>
      <c r="H73" s="701">
        <f t="shared" si="52"/>
        <v>2.5</v>
      </c>
      <c r="I73" s="701">
        <f t="shared" si="52"/>
        <v>2.5</v>
      </c>
      <c r="J73" s="700">
        <v>2.5</v>
      </c>
      <c r="K73" s="701">
        <f t="shared" ref="K73:M74" si="53">J73</f>
        <v>2.5</v>
      </c>
      <c r="L73" s="701">
        <f t="shared" si="53"/>
        <v>2.5</v>
      </c>
      <c r="M73" s="701">
        <f t="shared" si="53"/>
        <v>2.5</v>
      </c>
      <c r="N73" s="702">
        <v>10</v>
      </c>
      <c r="O73" s="700">
        <v>10</v>
      </c>
      <c r="P73" s="701">
        <f t="shared" si="51"/>
        <v>10</v>
      </c>
      <c r="Q73" s="701">
        <f t="shared" si="51"/>
        <v>10</v>
      </c>
      <c r="R73" s="701">
        <f t="shared" si="51"/>
        <v>10</v>
      </c>
      <c r="S73" s="701">
        <f t="shared" si="51"/>
        <v>10</v>
      </c>
      <c r="T73" s="701">
        <f t="shared" si="51"/>
        <v>10</v>
      </c>
      <c r="U73" s="701">
        <f t="shared" si="51"/>
        <v>10</v>
      </c>
    </row>
    <row r="74" spans="1:21" s="604" customFormat="1">
      <c r="A74" s="610"/>
      <c r="B74" s="623" t="s">
        <v>395</v>
      </c>
      <c r="D74" s="619"/>
      <c r="F74" s="700">
        <v>1</v>
      </c>
      <c r="G74" s="701">
        <f t="shared" si="52"/>
        <v>1</v>
      </c>
      <c r="H74" s="701">
        <f t="shared" si="52"/>
        <v>1</v>
      </c>
      <c r="I74" s="701">
        <f t="shared" si="52"/>
        <v>1</v>
      </c>
      <c r="J74" s="701">
        <f>I74</f>
        <v>1</v>
      </c>
      <c r="K74" s="701">
        <f t="shared" si="53"/>
        <v>1</v>
      </c>
      <c r="L74" s="701">
        <f t="shared" si="53"/>
        <v>1</v>
      </c>
      <c r="M74" s="701">
        <f t="shared" si="53"/>
        <v>1</v>
      </c>
      <c r="N74" s="701">
        <f>M74</f>
        <v>1</v>
      </c>
      <c r="O74" s="701">
        <f>N74</f>
        <v>1</v>
      </c>
      <c r="P74" s="701">
        <f t="shared" si="51"/>
        <v>1</v>
      </c>
      <c r="Q74" s="701">
        <f t="shared" si="51"/>
        <v>1</v>
      </c>
      <c r="R74" s="701">
        <f t="shared" si="51"/>
        <v>1</v>
      </c>
      <c r="S74" s="701">
        <f t="shared" si="51"/>
        <v>1</v>
      </c>
      <c r="T74" s="701">
        <f t="shared" si="51"/>
        <v>1</v>
      </c>
      <c r="U74" s="701">
        <f t="shared" si="51"/>
        <v>1</v>
      </c>
    </row>
    <row r="75" spans="1:21" s="604" customFormat="1">
      <c r="A75" s="610"/>
      <c r="B75" s="623"/>
      <c r="D75" s="619"/>
      <c r="F75" s="700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</row>
    <row r="76" spans="1:21" s="604" customFormat="1">
      <c r="A76" s="610">
        <v>16</v>
      </c>
      <c r="B76" s="604" t="s">
        <v>576</v>
      </c>
      <c r="D76" s="619"/>
      <c r="F76" s="699"/>
      <c r="G76" s="699"/>
      <c r="H76" s="699"/>
      <c r="I76" s="699"/>
      <c r="J76" s="699"/>
      <c r="K76" s="699"/>
      <c r="L76" s="699"/>
      <c r="M76" s="699"/>
      <c r="N76" s="699"/>
      <c r="O76" s="699"/>
      <c r="P76" s="699"/>
      <c r="Q76" s="699"/>
      <c r="R76" s="699"/>
      <c r="S76" s="699"/>
      <c r="T76" s="699"/>
      <c r="U76" s="700"/>
    </row>
    <row r="77" spans="1:21" s="604" customFormat="1">
      <c r="A77" s="610"/>
      <c r="B77" s="623" t="s">
        <v>366</v>
      </c>
      <c r="C77" s="629" t="s">
        <v>397</v>
      </c>
      <c r="D77" s="629"/>
      <c r="E77" s="629"/>
      <c r="F77" s="700">
        <v>15</v>
      </c>
      <c r="G77" s="701">
        <f t="shared" ref="G77:N77" si="54">F77</f>
        <v>15</v>
      </c>
      <c r="H77" s="701">
        <f t="shared" si="54"/>
        <v>15</v>
      </c>
      <c r="I77" s="701">
        <f t="shared" si="54"/>
        <v>15</v>
      </c>
      <c r="J77" s="701">
        <f t="shared" si="54"/>
        <v>15</v>
      </c>
      <c r="K77" s="701">
        <f t="shared" si="54"/>
        <v>15</v>
      </c>
      <c r="L77" s="701">
        <f t="shared" si="54"/>
        <v>15</v>
      </c>
      <c r="M77" s="701">
        <f t="shared" si="54"/>
        <v>15</v>
      </c>
      <c r="N77" s="701">
        <f t="shared" si="54"/>
        <v>15</v>
      </c>
      <c r="O77" s="700">
        <v>25</v>
      </c>
      <c r="P77" s="701">
        <f t="shared" ref="P77:U79" si="55">O77</f>
        <v>25</v>
      </c>
      <c r="Q77" s="701">
        <f t="shared" si="55"/>
        <v>25</v>
      </c>
      <c r="R77" s="701">
        <f t="shared" si="55"/>
        <v>25</v>
      </c>
      <c r="S77" s="701">
        <f t="shared" si="55"/>
        <v>25</v>
      </c>
      <c r="T77" s="701">
        <f t="shared" si="55"/>
        <v>25</v>
      </c>
      <c r="U77" s="701">
        <f t="shared" si="55"/>
        <v>25</v>
      </c>
    </row>
    <row r="78" spans="1:21" s="604" customFormat="1">
      <c r="A78" s="610"/>
      <c r="B78" s="623" t="s">
        <v>420</v>
      </c>
      <c r="D78" s="619"/>
      <c r="F78" s="700">
        <v>2.5</v>
      </c>
      <c r="G78" s="701">
        <f t="shared" ref="G78:I79" si="56">F78</f>
        <v>2.5</v>
      </c>
      <c r="H78" s="701">
        <f t="shared" si="56"/>
        <v>2.5</v>
      </c>
      <c r="I78" s="701">
        <f t="shared" si="56"/>
        <v>2.5</v>
      </c>
      <c r="J78" s="700">
        <v>2.5</v>
      </c>
      <c r="K78" s="701">
        <f t="shared" ref="K78:M79" si="57">J78</f>
        <v>2.5</v>
      </c>
      <c r="L78" s="701">
        <f t="shared" si="57"/>
        <v>2.5</v>
      </c>
      <c r="M78" s="701">
        <f t="shared" si="57"/>
        <v>2.5</v>
      </c>
      <c r="N78" s="702">
        <v>10</v>
      </c>
      <c r="O78" s="700">
        <v>10</v>
      </c>
      <c r="P78" s="701">
        <f t="shared" si="55"/>
        <v>10</v>
      </c>
      <c r="Q78" s="701">
        <f t="shared" si="55"/>
        <v>10</v>
      </c>
      <c r="R78" s="701">
        <f t="shared" si="55"/>
        <v>10</v>
      </c>
      <c r="S78" s="701">
        <f t="shared" si="55"/>
        <v>10</v>
      </c>
      <c r="T78" s="701">
        <f t="shared" si="55"/>
        <v>10</v>
      </c>
      <c r="U78" s="701">
        <f t="shared" si="55"/>
        <v>10</v>
      </c>
    </row>
    <row r="79" spans="1:21" s="604" customFormat="1">
      <c r="A79" s="610"/>
      <c r="B79" s="623" t="s">
        <v>395</v>
      </c>
      <c r="D79" s="619"/>
      <c r="F79" s="700">
        <v>1</v>
      </c>
      <c r="G79" s="701">
        <f t="shared" si="56"/>
        <v>1</v>
      </c>
      <c r="H79" s="701">
        <f t="shared" si="56"/>
        <v>1</v>
      </c>
      <c r="I79" s="701">
        <f t="shared" si="56"/>
        <v>1</v>
      </c>
      <c r="J79" s="701">
        <f>I79</f>
        <v>1</v>
      </c>
      <c r="K79" s="701">
        <f t="shared" si="57"/>
        <v>1</v>
      </c>
      <c r="L79" s="701">
        <f t="shared" si="57"/>
        <v>1</v>
      </c>
      <c r="M79" s="701">
        <f t="shared" si="57"/>
        <v>1</v>
      </c>
      <c r="N79" s="701">
        <f>M79</f>
        <v>1</v>
      </c>
      <c r="O79" s="701">
        <f>N79</f>
        <v>1</v>
      </c>
      <c r="P79" s="701">
        <f t="shared" si="55"/>
        <v>1</v>
      </c>
      <c r="Q79" s="701">
        <f t="shared" si="55"/>
        <v>1</v>
      </c>
      <c r="R79" s="701">
        <f t="shared" si="55"/>
        <v>1</v>
      </c>
      <c r="S79" s="701">
        <f t="shared" si="55"/>
        <v>1</v>
      </c>
      <c r="T79" s="701">
        <f t="shared" si="55"/>
        <v>1</v>
      </c>
      <c r="U79" s="701">
        <f t="shared" si="55"/>
        <v>1</v>
      </c>
    </row>
    <row r="80" spans="1:21" s="604" customFormat="1">
      <c r="A80" s="610"/>
      <c r="B80" s="623"/>
      <c r="D80" s="619"/>
      <c r="F80" s="700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</row>
    <row r="81" spans="1:22" s="604" customFormat="1">
      <c r="A81" s="610">
        <v>17</v>
      </c>
      <c r="B81" s="604" t="s">
        <v>577</v>
      </c>
      <c r="D81" s="619"/>
      <c r="F81" s="699"/>
      <c r="G81" s="699"/>
      <c r="H81" s="699"/>
      <c r="I81" s="699"/>
      <c r="J81" s="699"/>
      <c r="K81" s="699"/>
      <c r="L81" s="699"/>
      <c r="M81" s="699"/>
      <c r="N81" s="699"/>
      <c r="O81" s="699"/>
      <c r="P81" s="699"/>
      <c r="Q81" s="699"/>
      <c r="R81" s="699"/>
      <c r="S81" s="699"/>
      <c r="T81" s="699"/>
      <c r="U81" s="700"/>
    </row>
    <row r="82" spans="1:22" s="604" customFormat="1">
      <c r="A82" s="610"/>
      <c r="B82" s="623" t="s">
        <v>366</v>
      </c>
      <c r="C82" s="629" t="s">
        <v>397</v>
      </c>
      <c r="D82" s="629"/>
      <c r="E82" s="629"/>
      <c r="F82" s="700">
        <v>15</v>
      </c>
      <c r="G82" s="701">
        <f t="shared" ref="G82:N82" si="58">F82</f>
        <v>15</v>
      </c>
      <c r="H82" s="701">
        <f t="shared" si="58"/>
        <v>15</v>
      </c>
      <c r="I82" s="701">
        <f t="shared" si="58"/>
        <v>15</v>
      </c>
      <c r="J82" s="701">
        <f t="shared" si="58"/>
        <v>15</v>
      </c>
      <c r="K82" s="701">
        <f t="shared" si="58"/>
        <v>15</v>
      </c>
      <c r="L82" s="701">
        <f t="shared" si="58"/>
        <v>15</v>
      </c>
      <c r="M82" s="701">
        <f t="shared" si="58"/>
        <v>15</v>
      </c>
      <c r="N82" s="701">
        <f t="shared" si="58"/>
        <v>15</v>
      </c>
      <c r="O82" s="700">
        <v>25</v>
      </c>
      <c r="P82" s="701">
        <f t="shared" ref="P82:U84" si="59">O82</f>
        <v>25</v>
      </c>
      <c r="Q82" s="701">
        <f t="shared" si="59"/>
        <v>25</v>
      </c>
      <c r="R82" s="701">
        <f t="shared" si="59"/>
        <v>25</v>
      </c>
      <c r="S82" s="701">
        <f t="shared" si="59"/>
        <v>25</v>
      </c>
      <c r="T82" s="701">
        <f t="shared" si="59"/>
        <v>25</v>
      </c>
      <c r="U82" s="701">
        <f t="shared" si="59"/>
        <v>25</v>
      </c>
    </row>
    <row r="83" spans="1:22" s="604" customFormat="1">
      <c r="A83" s="610"/>
      <c r="B83" s="623" t="s">
        <v>420</v>
      </c>
      <c r="D83" s="619"/>
      <c r="F83" s="700">
        <v>2.5</v>
      </c>
      <c r="G83" s="701">
        <f t="shared" ref="G83:I84" si="60">F83</f>
        <v>2.5</v>
      </c>
      <c r="H83" s="701">
        <f t="shared" si="60"/>
        <v>2.5</v>
      </c>
      <c r="I83" s="701">
        <f t="shared" si="60"/>
        <v>2.5</v>
      </c>
      <c r="J83" s="700">
        <v>2.5</v>
      </c>
      <c r="K83" s="701">
        <f t="shared" ref="K83:M84" si="61">J83</f>
        <v>2.5</v>
      </c>
      <c r="L83" s="701">
        <f t="shared" si="61"/>
        <v>2.5</v>
      </c>
      <c r="M83" s="701">
        <f t="shared" si="61"/>
        <v>2.5</v>
      </c>
      <c r="N83" s="702">
        <v>10</v>
      </c>
      <c r="O83" s="700">
        <v>10</v>
      </c>
      <c r="P83" s="701">
        <f t="shared" si="59"/>
        <v>10</v>
      </c>
      <c r="Q83" s="701">
        <f t="shared" si="59"/>
        <v>10</v>
      </c>
      <c r="R83" s="701">
        <f t="shared" si="59"/>
        <v>10</v>
      </c>
      <c r="S83" s="701">
        <f t="shared" si="59"/>
        <v>10</v>
      </c>
      <c r="T83" s="701">
        <f t="shared" si="59"/>
        <v>10</v>
      </c>
      <c r="U83" s="701">
        <f t="shared" si="59"/>
        <v>10</v>
      </c>
    </row>
    <row r="84" spans="1:22" s="604" customFormat="1">
      <c r="A84" s="610"/>
      <c r="B84" s="623" t="s">
        <v>395</v>
      </c>
      <c r="D84" s="619"/>
      <c r="F84" s="700">
        <v>1</v>
      </c>
      <c r="G84" s="701">
        <f t="shared" si="60"/>
        <v>1</v>
      </c>
      <c r="H84" s="701">
        <f t="shared" si="60"/>
        <v>1</v>
      </c>
      <c r="I84" s="701">
        <f t="shared" si="60"/>
        <v>1</v>
      </c>
      <c r="J84" s="701">
        <f>I84</f>
        <v>1</v>
      </c>
      <c r="K84" s="701">
        <f t="shared" si="61"/>
        <v>1</v>
      </c>
      <c r="L84" s="701">
        <f t="shared" si="61"/>
        <v>1</v>
      </c>
      <c r="M84" s="701">
        <f t="shared" si="61"/>
        <v>1</v>
      </c>
      <c r="N84" s="701">
        <f>M84</f>
        <v>1</v>
      </c>
      <c r="O84" s="701">
        <f>N84</f>
        <v>1</v>
      </c>
      <c r="P84" s="701">
        <f t="shared" si="59"/>
        <v>1</v>
      </c>
      <c r="Q84" s="701">
        <f t="shared" si="59"/>
        <v>1</v>
      </c>
      <c r="R84" s="701">
        <f t="shared" si="59"/>
        <v>1</v>
      </c>
      <c r="S84" s="701">
        <f t="shared" si="59"/>
        <v>1</v>
      </c>
      <c r="T84" s="701">
        <f t="shared" si="59"/>
        <v>1</v>
      </c>
      <c r="U84" s="701">
        <f t="shared" si="59"/>
        <v>1</v>
      </c>
    </row>
    <row r="85" spans="1:22" s="604" customFormat="1">
      <c r="A85" s="610"/>
      <c r="B85" s="623"/>
      <c r="D85" s="619"/>
      <c r="F85" s="620"/>
      <c r="G85" s="621"/>
      <c r="H85" s="621"/>
      <c r="I85" s="621"/>
      <c r="J85" s="621"/>
      <c r="K85" s="621"/>
      <c r="L85" s="621"/>
      <c r="M85" s="621"/>
      <c r="N85" s="621"/>
      <c r="O85" s="621"/>
      <c r="P85" s="621"/>
      <c r="Q85" s="621"/>
      <c r="R85" s="621"/>
      <c r="S85" s="621"/>
      <c r="T85" s="621"/>
      <c r="U85" s="621"/>
    </row>
    <row r="86" spans="1:22" s="604" customFormat="1" ht="15.75">
      <c r="A86" s="610">
        <v>18</v>
      </c>
      <c r="B86" s="606" t="s">
        <v>396</v>
      </c>
    </row>
    <row r="87" spans="1:22" s="604" customFormat="1" ht="15.75">
      <c r="A87" s="610"/>
      <c r="B87" s="631" t="s">
        <v>428</v>
      </c>
      <c r="N87" s="616"/>
      <c r="O87" s="616"/>
      <c r="P87" s="616"/>
      <c r="Q87" s="616"/>
      <c r="R87" s="616"/>
      <c r="S87" s="616"/>
      <c r="T87" s="616"/>
      <c r="U87" s="616"/>
    </row>
    <row r="88" spans="1:22" s="604" customFormat="1" ht="15.75">
      <c r="A88" s="610"/>
      <c r="B88" s="631"/>
      <c r="N88" s="616"/>
      <c r="O88" s="616"/>
      <c r="P88" s="616"/>
      <c r="Q88" s="616"/>
      <c r="R88" s="616"/>
      <c r="S88" s="616"/>
      <c r="T88" s="616"/>
      <c r="U88" s="616"/>
    </row>
    <row r="89" spans="1:22" s="604" customFormat="1" ht="15.75">
      <c r="A89" s="610"/>
      <c r="B89" s="632" t="str">
        <f>B11</f>
        <v>Hospitality course : House keeping (60 Days, 240 hrs)</v>
      </c>
      <c r="C89" s="633" t="s">
        <v>251</v>
      </c>
      <c r="D89" s="698">
        <v>5000</v>
      </c>
      <c r="E89" s="635">
        <v>0.1</v>
      </c>
      <c r="F89" s="619">
        <f>$D$89*F5</f>
        <v>5000</v>
      </c>
      <c r="G89" s="619">
        <f t="shared" ref="G89:U89" si="62">$D$89*G5</f>
        <v>5000</v>
      </c>
      <c r="H89" s="619">
        <f t="shared" si="62"/>
        <v>5000</v>
      </c>
      <c r="I89" s="619">
        <f t="shared" si="62"/>
        <v>5000</v>
      </c>
      <c r="J89" s="619">
        <f t="shared" si="62"/>
        <v>5500</v>
      </c>
      <c r="K89" s="619">
        <f t="shared" si="62"/>
        <v>5500</v>
      </c>
      <c r="L89" s="619">
        <f t="shared" si="62"/>
        <v>5500</v>
      </c>
      <c r="M89" s="619">
        <f t="shared" si="62"/>
        <v>5500</v>
      </c>
      <c r="N89" s="619">
        <f t="shared" si="62"/>
        <v>6050.0000000000009</v>
      </c>
      <c r="O89" s="619">
        <f t="shared" si="62"/>
        <v>6655.0000000000009</v>
      </c>
      <c r="P89" s="619">
        <f t="shared" si="62"/>
        <v>7320.5000000000009</v>
      </c>
      <c r="Q89" s="619">
        <f t="shared" si="62"/>
        <v>8052.55</v>
      </c>
      <c r="R89" s="619">
        <f t="shared" si="62"/>
        <v>8857.8050000000003</v>
      </c>
      <c r="S89" s="619">
        <f t="shared" si="62"/>
        <v>9743.585500000001</v>
      </c>
      <c r="T89" s="619">
        <f t="shared" si="62"/>
        <v>10717.944050000002</v>
      </c>
      <c r="U89" s="619">
        <f t="shared" si="62"/>
        <v>11789.738455000001</v>
      </c>
      <c r="V89" s="643">
        <f>SUM(F89:U89)</f>
        <v>111187.12300500002</v>
      </c>
    </row>
    <row r="90" spans="1:22" s="604" customFormat="1" ht="15.75">
      <c r="A90" s="610"/>
      <c r="B90" s="632" t="str">
        <f>B16</f>
        <v>Hospitality course : Front Office Management (40Days, 180 hrs)</v>
      </c>
      <c r="C90" s="633" t="s">
        <v>251</v>
      </c>
      <c r="D90" s="698">
        <v>7000</v>
      </c>
      <c r="E90" s="635">
        <v>0.1</v>
      </c>
      <c r="F90" s="619">
        <f>$D$90*F5</f>
        <v>7000</v>
      </c>
      <c r="G90" s="619">
        <f t="shared" ref="G90:U90" si="63">$D$90*G5</f>
        <v>7000</v>
      </c>
      <c r="H90" s="619">
        <f t="shared" si="63"/>
        <v>7000</v>
      </c>
      <c r="I90" s="619">
        <f t="shared" si="63"/>
        <v>7000</v>
      </c>
      <c r="J90" s="619">
        <f t="shared" si="63"/>
        <v>7700.0000000000009</v>
      </c>
      <c r="K90" s="619">
        <f t="shared" si="63"/>
        <v>7700.0000000000009</v>
      </c>
      <c r="L90" s="619">
        <f t="shared" si="63"/>
        <v>7700.0000000000009</v>
      </c>
      <c r="M90" s="619">
        <f t="shared" si="63"/>
        <v>7700.0000000000009</v>
      </c>
      <c r="N90" s="619">
        <f t="shared" si="63"/>
        <v>8470.0000000000018</v>
      </c>
      <c r="O90" s="619">
        <f t="shared" si="63"/>
        <v>9317.0000000000018</v>
      </c>
      <c r="P90" s="619">
        <f t="shared" si="63"/>
        <v>10248.700000000001</v>
      </c>
      <c r="Q90" s="619">
        <f t="shared" si="63"/>
        <v>11273.570000000002</v>
      </c>
      <c r="R90" s="619">
        <f t="shared" si="63"/>
        <v>12400.927000000001</v>
      </c>
      <c r="S90" s="619">
        <f t="shared" si="63"/>
        <v>13641.019700000001</v>
      </c>
      <c r="T90" s="619">
        <f t="shared" si="63"/>
        <v>15005.121670000002</v>
      </c>
      <c r="U90" s="619">
        <f t="shared" si="63"/>
        <v>16505.633837000001</v>
      </c>
      <c r="V90" s="643">
        <f t="shared" ref="V90:V102" si="64">SUM(F90:U90)</f>
        <v>155661.97220700001</v>
      </c>
    </row>
    <row r="91" spans="1:22" s="604" customFormat="1" ht="15.75">
      <c r="A91" s="610"/>
      <c r="B91" s="632" t="str">
        <f>B21</f>
        <v>Hospitality course : Food &amp; Beverages (40 Days, 180 hrs)</v>
      </c>
      <c r="C91" s="633" t="s">
        <v>251</v>
      </c>
      <c r="D91" s="698">
        <v>5000</v>
      </c>
      <c r="E91" s="635">
        <v>0.1</v>
      </c>
      <c r="F91" s="619">
        <f>$D$91*F5</f>
        <v>5000</v>
      </c>
      <c r="G91" s="619">
        <f t="shared" ref="G91:U91" si="65">$D$91*G5</f>
        <v>5000</v>
      </c>
      <c r="H91" s="619">
        <f t="shared" si="65"/>
        <v>5000</v>
      </c>
      <c r="I91" s="619">
        <f t="shared" si="65"/>
        <v>5000</v>
      </c>
      <c r="J91" s="619">
        <f t="shared" si="65"/>
        <v>5500</v>
      </c>
      <c r="K91" s="619">
        <f t="shared" si="65"/>
        <v>5500</v>
      </c>
      <c r="L91" s="619">
        <f t="shared" si="65"/>
        <v>5500</v>
      </c>
      <c r="M91" s="619">
        <f t="shared" si="65"/>
        <v>5500</v>
      </c>
      <c r="N91" s="619">
        <f t="shared" si="65"/>
        <v>6050.0000000000009</v>
      </c>
      <c r="O91" s="619">
        <f t="shared" si="65"/>
        <v>6655.0000000000009</v>
      </c>
      <c r="P91" s="619">
        <f t="shared" si="65"/>
        <v>7320.5000000000009</v>
      </c>
      <c r="Q91" s="619">
        <f t="shared" si="65"/>
        <v>8052.55</v>
      </c>
      <c r="R91" s="619">
        <f t="shared" si="65"/>
        <v>8857.8050000000003</v>
      </c>
      <c r="S91" s="619">
        <f t="shared" si="65"/>
        <v>9743.585500000001</v>
      </c>
      <c r="T91" s="619">
        <f t="shared" si="65"/>
        <v>10717.944050000002</v>
      </c>
      <c r="U91" s="619">
        <f t="shared" si="65"/>
        <v>11789.738455000001</v>
      </c>
      <c r="V91" s="643">
        <f t="shared" si="64"/>
        <v>111187.12300500002</v>
      </c>
    </row>
    <row r="92" spans="1:22" s="604" customFormat="1" ht="15.75">
      <c r="A92" s="610"/>
      <c r="B92" s="632" t="str">
        <f>B26</f>
        <v>IT/ITES : BPO Voice (60 Days, 180 hrs)</v>
      </c>
      <c r="C92" s="633" t="s">
        <v>251</v>
      </c>
      <c r="D92" s="698">
        <v>7000</v>
      </c>
      <c r="E92" s="635">
        <v>0.1</v>
      </c>
      <c r="F92" s="619">
        <f>$D$92*F5</f>
        <v>7000</v>
      </c>
      <c r="G92" s="619">
        <f t="shared" ref="G92:U92" si="66">$D$92*G5</f>
        <v>7000</v>
      </c>
      <c r="H92" s="619">
        <f t="shared" si="66"/>
        <v>7000</v>
      </c>
      <c r="I92" s="619">
        <f t="shared" si="66"/>
        <v>7000</v>
      </c>
      <c r="J92" s="619">
        <f t="shared" si="66"/>
        <v>7700.0000000000009</v>
      </c>
      <c r="K92" s="619">
        <f t="shared" si="66"/>
        <v>7700.0000000000009</v>
      </c>
      <c r="L92" s="619">
        <f t="shared" si="66"/>
        <v>7700.0000000000009</v>
      </c>
      <c r="M92" s="619">
        <f t="shared" si="66"/>
        <v>7700.0000000000009</v>
      </c>
      <c r="N92" s="619">
        <f t="shared" si="66"/>
        <v>8470.0000000000018</v>
      </c>
      <c r="O92" s="619">
        <f t="shared" si="66"/>
        <v>9317.0000000000018</v>
      </c>
      <c r="P92" s="619">
        <f t="shared" si="66"/>
        <v>10248.700000000001</v>
      </c>
      <c r="Q92" s="619">
        <f t="shared" si="66"/>
        <v>11273.570000000002</v>
      </c>
      <c r="R92" s="619">
        <f t="shared" si="66"/>
        <v>12400.927000000001</v>
      </c>
      <c r="S92" s="619">
        <f t="shared" si="66"/>
        <v>13641.019700000001</v>
      </c>
      <c r="T92" s="619">
        <f t="shared" si="66"/>
        <v>15005.121670000002</v>
      </c>
      <c r="U92" s="619">
        <f t="shared" si="66"/>
        <v>16505.633837000001</v>
      </c>
      <c r="V92" s="643">
        <f t="shared" si="64"/>
        <v>155661.97220700001</v>
      </c>
    </row>
    <row r="93" spans="1:22" s="604" customFormat="1" ht="15.75">
      <c r="A93" s="610"/>
      <c r="B93" s="632" t="str">
        <f>B31</f>
        <v>IT/ITES : BPO Non Voice (60 Days, 180 hrs)</v>
      </c>
      <c r="C93" s="633" t="s">
        <v>251</v>
      </c>
      <c r="D93" s="698">
        <v>7000</v>
      </c>
      <c r="E93" s="635">
        <v>0.1</v>
      </c>
      <c r="F93" s="619">
        <f>$D$93*F5</f>
        <v>7000</v>
      </c>
      <c r="G93" s="619">
        <f t="shared" ref="G93:U93" si="67">$D$93*G5</f>
        <v>7000</v>
      </c>
      <c r="H93" s="619">
        <f t="shared" si="67"/>
        <v>7000</v>
      </c>
      <c r="I93" s="619">
        <f t="shared" si="67"/>
        <v>7000</v>
      </c>
      <c r="J93" s="619">
        <f t="shared" si="67"/>
        <v>7700.0000000000009</v>
      </c>
      <c r="K93" s="619">
        <f t="shared" si="67"/>
        <v>7700.0000000000009</v>
      </c>
      <c r="L93" s="619">
        <f t="shared" si="67"/>
        <v>7700.0000000000009</v>
      </c>
      <c r="M93" s="619">
        <f t="shared" si="67"/>
        <v>7700.0000000000009</v>
      </c>
      <c r="N93" s="619">
        <f t="shared" si="67"/>
        <v>8470.0000000000018</v>
      </c>
      <c r="O93" s="619">
        <f t="shared" si="67"/>
        <v>9317.0000000000018</v>
      </c>
      <c r="P93" s="619">
        <f t="shared" si="67"/>
        <v>10248.700000000001</v>
      </c>
      <c r="Q93" s="619">
        <f t="shared" si="67"/>
        <v>11273.570000000002</v>
      </c>
      <c r="R93" s="619">
        <f t="shared" si="67"/>
        <v>12400.927000000001</v>
      </c>
      <c r="S93" s="619">
        <f t="shared" si="67"/>
        <v>13641.019700000001</v>
      </c>
      <c r="T93" s="619">
        <f t="shared" si="67"/>
        <v>15005.121670000002</v>
      </c>
      <c r="U93" s="619">
        <f t="shared" si="67"/>
        <v>16505.633837000001</v>
      </c>
      <c r="V93" s="643">
        <f t="shared" si="64"/>
        <v>155661.97220700001</v>
      </c>
    </row>
    <row r="94" spans="1:22" s="604" customFormat="1" ht="15.75">
      <c r="A94" s="610"/>
      <c r="B94" s="632" t="str">
        <f>B36</f>
        <v>IT/ITES : Hardware &amp; networking (40 Days, 180 hrs)</v>
      </c>
      <c r="C94" s="633" t="s">
        <v>251</v>
      </c>
      <c r="D94" s="698">
        <v>8000</v>
      </c>
      <c r="E94" s="635">
        <v>0.1</v>
      </c>
      <c r="F94" s="619">
        <f>$D$94*F5</f>
        <v>8000</v>
      </c>
      <c r="G94" s="619">
        <f t="shared" ref="G94:U94" si="68">$D$94*G5</f>
        <v>8000</v>
      </c>
      <c r="H94" s="619">
        <f t="shared" si="68"/>
        <v>8000</v>
      </c>
      <c r="I94" s="619">
        <f t="shared" si="68"/>
        <v>8000</v>
      </c>
      <c r="J94" s="619">
        <f t="shared" si="68"/>
        <v>8800</v>
      </c>
      <c r="K94" s="619">
        <f t="shared" si="68"/>
        <v>8800</v>
      </c>
      <c r="L94" s="619">
        <f t="shared" si="68"/>
        <v>8800</v>
      </c>
      <c r="M94" s="619">
        <f t="shared" si="68"/>
        <v>8800</v>
      </c>
      <c r="N94" s="619">
        <f t="shared" si="68"/>
        <v>9680.0000000000018</v>
      </c>
      <c r="O94" s="619">
        <f t="shared" si="68"/>
        <v>10648.000000000002</v>
      </c>
      <c r="P94" s="619">
        <f t="shared" si="68"/>
        <v>11712.800000000001</v>
      </c>
      <c r="Q94" s="619">
        <f t="shared" si="68"/>
        <v>12884.080000000002</v>
      </c>
      <c r="R94" s="619">
        <f t="shared" si="68"/>
        <v>14172.488000000001</v>
      </c>
      <c r="S94" s="619">
        <f t="shared" si="68"/>
        <v>15589.736800000001</v>
      </c>
      <c r="T94" s="619">
        <f t="shared" si="68"/>
        <v>17148.710480000002</v>
      </c>
      <c r="U94" s="619">
        <f t="shared" si="68"/>
        <v>18863.581528000002</v>
      </c>
      <c r="V94" s="643">
        <f t="shared" si="64"/>
        <v>177899.39680800002</v>
      </c>
    </row>
    <row r="95" spans="1:22" s="604" customFormat="1" ht="15.75">
      <c r="A95" s="610"/>
      <c r="B95" s="632" t="str">
        <f>B41</f>
        <v>Health Care : General Duty Attendant (40 Days, 180 hrs)</v>
      </c>
      <c r="C95" s="633" t="s">
        <v>251</v>
      </c>
      <c r="D95" s="698">
        <v>5000</v>
      </c>
      <c r="E95" s="635">
        <v>0.1</v>
      </c>
      <c r="F95" s="619">
        <f>$D$95*F5</f>
        <v>5000</v>
      </c>
      <c r="G95" s="619">
        <f t="shared" ref="G95:U95" si="69">$D$95*G5</f>
        <v>5000</v>
      </c>
      <c r="H95" s="619">
        <f t="shared" si="69"/>
        <v>5000</v>
      </c>
      <c r="I95" s="619">
        <f t="shared" si="69"/>
        <v>5000</v>
      </c>
      <c r="J95" s="619">
        <f t="shared" si="69"/>
        <v>5500</v>
      </c>
      <c r="K95" s="619">
        <f t="shared" si="69"/>
        <v>5500</v>
      </c>
      <c r="L95" s="619">
        <f t="shared" si="69"/>
        <v>5500</v>
      </c>
      <c r="M95" s="619">
        <f t="shared" si="69"/>
        <v>5500</v>
      </c>
      <c r="N95" s="619">
        <f t="shared" si="69"/>
        <v>6050.0000000000009</v>
      </c>
      <c r="O95" s="619">
        <f t="shared" si="69"/>
        <v>6655.0000000000009</v>
      </c>
      <c r="P95" s="619">
        <f t="shared" si="69"/>
        <v>7320.5000000000009</v>
      </c>
      <c r="Q95" s="619">
        <f t="shared" si="69"/>
        <v>8052.55</v>
      </c>
      <c r="R95" s="619">
        <f t="shared" si="69"/>
        <v>8857.8050000000003</v>
      </c>
      <c r="S95" s="619">
        <f t="shared" si="69"/>
        <v>9743.585500000001</v>
      </c>
      <c r="T95" s="619">
        <f t="shared" si="69"/>
        <v>10717.944050000002</v>
      </c>
      <c r="U95" s="619">
        <f t="shared" si="69"/>
        <v>11789.738455000001</v>
      </c>
      <c r="V95" s="643">
        <f t="shared" si="64"/>
        <v>111187.12300500002</v>
      </c>
    </row>
    <row r="96" spans="1:22" s="604" customFormat="1" ht="15.75">
      <c r="A96" s="610"/>
      <c r="B96" s="632" t="str">
        <f>B46</f>
        <v>Health Care : Asha (Health workers) (40 Days, 180 hrs)</v>
      </c>
      <c r="C96" s="633" t="s">
        <v>251</v>
      </c>
      <c r="D96" s="698">
        <v>4000</v>
      </c>
      <c r="E96" s="635">
        <v>0.1</v>
      </c>
      <c r="F96" s="619">
        <f>$D$96*F5</f>
        <v>4000</v>
      </c>
      <c r="G96" s="619">
        <f t="shared" ref="G96:U96" si="70">$D$96*G5</f>
        <v>4000</v>
      </c>
      <c r="H96" s="619">
        <f t="shared" si="70"/>
        <v>4000</v>
      </c>
      <c r="I96" s="619">
        <f t="shared" si="70"/>
        <v>4000</v>
      </c>
      <c r="J96" s="619">
        <f t="shared" si="70"/>
        <v>4400</v>
      </c>
      <c r="K96" s="619">
        <f t="shared" si="70"/>
        <v>4400</v>
      </c>
      <c r="L96" s="619">
        <f t="shared" si="70"/>
        <v>4400</v>
      </c>
      <c r="M96" s="619">
        <f t="shared" si="70"/>
        <v>4400</v>
      </c>
      <c r="N96" s="619">
        <f t="shared" si="70"/>
        <v>4840.0000000000009</v>
      </c>
      <c r="O96" s="619">
        <f t="shared" si="70"/>
        <v>5324.0000000000009</v>
      </c>
      <c r="P96" s="619">
        <f t="shared" si="70"/>
        <v>5856.4000000000005</v>
      </c>
      <c r="Q96" s="619">
        <f t="shared" si="70"/>
        <v>6442.0400000000009</v>
      </c>
      <c r="R96" s="619">
        <f t="shared" si="70"/>
        <v>7086.2440000000006</v>
      </c>
      <c r="S96" s="619">
        <f t="shared" si="70"/>
        <v>7794.8684000000003</v>
      </c>
      <c r="T96" s="619">
        <f t="shared" si="70"/>
        <v>8574.3552400000008</v>
      </c>
      <c r="U96" s="619">
        <f t="shared" si="70"/>
        <v>9431.7907640000012</v>
      </c>
      <c r="V96" s="643">
        <f t="shared" si="64"/>
        <v>88949.69840400001</v>
      </c>
    </row>
    <row r="97" spans="1:22" s="604" customFormat="1" ht="15.75">
      <c r="A97" s="610"/>
      <c r="B97" s="632" t="str">
        <f>B51</f>
        <v>Health Care : Home Health Aide (40 Days, 180 hrs)</v>
      </c>
      <c r="C97" s="633" t="s">
        <v>251</v>
      </c>
      <c r="D97" s="698">
        <v>4000</v>
      </c>
      <c r="E97" s="635">
        <v>0.1</v>
      </c>
      <c r="F97" s="619">
        <f>$D$97*F5</f>
        <v>4000</v>
      </c>
      <c r="G97" s="619">
        <f t="shared" ref="G97:U97" si="71">$D$97*G5</f>
        <v>4000</v>
      </c>
      <c r="H97" s="619">
        <f t="shared" si="71"/>
        <v>4000</v>
      </c>
      <c r="I97" s="619">
        <f t="shared" si="71"/>
        <v>4000</v>
      </c>
      <c r="J97" s="619">
        <f t="shared" si="71"/>
        <v>4400</v>
      </c>
      <c r="K97" s="619">
        <f t="shared" si="71"/>
        <v>4400</v>
      </c>
      <c r="L97" s="619">
        <f t="shared" si="71"/>
        <v>4400</v>
      </c>
      <c r="M97" s="619">
        <f t="shared" si="71"/>
        <v>4400</v>
      </c>
      <c r="N97" s="619">
        <f t="shared" si="71"/>
        <v>4840.0000000000009</v>
      </c>
      <c r="O97" s="619">
        <f t="shared" si="71"/>
        <v>5324.0000000000009</v>
      </c>
      <c r="P97" s="619">
        <f t="shared" si="71"/>
        <v>5856.4000000000005</v>
      </c>
      <c r="Q97" s="619">
        <f t="shared" si="71"/>
        <v>6442.0400000000009</v>
      </c>
      <c r="R97" s="619">
        <f t="shared" si="71"/>
        <v>7086.2440000000006</v>
      </c>
      <c r="S97" s="619">
        <f t="shared" si="71"/>
        <v>7794.8684000000003</v>
      </c>
      <c r="T97" s="619">
        <f t="shared" si="71"/>
        <v>8574.3552400000008</v>
      </c>
      <c r="U97" s="619">
        <f t="shared" si="71"/>
        <v>9431.7907640000012</v>
      </c>
      <c r="V97" s="643">
        <f t="shared" si="64"/>
        <v>88949.69840400001</v>
      </c>
    </row>
    <row r="98" spans="1:22" s="604" customFormat="1" ht="15.75">
      <c r="A98" s="610"/>
      <c r="B98" s="632" t="str">
        <f>B56</f>
        <v>Retail : Cashier (40 Days, 180 hrs)</v>
      </c>
      <c r="C98" s="633" t="s">
        <v>251</v>
      </c>
      <c r="D98" s="698">
        <v>5000</v>
      </c>
      <c r="E98" s="635">
        <v>0.1</v>
      </c>
      <c r="F98" s="619">
        <f>$D$98*F5</f>
        <v>5000</v>
      </c>
      <c r="G98" s="619">
        <f t="shared" ref="G98:U98" si="72">$D$98*G5</f>
        <v>5000</v>
      </c>
      <c r="H98" s="619">
        <f t="shared" si="72"/>
        <v>5000</v>
      </c>
      <c r="I98" s="619">
        <f t="shared" si="72"/>
        <v>5000</v>
      </c>
      <c r="J98" s="619">
        <f t="shared" si="72"/>
        <v>5500</v>
      </c>
      <c r="K98" s="619">
        <f t="shared" si="72"/>
        <v>5500</v>
      </c>
      <c r="L98" s="619">
        <f t="shared" si="72"/>
        <v>5500</v>
      </c>
      <c r="M98" s="619">
        <f t="shared" si="72"/>
        <v>5500</v>
      </c>
      <c r="N98" s="619">
        <f t="shared" si="72"/>
        <v>6050.0000000000009</v>
      </c>
      <c r="O98" s="619">
        <f t="shared" si="72"/>
        <v>6655.0000000000009</v>
      </c>
      <c r="P98" s="619">
        <f t="shared" si="72"/>
        <v>7320.5000000000009</v>
      </c>
      <c r="Q98" s="619">
        <f t="shared" si="72"/>
        <v>8052.55</v>
      </c>
      <c r="R98" s="619">
        <f t="shared" si="72"/>
        <v>8857.8050000000003</v>
      </c>
      <c r="S98" s="619">
        <f t="shared" si="72"/>
        <v>9743.585500000001</v>
      </c>
      <c r="T98" s="619">
        <f t="shared" si="72"/>
        <v>10717.944050000002</v>
      </c>
      <c r="U98" s="619">
        <f t="shared" si="72"/>
        <v>11789.738455000001</v>
      </c>
      <c r="V98" s="643">
        <f t="shared" si="64"/>
        <v>111187.12300500002</v>
      </c>
    </row>
    <row r="99" spans="1:22" s="604" customFormat="1" ht="15.75">
      <c r="A99" s="610"/>
      <c r="B99" s="632" t="str">
        <f>B61</f>
        <v>Retail : Assistant (40 Days, 180 hrs)</v>
      </c>
      <c r="C99" s="633" t="s">
        <v>251</v>
      </c>
      <c r="D99" s="698">
        <v>5000</v>
      </c>
      <c r="E99" s="635">
        <v>0.1</v>
      </c>
      <c r="F99" s="619">
        <f>$D$99*F5</f>
        <v>5000</v>
      </c>
      <c r="G99" s="619">
        <f t="shared" ref="G99:U99" si="73">$D$99*G5</f>
        <v>5000</v>
      </c>
      <c r="H99" s="619">
        <f t="shared" si="73"/>
        <v>5000</v>
      </c>
      <c r="I99" s="619">
        <f t="shared" si="73"/>
        <v>5000</v>
      </c>
      <c r="J99" s="619">
        <f t="shared" si="73"/>
        <v>5500</v>
      </c>
      <c r="K99" s="619">
        <f t="shared" si="73"/>
        <v>5500</v>
      </c>
      <c r="L99" s="619">
        <f t="shared" si="73"/>
        <v>5500</v>
      </c>
      <c r="M99" s="619">
        <f t="shared" si="73"/>
        <v>5500</v>
      </c>
      <c r="N99" s="619">
        <f t="shared" si="73"/>
        <v>6050.0000000000009</v>
      </c>
      <c r="O99" s="619">
        <f t="shared" si="73"/>
        <v>6655.0000000000009</v>
      </c>
      <c r="P99" s="619">
        <f t="shared" si="73"/>
        <v>7320.5000000000009</v>
      </c>
      <c r="Q99" s="619">
        <f t="shared" si="73"/>
        <v>8052.55</v>
      </c>
      <c r="R99" s="619">
        <f t="shared" si="73"/>
        <v>8857.8050000000003</v>
      </c>
      <c r="S99" s="619">
        <f t="shared" si="73"/>
        <v>9743.585500000001</v>
      </c>
      <c r="T99" s="619">
        <f t="shared" si="73"/>
        <v>10717.944050000002</v>
      </c>
      <c r="U99" s="619">
        <f t="shared" si="73"/>
        <v>11789.738455000001</v>
      </c>
      <c r="V99" s="643">
        <f t="shared" si="64"/>
        <v>111187.12300500002</v>
      </c>
    </row>
    <row r="100" spans="1:22" s="604" customFormat="1" ht="15.75">
      <c r="A100" s="610"/>
      <c r="B100" s="632" t="str">
        <f>B66</f>
        <v>Agriculture : Apiculture (16 Days, 48 hrs)</v>
      </c>
      <c r="C100" s="633" t="s">
        <v>251</v>
      </c>
      <c r="D100" s="698">
        <v>800</v>
      </c>
      <c r="E100" s="635">
        <v>0.1</v>
      </c>
      <c r="F100" s="619">
        <f>$D$100*F5</f>
        <v>800</v>
      </c>
      <c r="G100" s="619">
        <f t="shared" ref="G100:U100" si="74">$D$100*G5</f>
        <v>800</v>
      </c>
      <c r="H100" s="619">
        <f t="shared" si="74"/>
        <v>800</v>
      </c>
      <c r="I100" s="619">
        <f t="shared" si="74"/>
        <v>800</v>
      </c>
      <c r="J100" s="619">
        <f t="shared" si="74"/>
        <v>880.00000000000011</v>
      </c>
      <c r="K100" s="619">
        <f t="shared" si="74"/>
        <v>880.00000000000011</v>
      </c>
      <c r="L100" s="619">
        <f t="shared" si="74"/>
        <v>880.00000000000011</v>
      </c>
      <c r="M100" s="619">
        <f t="shared" si="74"/>
        <v>880.00000000000011</v>
      </c>
      <c r="N100" s="619">
        <f t="shared" si="74"/>
        <v>968.00000000000011</v>
      </c>
      <c r="O100" s="619">
        <f t="shared" si="74"/>
        <v>1064.8000000000002</v>
      </c>
      <c r="P100" s="619">
        <f t="shared" si="74"/>
        <v>1171.2800000000002</v>
      </c>
      <c r="Q100" s="619">
        <f t="shared" si="74"/>
        <v>1288.4080000000001</v>
      </c>
      <c r="R100" s="619">
        <f t="shared" si="74"/>
        <v>1417.2488000000001</v>
      </c>
      <c r="S100" s="619">
        <f t="shared" si="74"/>
        <v>1558.9736800000001</v>
      </c>
      <c r="T100" s="619">
        <f t="shared" si="74"/>
        <v>1714.8710480000002</v>
      </c>
      <c r="U100" s="619">
        <f t="shared" si="74"/>
        <v>1886.3581528000002</v>
      </c>
      <c r="V100" s="643">
        <f t="shared" si="64"/>
        <v>17789.939680799998</v>
      </c>
    </row>
    <row r="101" spans="1:22" s="604" customFormat="1" ht="15.75">
      <c r="A101" s="610"/>
      <c r="B101" s="632" t="str">
        <f>B71</f>
        <v>Agriculture : Mushroom farming  (16 Days, 48 hrs)</v>
      </c>
      <c r="C101" s="633" t="s">
        <v>251</v>
      </c>
      <c r="D101" s="698">
        <v>800</v>
      </c>
      <c r="E101" s="635">
        <v>0.1</v>
      </c>
      <c r="F101" s="619">
        <f>$D$101*F5</f>
        <v>800</v>
      </c>
      <c r="G101" s="619">
        <f t="shared" ref="G101:U101" si="75">$D$101*G5</f>
        <v>800</v>
      </c>
      <c r="H101" s="619">
        <f t="shared" si="75"/>
        <v>800</v>
      </c>
      <c r="I101" s="619">
        <f t="shared" si="75"/>
        <v>800</v>
      </c>
      <c r="J101" s="619">
        <f t="shared" si="75"/>
        <v>880.00000000000011</v>
      </c>
      <c r="K101" s="619">
        <f t="shared" si="75"/>
        <v>880.00000000000011</v>
      </c>
      <c r="L101" s="619">
        <f t="shared" si="75"/>
        <v>880.00000000000011</v>
      </c>
      <c r="M101" s="619">
        <f t="shared" si="75"/>
        <v>880.00000000000011</v>
      </c>
      <c r="N101" s="619">
        <f t="shared" si="75"/>
        <v>968.00000000000011</v>
      </c>
      <c r="O101" s="619">
        <f t="shared" si="75"/>
        <v>1064.8000000000002</v>
      </c>
      <c r="P101" s="619">
        <f t="shared" si="75"/>
        <v>1171.2800000000002</v>
      </c>
      <c r="Q101" s="619">
        <f t="shared" si="75"/>
        <v>1288.4080000000001</v>
      </c>
      <c r="R101" s="619">
        <f t="shared" si="75"/>
        <v>1417.2488000000001</v>
      </c>
      <c r="S101" s="619">
        <f t="shared" si="75"/>
        <v>1558.9736800000001</v>
      </c>
      <c r="T101" s="619">
        <f t="shared" si="75"/>
        <v>1714.8710480000002</v>
      </c>
      <c r="U101" s="619">
        <f t="shared" si="75"/>
        <v>1886.3581528000002</v>
      </c>
      <c r="V101" s="643">
        <f t="shared" si="64"/>
        <v>17789.939680799998</v>
      </c>
    </row>
    <row r="102" spans="1:22" s="604" customFormat="1" ht="15.75">
      <c r="A102" s="610"/>
      <c r="B102" s="632" t="str">
        <f>B76</f>
        <v>Agriculture : Floriculture  (16 Days, 48 hrs)</v>
      </c>
      <c r="C102" s="633" t="s">
        <v>251</v>
      </c>
      <c r="D102" s="698">
        <v>800</v>
      </c>
      <c r="E102" s="635">
        <v>0.1</v>
      </c>
      <c r="F102" s="619">
        <f>$D$102*F5</f>
        <v>800</v>
      </c>
      <c r="G102" s="619">
        <f t="shared" ref="G102:U102" si="76">$D$102*G5</f>
        <v>800</v>
      </c>
      <c r="H102" s="619">
        <f t="shared" si="76"/>
        <v>800</v>
      </c>
      <c r="I102" s="619">
        <f t="shared" si="76"/>
        <v>800</v>
      </c>
      <c r="J102" s="619">
        <f t="shared" si="76"/>
        <v>880.00000000000011</v>
      </c>
      <c r="K102" s="619">
        <f t="shared" si="76"/>
        <v>880.00000000000011</v>
      </c>
      <c r="L102" s="619">
        <f t="shared" si="76"/>
        <v>880.00000000000011</v>
      </c>
      <c r="M102" s="619">
        <f t="shared" si="76"/>
        <v>880.00000000000011</v>
      </c>
      <c r="N102" s="619">
        <f t="shared" si="76"/>
        <v>968.00000000000011</v>
      </c>
      <c r="O102" s="619">
        <f t="shared" si="76"/>
        <v>1064.8000000000002</v>
      </c>
      <c r="P102" s="619">
        <f t="shared" si="76"/>
        <v>1171.2800000000002</v>
      </c>
      <c r="Q102" s="619">
        <f t="shared" si="76"/>
        <v>1288.4080000000001</v>
      </c>
      <c r="R102" s="619">
        <f t="shared" si="76"/>
        <v>1417.2488000000001</v>
      </c>
      <c r="S102" s="619">
        <f t="shared" si="76"/>
        <v>1558.9736800000001</v>
      </c>
      <c r="T102" s="619">
        <f t="shared" si="76"/>
        <v>1714.8710480000002</v>
      </c>
      <c r="U102" s="619">
        <f t="shared" si="76"/>
        <v>1886.3581528000002</v>
      </c>
      <c r="V102" s="643">
        <f t="shared" si="64"/>
        <v>17789.939680799998</v>
      </c>
    </row>
    <row r="103" spans="1:22" s="604" customFormat="1" ht="15.75">
      <c r="A103" s="610"/>
      <c r="B103" s="632" t="str">
        <f>B81</f>
        <v>Food Processing  (16 Days, 60 hrs)</v>
      </c>
      <c r="C103" s="633" t="s">
        <v>251</v>
      </c>
      <c r="D103" s="698">
        <v>1000</v>
      </c>
      <c r="E103" s="635">
        <v>0.1</v>
      </c>
      <c r="F103" s="619">
        <f>$D$103*F5</f>
        <v>1000</v>
      </c>
      <c r="G103" s="619">
        <f t="shared" ref="G103:U103" si="77">$D$103*G5</f>
        <v>1000</v>
      </c>
      <c r="H103" s="619">
        <f t="shared" si="77"/>
        <v>1000</v>
      </c>
      <c r="I103" s="619">
        <f t="shared" si="77"/>
        <v>1000</v>
      </c>
      <c r="J103" s="619">
        <f t="shared" si="77"/>
        <v>1100</v>
      </c>
      <c r="K103" s="619">
        <f t="shared" si="77"/>
        <v>1100</v>
      </c>
      <c r="L103" s="619">
        <f t="shared" si="77"/>
        <v>1100</v>
      </c>
      <c r="M103" s="619">
        <f t="shared" si="77"/>
        <v>1100</v>
      </c>
      <c r="N103" s="619">
        <f t="shared" si="77"/>
        <v>1210.0000000000002</v>
      </c>
      <c r="O103" s="619">
        <f t="shared" si="77"/>
        <v>1331.0000000000002</v>
      </c>
      <c r="P103" s="619">
        <f t="shared" si="77"/>
        <v>1464.1000000000001</v>
      </c>
      <c r="Q103" s="619">
        <f t="shared" si="77"/>
        <v>1610.5100000000002</v>
      </c>
      <c r="R103" s="619">
        <f t="shared" si="77"/>
        <v>1771.5610000000001</v>
      </c>
      <c r="S103" s="619">
        <f t="shared" si="77"/>
        <v>1948.7171000000001</v>
      </c>
      <c r="T103" s="619">
        <f t="shared" si="77"/>
        <v>2143.5888100000002</v>
      </c>
      <c r="U103" s="619">
        <f t="shared" si="77"/>
        <v>2357.9476910000003</v>
      </c>
      <c r="V103" s="643">
        <f>SUM(F103:U103)</f>
        <v>22237.424601000002</v>
      </c>
    </row>
    <row r="104" spans="1:22" s="604" customFormat="1">
      <c r="A104" s="610"/>
      <c r="B104" s="632"/>
      <c r="D104" s="637"/>
      <c r="E104" s="635"/>
      <c r="F104" s="619"/>
      <c r="G104" s="619"/>
      <c r="H104" s="619"/>
      <c r="I104" s="619"/>
      <c r="J104" s="619"/>
      <c r="K104" s="619"/>
      <c r="L104" s="619"/>
      <c r="M104" s="619"/>
      <c r="N104" s="619"/>
      <c r="O104" s="619"/>
      <c r="P104" s="619"/>
      <c r="Q104" s="619"/>
      <c r="R104" s="619"/>
      <c r="S104" s="619"/>
      <c r="T104" s="619"/>
      <c r="U104" s="619"/>
    </row>
    <row r="105" spans="1:22" s="604" customFormat="1" ht="15.75">
      <c r="A105" s="610">
        <v>19</v>
      </c>
      <c r="B105" s="606" t="s">
        <v>531</v>
      </c>
      <c r="Q105" s="639"/>
      <c r="R105" s="639"/>
      <c r="S105" s="640"/>
      <c r="T105" s="641"/>
      <c r="U105" s="641"/>
    </row>
    <row r="106" spans="1:22" s="604" customFormat="1" ht="15.75">
      <c r="A106" s="610"/>
      <c r="Q106" s="639"/>
      <c r="R106" s="639"/>
      <c r="S106" s="640"/>
      <c r="T106" s="641"/>
      <c r="U106" s="641"/>
    </row>
    <row r="107" spans="1:22">
      <c r="A107" s="610"/>
      <c r="B107" s="604" t="str">
        <f>B89</f>
        <v>Hospitality course : House keeping (60 Days, 240 hrs)</v>
      </c>
      <c r="C107" s="634"/>
      <c r="D107" s="619"/>
      <c r="F107" s="636">
        <v>4</v>
      </c>
      <c r="G107" s="636">
        <v>0</v>
      </c>
      <c r="H107" s="636">
        <v>0</v>
      </c>
      <c r="I107" s="636">
        <v>0</v>
      </c>
      <c r="J107" s="636">
        <v>3</v>
      </c>
      <c r="K107" s="636">
        <v>0</v>
      </c>
      <c r="L107" s="636">
        <v>0</v>
      </c>
      <c r="M107" s="636">
        <v>0</v>
      </c>
      <c r="N107" s="636">
        <v>3</v>
      </c>
      <c r="O107" s="636">
        <v>2</v>
      </c>
      <c r="P107" s="636">
        <v>0</v>
      </c>
      <c r="Q107" s="636">
        <v>0</v>
      </c>
      <c r="R107" s="636">
        <v>0</v>
      </c>
      <c r="S107" s="636">
        <v>0</v>
      </c>
      <c r="T107" s="636">
        <v>0</v>
      </c>
      <c r="U107" s="636">
        <v>0</v>
      </c>
      <c r="V107" s="644">
        <f>SUM(F107:U107)</f>
        <v>12</v>
      </c>
    </row>
    <row r="108" spans="1:22">
      <c r="A108" s="610"/>
      <c r="B108" s="604" t="s">
        <v>532</v>
      </c>
      <c r="C108" s="634"/>
      <c r="D108" s="619"/>
      <c r="F108" s="636">
        <f>F107</f>
        <v>4</v>
      </c>
      <c r="G108" s="636">
        <f>F108+G107</f>
        <v>4</v>
      </c>
      <c r="H108" s="636">
        <f t="shared" ref="H108:U108" si="78">G108+H107</f>
        <v>4</v>
      </c>
      <c r="I108" s="636">
        <f t="shared" si="78"/>
        <v>4</v>
      </c>
      <c r="J108" s="636">
        <f t="shared" si="78"/>
        <v>7</v>
      </c>
      <c r="K108" s="636">
        <f t="shared" si="78"/>
        <v>7</v>
      </c>
      <c r="L108" s="636">
        <f t="shared" si="78"/>
        <v>7</v>
      </c>
      <c r="M108" s="636">
        <f t="shared" si="78"/>
        <v>7</v>
      </c>
      <c r="N108" s="636">
        <f t="shared" si="78"/>
        <v>10</v>
      </c>
      <c r="O108" s="636">
        <f t="shared" si="78"/>
        <v>12</v>
      </c>
      <c r="P108" s="636">
        <f t="shared" si="78"/>
        <v>12</v>
      </c>
      <c r="Q108" s="636">
        <f t="shared" si="78"/>
        <v>12</v>
      </c>
      <c r="R108" s="636">
        <f t="shared" si="78"/>
        <v>12</v>
      </c>
      <c r="S108" s="636">
        <f t="shared" si="78"/>
        <v>12</v>
      </c>
      <c r="T108" s="636">
        <f t="shared" si="78"/>
        <v>12</v>
      </c>
      <c r="U108" s="636">
        <f t="shared" si="78"/>
        <v>12</v>
      </c>
      <c r="V108" s="644"/>
    </row>
    <row r="109" spans="1:22">
      <c r="A109" s="610"/>
      <c r="C109" s="634"/>
      <c r="D109" s="619"/>
      <c r="F109" s="636"/>
      <c r="G109" s="636"/>
      <c r="H109" s="636"/>
      <c r="I109" s="636"/>
      <c r="J109" s="636"/>
      <c r="K109" s="636"/>
      <c r="L109" s="636"/>
      <c r="M109" s="636"/>
      <c r="N109" s="636"/>
      <c r="O109" s="636"/>
      <c r="P109" s="636"/>
      <c r="Q109" s="636"/>
      <c r="R109" s="636"/>
      <c r="S109" s="636"/>
      <c r="T109" s="636"/>
      <c r="U109" s="636"/>
      <c r="V109" s="644"/>
    </row>
    <row r="110" spans="1:22">
      <c r="A110" s="610"/>
      <c r="B110" s="604" t="str">
        <f>B90</f>
        <v>Hospitality course : Front Office Management (40Days, 180 hrs)</v>
      </c>
      <c r="C110" s="634"/>
      <c r="D110" s="619"/>
      <c r="F110" s="636">
        <v>4</v>
      </c>
      <c r="G110" s="636">
        <v>0</v>
      </c>
      <c r="H110" s="636">
        <v>0</v>
      </c>
      <c r="I110" s="636">
        <v>0</v>
      </c>
      <c r="J110" s="636">
        <v>3</v>
      </c>
      <c r="K110" s="636">
        <v>0</v>
      </c>
      <c r="L110" s="636">
        <v>0</v>
      </c>
      <c r="M110" s="636">
        <v>0</v>
      </c>
      <c r="N110" s="636">
        <v>3</v>
      </c>
      <c r="O110" s="636">
        <v>2</v>
      </c>
      <c r="P110" s="636">
        <v>0</v>
      </c>
      <c r="Q110" s="636">
        <v>0</v>
      </c>
      <c r="R110" s="636">
        <v>0</v>
      </c>
      <c r="S110" s="636">
        <v>0</v>
      </c>
      <c r="T110" s="636">
        <v>0</v>
      </c>
      <c r="U110" s="636">
        <v>0</v>
      </c>
      <c r="V110" s="644">
        <f>SUM(F110:U110)</f>
        <v>12</v>
      </c>
    </row>
    <row r="111" spans="1:22">
      <c r="A111" s="610"/>
      <c r="B111" s="604" t="s">
        <v>532</v>
      </c>
      <c r="C111" s="634"/>
      <c r="D111" s="619"/>
      <c r="F111" s="636">
        <f>F110</f>
        <v>4</v>
      </c>
      <c r="G111" s="636">
        <f>F111+G110</f>
        <v>4</v>
      </c>
      <c r="H111" s="636">
        <f t="shared" ref="H111:U111" si="79">G111+H110</f>
        <v>4</v>
      </c>
      <c r="I111" s="636">
        <f t="shared" si="79"/>
        <v>4</v>
      </c>
      <c r="J111" s="636">
        <f t="shared" si="79"/>
        <v>7</v>
      </c>
      <c r="K111" s="636">
        <f t="shared" si="79"/>
        <v>7</v>
      </c>
      <c r="L111" s="636">
        <f t="shared" si="79"/>
        <v>7</v>
      </c>
      <c r="M111" s="636">
        <f t="shared" si="79"/>
        <v>7</v>
      </c>
      <c r="N111" s="636">
        <f t="shared" si="79"/>
        <v>10</v>
      </c>
      <c r="O111" s="636">
        <f t="shared" si="79"/>
        <v>12</v>
      </c>
      <c r="P111" s="636">
        <f t="shared" si="79"/>
        <v>12</v>
      </c>
      <c r="Q111" s="636">
        <f t="shared" si="79"/>
        <v>12</v>
      </c>
      <c r="R111" s="636">
        <f t="shared" si="79"/>
        <v>12</v>
      </c>
      <c r="S111" s="636">
        <f t="shared" si="79"/>
        <v>12</v>
      </c>
      <c r="T111" s="636">
        <f t="shared" si="79"/>
        <v>12</v>
      </c>
      <c r="U111" s="636">
        <f t="shared" si="79"/>
        <v>12</v>
      </c>
      <c r="V111" s="644"/>
    </row>
    <row r="112" spans="1:22">
      <c r="A112" s="610"/>
      <c r="C112" s="634"/>
      <c r="D112" s="619"/>
      <c r="F112" s="636"/>
      <c r="G112" s="636"/>
      <c r="H112" s="636"/>
      <c r="I112" s="636"/>
      <c r="J112" s="636"/>
      <c r="K112" s="636"/>
      <c r="L112" s="636"/>
      <c r="M112" s="636"/>
      <c r="N112" s="636"/>
      <c r="O112" s="636"/>
      <c r="P112" s="636"/>
      <c r="Q112" s="636"/>
      <c r="R112" s="636"/>
      <c r="S112" s="636"/>
      <c r="T112" s="636"/>
      <c r="U112" s="636"/>
      <c r="V112" s="644"/>
    </row>
    <row r="113" spans="2:22">
      <c r="B113" s="604" t="str">
        <f>B91</f>
        <v>Hospitality course : Food &amp; Beverages (40 Days, 180 hrs)</v>
      </c>
      <c r="C113" s="634"/>
      <c r="D113" s="619"/>
      <c r="F113" s="636">
        <v>2</v>
      </c>
      <c r="G113" s="636">
        <v>0</v>
      </c>
      <c r="H113" s="636">
        <v>0</v>
      </c>
      <c r="I113" s="636">
        <v>0</v>
      </c>
      <c r="J113" s="636">
        <v>3</v>
      </c>
      <c r="K113" s="636">
        <v>0</v>
      </c>
      <c r="L113" s="636">
        <v>0</v>
      </c>
      <c r="M113" s="636">
        <v>0</v>
      </c>
      <c r="N113" s="636">
        <v>3</v>
      </c>
      <c r="O113" s="636">
        <v>2</v>
      </c>
      <c r="P113" s="636">
        <v>0</v>
      </c>
      <c r="Q113" s="636">
        <v>0</v>
      </c>
      <c r="R113" s="636">
        <v>0</v>
      </c>
      <c r="S113" s="636">
        <v>0</v>
      </c>
      <c r="T113" s="636">
        <v>0</v>
      </c>
      <c r="U113" s="636">
        <v>0</v>
      </c>
      <c r="V113" s="644">
        <f>SUM(F113:U113)</f>
        <v>10</v>
      </c>
    </row>
    <row r="114" spans="2:22">
      <c r="B114" s="604" t="s">
        <v>532</v>
      </c>
      <c r="C114" s="634"/>
      <c r="D114" s="619"/>
      <c r="F114" s="636">
        <f>F113</f>
        <v>2</v>
      </c>
      <c r="G114" s="636">
        <f>F114+G113</f>
        <v>2</v>
      </c>
      <c r="H114" s="636">
        <f t="shared" ref="H114:U114" si="80">G114+H113</f>
        <v>2</v>
      </c>
      <c r="I114" s="636">
        <f t="shared" si="80"/>
        <v>2</v>
      </c>
      <c r="J114" s="636">
        <f t="shared" si="80"/>
        <v>5</v>
      </c>
      <c r="K114" s="636">
        <f t="shared" si="80"/>
        <v>5</v>
      </c>
      <c r="L114" s="636">
        <f t="shared" si="80"/>
        <v>5</v>
      </c>
      <c r="M114" s="636">
        <f t="shared" si="80"/>
        <v>5</v>
      </c>
      <c r="N114" s="636">
        <f t="shared" si="80"/>
        <v>8</v>
      </c>
      <c r="O114" s="636">
        <f t="shared" si="80"/>
        <v>10</v>
      </c>
      <c r="P114" s="636">
        <f t="shared" si="80"/>
        <v>10</v>
      </c>
      <c r="Q114" s="636">
        <f t="shared" si="80"/>
        <v>10</v>
      </c>
      <c r="R114" s="636">
        <f t="shared" si="80"/>
        <v>10</v>
      </c>
      <c r="S114" s="636">
        <f t="shared" si="80"/>
        <v>10</v>
      </c>
      <c r="T114" s="636">
        <f t="shared" si="80"/>
        <v>10</v>
      </c>
      <c r="U114" s="636">
        <f t="shared" si="80"/>
        <v>10</v>
      </c>
      <c r="V114" s="644"/>
    </row>
    <row r="115" spans="2:22">
      <c r="C115" s="634"/>
      <c r="D115" s="619"/>
      <c r="F115" s="636"/>
      <c r="G115" s="636"/>
      <c r="H115" s="636"/>
      <c r="I115" s="636"/>
      <c r="J115" s="636"/>
      <c r="K115" s="636"/>
      <c r="L115" s="636"/>
      <c r="M115" s="636"/>
      <c r="N115" s="636"/>
      <c r="O115" s="636"/>
      <c r="P115" s="636"/>
      <c r="Q115" s="636"/>
      <c r="R115" s="636"/>
      <c r="S115" s="636"/>
      <c r="T115" s="636"/>
      <c r="U115" s="636"/>
      <c r="V115" s="644"/>
    </row>
    <row r="116" spans="2:22">
      <c r="B116" s="604" t="str">
        <f>B92</f>
        <v>IT/ITES : BPO Voice (60 Days, 180 hrs)</v>
      </c>
      <c r="C116" s="634"/>
      <c r="D116" s="619"/>
      <c r="F116" s="636">
        <v>4</v>
      </c>
      <c r="G116" s="636">
        <v>0</v>
      </c>
      <c r="H116" s="636">
        <v>0</v>
      </c>
      <c r="I116" s="636">
        <v>0</v>
      </c>
      <c r="J116" s="636">
        <v>2</v>
      </c>
      <c r="K116" s="636">
        <v>0</v>
      </c>
      <c r="L116" s="636">
        <v>0</v>
      </c>
      <c r="M116" s="636">
        <v>0</v>
      </c>
      <c r="N116" s="636">
        <v>3</v>
      </c>
      <c r="O116" s="636">
        <v>2</v>
      </c>
      <c r="P116" s="636">
        <v>0</v>
      </c>
      <c r="Q116" s="636">
        <v>0</v>
      </c>
      <c r="R116" s="636">
        <v>0</v>
      </c>
      <c r="S116" s="636">
        <v>0</v>
      </c>
      <c r="T116" s="636">
        <v>0</v>
      </c>
      <c r="U116" s="636">
        <v>0</v>
      </c>
      <c r="V116" s="644">
        <f>SUM(F116:U116)</f>
        <v>11</v>
      </c>
    </row>
    <row r="117" spans="2:22">
      <c r="B117" s="604" t="s">
        <v>532</v>
      </c>
      <c r="C117" s="634"/>
      <c r="D117" s="619"/>
      <c r="F117" s="636">
        <f>F116</f>
        <v>4</v>
      </c>
      <c r="G117" s="636">
        <f>F117+G116</f>
        <v>4</v>
      </c>
      <c r="H117" s="636">
        <f t="shared" ref="H117:U117" si="81">G117+H116</f>
        <v>4</v>
      </c>
      <c r="I117" s="636">
        <f t="shared" si="81"/>
        <v>4</v>
      </c>
      <c r="J117" s="636">
        <f t="shared" si="81"/>
        <v>6</v>
      </c>
      <c r="K117" s="636">
        <f t="shared" si="81"/>
        <v>6</v>
      </c>
      <c r="L117" s="636">
        <f t="shared" si="81"/>
        <v>6</v>
      </c>
      <c r="M117" s="636">
        <f t="shared" si="81"/>
        <v>6</v>
      </c>
      <c r="N117" s="636">
        <f t="shared" si="81"/>
        <v>9</v>
      </c>
      <c r="O117" s="636">
        <f t="shared" si="81"/>
        <v>11</v>
      </c>
      <c r="P117" s="636">
        <f t="shared" si="81"/>
        <v>11</v>
      </c>
      <c r="Q117" s="636">
        <f t="shared" si="81"/>
        <v>11</v>
      </c>
      <c r="R117" s="636">
        <f t="shared" si="81"/>
        <v>11</v>
      </c>
      <c r="S117" s="636">
        <f t="shared" si="81"/>
        <v>11</v>
      </c>
      <c r="T117" s="636">
        <f t="shared" si="81"/>
        <v>11</v>
      </c>
      <c r="U117" s="636">
        <f t="shared" si="81"/>
        <v>11</v>
      </c>
      <c r="V117" s="644"/>
    </row>
    <row r="118" spans="2:22">
      <c r="C118" s="634"/>
      <c r="D118" s="619"/>
      <c r="F118" s="636"/>
      <c r="G118" s="636"/>
      <c r="H118" s="636"/>
      <c r="I118" s="636"/>
      <c r="J118" s="636"/>
      <c r="K118" s="636"/>
      <c r="L118" s="636"/>
      <c r="M118" s="636"/>
      <c r="N118" s="636"/>
      <c r="O118" s="636"/>
      <c r="P118" s="636"/>
      <c r="Q118" s="636"/>
      <c r="R118" s="636"/>
      <c r="S118" s="636"/>
      <c r="T118" s="636"/>
      <c r="U118" s="636"/>
      <c r="V118" s="644"/>
    </row>
    <row r="119" spans="2:22">
      <c r="B119" s="604" t="str">
        <f>B93</f>
        <v>IT/ITES : BPO Non Voice (60 Days, 180 hrs)</v>
      </c>
      <c r="C119" s="634"/>
      <c r="D119" s="619"/>
      <c r="F119" s="636">
        <v>4</v>
      </c>
      <c r="G119" s="636">
        <v>0</v>
      </c>
      <c r="H119" s="636">
        <v>0</v>
      </c>
      <c r="I119" s="636">
        <v>0</v>
      </c>
      <c r="J119" s="636">
        <v>2</v>
      </c>
      <c r="K119" s="636">
        <v>0</v>
      </c>
      <c r="L119" s="636">
        <v>0</v>
      </c>
      <c r="M119" s="636">
        <v>0</v>
      </c>
      <c r="N119" s="636">
        <v>3</v>
      </c>
      <c r="O119" s="636">
        <v>2</v>
      </c>
      <c r="P119" s="636">
        <v>0</v>
      </c>
      <c r="Q119" s="636">
        <v>0</v>
      </c>
      <c r="R119" s="636">
        <v>0</v>
      </c>
      <c r="S119" s="636">
        <v>0</v>
      </c>
      <c r="T119" s="636">
        <v>0</v>
      </c>
      <c r="U119" s="636">
        <v>0</v>
      </c>
      <c r="V119" s="644">
        <f>SUM(F119:U119)</f>
        <v>11</v>
      </c>
    </row>
    <row r="120" spans="2:22">
      <c r="B120" s="604" t="s">
        <v>532</v>
      </c>
      <c r="C120" s="634"/>
      <c r="D120" s="619"/>
      <c r="F120" s="636">
        <f>F119</f>
        <v>4</v>
      </c>
      <c r="G120" s="636">
        <f>F120+G119</f>
        <v>4</v>
      </c>
      <c r="H120" s="636">
        <f t="shared" ref="H120:U120" si="82">G120+H119</f>
        <v>4</v>
      </c>
      <c r="I120" s="636">
        <f t="shared" si="82"/>
        <v>4</v>
      </c>
      <c r="J120" s="636">
        <f t="shared" si="82"/>
        <v>6</v>
      </c>
      <c r="K120" s="636">
        <f t="shared" si="82"/>
        <v>6</v>
      </c>
      <c r="L120" s="636">
        <f t="shared" si="82"/>
        <v>6</v>
      </c>
      <c r="M120" s="636">
        <f t="shared" si="82"/>
        <v>6</v>
      </c>
      <c r="N120" s="636">
        <f t="shared" si="82"/>
        <v>9</v>
      </c>
      <c r="O120" s="636">
        <f t="shared" si="82"/>
        <v>11</v>
      </c>
      <c r="P120" s="636">
        <f t="shared" si="82"/>
        <v>11</v>
      </c>
      <c r="Q120" s="636">
        <f t="shared" si="82"/>
        <v>11</v>
      </c>
      <c r="R120" s="636">
        <f t="shared" si="82"/>
        <v>11</v>
      </c>
      <c r="S120" s="636">
        <f t="shared" si="82"/>
        <v>11</v>
      </c>
      <c r="T120" s="636">
        <f t="shared" si="82"/>
        <v>11</v>
      </c>
      <c r="U120" s="636">
        <f t="shared" si="82"/>
        <v>11</v>
      </c>
      <c r="V120" s="644"/>
    </row>
    <row r="121" spans="2:22">
      <c r="C121" s="634"/>
      <c r="D121" s="619"/>
      <c r="F121" s="636"/>
      <c r="G121" s="636"/>
      <c r="H121" s="636"/>
      <c r="I121" s="636"/>
      <c r="J121" s="636"/>
      <c r="K121" s="636"/>
      <c r="L121" s="636"/>
      <c r="M121" s="636"/>
      <c r="N121" s="636"/>
      <c r="O121" s="636"/>
      <c r="P121" s="636"/>
      <c r="Q121" s="636"/>
      <c r="R121" s="636"/>
      <c r="S121" s="636"/>
      <c r="T121" s="636"/>
      <c r="U121" s="636"/>
      <c r="V121" s="644"/>
    </row>
    <row r="122" spans="2:22">
      <c r="B122" s="604" t="str">
        <f>B94</f>
        <v>IT/ITES : Hardware &amp; networking (40 Days, 180 hrs)</v>
      </c>
      <c r="C122" s="642"/>
      <c r="F122" s="636">
        <v>3</v>
      </c>
      <c r="G122" s="636">
        <v>0</v>
      </c>
      <c r="H122" s="636">
        <v>0</v>
      </c>
      <c r="I122" s="636">
        <v>0</v>
      </c>
      <c r="J122" s="636">
        <v>1</v>
      </c>
      <c r="K122" s="636">
        <v>0</v>
      </c>
      <c r="L122" s="636">
        <v>0</v>
      </c>
      <c r="M122" s="636">
        <v>0</v>
      </c>
      <c r="N122" s="636">
        <v>2</v>
      </c>
      <c r="O122" s="636">
        <v>2</v>
      </c>
      <c r="P122" s="636">
        <v>0</v>
      </c>
      <c r="Q122" s="636">
        <v>0</v>
      </c>
      <c r="R122" s="636">
        <v>0</v>
      </c>
      <c r="S122" s="636">
        <v>0</v>
      </c>
      <c r="T122" s="636">
        <v>0</v>
      </c>
      <c r="U122" s="636">
        <v>0</v>
      </c>
      <c r="V122" s="644">
        <f>SUM(F122:U122)</f>
        <v>8</v>
      </c>
    </row>
    <row r="123" spans="2:22">
      <c r="B123" s="604" t="s">
        <v>532</v>
      </c>
      <c r="C123" s="642"/>
      <c r="F123" s="636">
        <f>F122</f>
        <v>3</v>
      </c>
      <c r="G123" s="636">
        <f>F123+G122</f>
        <v>3</v>
      </c>
      <c r="H123" s="636">
        <f t="shared" ref="H123:U123" si="83">G123+H122</f>
        <v>3</v>
      </c>
      <c r="I123" s="636">
        <f t="shared" si="83"/>
        <v>3</v>
      </c>
      <c r="J123" s="636">
        <f t="shared" si="83"/>
        <v>4</v>
      </c>
      <c r="K123" s="636">
        <f t="shared" si="83"/>
        <v>4</v>
      </c>
      <c r="L123" s="636">
        <f t="shared" si="83"/>
        <v>4</v>
      </c>
      <c r="M123" s="636">
        <f t="shared" si="83"/>
        <v>4</v>
      </c>
      <c r="N123" s="636">
        <f t="shared" si="83"/>
        <v>6</v>
      </c>
      <c r="O123" s="636">
        <f t="shared" si="83"/>
        <v>8</v>
      </c>
      <c r="P123" s="636">
        <f t="shared" si="83"/>
        <v>8</v>
      </c>
      <c r="Q123" s="636">
        <f t="shared" si="83"/>
        <v>8</v>
      </c>
      <c r="R123" s="636">
        <f t="shared" si="83"/>
        <v>8</v>
      </c>
      <c r="S123" s="636">
        <f t="shared" si="83"/>
        <v>8</v>
      </c>
      <c r="T123" s="636">
        <f t="shared" si="83"/>
        <v>8</v>
      </c>
      <c r="U123" s="636">
        <f t="shared" si="83"/>
        <v>8</v>
      </c>
      <c r="V123" s="644"/>
    </row>
    <row r="124" spans="2:22">
      <c r="C124" s="642"/>
      <c r="F124" s="636"/>
      <c r="G124" s="636"/>
      <c r="H124" s="636"/>
      <c r="I124" s="636"/>
      <c r="J124" s="636"/>
      <c r="K124" s="636"/>
      <c r="L124" s="636"/>
      <c r="M124" s="636"/>
      <c r="N124" s="636"/>
      <c r="O124" s="636"/>
      <c r="P124" s="636"/>
      <c r="Q124" s="636"/>
      <c r="R124" s="636"/>
      <c r="S124" s="636"/>
      <c r="T124" s="636"/>
      <c r="U124" s="636"/>
      <c r="V124" s="644"/>
    </row>
    <row r="125" spans="2:22">
      <c r="B125" s="604" t="str">
        <f>B95</f>
        <v>Health Care : General Duty Attendant (40 Days, 180 hrs)</v>
      </c>
      <c r="F125" s="636">
        <v>2</v>
      </c>
      <c r="G125" s="636">
        <v>0</v>
      </c>
      <c r="H125" s="636">
        <v>0</v>
      </c>
      <c r="I125" s="636">
        <v>0</v>
      </c>
      <c r="J125" s="636">
        <v>1</v>
      </c>
      <c r="K125" s="636">
        <v>0</v>
      </c>
      <c r="L125" s="636">
        <v>0</v>
      </c>
      <c r="M125" s="636">
        <v>0</v>
      </c>
      <c r="N125" s="636">
        <v>2</v>
      </c>
      <c r="O125" s="636">
        <v>2</v>
      </c>
      <c r="P125" s="636">
        <v>0</v>
      </c>
      <c r="Q125" s="636">
        <v>0</v>
      </c>
      <c r="R125" s="636">
        <v>0</v>
      </c>
      <c r="S125" s="636">
        <v>0</v>
      </c>
      <c r="T125" s="636">
        <v>0</v>
      </c>
      <c r="U125" s="636">
        <v>0</v>
      </c>
      <c r="V125" s="644">
        <f>SUM(F125:U125)</f>
        <v>7</v>
      </c>
    </row>
    <row r="126" spans="2:22">
      <c r="B126" s="604" t="s">
        <v>532</v>
      </c>
      <c r="F126" s="636">
        <f>F125</f>
        <v>2</v>
      </c>
      <c r="G126" s="636">
        <f>F126+G125</f>
        <v>2</v>
      </c>
      <c r="H126" s="636">
        <f t="shared" ref="H126:U126" si="84">G126+H125</f>
        <v>2</v>
      </c>
      <c r="I126" s="636">
        <f t="shared" si="84"/>
        <v>2</v>
      </c>
      <c r="J126" s="636">
        <f t="shared" si="84"/>
        <v>3</v>
      </c>
      <c r="K126" s="636">
        <f t="shared" si="84"/>
        <v>3</v>
      </c>
      <c r="L126" s="636">
        <f t="shared" si="84"/>
        <v>3</v>
      </c>
      <c r="M126" s="636">
        <f t="shared" si="84"/>
        <v>3</v>
      </c>
      <c r="N126" s="636">
        <f t="shared" si="84"/>
        <v>5</v>
      </c>
      <c r="O126" s="636">
        <f t="shared" si="84"/>
        <v>7</v>
      </c>
      <c r="P126" s="636">
        <f t="shared" si="84"/>
        <v>7</v>
      </c>
      <c r="Q126" s="636">
        <f t="shared" si="84"/>
        <v>7</v>
      </c>
      <c r="R126" s="636">
        <f t="shared" si="84"/>
        <v>7</v>
      </c>
      <c r="S126" s="636">
        <f t="shared" si="84"/>
        <v>7</v>
      </c>
      <c r="T126" s="636">
        <f t="shared" si="84"/>
        <v>7</v>
      </c>
      <c r="U126" s="636">
        <f t="shared" si="84"/>
        <v>7</v>
      </c>
      <c r="V126" s="644"/>
    </row>
    <row r="127" spans="2:22">
      <c r="F127" s="636"/>
      <c r="G127" s="636"/>
      <c r="H127" s="636"/>
      <c r="I127" s="636"/>
      <c r="J127" s="636"/>
      <c r="K127" s="636"/>
      <c r="L127" s="636"/>
      <c r="M127" s="636"/>
      <c r="N127" s="636"/>
      <c r="O127" s="636"/>
      <c r="P127" s="636"/>
      <c r="Q127" s="636"/>
      <c r="R127" s="636"/>
      <c r="S127" s="636"/>
      <c r="T127" s="636"/>
      <c r="U127" s="636"/>
      <c r="V127" s="644"/>
    </row>
    <row r="128" spans="2:22">
      <c r="B128" s="604" t="str">
        <f>B96</f>
        <v>Health Care : Asha (Health workers) (40 Days, 180 hrs)</v>
      </c>
      <c r="F128" s="636">
        <v>2</v>
      </c>
      <c r="G128" s="636">
        <v>0</v>
      </c>
      <c r="H128" s="636">
        <v>0</v>
      </c>
      <c r="I128" s="636">
        <v>0</v>
      </c>
      <c r="J128" s="636">
        <v>1</v>
      </c>
      <c r="K128" s="636">
        <v>0</v>
      </c>
      <c r="L128" s="636">
        <v>0</v>
      </c>
      <c r="M128" s="636">
        <v>0</v>
      </c>
      <c r="N128" s="636">
        <v>2</v>
      </c>
      <c r="O128" s="636">
        <v>2</v>
      </c>
      <c r="P128" s="636">
        <v>0</v>
      </c>
      <c r="Q128" s="636">
        <v>0</v>
      </c>
      <c r="R128" s="636">
        <v>0</v>
      </c>
      <c r="S128" s="636">
        <v>0</v>
      </c>
      <c r="T128" s="636">
        <v>0</v>
      </c>
      <c r="U128" s="636">
        <v>0</v>
      </c>
      <c r="V128" s="644">
        <f>SUM(F128:U128)</f>
        <v>7</v>
      </c>
    </row>
    <row r="129" spans="2:22">
      <c r="B129" s="604" t="s">
        <v>532</v>
      </c>
      <c r="F129" s="636">
        <f>F128</f>
        <v>2</v>
      </c>
      <c r="G129" s="636">
        <f>F129+G128</f>
        <v>2</v>
      </c>
      <c r="H129" s="636">
        <f t="shared" ref="H129:U129" si="85">G129+H128</f>
        <v>2</v>
      </c>
      <c r="I129" s="636">
        <f t="shared" si="85"/>
        <v>2</v>
      </c>
      <c r="J129" s="636">
        <f t="shared" si="85"/>
        <v>3</v>
      </c>
      <c r="K129" s="636">
        <f t="shared" si="85"/>
        <v>3</v>
      </c>
      <c r="L129" s="636">
        <f t="shared" si="85"/>
        <v>3</v>
      </c>
      <c r="M129" s="636">
        <f t="shared" si="85"/>
        <v>3</v>
      </c>
      <c r="N129" s="636">
        <f t="shared" si="85"/>
        <v>5</v>
      </c>
      <c r="O129" s="636">
        <f t="shared" si="85"/>
        <v>7</v>
      </c>
      <c r="P129" s="636">
        <f t="shared" si="85"/>
        <v>7</v>
      </c>
      <c r="Q129" s="636">
        <f t="shared" si="85"/>
        <v>7</v>
      </c>
      <c r="R129" s="636">
        <f t="shared" si="85"/>
        <v>7</v>
      </c>
      <c r="S129" s="636">
        <f t="shared" si="85"/>
        <v>7</v>
      </c>
      <c r="T129" s="636">
        <f t="shared" si="85"/>
        <v>7</v>
      </c>
      <c r="U129" s="636">
        <f t="shared" si="85"/>
        <v>7</v>
      </c>
      <c r="V129" s="644"/>
    </row>
    <row r="130" spans="2:22">
      <c r="F130" s="636"/>
      <c r="G130" s="636"/>
      <c r="H130" s="636"/>
      <c r="I130" s="636"/>
      <c r="J130" s="636"/>
      <c r="K130" s="636"/>
      <c r="L130" s="636"/>
      <c r="M130" s="636"/>
      <c r="N130" s="636"/>
      <c r="O130" s="636"/>
      <c r="P130" s="636"/>
      <c r="Q130" s="636"/>
      <c r="R130" s="636"/>
      <c r="S130" s="636"/>
      <c r="T130" s="636"/>
      <c r="U130" s="636"/>
      <c r="V130" s="644"/>
    </row>
    <row r="131" spans="2:22">
      <c r="B131" s="604" t="str">
        <f>B97</f>
        <v>Health Care : Home Health Aide (40 Days, 180 hrs)</v>
      </c>
      <c r="F131" s="636">
        <v>2</v>
      </c>
      <c r="G131" s="636">
        <v>0</v>
      </c>
      <c r="H131" s="636">
        <v>0</v>
      </c>
      <c r="I131" s="636">
        <v>0</v>
      </c>
      <c r="J131" s="636">
        <v>1</v>
      </c>
      <c r="K131" s="636">
        <v>0</v>
      </c>
      <c r="L131" s="636">
        <v>0</v>
      </c>
      <c r="M131" s="636">
        <v>0</v>
      </c>
      <c r="N131" s="636">
        <v>2</v>
      </c>
      <c r="O131" s="636">
        <v>2</v>
      </c>
      <c r="P131" s="636">
        <v>0</v>
      </c>
      <c r="Q131" s="636">
        <v>0</v>
      </c>
      <c r="R131" s="636">
        <v>0</v>
      </c>
      <c r="S131" s="636">
        <v>0</v>
      </c>
      <c r="T131" s="636">
        <v>0</v>
      </c>
      <c r="U131" s="636">
        <v>0</v>
      </c>
      <c r="V131" s="644">
        <f>SUM(F131:U131)</f>
        <v>7</v>
      </c>
    </row>
    <row r="132" spans="2:22">
      <c r="B132" s="604" t="s">
        <v>532</v>
      </c>
      <c r="F132" s="636">
        <f>F131</f>
        <v>2</v>
      </c>
      <c r="G132" s="636">
        <f>F132+G131</f>
        <v>2</v>
      </c>
      <c r="H132" s="636">
        <f t="shared" ref="H132:U132" si="86">G132+H131</f>
        <v>2</v>
      </c>
      <c r="I132" s="636">
        <f t="shared" si="86"/>
        <v>2</v>
      </c>
      <c r="J132" s="636">
        <f t="shared" si="86"/>
        <v>3</v>
      </c>
      <c r="K132" s="636">
        <f t="shared" si="86"/>
        <v>3</v>
      </c>
      <c r="L132" s="636">
        <f t="shared" si="86"/>
        <v>3</v>
      </c>
      <c r="M132" s="636">
        <f t="shared" si="86"/>
        <v>3</v>
      </c>
      <c r="N132" s="636">
        <f t="shared" si="86"/>
        <v>5</v>
      </c>
      <c r="O132" s="636">
        <f t="shared" si="86"/>
        <v>7</v>
      </c>
      <c r="P132" s="636">
        <f t="shared" si="86"/>
        <v>7</v>
      </c>
      <c r="Q132" s="636">
        <f t="shared" si="86"/>
        <v>7</v>
      </c>
      <c r="R132" s="636">
        <f t="shared" si="86"/>
        <v>7</v>
      </c>
      <c r="S132" s="636">
        <f t="shared" si="86"/>
        <v>7</v>
      </c>
      <c r="T132" s="636">
        <f t="shared" si="86"/>
        <v>7</v>
      </c>
      <c r="U132" s="636">
        <f t="shared" si="86"/>
        <v>7</v>
      </c>
      <c r="V132" s="644"/>
    </row>
    <row r="133" spans="2:22">
      <c r="F133" s="636"/>
      <c r="G133" s="636"/>
      <c r="H133" s="636"/>
      <c r="I133" s="636"/>
      <c r="J133" s="636"/>
      <c r="K133" s="636"/>
      <c r="L133" s="636"/>
      <c r="M133" s="636"/>
      <c r="N133" s="636"/>
      <c r="O133" s="636"/>
      <c r="P133" s="636"/>
      <c r="Q133" s="636"/>
      <c r="R133" s="636"/>
      <c r="S133" s="636"/>
      <c r="T133" s="636"/>
      <c r="U133" s="636"/>
      <c r="V133" s="644"/>
    </row>
    <row r="134" spans="2:22">
      <c r="B134" s="604" t="str">
        <f>B98</f>
        <v>Retail : Cashier (40 Days, 180 hrs)</v>
      </c>
      <c r="F134" s="636">
        <v>1</v>
      </c>
      <c r="G134" s="636">
        <v>0</v>
      </c>
      <c r="H134" s="636">
        <v>0</v>
      </c>
      <c r="I134" s="636">
        <v>0</v>
      </c>
      <c r="J134" s="636">
        <v>1</v>
      </c>
      <c r="K134" s="636">
        <v>0</v>
      </c>
      <c r="L134" s="636">
        <v>0</v>
      </c>
      <c r="M134" s="636">
        <v>0</v>
      </c>
      <c r="N134" s="636">
        <v>0</v>
      </c>
      <c r="O134" s="636">
        <v>0</v>
      </c>
      <c r="P134" s="636">
        <v>0</v>
      </c>
      <c r="Q134" s="636">
        <v>0</v>
      </c>
      <c r="R134" s="636">
        <v>0</v>
      </c>
      <c r="S134" s="636">
        <v>0</v>
      </c>
      <c r="T134" s="636">
        <v>0</v>
      </c>
      <c r="U134" s="636">
        <v>0</v>
      </c>
      <c r="V134" s="644">
        <f>SUM(F134:U134)</f>
        <v>2</v>
      </c>
    </row>
    <row r="135" spans="2:22">
      <c r="B135" s="604" t="s">
        <v>532</v>
      </c>
      <c r="F135" s="636">
        <f>F134</f>
        <v>1</v>
      </c>
      <c r="G135" s="636">
        <f>F135+G134</f>
        <v>1</v>
      </c>
      <c r="H135" s="636">
        <f t="shared" ref="H135:U135" si="87">G135+H134</f>
        <v>1</v>
      </c>
      <c r="I135" s="636">
        <f t="shared" si="87"/>
        <v>1</v>
      </c>
      <c r="J135" s="636">
        <f t="shared" si="87"/>
        <v>2</v>
      </c>
      <c r="K135" s="636">
        <f t="shared" si="87"/>
        <v>2</v>
      </c>
      <c r="L135" s="636">
        <f t="shared" si="87"/>
        <v>2</v>
      </c>
      <c r="M135" s="636">
        <f t="shared" si="87"/>
        <v>2</v>
      </c>
      <c r="N135" s="636">
        <f t="shared" si="87"/>
        <v>2</v>
      </c>
      <c r="O135" s="636">
        <f t="shared" si="87"/>
        <v>2</v>
      </c>
      <c r="P135" s="636">
        <f t="shared" si="87"/>
        <v>2</v>
      </c>
      <c r="Q135" s="636">
        <f t="shared" si="87"/>
        <v>2</v>
      </c>
      <c r="R135" s="636">
        <f t="shared" si="87"/>
        <v>2</v>
      </c>
      <c r="S135" s="636">
        <f t="shared" si="87"/>
        <v>2</v>
      </c>
      <c r="T135" s="636">
        <f t="shared" si="87"/>
        <v>2</v>
      </c>
      <c r="U135" s="636">
        <f t="shared" si="87"/>
        <v>2</v>
      </c>
      <c r="V135" s="644"/>
    </row>
    <row r="136" spans="2:22">
      <c r="F136" s="636"/>
      <c r="G136" s="636"/>
      <c r="H136" s="636"/>
      <c r="I136" s="636"/>
      <c r="J136" s="636"/>
      <c r="K136" s="636"/>
      <c r="L136" s="636"/>
      <c r="M136" s="636"/>
      <c r="N136" s="636"/>
      <c r="O136" s="636"/>
      <c r="P136" s="636"/>
      <c r="Q136" s="636"/>
      <c r="R136" s="636"/>
      <c r="S136" s="636"/>
      <c r="T136" s="636"/>
      <c r="U136" s="636"/>
      <c r="V136" s="644"/>
    </row>
    <row r="137" spans="2:22">
      <c r="B137" s="604" t="str">
        <f>B99</f>
        <v>Retail : Assistant (40 Days, 180 hrs)</v>
      </c>
      <c r="F137" s="636">
        <v>3</v>
      </c>
      <c r="G137" s="636">
        <v>0</v>
      </c>
      <c r="H137" s="636">
        <v>0</v>
      </c>
      <c r="I137" s="636">
        <v>0</v>
      </c>
      <c r="J137" s="636">
        <v>1</v>
      </c>
      <c r="K137" s="636">
        <v>0</v>
      </c>
      <c r="L137" s="636">
        <v>0</v>
      </c>
      <c r="M137" s="636">
        <v>0</v>
      </c>
      <c r="N137" s="636">
        <v>0</v>
      </c>
      <c r="O137" s="636">
        <v>0</v>
      </c>
      <c r="P137" s="636">
        <v>0</v>
      </c>
      <c r="Q137" s="636">
        <v>0</v>
      </c>
      <c r="R137" s="636">
        <v>0</v>
      </c>
      <c r="S137" s="636">
        <v>0</v>
      </c>
      <c r="T137" s="636">
        <v>0</v>
      </c>
      <c r="U137" s="636">
        <v>0</v>
      </c>
      <c r="V137" s="644">
        <f>SUM(F137:U137)</f>
        <v>4</v>
      </c>
    </row>
    <row r="138" spans="2:22">
      <c r="B138" s="604" t="s">
        <v>532</v>
      </c>
      <c r="F138" s="636">
        <f>F137</f>
        <v>3</v>
      </c>
      <c r="G138" s="636">
        <f>F138+G137</f>
        <v>3</v>
      </c>
      <c r="H138" s="636">
        <f t="shared" ref="H138:U138" si="88">G138+H137</f>
        <v>3</v>
      </c>
      <c r="I138" s="636">
        <f t="shared" si="88"/>
        <v>3</v>
      </c>
      <c r="J138" s="636">
        <f t="shared" si="88"/>
        <v>4</v>
      </c>
      <c r="K138" s="636">
        <f t="shared" si="88"/>
        <v>4</v>
      </c>
      <c r="L138" s="636">
        <f t="shared" si="88"/>
        <v>4</v>
      </c>
      <c r="M138" s="636">
        <f t="shared" si="88"/>
        <v>4</v>
      </c>
      <c r="N138" s="636">
        <f t="shared" si="88"/>
        <v>4</v>
      </c>
      <c r="O138" s="636">
        <f t="shared" si="88"/>
        <v>4</v>
      </c>
      <c r="P138" s="636">
        <f t="shared" si="88"/>
        <v>4</v>
      </c>
      <c r="Q138" s="636">
        <f t="shared" si="88"/>
        <v>4</v>
      </c>
      <c r="R138" s="636">
        <f t="shared" si="88"/>
        <v>4</v>
      </c>
      <c r="S138" s="636">
        <f t="shared" si="88"/>
        <v>4</v>
      </c>
      <c r="T138" s="636">
        <f t="shared" si="88"/>
        <v>4</v>
      </c>
      <c r="U138" s="636">
        <f t="shared" si="88"/>
        <v>4</v>
      </c>
      <c r="V138" s="644"/>
    </row>
    <row r="139" spans="2:22">
      <c r="F139" s="636"/>
      <c r="G139" s="636"/>
      <c r="H139" s="636"/>
      <c r="I139" s="636"/>
      <c r="J139" s="636"/>
      <c r="K139" s="636"/>
      <c r="L139" s="636"/>
      <c r="M139" s="636"/>
      <c r="N139" s="636"/>
      <c r="O139" s="636"/>
      <c r="P139" s="636"/>
      <c r="Q139" s="636"/>
      <c r="R139" s="636"/>
      <c r="S139" s="636"/>
      <c r="T139" s="636"/>
      <c r="U139" s="636"/>
      <c r="V139" s="644"/>
    </row>
    <row r="140" spans="2:22">
      <c r="B140" s="604" t="str">
        <f>B100</f>
        <v>Agriculture : Apiculture (16 Days, 48 hrs)</v>
      </c>
      <c r="F140" s="636">
        <v>1</v>
      </c>
      <c r="G140" s="636">
        <v>0</v>
      </c>
      <c r="H140" s="636">
        <v>0</v>
      </c>
      <c r="I140" s="636">
        <v>0</v>
      </c>
      <c r="J140" s="636">
        <v>1</v>
      </c>
      <c r="K140" s="636">
        <v>0</v>
      </c>
      <c r="L140" s="636">
        <v>0</v>
      </c>
      <c r="M140" s="636">
        <v>0</v>
      </c>
      <c r="N140" s="636">
        <v>1</v>
      </c>
      <c r="O140" s="636">
        <v>1</v>
      </c>
      <c r="P140" s="636">
        <v>0</v>
      </c>
      <c r="Q140" s="636">
        <v>0</v>
      </c>
      <c r="R140" s="636">
        <v>0</v>
      </c>
      <c r="S140" s="636">
        <v>0</v>
      </c>
      <c r="T140" s="636">
        <v>0</v>
      </c>
      <c r="U140" s="636">
        <v>0</v>
      </c>
      <c r="V140" s="644">
        <f>SUM(F140:U140)</f>
        <v>4</v>
      </c>
    </row>
    <row r="141" spans="2:22">
      <c r="B141" s="604" t="s">
        <v>532</v>
      </c>
      <c r="F141" s="636">
        <f>F140</f>
        <v>1</v>
      </c>
      <c r="G141" s="636">
        <f>F141+G140</f>
        <v>1</v>
      </c>
      <c r="H141" s="636">
        <f t="shared" ref="H141:U141" si="89">G141+H140</f>
        <v>1</v>
      </c>
      <c r="I141" s="636">
        <f t="shared" si="89"/>
        <v>1</v>
      </c>
      <c r="J141" s="636">
        <f t="shared" si="89"/>
        <v>2</v>
      </c>
      <c r="K141" s="636">
        <f t="shared" si="89"/>
        <v>2</v>
      </c>
      <c r="L141" s="636">
        <f t="shared" si="89"/>
        <v>2</v>
      </c>
      <c r="M141" s="636">
        <f t="shared" si="89"/>
        <v>2</v>
      </c>
      <c r="N141" s="636">
        <f t="shared" si="89"/>
        <v>3</v>
      </c>
      <c r="O141" s="636">
        <f t="shared" si="89"/>
        <v>4</v>
      </c>
      <c r="P141" s="636">
        <f t="shared" si="89"/>
        <v>4</v>
      </c>
      <c r="Q141" s="636">
        <f t="shared" si="89"/>
        <v>4</v>
      </c>
      <c r="R141" s="636">
        <f t="shared" si="89"/>
        <v>4</v>
      </c>
      <c r="S141" s="636">
        <f t="shared" si="89"/>
        <v>4</v>
      </c>
      <c r="T141" s="636">
        <f t="shared" si="89"/>
        <v>4</v>
      </c>
      <c r="U141" s="636">
        <f t="shared" si="89"/>
        <v>4</v>
      </c>
      <c r="V141" s="644"/>
    </row>
    <row r="142" spans="2:22">
      <c r="F142" s="636"/>
      <c r="G142" s="636"/>
      <c r="H142" s="636"/>
      <c r="I142" s="636"/>
      <c r="J142" s="636"/>
      <c r="K142" s="636"/>
      <c r="L142" s="636"/>
      <c r="M142" s="636"/>
      <c r="N142" s="636"/>
      <c r="O142" s="636"/>
      <c r="P142" s="636"/>
      <c r="Q142" s="636"/>
      <c r="R142" s="636"/>
      <c r="S142" s="636"/>
      <c r="T142" s="636"/>
      <c r="U142" s="636"/>
      <c r="V142" s="644"/>
    </row>
    <row r="143" spans="2:22">
      <c r="B143" s="604" t="str">
        <f>B101</f>
        <v>Agriculture : Mushroom farming  (16 Days, 48 hrs)</v>
      </c>
      <c r="F143" s="636">
        <v>1</v>
      </c>
      <c r="G143" s="636">
        <v>0</v>
      </c>
      <c r="H143" s="636">
        <v>0</v>
      </c>
      <c r="I143" s="636">
        <v>0</v>
      </c>
      <c r="J143" s="636">
        <v>1</v>
      </c>
      <c r="K143" s="636">
        <v>0</v>
      </c>
      <c r="L143" s="636">
        <v>0</v>
      </c>
      <c r="M143" s="636">
        <v>0</v>
      </c>
      <c r="N143" s="636">
        <v>1</v>
      </c>
      <c r="O143" s="636">
        <v>1</v>
      </c>
      <c r="P143" s="636">
        <v>0</v>
      </c>
      <c r="Q143" s="636">
        <v>0</v>
      </c>
      <c r="R143" s="636">
        <v>0</v>
      </c>
      <c r="S143" s="636">
        <v>0</v>
      </c>
      <c r="T143" s="636">
        <v>0</v>
      </c>
      <c r="U143" s="636">
        <v>0</v>
      </c>
      <c r="V143" s="644">
        <f>SUM(F143:U143)</f>
        <v>4</v>
      </c>
    </row>
    <row r="144" spans="2:22">
      <c r="B144" s="604" t="s">
        <v>532</v>
      </c>
      <c r="F144" s="636">
        <f>F143</f>
        <v>1</v>
      </c>
      <c r="G144" s="636">
        <f>F144+G143</f>
        <v>1</v>
      </c>
      <c r="H144" s="636">
        <f t="shared" ref="H144:U144" si="90">G144+H143</f>
        <v>1</v>
      </c>
      <c r="I144" s="636">
        <f t="shared" si="90"/>
        <v>1</v>
      </c>
      <c r="J144" s="636">
        <f t="shared" si="90"/>
        <v>2</v>
      </c>
      <c r="K144" s="636">
        <f t="shared" si="90"/>
        <v>2</v>
      </c>
      <c r="L144" s="636">
        <f t="shared" si="90"/>
        <v>2</v>
      </c>
      <c r="M144" s="636">
        <f t="shared" si="90"/>
        <v>2</v>
      </c>
      <c r="N144" s="636">
        <f t="shared" si="90"/>
        <v>3</v>
      </c>
      <c r="O144" s="636">
        <f t="shared" si="90"/>
        <v>4</v>
      </c>
      <c r="P144" s="636">
        <f t="shared" si="90"/>
        <v>4</v>
      </c>
      <c r="Q144" s="636">
        <f t="shared" si="90"/>
        <v>4</v>
      </c>
      <c r="R144" s="636">
        <f t="shared" si="90"/>
        <v>4</v>
      </c>
      <c r="S144" s="636">
        <f t="shared" si="90"/>
        <v>4</v>
      </c>
      <c r="T144" s="636">
        <f t="shared" si="90"/>
        <v>4</v>
      </c>
      <c r="U144" s="636">
        <f t="shared" si="90"/>
        <v>4</v>
      </c>
      <c r="V144" s="644"/>
    </row>
    <row r="145" spans="1:22">
      <c r="F145" s="636"/>
      <c r="G145" s="636"/>
      <c r="H145" s="636"/>
      <c r="I145" s="636"/>
      <c r="J145" s="636"/>
      <c r="K145" s="636"/>
      <c r="L145" s="636"/>
      <c r="M145" s="636"/>
      <c r="N145" s="636"/>
      <c r="O145" s="636"/>
      <c r="P145" s="636"/>
      <c r="Q145" s="636"/>
      <c r="R145" s="636"/>
      <c r="S145" s="636"/>
      <c r="T145" s="636"/>
      <c r="U145" s="636"/>
      <c r="V145" s="644"/>
    </row>
    <row r="146" spans="1:22">
      <c r="B146" s="604" t="str">
        <f>B102</f>
        <v>Agriculture : Floriculture  (16 Days, 48 hrs)</v>
      </c>
      <c r="F146" s="636">
        <v>1</v>
      </c>
      <c r="G146" s="636">
        <v>0</v>
      </c>
      <c r="H146" s="636">
        <v>0</v>
      </c>
      <c r="I146" s="636">
        <v>0</v>
      </c>
      <c r="J146" s="636">
        <v>1</v>
      </c>
      <c r="K146" s="636">
        <v>0</v>
      </c>
      <c r="L146" s="636">
        <v>0</v>
      </c>
      <c r="M146" s="636">
        <v>0</v>
      </c>
      <c r="N146" s="636">
        <v>1</v>
      </c>
      <c r="O146" s="636">
        <v>1</v>
      </c>
      <c r="P146" s="636">
        <v>0</v>
      </c>
      <c r="Q146" s="636">
        <v>0</v>
      </c>
      <c r="R146" s="636">
        <v>0</v>
      </c>
      <c r="S146" s="636">
        <v>0</v>
      </c>
      <c r="T146" s="636">
        <v>0</v>
      </c>
      <c r="U146" s="636">
        <v>0</v>
      </c>
      <c r="V146" s="644">
        <f>SUM(F146:U146)</f>
        <v>4</v>
      </c>
    </row>
    <row r="147" spans="1:22">
      <c r="B147" s="604" t="s">
        <v>532</v>
      </c>
      <c r="F147" s="636">
        <f>F146</f>
        <v>1</v>
      </c>
      <c r="G147" s="636">
        <f>F147+G146</f>
        <v>1</v>
      </c>
      <c r="H147" s="636">
        <f t="shared" ref="H147:U147" si="91">G147+H146</f>
        <v>1</v>
      </c>
      <c r="I147" s="636">
        <f t="shared" si="91"/>
        <v>1</v>
      </c>
      <c r="J147" s="636">
        <f t="shared" si="91"/>
        <v>2</v>
      </c>
      <c r="K147" s="636">
        <f t="shared" si="91"/>
        <v>2</v>
      </c>
      <c r="L147" s="636">
        <f t="shared" si="91"/>
        <v>2</v>
      </c>
      <c r="M147" s="636">
        <f t="shared" si="91"/>
        <v>2</v>
      </c>
      <c r="N147" s="636">
        <f t="shared" si="91"/>
        <v>3</v>
      </c>
      <c r="O147" s="636">
        <f t="shared" si="91"/>
        <v>4</v>
      </c>
      <c r="P147" s="636">
        <f t="shared" si="91"/>
        <v>4</v>
      </c>
      <c r="Q147" s="636">
        <f t="shared" si="91"/>
        <v>4</v>
      </c>
      <c r="R147" s="636">
        <f t="shared" si="91"/>
        <v>4</v>
      </c>
      <c r="S147" s="636">
        <f t="shared" si="91"/>
        <v>4</v>
      </c>
      <c r="T147" s="636">
        <f t="shared" si="91"/>
        <v>4</v>
      </c>
      <c r="U147" s="636">
        <f t="shared" si="91"/>
        <v>4</v>
      </c>
      <c r="V147" s="644"/>
    </row>
    <row r="148" spans="1:22">
      <c r="F148" s="636"/>
      <c r="G148" s="636"/>
      <c r="H148" s="636"/>
      <c r="I148" s="636"/>
      <c r="J148" s="636"/>
      <c r="K148" s="636"/>
      <c r="L148" s="636"/>
      <c r="M148" s="636"/>
      <c r="N148" s="636"/>
      <c r="O148" s="636"/>
      <c r="P148" s="636"/>
      <c r="Q148" s="636"/>
      <c r="R148" s="636"/>
      <c r="S148" s="636"/>
      <c r="T148" s="636"/>
      <c r="U148" s="636"/>
      <c r="V148" s="644"/>
    </row>
    <row r="149" spans="1:22">
      <c r="B149" s="604" t="str">
        <f>B103</f>
        <v>Food Processing  (16 Days, 60 hrs)</v>
      </c>
      <c r="F149" s="636">
        <v>1</v>
      </c>
      <c r="G149" s="636">
        <v>0</v>
      </c>
      <c r="H149" s="636">
        <v>0</v>
      </c>
      <c r="I149" s="636">
        <v>0</v>
      </c>
      <c r="J149" s="636">
        <v>1</v>
      </c>
      <c r="K149" s="636">
        <v>0</v>
      </c>
      <c r="L149" s="636">
        <v>0</v>
      </c>
      <c r="M149" s="636">
        <v>0</v>
      </c>
      <c r="N149" s="636">
        <v>1</v>
      </c>
      <c r="O149" s="636">
        <v>1</v>
      </c>
      <c r="P149" s="636">
        <v>0</v>
      </c>
      <c r="Q149" s="636">
        <v>0</v>
      </c>
      <c r="R149" s="636">
        <v>0</v>
      </c>
      <c r="S149" s="636">
        <v>0</v>
      </c>
      <c r="T149" s="636">
        <v>0</v>
      </c>
      <c r="U149" s="636">
        <v>0</v>
      </c>
      <c r="V149" s="644">
        <f>SUM(F149:U149)</f>
        <v>4</v>
      </c>
    </row>
    <row r="150" spans="1:22">
      <c r="B150" s="604" t="s">
        <v>532</v>
      </c>
      <c r="F150" s="636">
        <f>F149</f>
        <v>1</v>
      </c>
      <c r="G150" s="636">
        <f>F150+G149</f>
        <v>1</v>
      </c>
      <c r="H150" s="636">
        <f t="shared" ref="H150:U150" si="92">G150+H149</f>
        <v>1</v>
      </c>
      <c r="I150" s="636">
        <f t="shared" si="92"/>
        <v>1</v>
      </c>
      <c r="J150" s="636">
        <f t="shared" si="92"/>
        <v>2</v>
      </c>
      <c r="K150" s="636">
        <f t="shared" si="92"/>
        <v>2</v>
      </c>
      <c r="L150" s="636">
        <f t="shared" si="92"/>
        <v>2</v>
      </c>
      <c r="M150" s="636">
        <f t="shared" si="92"/>
        <v>2</v>
      </c>
      <c r="N150" s="636">
        <f t="shared" si="92"/>
        <v>3</v>
      </c>
      <c r="O150" s="636">
        <f t="shared" si="92"/>
        <v>4</v>
      </c>
      <c r="P150" s="636">
        <f t="shared" si="92"/>
        <v>4</v>
      </c>
      <c r="Q150" s="636">
        <f t="shared" si="92"/>
        <v>4</v>
      </c>
      <c r="R150" s="636">
        <f t="shared" si="92"/>
        <v>4</v>
      </c>
      <c r="S150" s="636">
        <f t="shared" si="92"/>
        <v>4</v>
      </c>
      <c r="T150" s="636">
        <f t="shared" si="92"/>
        <v>4</v>
      </c>
      <c r="U150" s="636">
        <f t="shared" si="92"/>
        <v>4</v>
      </c>
    </row>
    <row r="152" spans="1:22" ht="15.75">
      <c r="A152" s="610">
        <v>20</v>
      </c>
      <c r="B152" s="606" t="s">
        <v>546</v>
      </c>
    </row>
    <row r="154" spans="1:22" ht="15.75">
      <c r="B154" s="604" t="s">
        <v>547</v>
      </c>
      <c r="C154" s="619">
        <v>50000</v>
      </c>
      <c r="F154" s="706">
        <v>4</v>
      </c>
      <c r="G154" s="706">
        <v>0</v>
      </c>
      <c r="H154" s="706">
        <v>0</v>
      </c>
      <c r="I154" s="706">
        <v>0</v>
      </c>
      <c r="J154" s="706">
        <v>3</v>
      </c>
      <c r="K154" s="706">
        <v>0</v>
      </c>
      <c r="L154" s="706">
        <v>0</v>
      </c>
      <c r="M154" s="706">
        <v>0</v>
      </c>
      <c r="N154" s="706">
        <v>3</v>
      </c>
      <c r="O154" s="706">
        <v>2</v>
      </c>
      <c r="P154" s="706">
        <v>0</v>
      </c>
      <c r="Q154" s="706">
        <v>0</v>
      </c>
      <c r="R154" s="706">
        <v>0</v>
      </c>
      <c r="S154" s="706">
        <v>0</v>
      </c>
      <c r="T154" s="706">
        <v>0</v>
      </c>
      <c r="U154" s="706">
        <v>0</v>
      </c>
      <c r="V154" s="707"/>
    </row>
    <row r="155" spans="1:22" ht="15.75">
      <c r="C155" s="619"/>
      <c r="F155" s="706">
        <f t="shared" ref="F155:U155" si="93">$C$154*F154*F5/10^5</f>
        <v>2</v>
      </c>
      <c r="G155" s="706">
        <f t="shared" si="93"/>
        <v>0</v>
      </c>
      <c r="H155" s="706">
        <f t="shared" si="93"/>
        <v>0</v>
      </c>
      <c r="I155" s="706">
        <f t="shared" si="93"/>
        <v>0</v>
      </c>
      <c r="J155" s="706">
        <f t="shared" si="93"/>
        <v>1.65</v>
      </c>
      <c r="K155" s="706">
        <f t="shared" si="93"/>
        <v>0</v>
      </c>
      <c r="L155" s="706">
        <f t="shared" si="93"/>
        <v>0</v>
      </c>
      <c r="M155" s="706">
        <f t="shared" si="93"/>
        <v>0</v>
      </c>
      <c r="N155" s="706">
        <f t="shared" si="93"/>
        <v>1.8150000000000004</v>
      </c>
      <c r="O155" s="706">
        <f t="shared" si="93"/>
        <v>1.3310000000000002</v>
      </c>
      <c r="P155" s="706">
        <f t="shared" si="93"/>
        <v>0</v>
      </c>
      <c r="Q155" s="706">
        <f t="shared" si="93"/>
        <v>0</v>
      </c>
      <c r="R155" s="706">
        <f t="shared" si="93"/>
        <v>0</v>
      </c>
      <c r="S155" s="706">
        <f t="shared" si="93"/>
        <v>0</v>
      </c>
      <c r="T155" s="706">
        <f t="shared" si="93"/>
        <v>0</v>
      </c>
      <c r="U155" s="706">
        <f t="shared" si="93"/>
        <v>0</v>
      </c>
      <c r="V155" s="707">
        <f>SUM(F155:U155)</f>
        <v>6.7960000000000003</v>
      </c>
    </row>
    <row r="156" spans="1:22" ht="15.75">
      <c r="C156" s="619"/>
      <c r="F156" s="706"/>
      <c r="G156" s="706"/>
      <c r="H156" s="706"/>
      <c r="I156" s="706"/>
      <c r="J156" s="706"/>
      <c r="K156" s="706"/>
      <c r="L156" s="706"/>
      <c r="M156" s="706"/>
      <c r="N156" s="706"/>
      <c r="O156" s="706"/>
      <c r="P156" s="706"/>
      <c r="Q156" s="706"/>
      <c r="R156" s="706"/>
      <c r="S156" s="706"/>
      <c r="T156" s="706"/>
      <c r="U156" s="706"/>
      <c r="V156" s="707"/>
    </row>
    <row r="157" spans="1:22" ht="15.75">
      <c r="B157" s="604" t="s">
        <v>548</v>
      </c>
      <c r="C157" s="619">
        <v>300000</v>
      </c>
      <c r="F157" s="706">
        <v>4</v>
      </c>
      <c r="G157" s="706">
        <v>0</v>
      </c>
      <c r="H157" s="706">
        <v>0</v>
      </c>
      <c r="I157" s="706">
        <v>0</v>
      </c>
      <c r="J157" s="706">
        <v>2</v>
      </c>
      <c r="K157" s="706">
        <v>0</v>
      </c>
      <c r="L157" s="706">
        <v>0</v>
      </c>
      <c r="M157" s="706">
        <v>0</v>
      </c>
      <c r="N157" s="706">
        <v>3</v>
      </c>
      <c r="O157" s="706">
        <v>2</v>
      </c>
      <c r="P157" s="706">
        <v>0</v>
      </c>
      <c r="Q157" s="706">
        <v>0</v>
      </c>
      <c r="R157" s="706">
        <v>0</v>
      </c>
      <c r="S157" s="706">
        <v>0</v>
      </c>
      <c r="T157" s="706">
        <v>0</v>
      </c>
      <c r="U157" s="706">
        <v>0</v>
      </c>
      <c r="V157" s="707"/>
    </row>
    <row r="158" spans="1:22" ht="15.75">
      <c r="C158" s="619"/>
      <c r="F158" s="706">
        <f t="shared" ref="F158:U158" si="94">$C$157*F157*F5/10^5</f>
        <v>12</v>
      </c>
      <c r="G158" s="706">
        <f t="shared" si="94"/>
        <v>0</v>
      </c>
      <c r="H158" s="706">
        <f t="shared" si="94"/>
        <v>0</v>
      </c>
      <c r="I158" s="706">
        <f t="shared" si="94"/>
        <v>0</v>
      </c>
      <c r="J158" s="706">
        <f t="shared" si="94"/>
        <v>6.6</v>
      </c>
      <c r="K158" s="706">
        <f t="shared" si="94"/>
        <v>0</v>
      </c>
      <c r="L158" s="706">
        <f t="shared" si="94"/>
        <v>0</v>
      </c>
      <c r="M158" s="706">
        <f t="shared" si="94"/>
        <v>0</v>
      </c>
      <c r="N158" s="706">
        <f t="shared" si="94"/>
        <v>10.890000000000002</v>
      </c>
      <c r="O158" s="706">
        <f t="shared" si="94"/>
        <v>7.9860000000000015</v>
      </c>
      <c r="P158" s="706">
        <f t="shared" si="94"/>
        <v>0</v>
      </c>
      <c r="Q158" s="706">
        <f t="shared" si="94"/>
        <v>0</v>
      </c>
      <c r="R158" s="706">
        <f t="shared" si="94"/>
        <v>0</v>
      </c>
      <c r="S158" s="706">
        <f t="shared" si="94"/>
        <v>0</v>
      </c>
      <c r="T158" s="706">
        <f t="shared" si="94"/>
        <v>0</v>
      </c>
      <c r="U158" s="706">
        <f t="shared" si="94"/>
        <v>0</v>
      </c>
      <c r="V158" s="707">
        <f>SUM(F158:U158)</f>
        <v>37.476000000000006</v>
      </c>
    </row>
    <row r="159" spans="1:22" ht="15.75">
      <c r="C159" s="619"/>
      <c r="F159" s="706"/>
      <c r="G159" s="706"/>
      <c r="H159" s="706"/>
      <c r="I159" s="706"/>
      <c r="J159" s="706"/>
      <c r="K159" s="706"/>
      <c r="L159" s="706"/>
      <c r="M159" s="706"/>
      <c r="N159" s="706"/>
      <c r="O159" s="706"/>
      <c r="P159" s="706"/>
      <c r="Q159" s="706"/>
      <c r="R159" s="706"/>
      <c r="S159" s="706"/>
      <c r="T159" s="706"/>
      <c r="U159" s="706"/>
      <c r="V159" s="707"/>
    </row>
    <row r="160" spans="1:22" ht="15.75">
      <c r="B160" s="604" t="s">
        <v>549</v>
      </c>
      <c r="C160" s="619">
        <v>50000</v>
      </c>
      <c r="F160" s="706">
        <v>2</v>
      </c>
      <c r="G160" s="706">
        <v>0</v>
      </c>
      <c r="H160" s="706">
        <v>0</v>
      </c>
      <c r="I160" s="706">
        <v>0</v>
      </c>
      <c r="J160" s="706">
        <v>1</v>
      </c>
      <c r="K160" s="706">
        <v>0</v>
      </c>
      <c r="L160" s="706">
        <v>0</v>
      </c>
      <c r="M160" s="706">
        <v>0</v>
      </c>
      <c r="N160" s="706">
        <v>2</v>
      </c>
      <c r="O160" s="706">
        <v>2</v>
      </c>
      <c r="P160" s="706">
        <v>0</v>
      </c>
      <c r="Q160" s="706">
        <v>0</v>
      </c>
      <c r="R160" s="706">
        <v>0</v>
      </c>
      <c r="S160" s="706">
        <v>0</v>
      </c>
      <c r="T160" s="706">
        <v>0</v>
      </c>
      <c r="U160" s="706">
        <v>0</v>
      </c>
      <c r="V160" s="707"/>
    </row>
    <row r="161" spans="1:22" ht="15.75">
      <c r="C161" s="619"/>
      <c r="F161" s="706">
        <f t="shared" ref="F161:U161" si="95">$C$160*F160*F5/10^5</f>
        <v>1</v>
      </c>
      <c r="G161" s="706">
        <f t="shared" si="95"/>
        <v>0</v>
      </c>
      <c r="H161" s="706">
        <f t="shared" si="95"/>
        <v>0</v>
      </c>
      <c r="I161" s="706">
        <f t="shared" si="95"/>
        <v>0</v>
      </c>
      <c r="J161" s="706">
        <f t="shared" si="95"/>
        <v>0.55000000000000004</v>
      </c>
      <c r="K161" s="706">
        <f t="shared" si="95"/>
        <v>0</v>
      </c>
      <c r="L161" s="706">
        <f t="shared" si="95"/>
        <v>0</v>
      </c>
      <c r="M161" s="706">
        <f t="shared" si="95"/>
        <v>0</v>
      </c>
      <c r="N161" s="706">
        <f t="shared" si="95"/>
        <v>1.2100000000000002</v>
      </c>
      <c r="O161" s="706">
        <f t="shared" si="95"/>
        <v>1.3310000000000002</v>
      </c>
      <c r="P161" s="706">
        <f t="shared" si="95"/>
        <v>0</v>
      </c>
      <c r="Q161" s="706">
        <f t="shared" si="95"/>
        <v>0</v>
      </c>
      <c r="R161" s="706">
        <f t="shared" si="95"/>
        <v>0</v>
      </c>
      <c r="S161" s="706">
        <f t="shared" si="95"/>
        <v>0</v>
      </c>
      <c r="T161" s="706">
        <f t="shared" si="95"/>
        <v>0</v>
      </c>
      <c r="U161" s="706">
        <f t="shared" si="95"/>
        <v>0</v>
      </c>
      <c r="V161" s="707">
        <f>SUM(F161:U161)</f>
        <v>4.0910000000000002</v>
      </c>
    </row>
    <row r="162" spans="1:22" ht="15.75">
      <c r="C162" s="619"/>
      <c r="F162" s="706"/>
      <c r="G162" s="706"/>
      <c r="H162" s="706"/>
      <c r="I162" s="706"/>
      <c r="J162" s="706"/>
      <c r="K162" s="706"/>
      <c r="L162" s="706"/>
      <c r="M162" s="706"/>
      <c r="N162" s="706"/>
      <c r="O162" s="706"/>
      <c r="P162" s="706"/>
      <c r="Q162" s="706"/>
      <c r="R162" s="706"/>
      <c r="S162" s="706"/>
      <c r="T162" s="706"/>
      <c r="U162" s="706"/>
      <c r="V162" s="707"/>
    </row>
    <row r="163" spans="1:22" ht="15.75">
      <c r="B163" s="604" t="s">
        <v>578</v>
      </c>
      <c r="C163" s="619">
        <v>100000</v>
      </c>
      <c r="F163" s="706">
        <v>2</v>
      </c>
      <c r="G163" s="706">
        <v>0</v>
      </c>
      <c r="H163" s="706">
        <v>0</v>
      </c>
      <c r="I163" s="706">
        <v>0</v>
      </c>
      <c r="J163" s="706">
        <v>1</v>
      </c>
      <c r="K163" s="706">
        <v>0</v>
      </c>
      <c r="L163" s="706">
        <v>0</v>
      </c>
      <c r="M163" s="706">
        <v>0</v>
      </c>
      <c r="N163" s="706">
        <v>0</v>
      </c>
      <c r="O163" s="706">
        <v>0</v>
      </c>
      <c r="P163" s="706">
        <v>0</v>
      </c>
      <c r="Q163" s="706">
        <v>0</v>
      </c>
      <c r="R163" s="706">
        <v>0</v>
      </c>
      <c r="S163" s="706">
        <v>0</v>
      </c>
      <c r="T163" s="706">
        <v>0</v>
      </c>
      <c r="U163" s="706">
        <v>0</v>
      </c>
      <c r="V163" s="707"/>
    </row>
    <row r="164" spans="1:22" ht="15.75">
      <c r="C164" s="619"/>
      <c r="F164" s="706">
        <f t="shared" ref="F164:U164" si="96">$C$163*F163*F5/10^5</f>
        <v>2</v>
      </c>
      <c r="G164" s="706">
        <f t="shared" si="96"/>
        <v>0</v>
      </c>
      <c r="H164" s="706">
        <f t="shared" si="96"/>
        <v>0</v>
      </c>
      <c r="I164" s="706">
        <f t="shared" si="96"/>
        <v>0</v>
      </c>
      <c r="J164" s="706">
        <f t="shared" si="96"/>
        <v>1.1000000000000001</v>
      </c>
      <c r="K164" s="706">
        <f t="shared" si="96"/>
        <v>0</v>
      </c>
      <c r="L164" s="706">
        <f t="shared" si="96"/>
        <v>0</v>
      </c>
      <c r="M164" s="706">
        <f t="shared" si="96"/>
        <v>0</v>
      </c>
      <c r="N164" s="706">
        <f t="shared" si="96"/>
        <v>0</v>
      </c>
      <c r="O164" s="706">
        <f t="shared" si="96"/>
        <v>0</v>
      </c>
      <c r="P164" s="706">
        <f t="shared" si="96"/>
        <v>0</v>
      </c>
      <c r="Q164" s="706">
        <f t="shared" si="96"/>
        <v>0</v>
      </c>
      <c r="R164" s="706">
        <f t="shared" si="96"/>
        <v>0</v>
      </c>
      <c r="S164" s="706">
        <f t="shared" si="96"/>
        <v>0</v>
      </c>
      <c r="T164" s="706">
        <f t="shared" si="96"/>
        <v>0</v>
      </c>
      <c r="U164" s="706">
        <f t="shared" si="96"/>
        <v>0</v>
      </c>
      <c r="V164" s="707">
        <f>SUM(F164:U164)</f>
        <v>3.1</v>
      </c>
    </row>
    <row r="165" spans="1:22" ht="15.75">
      <c r="C165" s="619"/>
      <c r="F165" s="706"/>
      <c r="G165" s="706"/>
      <c r="H165" s="706"/>
      <c r="I165" s="706"/>
      <c r="J165" s="706"/>
      <c r="K165" s="706"/>
      <c r="L165" s="706"/>
      <c r="M165" s="706"/>
      <c r="N165" s="706"/>
      <c r="O165" s="706"/>
      <c r="P165" s="706"/>
      <c r="Q165" s="706"/>
      <c r="R165" s="706"/>
      <c r="S165" s="706"/>
      <c r="T165" s="706"/>
      <c r="U165" s="706"/>
      <c r="V165" s="707"/>
    </row>
    <row r="166" spans="1:22" ht="15.75">
      <c r="B166" s="604" t="s">
        <v>579</v>
      </c>
      <c r="C166" s="619">
        <v>10000</v>
      </c>
      <c r="F166" s="706">
        <v>1</v>
      </c>
      <c r="G166" s="706">
        <v>0</v>
      </c>
      <c r="H166" s="706">
        <v>0</v>
      </c>
      <c r="I166" s="706">
        <v>0</v>
      </c>
      <c r="J166" s="706">
        <v>1</v>
      </c>
      <c r="K166" s="706">
        <v>0</v>
      </c>
      <c r="L166" s="706">
        <v>0</v>
      </c>
      <c r="M166" s="706">
        <v>0</v>
      </c>
      <c r="N166" s="706">
        <v>1</v>
      </c>
      <c r="O166" s="706">
        <v>1</v>
      </c>
      <c r="P166" s="706">
        <v>0</v>
      </c>
      <c r="Q166" s="706">
        <v>0</v>
      </c>
      <c r="R166" s="706">
        <v>0</v>
      </c>
      <c r="S166" s="706">
        <v>0</v>
      </c>
      <c r="T166" s="706">
        <v>0</v>
      </c>
      <c r="U166" s="706">
        <v>0</v>
      </c>
      <c r="V166" s="707"/>
    </row>
    <row r="167" spans="1:22" ht="15.75">
      <c r="C167" s="619"/>
      <c r="F167" s="706">
        <f t="shared" ref="F167:U167" si="97">$C$166*F166*F5/10^5</f>
        <v>0.1</v>
      </c>
      <c r="G167" s="706">
        <f t="shared" si="97"/>
        <v>0</v>
      </c>
      <c r="H167" s="706">
        <f t="shared" si="97"/>
        <v>0</v>
      </c>
      <c r="I167" s="706">
        <f t="shared" si="97"/>
        <v>0</v>
      </c>
      <c r="J167" s="706">
        <f t="shared" si="97"/>
        <v>0.11</v>
      </c>
      <c r="K167" s="706">
        <f t="shared" si="97"/>
        <v>0</v>
      </c>
      <c r="L167" s="706">
        <f t="shared" si="97"/>
        <v>0</v>
      </c>
      <c r="M167" s="706">
        <f t="shared" si="97"/>
        <v>0</v>
      </c>
      <c r="N167" s="706">
        <f t="shared" si="97"/>
        <v>0.12100000000000002</v>
      </c>
      <c r="O167" s="706">
        <f t="shared" si="97"/>
        <v>0.13310000000000002</v>
      </c>
      <c r="P167" s="706">
        <f t="shared" si="97"/>
        <v>0</v>
      </c>
      <c r="Q167" s="706">
        <f t="shared" si="97"/>
        <v>0</v>
      </c>
      <c r="R167" s="706">
        <f t="shared" si="97"/>
        <v>0</v>
      </c>
      <c r="S167" s="706">
        <f t="shared" si="97"/>
        <v>0</v>
      </c>
      <c r="T167" s="706">
        <f t="shared" si="97"/>
        <v>0</v>
      </c>
      <c r="U167" s="706">
        <f t="shared" si="97"/>
        <v>0</v>
      </c>
      <c r="V167" s="707">
        <f>SUM(F167:U167)</f>
        <v>0.46410000000000007</v>
      </c>
    </row>
    <row r="168" spans="1:22" ht="15.75">
      <c r="C168" s="619"/>
      <c r="F168" s="706"/>
      <c r="G168" s="706"/>
      <c r="H168" s="706"/>
      <c r="I168" s="706"/>
      <c r="J168" s="706"/>
      <c r="K168" s="706"/>
      <c r="L168" s="706"/>
      <c r="M168" s="706"/>
      <c r="N168" s="706"/>
      <c r="O168" s="706"/>
      <c r="P168" s="706"/>
      <c r="Q168" s="706"/>
      <c r="R168" s="706"/>
      <c r="S168" s="706"/>
      <c r="T168" s="706"/>
      <c r="U168" s="706"/>
      <c r="V168" s="707"/>
    </row>
    <row r="169" spans="1:22" ht="15.75">
      <c r="B169" s="604" t="s">
        <v>559</v>
      </c>
      <c r="C169" s="619">
        <v>25000</v>
      </c>
      <c r="F169" s="706">
        <v>1</v>
      </c>
      <c r="G169" s="706">
        <v>0</v>
      </c>
      <c r="H169" s="706">
        <v>0</v>
      </c>
      <c r="I169" s="706">
        <v>0</v>
      </c>
      <c r="J169" s="706">
        <v>1</v>
      </c>
      <c r="K169" s="706">
        <v>0</v>
      </c>
      <c r="L169" s="706">
        <v>0</v>
      </c>
      <c r="M169" s="706">
        <v>0</v>
      </c>
      <c r="N169" s="706">
        <v>1</v>
      </c>
      <c r="O169" s="706">
        <v>1</v>
      </c>
      <c r="P169" s="706">
        <v>0</v>
      </c>
      <c r="Q169" s="706">
        <v>0</v>
      </c>
      <c r="R169" s="706">
        <v>0</v>
      </c>
      <c r="S169" s="706">
        <v>0</v>
      </c>
      <c r="T169" s="706">
        <v>0</v>
      </c>
      <c r="U169" s="706">
        <v>0</v>
      </c>
      <c r="V169" s="707"/>
    </row>
    <row r="170" spans="1:22" ht="15.75">
      <c r="C170" s="619"/>
      <c r="F170" s="706">
        <f t="shared" ref="F170:U170" si="98">$C$169*F169*F5/10^5</f>
        <v>0.25</v>
      </c>
      <c r="G170" s="706">
        <f t="shared" si="98"/>
        <v>0</v>
      </c>
      <c r="H170" s="706">
        <f t="shared" si="98"/>
        <v>0</v>
      </c>
      <c r="I170" s="706">
        <f t="shared" si="98"/>
        <v>0</v>
      </c>
      <c r="J170" s="706">
        <f t="shared" si="98"/>
        <v>0.27500000000000002</v>
      </c>
      <c r="K170" s="706">
        <f t="shared" si="98"/>
        <v>0</v>
      </c>
      <c r="L170" s="706">
        <f t="shared" si="98"/>
        <v>0</v>
      </c>
      <c r="M170" s="706">
        <f t="shared" si="98"/>
        <v>0</v>
      </c>
      <c r="N170" s="706">
        <f t="shared" si="98"/>
        <v>0.30250000000000005</v>
      </c>
      <c r="O170" s="706">
        <f t="shared" si="98"/>
        <v>0.33275000000000005</v>
      </c>
      <c r="P170" s="706">
        <f t="shared" si="98"/>
        <v>0</v>
      </c>
      <c r="Q170" s="706">
        <f t="shared" si="98"/>
        <v>0</v>
      </c>
      <c r="R170" s="706">
        <f t="shared" si="98"/>
        <v>0</v>
      </c>
      <c r="S170" s="706">
        <f t="shared" si="98"/>
        <v>0</v>
      </c>
      <c r="T170" s="706">
        <f t="shared" si="98"/>
        <v>0</v>
      </c>
      <c r="U170" s="706">
        <f t="shared" si="98"/>
        <v>0</v>
      </c>
      <c r="V170" s="707">
        <f>SUM(F170:U170)</f>
        <v>1.1602500000000002</v>
      </c>
    </row>
    <row r="171" spans="1:22">
      <c r="C171" s="619"/>
      <c r="F171" s="706"/>
      <c r="G171" s="706"/>
      <c r="H171" s="706"/>
      <c r="I171" s="706"/>
      <c r="J171" s="706"/>
      <c r="K171" s="706"/>
      <c r="L171" s="706"/>
      <c r="M171" s="706"/>
      <c r="N171" s="706"/>
      <c r="O171" s="706"/>
      <c r="P171" s="706"/>
      <c r="Q171" s="706"/>
      <c r="R171" s="706"/>
      <c r="S171" s="706"/>
      <c r="T171" s="708"/>
      <c r="U171" s="708"/>
      <c r="V171" s="708"/>
    </row>
    <row r="172" spans="1:22" ht="15.75">
      <c r="B172" s="605" t="s">
        <v>1</v>
      </c>
      <c r="F172" s="706">
        <f>F155+F158+F161+F164+F167+F170</f>
        <v>17.350000000000001</v>
      </c>
      <c r="G172" s="706">
        <f t="shared" ref="G172:U172" si="99">G155+G158+G161+G164+G167+G170</f>
        <v>0</v>
      </c>
      <c r="H172" s="706">
        <f t="shared" si="99"/>
        <v>0</v>
      </c>
      <c r="I172" s="706">
        <f t="shared" si="99"/>
        <v>0</v>
      </c>
      <c r="J172" s="706">
        <f t="shared" si="99"/>
        <v>10.285</v>
      </c>
      <c r="K172" s="706">
        <f t="shared" si="99"/>
        <v>0</v>
      </c>
      <c r="L172" s="706">
        <f t="shared" si="99"/>
        <v>0</v>
      </c>
      <c r="M172" s="706">
        <f t="shared" si="99"/>
        <v>0</v>
      </c>
      <c r="N172" s="706">
        <f t="shared" si="99"/>
        <v>14.338500000000003</v>
      </c>
      <c r="O172" s="706">
        <f t="shared" si="99"/>
        <v>11.113850000000003</v>
      </c>
      <c r="P172" s="706">
        <f t="shared" si="99"/>
        <v>0</v>
      </c>
      <c r="Q172" s="706">
        <f t="shared" si="99"/>
        <v>0</v>
      </c>
      <c r="R172" s="706">
        <f t="shared" si="99"/>
        <v>0</v>
      </c>
      <c r="S172" s="706">
        <f t="shared" si="99"/>
        <v>0</v>
      </c>
      <c r="T172" s="706">
        <f t="shared" si="99"/>
        <v>0</v>
      </c>
      <c r="U172" s="706">
        <f t="shared" si="99"/>
        <v>0</v>
      </c>
      <c r="V172" s="707">
        <f>SUM(V154:V170)</f>
        <v>53.087350000000008</v>
      </c>
    </row>
    <row r="173" spans="1:22">
      <c r="F173" s="706"/>
      <c r="G173" s="706"/>
      <c r="H173" s="706"/>
      <c r="I173" s="706"/>
      <c r="J173" s="706"/>
      <c r="K173" s="706"/>
      <c r="L173" s="706"/>
      <c r="M173" s="706"/>
      <c r="N173" s="706"/>
      <c r="O173" s="706"/>
      <c r="P173" s="706"/>
      <c r="Q173" s="706"/>
      <c r="R173" s="706"/>
      <c r="S173" s="706"/>
      <c r="T173" s="708"/>
      <c r="U173" s="708"/>
      <c r="V173" s="708"/>
    </row>
    <row r="174" spans="1:22">
      <c r="A174" s="610">
        <v>21</v>
      </c>
      <c r="B174" s="604" t="s">
        <v>561</v>
      </c>
      <c r="C174" s="697">
        <v>0.3</v>
      </c>
      <c r="D174" s="696"/>
    </row>
    <row r="176" spans="1:22">
      <c r="A176" s="610">
        <v>22</v>
      </c>
      <c r="B176" s="992" t="s">
        <v>587</v>
      </c>
      <c r="C176" s="992"/>
      <c r="D176" s="992"/>
      <c r="E176" s="992"/>
      <c r="F176" s="992"/>
      <c r="G176" s="992"/>
      <c r="H176" s="992"/>
      <c r="I176" s="992"/>
      <c r="J176" s="992"/>
      <c r="K176" s="992"/>
    </row>
  </sheetData>
  <mergeCells count="4">
    <mergeCell ref="A1:U1"/>
    <mergeCell ref="F3:I3"/>
    <mergeCell ref="J3:M3"/>
    <mergeCell ref="B176:K176"/>
  </mergeCells>
  <printOptions horizontalCentered="1" verticalCentered="1"/>
  <pageMargins left="0.48" right="0.47" top="0.66" bottom="0.57999999999999996" header="0.3" footer="0.3"/>
  <pageSetup scale="3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K24"/>
  <sheetViews>
    <sheetView zoomScale="90" zoomScaleNormal="90" workbookViewId="0">
      <selection activeCell="M9" sqref="M9"/>
    </sheetView>
  </sheetViews>
  <sheetFormatPr defaultRowHeight="12.75"/>
  <cols>
    <col min="1" max="1" width="9.140625" style="110"/>
    <col min="2" max="2" width="42.28515625" style="110" customWidth="1"/>
    <col min="3" max="3" width="15.42578125" style="110" customWidth="1"/>
    <col min="4" max="4" width="13.7109375" style="110" customWidth="1"/>
    <col min="5" max="5" width="15.42578125" style="110" customWidth="1"/>
    <col min="6" max="6" width="12.28515625" style="110" customWidth="1"/>
    <col min="7" max="7" width="12.5703125" style="110" bestFit="1" customWidth="1"/>
    <col min="8" max="8" width="10.7109375" style="155" bestFit="1" customWidth="1"/>
    <col min="9" max="10" width="9.140625" style="155"/>
    <col min="11" max="11" width="15" style="155" bestFit="1" customWidth="1"/>
    <col min="12" max="37" width="9.140625" style="155"/>
    <col min="38" max="16384" width="9.140625" style="110"/>
  </cols>
  <sheetData>
    <row r="1" spans="1:7" ht="32.25" customHeight="1">
      <c r="B1" s="311" t="e">
        <f>#REF!</f>
        <v>#REF!</v>
      </c>
      <c r="C1" s="311"/>
      <c r="D1" s="311"/>
      <c r="E1" s="311"/>
      <c r="F1" s="311"/>
    </row>
    <row r="2" spans="1:7">
      <c r="B2" s="157"/>
      <c r="C2" s="157"/>
      <c r="D2" s="157"/>
      <c r="E2" s="157"/>
      <c r="F2" s="157"/>
    </row>
    <row r="3" spans="1:7" ht="21" customHeight="1">
      <c r="B3" s="993" t="s">
        <v>425</v>
      </c>
      <c r="C3" s="993"/>
      <c r="D3" s="993"/>
      <c r="E3" s="993"/>
      <c r="F3" s="993"/>
    </row>
    <row r="4" spans="1:7" ht="15.75" customHeight="1">
      <c r="C4" s="151">
        <v>4</v>
      </c>
      <c r="D4" s="151">
        <v>3</v>
      </c>
      <c r="E4" s="151">
        <v>3</v>
      </c>
      <c r="F4" s="157" t="s">
        <v>207</v>
      </c>
    </row>
    <row r="5" spans="1:7">
      <c r="C5" s="110" t="s">
        <v>398</v>
      </c>
      <c r="D5" s="110" t="s">
        <v>399</v>
      </c>
      <c r="E5" s="110" t="s">
        <v>400</v>
      </c>
      <c r="F5" s="161" t="s">
        <v>1</v>
      </c>
    </row>
    <row r="6" spans="1:7" ht="20.25" customHeight="1">
      <c r="A6" s="268"/>
      <c r="B6" s="179" t="s">
        <v>211</v>
      </c>
      <c r="C6" s="436">
        <f>SUM('No. of people trained '!F130:O130)/10^5</f>
        <v>0.31640000000000001</v>
      </c>
      <c r="D6" s="436">
        <f>('No. of people trained '!P130+'No. of people trained '!Q130+'No. of people trained '!R130)/10^5</f>
        <v>0.47849999999999998</v>
      </c>
      <c r="E6" s="436">
        <f>('No. of people trained '!S130+'No. of people trained '!T130+'No. of people trained '!U130)/10^5</f>
        <v>0.47849999999999998</v>
      </c>
      <c r="F6" s="435">
        <f>'No. of people trained '!V130/10^5</f>
        <v>1.2734000000000001</v>
      </c>
      <c r="G6" s="470"/>
    </row>
    <row r="7" spans="1:7">
      <c r="A7" s="268"/>
      <c r="B7" s="268"/>
      <c r="C7" s="268"/>
      <c r="D7" s="268"/>
      <c r="E7" s="268"/>
      <c r="F7" s="432"/>
      <c r="G7" s="432"/>
    </row>
    <row r="8" spans="1:7" ht="20.25" customHeight="1">
      <c r="A8" s="268"/>
      <c r="B8" s="268" t="s">
        <v>49</v>
      </c>
      <c r="C8" s="432">
        <f>SUM('Fin Smmry'!F24:O24)</f>
        <v>1799.6875000000007</v>
      </c>
      <c r="D8" s="432">
        <f>'Fin Smmry'!P24+'Fin Smmry'!Q24+'Fin Smmry'!R24</f>
        <v>3520.7432314999996</v>
      </c>
      <c r="E8" s="432">
        <f>'Fin Smmry'!S24+'Fin Smmry'!T24+'Fin Smmry'!U24</f>
        <v>4686.1092411265008</v>
      </c>
      <c r="F8" s="432">
        <f>'Fin Smmry'!V24</f>
        <v>10006.5399726265</v>
      </c>
      <c r="G8" s="432"/>
    </row>
    <row r="9" spans="1:7" ht="20.25" customHeight="1">
      <c r="A9" s="268"/>
      <c r="B9" s="268" t="s">
        <v>60</v>
      </c>
      <c r="C9" s="432">
        <f>SUM('Fin Smmry'!F29:O29)</f>
        <v>1459.7565548800003</v>
      </c>
      <c r="D9" s="432">
        <f>'Fin Smmry'!P29+'Fin Smmry'!Q29+'Fin Smmry'!R29</f>
        <v>2019.3509939900002</v>
      </c>
      <c r="E9" s="432">
        <f>'Fin Smmry'!S29+'Fin Smmry'!T29+'Fin Smmry'!U29</f>
        <v>2687.7561730006905</v>
      </c>
      <c r="F9" s="432">
        <f>'Fin Smmry'!V29</f>
        <v>6166.8637218706917</v>
      </c>
      <c r="G9" s="432"/>
    </row>
    <row r="10" spans="1:7" ht="10.5" customHeight="1">
      <c r="A10" s="268"/>
      <c r="B10" s="268"/>
      <c r="C10" s="432"/>
      <c r="D10" s="432"/>
      <c r="E10" s="432"/>
      <c r="F10" s="432"/>
      <c r="G10" s="432"/>
    </row>
    <row r="11" spans="1:7" ht="20.25" customHeight="1">
      <c r="A11" s="268"/>
      <c r="B11" s="430" t="s">
        <v>206</v>
      </c>
      <c r="C11" s="431">
        <f>C8-C9</f>
        <v>339.93094512000039</v>
      </c>
      <c r="D11" s="431">
        <f>D8-D9</f>
        <v>1501.3922375099994</v>
      </c>
      <c r="E11" s="431">
        <f>E8-E9</f>
        <v>1998.3530681258103</v>
      </c>
      <c r="F11" s="431">
        <f>F8-F9</f>
        <v>3839.6762507558087</v>
      </c>
      <c r="G11" s="431"/>
    </row>
    <row r="12" spans="1:7" ht="10.5" customHeight="1">
      <c r="C12" s="113"/>
      <c r="D12" s="113"/>
      <c r="E12" s="113"/>
      <c r="F12" s="113"/>
      <c r="G12" s="432"/>
    </row>
    <row r="13" spans="1:7" ht="20.25" customHeight="1">
      <c r="B13" s="110" t="s">
        <v>215</v>
      </c>
      <c r="C13" s="113">
        <f>SUM('Fin Smmry'!F37:O37)+SUM('Fin Smmry'!F38:O38)+SUM('Fin Smmry'!F39:O39)</f>
        <v>231.68662011871913</v>
      </c>
      <c r="D13" s="113">
        <f>'Fin Smmry'!P37+'Fin Smmry'!Q37+'Fin Smmry'!R37+'Fin Smmry'!P38+'Fin Smmry'!Q38+'Fin Smmry'!R38</f>
        <v>49.579764309365729</v>
      </c>
      <c r="E13" s="113">
        <f>'Fin Smmry'!S37+'Fin Smmry'!T37+'Fin Smmry'!U37+'Fin Smmry'!S38+'Fin Smmry'!T38+'Fin Smmry'!U38</f>
        <v>19.04127491344029</v>
      </c>
      <c r="F13" s="113">
        <f>'Fin Smmry'!V37+'Fin Smmry'!V38+'Fin Smmry'!V39</f>
        <v>302.45930679982575</v>
      </c>
      <c r="G13" s="432"/>
    </row>
    <row r="14" spans="1:7" ht="8.25" customHeight="1">
      <c r="C14" s="113"/>
      <c r="D14" s="113"/>
      <c r="E14" s="113"/>
      <c r="F14" s="113"/>
      <c r="G14" s="432"/>
    </row>
    <row r="15" spans="1:7" ht="20.25" customHeight="1">
      <c r="B15" s="179" t="s">
        <v>208</v>
      </c>
      <c r="C15" s="348">
        <f>C11-C13</f>
        <v>108.24432500128125</v>
      </c>
      <c r="D15" s="348">
        <f>D11-D13</f>
        <v>1451.8124732006336</v>
      </c>
      <c r="E15" s="348">
        <f>E11-E13</f>
        <v>1979.31179321237</v>
      </c>
      <c r="F15" s="348">
        <f>F11-F13</f>
        <v>3537.216943955983</v>
      </c>
      <c r="G15" s="431"/>
    </row>
    <row r="16" spans="1:7" ht="8.25" customHeight="1">
      <c r="C16" s="113"/>
      <c r="D16" s="113"/>
      <c r="E16" s="113"/>
      <c r="F16" s="113"/>
      <c r="G16" s="432"/>
    </row>
    <row r="17" spans="2:9" ht="20.25" customHeight="1">
      <c r="B17" s="179" t="s">
        <v>210</v>
      </c>
      <c r="C17" s="431"/>
      <c r="D17" s="431"/>
      <c r="E17" s="431"/>
      <c r="F17" s="113"/>
      <c r="G17" s="432"/>
    </row>
    <row r="18" spans="2:9" ht="20.25" customHeight="1">
      <c r="B18" s="110" t="s">
        <v>432</v>
      </c>
      <c r="C18" s="113">
        <f>SUM('Fin Smmry'!F83:O83)</f>
        <v>68</v>
      </c>
      <c r="D18" s="113">
        <f>SUM('Fin Smmry'!P83:R83)</f>
        <v>0</v>
      </c>
      <c r="E18" s="113">
        <f>SUM('Fin Smmry'!S83:U83)</f>
        <v>0</v>
      </c>
      <c r="F18" s="113">
        <f>SUM(C18:E18)</f>
        <v>68</v>
      </c>
      <c r="G18" s="489">
        <f>F18/F22</f>
        <v>0.15060079068267759</v>
      </c>
      <c r="H18" s="151">
        <f>F22*15%</f>
        <v>67.728728074820282</v>
      </c>
      <c r="I18" s="492">
        <f>H18-F18</f>
        <v>-0.27127192517971821</v>
      </c>
    </row>
    <row r="19" spans="2:9" ht="20.25" customHeight="1">
      <c r="B19" s="110" t="s">
        <v>43</v>
      </c>
      <c r="C19" s="113">
        <f>SUM('Fin Smmry'!F53:O53)</f>
        <v>0</v>
      </c>
      <c r="D19" s="113">
        <f>SUM('Fin Smmry'!P53:R53)</f>
        <v>0</v>
      </c>
      <c r="E19" s="113">
        <f>SUM('Fin Smmry'!S53:U53)</f>
        <v>0</v>
      </c>
      <c r="F19" s="113">
        <f>MAX('Fin Smmry'!F84:U84)</f>
        <v>0</v>
      </c>
      <c r="G19" s="493">
        <f>F19/F22</f>
        <v>0</v>
      </c>
      <c r="H19" s="491"/>
    </row>
    <row r="20" spans="2:9" ht="20.25" customHeight="1">
      <c r="B20" s="110" t="s">
        <v>427</v>
      </c>
      <c r="C20" s="113">
        <f>SUM('Fin Smmry'!F85:O85)</f>
        <v>0</v>
      </c>
      <c r="D20" s="113">
        <f>SUM('Fin Smmry'!P85:R85)</f>
        <v>0</v>
      </c>
      <c r="E20" s="113">
        <f>SUM('Fin Smmry'!S85:U85)</f>
        <v>0</v>
      </c>
      <c r="F20" s="113">
        <f>MAX('Fin Smmry'!F93:U93)</f>
        <v>27.714300000000001</v>
      </c>
      <c r="G20" s="433">
        <f>F20/F22</f>
        <v>6.1379345488484297E-2</v>
      </c>
      <c r="H20" s="491"/>
    </row>
    <row r="21" spans="2:9" ht="20.25" customHeight="1">
      <c r="B21" s="110" t="s">
        <v>209</v>
      </c>
      <c r="C21" s="113">
        <f>MAX('Fin Smmry'!F56:O56)</f>
        <v>355.81055383213527</v>
      </c>
      <c r="D21" s="113">
        <f>MAX('Fin Smmry'!P56:R56)</f>
        <v>0</v>
      </c>
      <c r="E21" s="113">
        <f>MAX('Fin Smmry'!S56:U56)</f>
        <v>0</v>
      </c>
      <c r="F21" s="113">
        <f>MAX('Fin Smmry'!F92:U92)</f>
        <v>355.81055383213527</v>
      </c>
      <c r="G21" s="433">
        <f>F21/F22</f>
        <v>0.78801986382883815</v>
      </c>
    </row>
    <row r="22" spans="2:9" ht="20.25" customHeight="1">
      <c r="C22" s="113"/>
      <c r="D22" s="113"/>
      <c r="E22" s="113"/>
      <c r="F22" s="163">
        <f>SUM(F18:F21)</f>
        <v>451.52485383213525</v>
      </c>
    </row>
    <row r="23" spans="2:9">
      <c r="G23" s="268"/>
    </row>
    <row r="24" spans="2:9" ht="20.25" customHeight="1">
      <c r="B24" s="179" t="s">
        <v>212</v>
      </c>
      <c r="C24" s="179"/>
      <c r="D24" s="179"/>
      <c r="E24" s="179"/>
      <c r="F24" s="349">
        <f>'Cashflow Statement'!R38</f>
        <v>0.23790486784649031</v>
      </c>
      <c r="G24" s="471"/>
    </row>
  </sheetData>
  <mergeCells count="1">
    <mergeCell ref="B3:F3"/>
  </mergeCells>
  <printOptions horizontalCentered="1"/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>
    <tabColor rgb="FF00B0F0"/>
    <pageSetUpPr fitToPage="1"/>
  </sheetPr>
  <dimension ref="A1:W168"/>
  <sheetViews>
    <sheetView zoomScale="70" zoomScaleNormal="70" workbookViewId="0">
      <pane ySplit="5" topLeftCell="A34" activePane="bottomLeft" state="frozen"/>
      <selection pane="bottomLeft" activeCell="V53" sqref="V53"/>
    </sheetView>
  </sheetViews>
  <sheetFormatPr defaultRowHeight="15.75"/>
  <cols>
    <col min="1" max="1" width="66.85546875" style="724" bestFit="1" customWidth="1"/>
    <col min="2" max="2" width="66.85546875" style="724" hidden="1" customWidth="1"/>
    <col min="3" max="3" width="15.28515625" style="743" bestFit="1" customWidth="1"/>
    <col min="4" max="4" width="15" style="743" bestFit="1" customWidth="1"/>
    <col min="5" max="5" width="12.7109375" style="743" bestFit="1" customWidth="1"/>
    <col min="6" max="6" width="8.28515625" style="724" bestFit="1" customWidth="1"/>
    <col min="7" max="9" width="8.140625" style="724" bestFit="1" customWidth="1"/>
    <col min="10" max="10" width="8.28515625" style="724" bestFit="1" customWidth="1"/>
    <col min="11" max="13" width="8.140625" style="724" bestFit="1" customWidth="1"/>
    <col min="14" max="20" width="9.42578125" style="724" bestFit="1" customWidth="1"/>
    <col min="21" max="21" width="9.5703125" style="724" bestFit="1" customWidth="1"/>
    <col min="22" max="22" width="11.42578125" style="756" bestFit="1" customWidth="1"/>
    <col min="23" max="24" width="11.42578125" style="724" bestFit="1" customWidth="1"/>
    <col min="25" max="33" width="9.140625" style="724"/>
    <col min="34" max="34" width="12.5703125" style="724" bestFit="1" customWidth="1"/>
    <col min="35" max="16384" width="9.140625" style="724"/>
  </cols>
  <sheetData>
    <row r="1" spans="1:22" s="712" customFormat="1">
      <c r="A1" s="719"/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P1" s="719"/>
      <c r="Q1" s="719"/>
      <c r="R1" s="719"/>
      <c r="S1" s="719"/>
      <c r="T1" s="719"/>
      <c r="U1" s="719"/>
      <c r="V1" s="719"/>
    </row>
    <row r="2" spans="1:22" s="716" customFormat="1" ht="15"/>
    <row r="3" spans="1:22" s="716" customFormat="1">
      <c r="A3" s="713"/>
      <c r="B3" s="713"/>
      <c r="C3" s="714"/>
      <c r="D3" s="714"/>
      <c r="E3" s="715"/>
      <c r="F3" s="713" t="s">
        <v>143</v>
      </c>
      <c r="G3" s="713"/>
      <c r="H3" s="713"/>
      <c r="I3" s="713"/>
      <c r="J3" s="713" t="s">
        <v>144</v>
      </c>
      <c r="K3" s="713"/>
      <c r="L3" s="713"/>
      <c r="M3" s="713"/>
      <c r="N3" s="713" t="str">
        <f>'Fin Smmry'!N5</f>
        <v>Year 3</v>
      </c>
      <c r="O3" s="713" t="str">
        <f>'Fin Smmry'!O5</f>
        <v>Year 4</v>
      </c>
      <c r="P3" s="713" t="str">
        <f>'Fin Smmry'!P5</f>
        <v>Year 5</v>
      </c>
      <c r="Q3" s="713" t="str">
        <f>'Fin Smmry'!Q5</f>
        <v>Year 6</v>
      </c>
      <c r="R3" s="713" t="str">
        <f>'Fin Smmry'!R5</f>
        <v>Year 7</v>
      </c>
      <c r="S3" s="713" t="str">
        <f>'Fin Smmry'!S5</f>
        <v>Year 8</v>
      </c>
      <c r="T3" s="713" t="str">
        <f>'Fin Smmry'!T5</f>
        <v>Year 9</v>
      </c>
      <c r="U3" s="713" t="str">
        <f>'Fin Smmry'!U5</f>
        <v>Year 10</v>
      </c>
      <c r="V3" s="713"/>
    </row>
    <row r="4" spans="1:22" s="716" customFormat="1">
      <c r="A4" s="713"/>
      <c r="B4" s="713"/>
      <c r="C4" s="714"/>
      <c r="D4" s="714"/>
      <c r="E4" s="717" t="s">
        <v>194</v>
      </c>
      <c r="F4" s="718" t="s">
        <v>407</v>
      </c>
      <c r="G4" s="718" t="s">
        <v>408</v>
      </c>
      <c r="H4" s="718" t="s">
        <v>409</v>
      </c>
      <c r="I4" s="718" t="s">
        <v>410</v>
      </c>
      <c r="J4" s="718" t="s">
        <v>407</v>
      </c>
      <c r="K4" s="718" t="s">
        <v>408</v>
      </c>
      <c r="L4" s="718" t="s">
        <v>409</v>
      </c>
      <c r="M4" s="718" t="s">
        <v>410</v>
      </c>
      <c r="N4" s="713"/>
      <c r="O4" s="713"/>
      <c r="P4" s="713"/>
      <c r="Q4" s="713"/>
      <c r="R4" s="713"/>
      <c r="S4" s="713"/>
      <c r="T4" s="713"/>
      <c r="U4" s="713"/>
      <c r="V4" s="713"/>
    </row>
    <row r="5" spans="1:22" s="716" customFormat="1">
      <c r="C5" s="714"/>
      <c r="D5" s="720">
        <f>'Key Assumptions'!D5</f>
        <v>0.1</v>
      </c>
      <c r="E5" s="714"/>
      <c r="F5" s="721">
        <f>'Key Assumptions'!F5</f>
        <v>1</v>
      </c>
      <c r="G5" s="721">
        <f>'Key Assumptions'!G5</f>
        <v>1</v>
      </c>
      <c r="H5" s="721">
        <f>'Key Assumptions'!H5</f>
        <v>1</v>
      </c>
      <c r="I5" s="721">
        <f>'Key Assumptions'!I5</f>
        <v>1</v>
      </c>
      <c r="J5" s="721">
        <f>'Key Assumptions'!J5</f>
        <v>1.1000000000000001</v>
      </c>
      <c r="K5" s="721">
        <f>'Key Assumptions'!K5</f>
        <v>1.1000000000000001</v>
      </c>
      <c r="L5" s="721">
        <f>'Key Assumptions'!L5</f>
        <v>1.1000000000000001</v>
      </c>
      <c r="M5" s="721">
        <f>'Key Assumptions'!M5</f>
        <v>1.1000000000000001</v>
      </c>
      <c r="N5" s="721">
        <f>'Key Assumptions'!N5</f>
        <v>1.2100000000000002</v>
      </c>
      <c r="O5" s="721">
        <f>'Key Assumptions'!O5</f>
        <v>1.3310000000000002</v>
      </c>
      <c r="P5" s="721">
        <f>'Key Assumptions'!P5</f>
        <v>1.4641000000000002</v>
      </c>
      <c r="Q5" s="721">
        <f>'Key Assumptions'!Q5</f>
        <v>1.6105100000000001</v>
      </c>
      <c r="R5" s="721">
        <f>'Key Assumptions'!R5</f>
        <v>1.7715610000000002</v>
      </c>
      <c r="S5" s="721">
        <f>'Key Assumptions'!S5</f>
        <v>1.9487171000000001</v>
      </c>
      <c r="T5" s="721">
        <f>'Key Assumptions'!T5</f>
        <v>2.1435888100000002</v>
      </c>
      <c r="U5" s="721">
        <f>'Key Assumptions'!U5</f>
        <v>2.3579476910000001</v>
      </c>
      <c r="V5" s="713"/>
    </row>
    <row r="6" spans="1:22" s="716" customFormat="1">
      <c r="A6" s="719" t="s">
        <v>390</v>
      </c>
      <c r="B6" s="719"/>
      <c r="C6" s="714"/>
      <c r="D6" s="720"/>
      <c r="E6" s="714" t="s">
        <v>521</v>
      </c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1"/>
      <c r="S6" s="721"/>
      <c r="T6" s="721"/>
      <c r="U6" s="721"/>
      <c r="V6" s="713"/>
    </row>
    <row r="7" spans="1:22">
      <c r="A7" s="722" t="s">
        <v>519</v>
      </c>
      <c r="B7" s="722"/>
      <c r="C7" s="723"/>
      <c r="D7" s="714" t="s">
        <v>523</v>
      </c>
      <c r="E7" s="714" t="s">
        <v>522</v>
      </c>
      <c r="J7" s="725"/>
      <c r="K7" s="725"/>
      <c r="L7" s="725"/>
      <c r="M7" s="725"/>
      <c r="V7" s="713" t="s">
        <v>1</v>
      </c>
    </row>
    <row r="8" spans="1:22">
      <c r="A8" s="726" t="s">
        <v>496</v>
      </c>
      <c r="B8" s="726"/>
      <c r="C8" s="727"/>
      <c r="D8" s="728">
        <v>1</v>
      </c>
      <c r="E8" s="729">
        <v>1</v>
      </c>
      <c r="F8" s="730">
        <f t="shared" ref="F8:M8" si="0">$D$8*$E$8*F5*3</f>
        <v>3</v>
      </c>
      <c r="G8" s="730">
        <f t="shared" si="0"/>
        <v>3</v>
      </c>
      <c r="H8" s="730">
        <f t="shared" si="0"/>
        <v>3</v>
      </c>
      <c r="I8" s="730">
        <f t="shared" si="0"/>
        <v>3</v>
      </c>
      <c r="J8" s="730">
        <f t="shared" si="0"/>
        <v>3.3000000000000003</v>
      </c>
      <c r="K8" s="730">
        <f t="shared" si="0"/>
        <v>3.3000000000000003</v>
      </c>
      <c r="L8" s="730">
        <f t="shared" si="0"/>
        <v>3.3000000000000003</v>
      </c>
      <c r="M8" s="730">
        <f t="shared" si="0"/>
        <v>3.3000000000000003</v>
      </c>
      <c r="N8" s="730">
        <f t="shared" ref="N8:U8" si="1">$D$8*$E$8*N5*12</f>
        <v>14.520000000000003</v>
      </c>
      <c r="O8" s="730">
        <f t="shared" si="1"/>
        <v>15.972000000000001</v>
      </c>
      <c r="P8" s="730">
        <f t="shared" si="1"/>
        <v>17.569200000000002</v>
      </c>
      <c r="Q8" s="730">
        <f t="shared" si="1"/>
        <v>19.326120000000003</v>
      </c>
      <c r="R8" s="730">
        <f t="shared" si="1"/>
        <v>21.258732000000002</v>
      </c>
      <c r="S8" s="730">
        <f t="shared" si="1"/>
        <v>23.384605200000003</v>
      </c>
      <c r="T8" s="730">
        <f t="shared" si="1"/>
        <v>25.723065720000001</v>
      </c>
      <c r="U8" s="730">
        <f t="shared" si="1"/>
        <v>28.295372292000003</v>
      </c>
      <c r="V8" s="731">
        <f t="shared" ref="V8:V17" si="2">F8+G8+H8+I8+J8+K8+L8+M8+N8+O8+P8+Q8+R8+S8+T8+U8</f>
        <v>191.24909521200001</v>
      </c>
    </row>
    <row r="9" spans="1:22">
      <c r="A9" s="726" t="s">
        <v>497</v>
      </c>
      <c r="B9" s="726"/>
      <c r="C9" s="727"/>
      <c r="D9" s="728">
        <v>1</v>
      </c>
      <c r="E9" s="729">
        <v>0.15</v>
      </c>
      <c r="F9" s="730">
        <f t="shared" ref="F9:M9" si="3">$D$9*$E$9*F5*3</f>
        <v>0.44999999999999996</v>
      </c>
      <c r="G9" s="730">
        <f t="shared" si="3"/>
        <v>0.44999999999999996</v>
      </c>
      <c r="H9" s="730">
        <f t="shared" si="3"/>
        <v>0.44999999999999996</v>
      </c>
      <c r="I9" s="730">
        <f t="shared" si="3"/>
        <v>0.44999999999999996</v>
      </c>
      <c r="J9" s="730">
        <f t="shared" si="3"/>
        <v>0.495</v>
      </c>
      <c r="K9" s="730">
        <f t="shared" si="3"/>
        <v>0.495</v>
      </c>
      <c r="L9" s="730">
        <f t="shared" si="3"/>
        <v>0.495</v>
      </c>
      <c r="M9" s="730">
        <f t="shared" si="3"/>
        <v>0.495</v>
      </c>
      <c r="N9" s="730">
        <f t="shared" ref="N9:U9" si="4">$D$9*$E$9*N5*12</f>
        <v>2.1780000000000004</v>
      </c>
      <c r="O9" s="730">
        <f t="shared" si="4"/>
        <v>2.3958000000000004</v>
      </c>
      <c r="P9" s="730">
        <f t="shared" si="4"/>
        <v>2.6353800000000005</v>
      </c>
      <c r="Q9" s="730">
        <f t="shared" si="4"/>
        <v>2.8989180000000001</v>
      </c>
      <c r="R9" s="730">
        <f t="shared" si="4"/>
        <v>3.1888098</v>
      </c>
      <c r="S9" s="730">
        <f t="shared" si="4"/>
        <v>3.5076907799999999</v>
      </c>
      <c r="T9" s="730">
        <f t="shared" si="4"/>
        <v>3.8584598579999998</v>
      </c>
      <c r="U9" s="730">
        <f t="shared" si="4"/>
        <v>4.2443058438000003</v>
      </c>
      <c r="V9" s="731">
        <f t="shared" si="2"/>
        <v>28.687364281800001</v>
      </c>
    </row>
    <row r="10" spans="1:22">
      <c r="A10" s="726" t="s">
        <v>498</v>
      </c>
      <c r="B10" s="726"/>
      <c r="C10" s="727"/>
      <c r="D10" s="728">
        <v>1</v>
      </c>
      <c r="E10" s="729">
        <v>0.35</v>
      </c>
      <c r="F10" s="730">
        <f t="shared" ref="F10:M10" si="5">$D$10*$E$10*F5*3</f>
        <v>1.0499999999999998</v>
      </c>
      <c r="G10" s="730">
        <f t="shared" si="5"/>
        <v>1.0499999999999998</v>
      </c>
      <c r="H10" s="730">
        <f t="shared" si="5"/>
        <v>1.0499999999999998</v>
      </c>
      <c r="I10" s="730">
        <f t="shared" si="5"/>
        <v>1.0499999999999998</v>
      </c>
      <c r="J10" s="730">
        <f t="shared" si="5"/>
        <v>1.155</v>
      </c>
      <c r="K10" s="730">
        <f t="shared" si="5"/>
        <v>1.155</v>
      </c>
      <c r="L10" s="730">
        <f t="shared" si="5"/>
        <v>1.155</v>
      </c>
      <c r="M10" s="730">
        <f t="shared" si="5"/>
        <v>1.155</v>
      </c>
      <c r="N10" s="730">
        <f t="shared" ref="N10:U10" si="6">$D$10*$E$10*N5*12</f>
        <v>5.0820000000000007</v>
      </c>
      <c r="O10" s="730">
        <f t="shared" si="6"/>
        <v>5.5902000000000003</v>
      </c>
      <c r="P10" s="730">
        <f t="shared" si="6"/>
        <v>6.1492200000000015</v>
      </c>
      <c r="Q10" s="730">
        <f t="shared" si="6"/>
        <v>6.7641419999999997</v>
      </c>
      <c r="R10" s="730">
        <f t="shared" si="6"/>
        <v>7.4405561999999996</v>
      </c>
      <c r="S10" s="730">
        <f t="shared" si="6"/>
        <v>8.1846118199999989</v>
      </c>
      <c r="T10" s="730">
        <f t="shared" si="6"/>
        <v>9.0030730020000007</v>
      </c>
      <c r="U10" s="730">
        <f t="shared" si="6"/>
        <v>9.9033803022000004</v>
      </c>
      <c r="V10" s="731">
        <f t="shared" si="2"/>
        <v>66.937183324200006</v>
      </c>
    </row>
    <row r="11" spans="1:22">
      <c r="A11" s="726" t="s">
        <v>499</v>
      </c>
      <c r="B11" s="726"/>
      <c r="C11" s="727"/>
      <c r="D11" s="728">
        <v>1</v>
      </c>
      <c r="E11" s="729">
        <v>0.2</v>
      </c>
      <c r="F11" s="730">
        <f t="shared" ref="F11:M11" si="7">$D$11*$E$11*F5*3</f>
        <v>0.60000000000000009</v>
      </c>
      <c r="G11" s="730">
        <f t="shared" si="7"/>
        <v>0.60000000000000009</v>
      </c>
      <c r="H11" s="730">
        <f t="shared" si="7"/>
        <v>0.60000000000000009</v>
      </c>
      <c r="I11" s="730">
        <f t="shared" si="7"/>
        <v>0.60000000000000009</v>
      </c>
      <c r="J11" s="730">
        <f t="shared" si="7"/>
        <v>0.66000000000000014</v>
      </c>
      <c r="K11" s="730">
        <f t="shared" si="7"/>
        <v>0.66000000000000014</v>
      </c>
      <c r="L11" s="730">
        <f t="shared" si="7"/>
        <v>0.66000000000000014</v>
      </c>
      <c r="M11" s="730">
        <f t="shared" si="7"/>
        <v>0.66000000000000014</v>
      </c>
      <c r="N11" s="730">
        <f t="shared" ref="N11:U11" si="8">$D$11*$E$11*N5*12</f>
        <v>2.9040000000000008</v>
      </c>
      <c r="O11" s="730">
        <f t="shared" si="8"/>
        <v>3.1944000000000008</v>
      </c>
      <c r="P11" s="730">
        <f t="shared" si="8"/>
        <v>3.5138400000000001</v>
      </c>
      <c r="Q11" s="730">
        <f t="shared" si="8"/>
        <v>3.8652240000000004</v>
      </c>
      <c r="R11" s="730">
        <f t="shared" si="8"/>
        <v>4.2517464000000009</v>
      </c>
      <c r="S11" s="730">
        <f t="shared" si="8"/>
        <v>4.6769210400000008</v>
      </c>
      <c r="T11" s="730">
        <f t="shared" si="8"/>
        <v>5.1446131440000009</v>
      </c>
      <c r="U11" s="730">
        <f t="shared" si="8"/>
        <v>5.659074458400001</v>
      </c>
      <c r="V11" s="731">
        <f t="shared" si="2"/>
        <v>38.249819042400006</v>
      </c>
    </row>
    <row r="12" spans="1:22">
      <c r="A12" s="726" t="s">
        <v>500</v>
      </c>
      <c r="B12" s="726"/>
      <c r="C12" s="727"/>
      <c r="D12" s="728">
        <v>1</v>
      </c>
      <c r="E12" s="729">
        <v>0.15</v>
      </c>
      <c r="F12" s="730">
        <f t="shared" ref="F12:M12" si="9">$D$12*$E$12*F5*3</f>
        <v>0.44999999999999996</v>
      </c>
      <c r="G12" s="730">
        <f t="shared" si="9"/>
        <v>0.44999999999999996</v>
      </c>
      <c r="H12" s="730">
        <f t="shared" si="9"/>
        <v>0.44999999999999996</v>
      </c>
      <c r="I12" s="730">
        <f t="shared" si="9"/>
        <v>0.44999999999999996</v>
      </c>
      <c r="J12" s="730">
        <f t="shared" si="9"/>
        <v>0.495</v>
      </c>
      <c r="K12" s="730">
        <f t="shared" si="9"/>
        <v>0.495</v>
      </c>
      <c r="L12" s="730">
        <f t="shared" si="9"/>
        <v>0.495</v>
      </c>
      <c r="M12" s="730">
        <f t="shared" si="9"/>
        <v>0.495</v>
      </c>
      <c r="N12" s="730">
        <f t="shared" ref="N12:U12" si="10">$D$12*$E$12*N5*12</f>
        <v>2.1780000000000004</v>
      </c>
      <c r="O12" s="730">
        <f t="shared" si="10"/>
        <v>2.3958000000000004</v>
      </c>
      <c r="P12" s="730">
        <f t="shared" si="10"/>
        <v>2.6353800000000005</v>
      </c>
      <c r="Q12" s="730">
        <f t="shared" si="10"/>
        <v>2.8989180000000001</v>
      </c>
      <c r="R12" s="730">
        <f t="shared" si="10"/>
        <v>3.1888098</v>
      </c>
      <c r="S12" s="730">
        <f t="shared" si="10"/>
        <v>3.5076907799999999</v>
      </c>
      <c r="T12" s="730">
        <f t="shared" si="10"/>
        <v>3.8584598579999998</v>
      </c>
      <c r="U12" s="730">
        <f t="shared" si="10"/>
        <v>4.2443058438000003</v>
      </c>
      <c r="V12" s="731">
        <f t="shared" si="2"/>
        <v>28.687364281800001</v>
      </c>
    </row>
    <row r="13" spans="1:22">
      <c r="A13" s="726" t="s">
        <v>501</v>
      </c>
      <c r="B13" s="726"/>
      <c r="C13" s="727"/>
      <c r="D13" s="728">
        <v>1</v>
      </c>
      <c r="E13" s="729">
        <v>0.25</v>
      </c>
      <c r="F13" s="730">
        <f t="shared" ref="F13:M13" si="11">$D$13*$E$13*F5*3</f>
        <v>0.75</v>
      </c>
      <c r="G13" s="730">
        <f t="shared" si="11"/>
        <v>0.75</v>
      </c>
      <c r="H13" s="730">
        <f t="shared" si="11"/>
        <v>0.75</v>
      </c>
      <c r="I13" s="730">
        <f t="shared" si="11"/>
        <v>0.75</v>
      </c>
      <c r="J13" s="730">
        <f t="shared" si="11"/>
        <v>0.82500000000000007</v>
      </c>
      <c r="K13" s="730">
        <f t="shared" si="11"/>
        <v>0.82500000000000007</v>
      </c>
      <c r="L13" s="730">
        <f t="shared" si="11"/>
        <v>0.82500000000000007</v>
      </c>
      <c r="M13" s="730">
        <f t="shared" si="11"/>
        <v>0.82500000000000007</v>
      </c>
      <c r="N13" s="730">
        <f t="shared" ref="N13:U13" si="12">$D$13*$E$13*N5*12</f>
        <v>3.6300000000000008</v>
      </c>
      <c r="O13" s="730">
        <f t="shared" si="12"/>
        <v>3.9930000000000003</v>
      </c>
      <c r="P13" s="730">
        <f t="shared" si="12"/>
        <v>4.3923000000000005</v>
      </c>
      <c r="Q13" s="730">
        <f t="shared" si="12"/>
        <v>4.8315300000000008</v>
      </c>
      <c r="R13" s="730">
        <f t="shared" si="12"/>
        <v>5.3146830000000005</v>
      </c>
      <c r="S13" s="730">
        <f t="shared" si="12"/>
        <v>5.8461513000000007</v>
      </c>
      <c r="T13" s="730">
        <f t="shared" si="12"/>
        <v>6.4307664300000003</v>
      </c>
      <c r="U13" s="730">
        <f t="shared" si="12"/>
        <v>7.0738430730000008</v>
      </c>
      <c r="V13" s="731">
        <f t="shared" si="2"/>
        <v>47.812273803000004</v>
      </c>
    </row>
    <row r="14" spans="1:22">
      <c r="A14" s="726" t="s">
        <v>502</v>
      </c>
      <c r="B14" s="726"/>
      <c r="C14" s="727"/>
      <c r="D14" s="728">
        <v>1</v>
      </c>
      <c r="E14" s="729">
        <v>0.25</v>
      </c>
      <c r="F14" s="730">
        <f t="shared" ref="F14:M14" si="13">$D$14*$E$14*F5*3</f>
        <v>0.75</v>
      </c>
      <c r="G14" s="730">
        <f t="shared" si="13"/>
        <v>0.75</v>
      </c>
      <c r="H14" s="730">
        <f t="shared" si="13"/>
        <v>0.75</v>
      </c>
      <c r="I14" s="730">
        <f t="shared" si="13"/>
        <v>0.75</v>
      </c>
      <c r="J14" s="730">
        <f t="shared" si="13"/>
        <v>0.82500000000000007</v>
      </c>
      <c r="K14" s="730">
        <f t="shared" si="13"/>
        <v>0.82500000000000007</v>
      </c>
      <c r="L14" s="730">
        <f t="shared" si="13"/>
        <v>0.82500000000000007</v>
      </c>
      <c r="M14" s="730">
        <f t="shared" si="13"/>
        <v>0.82500000000000007</v>
      </c>
      <c r="N14" s="730">
        <f t="shared" ref="N14:U14" si="14">$D$14*$E$14*N5*12</f>
        <v>3.6300000000000008</v>
      </c>
      <c r="O14" s="730">
        <f t="shared" si="14"/>
        <v>3.9930000000000003</v>
      </c>
      <c r="P14" s="730">
        <f t="shared" si="14"/>
        <v>4.3923000000000005</v>
      </c>
      <c r="Q14" s="730">
        <f t="shared" si="14"/>
        <v>4.8315300000000008</v>
      </c>
      <c r="R14" s="730">
        <f t="shared" si="14"/>
        <v>5.3146830000000005</v>
      </c>
      <c r="S14" s="730">
        <f t="shared" si="14"/>
        <v>5.8461513000000007</v>
      </c>
      <c r="T14" s="730">
        <f t="shared" si="14"/>
        <v>6.4307664300000003</v>
      </c>
      <c r="U14" s="730">
        <f t="shared" si="14"/>
        <v>7.0738430730000008</v>
      </c>
      <c r="V14" s="731">
        <f t="shared" si="2"/>
        <v>47.812273803000004</v>
      </c>
    </row>
    <row r="15" spans="1:22">
      <c r="A15" s="726" t="s">
        <v>503</v>
      </c>
      <c r="B15" s="726"/>
      <c r="C15" s="727"/>
      <c r="D15" s="728">
        <v>1</v>
      </c>
      <c r="E15" s="729">
        <v>0.15</v>
      </c>
      <c r="F15" s="730">
        <f t="shared" ref="F15:M15" si="15">$D$15*$E$15*F5*3</f>
        <v>0.44999999999999996</v>
      </c>
      <c r="G15" s="730">
        <f t="shared" si="15"/>
        <v>0.44999999999999996</v>
      </c>
      <c r="H15" s="730">
        <f t="shared" si="15"/>
        <v>0.44999999999999996</v>
      </c>
      <c r="I15" s="730">
        <f t="shared" si="15"/>
        <v>0.44999999999999996</v>
      </c>
      <c r="J15" s="730">
        <f t="shared" si="15"/>
        <v>0.495</v>
      </c>
      <c r="K15" s="730">
        <f t="shared" si="15"/>
        <v>0.495</v>
      </c>
      <c r="L15" s="730">
        <f t="shared" si="15"/>
        <v>0.495</v>
      </c>
      <c r="M15" s="730">
        <f t="shared" si="15"/>
        <v>0.495</v>
      </c>
      <c r="N15" s="730">
        <f t="shared" ref="N15:U15" si="16">$D$15*$E$15*N5*12</f>
        <v>2.1780000000000004</v>
      </c>
      <c r="O15" s="730">
        <f t="shared" si="16"/>
        <v>2.3958000000000004</v>
      </c>
      <c r="P15" s="730">
        <f t="shared" si="16"/>
        <v>2.6353800000000005</v>
      </c>
      <c r="Q15" s="730">
        <f t="shared" si="16"/>
        <v>2.8989180000000001</v>
      </c>
      <c r="R15" s="730">
        <f t="shared" si="16"/>
        <v>3.1888098</v>
      </c>
      <c r="S15" s="730">
        <f t="shared" si="16"/>
        <v>3.5076907799999999</v>
      </c>
      <c r="T15" s="730">
        <f t="shared" si="16"/>
        <v>3.8584598579999998</v>
      </c>
      <c r="U15" s="730">
        <f t="shared" si="16"/>
        <v>4.2443058438000003</v>
      </c>
      <c r="V15" s="731">
        <f>F15+G15+H15+I15+J15+K15+L15+M15+N15+O15+P15+Q15+R15+S15+T15+U15</f>
        <v>28.687364281800001</v>
      </c>
    </row>
    <row r="16" spans="1:22">
      <c r="A16" s="726" t="s">
        <v>504</v>
      </c>
      <c r="B16" s="726"/>
      <c r="C16" s="727"/>
      <c r="D16" s="728">
        <v>1</v>
      </c>
      <c r="E16" s="729">
        <v>0.25</v>
      </c>
      <c r="F16" s="730">
        <f t="shared" ref="F16:M16" si="17">$D$16*$E$16*F5*3</f>
        <v>0.75</v>
      </c>
      <c r="G16" s="730">
        <f t="shared" si="17"/>
        <v>0.75</v>
      </c>
      <c r="H16" s="730">
        <f t="shared" si="17"/>
        <v>0.75</v>
      </c>
      <c r="I16" s="730">
        <f t="shared" si="17"/>
        <v>0.75</v>
      </c>
      <c r="J16" s="730">
        <f t="shared" si="17"/>
        <v>0.82500000000000007</v>
      </c>
      <c r="K16" s="730">
        <f t="shared" si="17"/>
        <v>0.82500000000000007</v>
      </c>
      <c r="L16" s="730">
        <f t="shared" si="17"/>
        <v>0.82500000000000007</v>
      </c>
      <c r="M16" s="730">
        <f t="shared" si="17"/>
        <v>0.82500000000000007</v>
      </c>
      <c r="N16" s="730">
        <f t="shared" ref="N16:U16" si="18">$D$16*$E$16*N5*12</f>
        <v>3.6300000000000008</v>
      </c>
      <c r="O16" s="730">
        <f t="shared" si="18"/>
        <v>3.9930000000000003</v>
      </c>
      <c r="P16" s="730">
        <f t="shared" si="18"/>
        <v>4.3923000000000005</v>
      </c>
      <c r="Q16" s="730">
        <f t="shared" si="18"/>
        <v>4.8315300000000008</v>
      </c>
      <c r="R16" s="730">
        <f t="shared" si="18"/>
        <v>5.3146830000000005</v>
      </c>
      <c r="S16" s="730">
        <f t="shared" si="18"/>
        <v>5.8461513000000007</v>
      </c>
      <c r="T16" s="730">
        <f t="shared" si="18"/>
        <v>6.4307664300000003</v>
      </c>
      <c r="U16" s="730">
        <f t="shared" si="18"/>
        <v>7.0738430730000008</v>
      </c>
      <c r="V16" s="731">
        <f t="shared" si="2"/>
        <v>47.812273803000004</v>
      </c>
    </row>
    <row r="17" spans="1:22">
      <c r="A17" s="726" t="s">
        <v>505</v>
      </c>
      <c r="B17" s="726"/>
      <c r="C17" s="727"/>
      <c r="D17" s="728">
        <v>1</v>
      </c>
      <c r="E17" s="729">
        <v>0.25</v>
      </c>
      <c r="F17" s="730">
        <f t="shared" ref="F17:M17" si="19">$D$17*$E$17*F5*3</f>
        <v>0.75</v>
      </c>
      <c r="G17" s="730">
        <f t="shared" si="19"/>
        <v>0.75</v>
      </c>
      <c r="H17" s="730">
        <f t="shared" si="19"/>
        <v>0.75</v>
      </c>
      <c r="I17" s="730">
        <f t="shared" si="19"/>
        <v>0.75</v>
      </c>
      <c r="J17" s="730">
        <f t="shared" si="19"/>
        <v>0.82500000000000007</v>
      </c>
      <c r="K17" s="730">
        <f t="shared" si="19"/>
        <v>0.82500000000000007</v>
      </c>
      <c r="L17" s="730">
        <f t="shared" si="19"/>
        <v>0.82500000000000007</v>
      </c>
      <c r="M17" s="730">
        <f t="shared" si="19"/>
        <v>0.82500000000000007</v>
      </c>
      <c r="N17" s="730">
        <f t="shared" ref="N17:U17" si="20">$D$17*$E$17*N5*12</f>
        <v>3.6300000000000008</v>
      </c>
      <c r="O17" s="730">
        <f t="shared" si="20"/>
        <v>3.9930000000000003</v>
      </c>
      <c r="P17" s="730">
        <f t="shared" si="20"/>
        <v>4.3923000000000005</v>
      </c>
      <c r="Q17" s="730">
        <f t="shared" si="20"/>
        <v>4.8315300000000008</v>
      </c>
      <c r="R17" s="730">
        <f t="shared" si="20"/>
        <v>5.3146830000000005</v>
      </c>
      <c r="S17" s="730">
        <f t="shared" si="20"/>
        <v>5.8461513000000007</v>
      </c>
      <c r="T17" s="730">
        <f t="shared" si="20"/>
        <v>6.4307664300000003</v>
      </c>
      <c r="U17" s="730">
        <f t="shared" si="20"/>
        <v>7.0738430730000008</v>
      </c>
      <c r="V17" s="731">
        <f t="shared" si="2"/>
        <v>47.812273803000004</v>
      </c>
    </row>
    <row r="18" spans="1:22">
      <c r="A18" s="732"/>
      <c r="B18" s="732"/>
      <c r="C18" s="733"/>
      <c r="D18" s="728"/>
      <c r="E18" s="729"/>
      <c r="F18" s="734"/>
      <c r="G18" s="734"/>
      <c r="H18" s="734"/>
      <c r="I18" s="734"/>
      <c r="J18" s="730"/>
      <c r="K18" s="730"/>
      <c r="L18" s="730"/>
      <c r="M18" s="730"/>
      <c r="N18" s="730"/>
      <c r="O18" s="730"/>
      <c r="P18" s="730"/>
      <c r="Q18" s="730"/>
      <c r="R18" s="730"/>
      <c r="S18" s="730"/>
      <c r="T18" s="730"/>
      <c r="U18" s="730"/>
      <c r="V18" s="731"/>
    </row>
    <row r="19" spans="1:22" s="712" customFormat="1">
      <c r="A19" s="735" t="s">
        <v>367</v>
      </c>
      <c r="B19" s="735"/>
      <c r="C19" s="735"/>
      <c r="D19" s="736">
        <f t="shared" ref="D19:I19" si="21">SUM(D8:D17)</f>
        <v>10</v>
      </c>
      <c r="E19" s="737">
        <f t="shared" si="21"/>
        <v>2.9999999999999996</v>
      </c>
      <c r="F19" s="737">
        <f t="shared" si="21"/>
        <v>9</v>
      </c>
      <c r="G19" s="737">
        <f t="shared" si="21"/>
        <v>9</v>
      </c>
      <c r="H19" s="737">
        <f t="shared" si="21"/>
        <v>9</v>
      </c>
      <c r="I19" s="737">
        <f t="shared" si="21"/>
        <v>9</v>
      </c>
      <c r="J19" s="737">
        <f t="shared" ref="J19:U19" si="22">SUM(J8:J17)</f>
        <v>9.8999999999999986</v>
      </c>
      <c r="K19" s="737">
        <f t="shared" si="22"/>
        <v>9.8999999999999986</v>
      </c>
      <c r="L19" s="737">
        <f t="shared" si="22"/>
        <v>9.8999999999999986</v>
      </c>
      <c r="M19" s="737">
        <f t="shared" si="22"/>
        <v>9.8999999999999986</v>
      </c>
      <c r="N19" s="737">
        <f t="shared" si="22"/>
        <v>43.560000000000009</v>
      </c>
      <c r="O19" s="737">
        <f t="shared" si="22"/>
        <v>47.916000000000011</v>
      </c>
      <c r="P19" s="737">
        <f t="shared" si="22"/>
        <v>52.707599999999999</v>
      </c>
      <c r="Q19" s="737">
        <f t="shared" si="22"/>
        <v>57.978360000000009</v>
      </c>
      <c r="R19" s="737">
        <f t="shared" si="22"/>
        <v>63.776196000000013</v>
      </c>
      <c r="S19" s="737">
        <f t="shared" si="22"/>
        <v>70.153815600000001</v>
      </c>
      <c r="T19" s="737">
        <f t="shared" si="22"/>
        <v>77.169197160000024</v>
      </c>
      <c r="U19" s="737">
        <f t="shared" si="22"/>
        <v>84.886116876000017</v>
      </c>
      <c r="V19" s="738">
        <f>SUM(V8:V17)</f>
        <v>573.74728563600002</v>
      </c>
    </row>
    <row r="20" spans="1:22" s="743" customFormat="1">
      <c r="A20" s="739"/>
      <c r="B20" s="739"/>
      <c r="C20" s="739"/>
      <c r="D20" s="740"/>
      <c r="E20" s="741"/>
      <c r="F20" s="741"/>
      <c r="G20" s="741"/>
      <c r="H20" s="741"/>
      <c r="I20" s="741"/>
      <c r="J20" s="741"/>
      <c r="K20" s="741"/>
      <c r="L20" s="741"/>
      <c r="M20" s="741"/>
      <c r="N20" s="741"/>
      <c r="O20" s="741"/>
      <c r="P20" s="741"/>
      <c r="Q20" s="741"/>
      <c r="R20" s="741"/>
      <c r="S20" s="741"/>
      <c r="T20" s="741"/>
      <c r="U20" s="741"/>
      <c r="V20" s="742"/>
    </row>
    <row r="21" spans="1:22">
      <c r="A21" s="744" t="s">
        <v>456</v>
      </c>
      <c r="B21" s="744"/>
      <c r="C21" s="745"/>
      <c r="D21" s="728"/>
      <c r="E21" s="729"/>
      <c r="F21" s="734"/>
      <c r="G21" s="734"/>
      <c r="H21" s="734"/>
      <c r="I21" s="734"/>
      <c r="J21" s="730"/>
      <c r="K21" s="730"/>
      <c r="L21" s="730"/>
      <c r="M21" s="730"/>
      <c r="N21" s="730"/>
      <c r="O21" s="730"/>
      <c r="P21" s="730"/>
      <c r="Q21" s="730"/>
      <c r="R21" s="730"/>
      <c r="S21" s="730"/>
      <c r="T21" s="730"/>
      <c r="U21" s="730"/>
      <c r="V21" s="746"/>
    </row>
    <row r="22" spans="1:22">
      <c r="A22" s="745" t="s">
        <v>528</v>
      </c>
      <c r="B22" s="745"/>
      <c r="C22" s="745"/>
      <c r="D22" s="728"/>
      <c r="E22" s="729"/>
      <c r="F22" s="747">
        <f>'Key Assumptions'!F7</f>
        <v>6</v>
      </c>
      <c r="G22" s="747">
        <f>'Key Assumptions'!G7</f>
        <v>0</v>
      </c>
      <c r="H22" s="747">
        <f>'Key Assumptions'!H7</f>
        <v>0</v>
      </c>
      <c r="I22" s="747">
        <f>'Key Assumptions'!I7</f>
        <v>0</v>
      </c>
      <c r="J22" s="747">
        <f>'Key Assumptions'!J7</f>
        <v>3</v>
      </c>
      <c r="K22" s="747">
        <f>'Key Assumptions'!K7</f>
        <v>0</v>
      </c>
      <c r="L22" s="747">
        <f>'Key Assumptions'!L7</f>
        <v>0</v>
      </c>
      <c r="M22" s="747">
        <f>'Key Assumptions'!M7</f>
        <v>0</v>
      </c>
      <c r="N22" s="747">
        <f>'Key Assumptions'!N7</f>
        <v>3</v>
      </c>
      <c r="O22" s="747">
        <f>'Key Assumptions'!O7</f>
        <v>3</v>
      </c>
      <c r="P22" s="747">
        <f>'Key Assumptions'!P7</f>
        <v>0</v>
      </c>
      <c r="Q22" s="747">
        <f>'Key Assumptions'!Q7</f>
        <v>0</v>
      </c>
      <c r="R22" s="747">
        <f>'Key Assumptions'!R7</f>
        <v>0</v>
      </c>
      <c r="S22" s="747">
        <f>'Key Assumptions'!S7</f>
        <v>0</v>
      </c>
      <c r="T22" s="747">
        <f>'Key Assumptions'!T7</f>
        <v>0</v>
      </c>
      <c r="U22" s="747">
        <f>'Key Assumptions'!U7</f>
        <v>0</v>
      </c>
      <c r="V22" s="746"/>
    </row>
    <row r="23" spans="1:22">
      <c r="A23" s="745" t="s">
        <v>580</v>
      </c>
      <c r="B23" s="745"/>
      <c r="C23" s="745"/>
      <c r="D23" s="728"/>
      <c r="E23" s="724"/>
      <c r="F23" s="741">
        <f>'Key Assumptions'!F8</f>
        <v>6</v>
      </c>
      <c r="G23" s="741">
        <f>'Key Assumptions'!G8</f>
        <v>6</v>
      </c>
      <c r="H23" s="741">
        <f>'Key Assumptions'!H8</f>
        <v>6</v>
      </c>
      <c r="I23" s="741">
        <f>'Key Assumptions'!I8</f>
        <v>6</v>
      </c>
      <c r="J23" s="741">
        <f>'Key Assumptions'!J8</f>
        <v>9</v>
      </c>
      <c r="K23" s="741">
        <f>'Key Assumptions'!K8</f>
        <v>9</v>
      </c>
      <c r="L23" s="741">
        <f>'Key Assumptions'!L8</f>
        <v>9</v>
      </c>
      <c r="M23" s="741">
        <f>'Key Assumptions'!M8</f>
        <v>9</v>
      </c>
      <c r="N23" s="741">
        <f>'Key Assumptions'!N8</f>
        <v>12</v>
      </c>
      <c r="O23" s="741">
        <f>'Key Assumptions'!O8</f>
        <v>15</v>
      </c>
      <c r="P23" s="741">
        <f>'Key Assumptions'!P8</f>
        <v>15</v>
      </c>
      <c r="Q23" s="741">
        <f>'Key Assumptions'!Q8</f>
        <v>15</v>
      </c>
      <c r="R23" s="741">
        <f>'Key Assumptions'!R8</f>
        <v>15</v>
      </c>
      <c r="S23" s="741">
        <f>'Key Assumptions'!S8</f>
        <v>15</v>
      </c>
      <c r="T23" s="741">
        <f>'Key Assumptions'!T8</f>
        <v>15</v>
      </c>
      <c r="U23" s="741">
        <f>'Key Assumptions'!U8</f>
        <v>15</v>
      </c>
      <c r="V23" s="746"/>
    </row>
    <row r="24" spans="1:22">
      <c r="A24" s="739"/>
      <c r="B24" s="739"/>
      <c r="C24" s="745"/>
      <c r="D24" s="728"/>
      <c r="E24" s="729"/>
      <c r="F24" s="734"/>
      <c r="G24" s="734"/>
      <c r="H24" s="734"/>
      <c r="I24" s="734"/>
      <c r="J24" s="730"/>
      <c r="K24" s="730"/>
      <c r="L24" s="730"/>
      <c r="M24" s="730"/>
      <c r="N24" s="730"/>
      <c r="O24" s="730"/>
      <c r="P24" s="730"/>
      <c r="Q24" s="730"/>
      <c r="R24" s="730"/>
      <c r="S24" s="730"/>
      <c r="T24" s="730"/>
      <c r="U24" s="730"/>
      <c r="V24" s="746"/>
    </row>
    <row r="25" spans="1:22">
      <c r="A25" s="748" t="s">
        <v>515</v>
      </c>
      <c r="B25" s="748"/>
      <c r="C25" s="727"/>
      <c r="D25" s="728">
        <v>1</v>
      </c>
      <c r="E25" s="729">
        <v>0.2</v>
      </c>
      <c r="F25" s="747">
        <f t="shared" ref="F25:M25" si="23">$D$25*$E$25*F5*3*F23</f>
        <v>3.6000000000000005</v>
      </c>
      <c r="G25" s="747">
        <f t="shared" si="23"/>
        <v>3.6000000000000005</v>
      </c>
      <c r="H25" s="747">
        <f t="shared" si="23"/>
        <v>3.6000000000000005</v>
      </c>
      <c r="I25" s="747">
        <f t="shared" si="23"/>
        <v>3.6000000000000005</v>
      </c>
      <c r="J25" s="747">
        <f t="shared" si="23"/>
        <v>5.9400000000000013</v>
      </c>
      <c r="K25" s="747">
        <f t="shared" si="23"/>
        <v>5.9400000000000013</v>
      </c>
      <c r="L25" s="747">
        <f t="shared" si="23"/>
        <v>5.9400000000000013</v>
      </c>
      <c r="M25" s="747">
        <f t="shared" si="23"/>
        <v>5.9400000000000013</v>
      </c>
      <c r="N25" s="747">
        <f t="shared" ref="N25:U25" si="24">$D$25*$E$25*N5*12*N23</f>
        <v>34.848000000000013</v>
      </c>
      <c r="O25" s="747">
        <f t="shared" si="24"/>
        <v>47.916000000000011</v>
      </c>
      <c r="P25" s="747">
        <f t="shared" si="24"/>
        <v>52.707599999999999</v>
      </c>
      <c r="Q25" s="747">
        <f t="shared" si="24"/>
        <v>57.978360000000009</v>
      </c>
      <c r="R25" s="747">
        <f t="shared" si="24"/>
        <v>63.776196000000013</v>
      </c>
      <c r="S25" s="747">
        <f t="shared" si="24"/>
        <v>70.153815600000016</v>
      </c>
      <c r="T25" s="747">
        <f t="shared" si="24"/>
        <v>77.16919716000001</v>
      </c>
      <c r="U25" s="747">
        <f t="shared" si="24"/>
        <v>84.886116876000017</v>
      </c>
      <c r="V25" s="746">
        <f>SUM(F25:U25)</f>
        <v>527.5952856360002</v>
      </c>
    </row>
    <row r="26" spans="1:22">
      <c r="A26" s="748" t="s">
        <v>506</v>
      </c>
      <c r="B26" s="748"/>
      <c r="C26" s="727"/>
      <c r="D26" s="728">
        <v>1</v>
      </c>
      <c r="E26" s="729">
        <v>0.08</v>
      </c>
      <c r="F26" s="747">
        <f t="shared" ref="F26:M26" si="25">$D$26*$E$26*F5*3*F23</f>
        <v>1.44</v>
      </c>
      <c r="G26" s="747">
        <f t="shared" si="25"/>
        <v>1.44</v>
      </c>
      <c r="H26" s="747">
        <f t="shared" si="25"/>
        <v>1.44</v>
      </c>
      <c r="I26" s="747">
        <f t="shared" si="25"/>
        <v>1.44</v>
      </c>
      <c r="J26" s="747">
        <f t="shared" si="25"/>
        <v>2.3760000000000003</v>
      </c>
      <c r="K26" s="747">
        <f t="shared" si="25"/>
        <v>2.3760000000000003</v>
      </c>
      <c r="L26" s="747">
        <f t="shared" si="25"/>
        <v>2.3760000000000003</v>
      </c>
      <c r="M26" s="747">
        <f t="shared" si="25"/>
        <v>2.3760000000000003</v>
      </c>
      <c r="N26" s="747">
        <f>$D$26*$E$26*N5*12*N23</f>
        <v>13.939200000000003</v>
      </c>
      <c r="O26" s="747">
        <f t="shared" ref="O26:U26" si="26">$D$26*$E$26*O5*12*O23</f>
        <v>19.166400000000003</v>
      </c>
      <c r="P26" s="747">
        <f t="shared" si="26"/>
        <v>21.08304</v>
      </c>
      <c r="Q26" s="747">
        <f t="shared" si="26"/>
        <v>23.191344000000001</v>
      </c>
      <c r="R26" s="747">
        <f t="shared" si="26"/>
        <v>25.510478400000004</v>
      </c>
      <c r="S26" s="747">
        <f t="shared" si="26"/>
        <v>28.061526240000003</v>
      </c>
      <c r="T26" s="747">
        <f t="shared" si="26"/>
        <v>30.867678864000005</v>
      </c>
      <c r="U26" s="747">
        <f t="shared" si="26"/>
        <v>33.954446750399995</v>
      </c>
      <c r="V26" s="746">
        <f>SUM(F26:U26)</f>
        <v>211.0381142544</v>
      </c>
    </row>
    <row r="27" spans="1:22">
      <c r="A27" s="748" t="s">
        <v>516</v>
      </c>
      <c r="B27" s="748"/>
      <c r="C27" s="727"/>
      <c r="D27" s="728">
        <v>1</v>
      </c>
      <c r="E27" s="729">
        <v>0.1</v>
      </c>
      <c r="F27" s="747">
        <f t="shared" ref="F27:M27" si="27">$D$27*$E$27*F5*3*F23</f>
        <v>1.8000000000000003</v>
      </c>
      <c r="G27" s="747">
        <f t="shared" si="27"/>
        <v>1.8000000000000003</v>
      </c>
      <c r="H27" s="747">
        <f t="shared" si="27"/>
        <v>1.8000000000000003</v>
      </c>
      <c r="I27" s="747">
        <f t="shared" si="27"/>
        <v>1.8000000000000003</v>
      </c>
      <c r="J27" s="747">
        <f t="shared" si="27"/>
        <v>2.9700000000000006</v>
      </c>
      <c r="K27" s="747">
        <f t="shared" si="27"/>
        <v>2.9700000000000006</v>
      </c>
      <c r="L27" s="747">
        <f t="shared" si="27"/>
        <v>2.9700000000000006</v>
      </c>
      <c r="M27" s="747">
        <f t="shared" si="27"/>
        <v>2.9700000000000006</v>
      </c>
      <c r="N27" s="747">
        <f>$D$27*$E$27*N5*12*N23</f>
        <v>17.424000000000007</v>
      </c>
      <c r="O27" s="747">
        <f t="shared" ref="O27:U27" si="28">$D$27*$E$27*O5*12*O23</f>
        <v>23.958000000000006</v>
      </c>
      <c r="P27" s="747">
        <f t="shared" si="28"/>
        <v>26.3538</v>
      </c>
      <c r="Q27" s="747">
        <f t="shared" si="28"/>
        <v>28.989180000000005</v>
      </c>
      <c r="R27" s="747">
        <f t="shared" si="28"/>
        <v>31.888098000000006</v>
      </c>
      <c r="S27" s="747">
        <f t="shared" si="28"/>
        <v>35.076907800000008</v>
      </c>
      <c r="T27" s="747">
        <f t="shared" si="28"/>
        <v>38.584598580000005</v>
      </c>
      <c r="U27" s="747">
        <f t="shared" si="28"/>
        <v>42.443058438000008</v>
      </c>
      <c r="V27" s="746">
        <f>SUM(F27:U27)</f>
        <v>263.7976428180001</v>
      </c>
    </row>
    <row r="28" spans="1:22">
      <c r="A28" s="748" t="s">
        <v>517</v>
      </c>
      <c r="B28" s="748"/>
      <c r="C28" s="727"/>
      <c r="D28" s="728">
        <v>1</v>
      </c>
      <c r="E28" s="729">
        <v>0.06</v>
      </c>
      <c r="F28" s="747">
        <f t="shared" ref="F28:M28" si="29">$D$28*$E$28*F5*3*F23</f>
        <v>1.08</v>
      </c>
      <c r="G28" s="747">
        <f t="shared" si="29"/>
        <v>1.08</v>
      </c>
      <c r="H28" s="747">
        <f t="shared" si="29"/>
        <v>1.08</v>
      </c>
      <c r="I28" s="747">
        <f t="shared" si="29"/>
        <v>1.08</v>
      </c>
      <c r="J28" s="747">
        <f t="shared" si="29"/>
        <v>1.782</v>
      </c>
      <c r="K28" s="747">
        <f t="shared" si="29"/>
        <v>1.782</v>
      </c>
      <c r="L28" s="747">
        <f t="shared" si="29"/>
        <v>1.782</v>
      </c>
      <c r="M28" s="747">
        <f t="shared" si="29"/>
        <v>1.782</v>
      </c>
      <c r="N28" s="747">
        <f>$D$28*$E$28*N5*12*N23</f>
        <v>10.454400000000003</v>
      </c>
      <c r="O28" s="747">
        <f t="shared" ref="O28:U28" si="30">$D$28*$E$28*O5*12*O23</f>
        <v>14.374800000000002</v>
      </c>
      <c r="P28" s="747">
        <f t="shared" si="30"/>
        <v>15.812280000000003</v>
      </c>
      <c r="Q28" s="747">
        <f t="shared" si="30"/>
        <v>17.393507999999997</v>
      </c>
      <c r="R28" s="747">
        <f t="shared" si="30"/>
        <v>19.132858800000001</v>
      </c>
      <c r="S28" s="747">
        <f t="shared" si="30"/>
        <v>21.046144680000001</v>
      </c>
      <c r="T28" s="747">
        <f t="shared" si="30"/>
        <v>23.150759148000006</v>
      </c>
      <c r="U28" s="747">
        <f t="shared" si="30"/>
        <v>25.4658350628</v>
      </c>
      <c r="V28" s="746">
        <f>SUM(F28:U28)</f>
        <v>158.27858569080001</v>
      </c>
    </row>
    <row r="29" spans="1:22">
      <c r="A29" s="748" t="s">
        <v>518</v>
      </c>
      <c r="B29" s="748"/>
      <c r="C29" s="727"/>
      <c r="D29" s="728"/>
      <c r="E29" s="729"/>
      <c r="F29" s="747">
        <f>F166</f>
        <v>15.749999999999996</v>
      </c>
      <c r="G29" s="747">
        <f t="shared" ref="G29:U29" si="31">G166</f>
        <v>15.749999999999996</v>
      </c>
      <c r="H29" s="747">
        <f t="shared" si="31"/>
        <v>15.749999999999996</v>
      </c>
      <c r="I29" s="747">
        <f t="shared" si="31"/>
        <v>15.749999999999996</v>
      </c>
      <c r="J29" s="747">
        <f t="shared" si="31"/>
        <v>28.70999999999999</v>
      </c>
      <c r="K29" s="747">
        <f t="shared" si="31"/>
        <v>28.70999999999999</v>
      </c>
      <c r="L29" s="747">
        <f t="shared" si="31"/>
        <v>28.70999999999999</v>
      </c>
      <c r="M29" s="747">
        <f t="shared" si="31"/>
        <v>28.70999999999999</v>
      </c>
      <c r="N29" s="747">
        <f t="shared" si="31"/>
        <v>185.13</v>
      </c>
      <c r="O29" s="747">
        <f t="shared" si="31"/>
        <v>256.35060000000004</v>
      </c>
      <c r="P29" s="747">
        <f t="shared" si="31"/>
        <v>281.98566000000005</v>
      </c>
      <c r="Q29" s="747">
        <f t="shared" si="31"/>
        <v>310.18422599999991</v>
      </c>
      <c r="R29" s="747">
        <f t="shared" si="31"/>
        <v>341.20264860000009</v>
      </c>
      <c r="S29" s="747">
        <f t="shared" si="31"/>
        <v>375.32291346000011</v>
      </c>
      <c r="T29" s="747">
        <f t="shared" si="31"/>
        <v>412.85520480600013</v>
      </c>
      <c r="U29" s="747">
        <f t="shared" si="31"/>
        <v>454.14072528660017</v>
      </c>
      <c r="V29" s="746">
        <f>SUM(F29:U29)</f>
        <v>2795.0119781526005</v>
      </c>
    </row>
    <row r="30" spans="1:22">
      <c r="A30" s="749"/>
      <c r="B30" s="749"/>
      <c r="C30" s="745"/>
      <c r="D30" s="728"/>
      <c r="E30" s="729"/>
      <c r="F30" s="734"/>
      <c r="G30" s="734"/>
      <c r="H30" s="734"/>
      <c r="I30" s="734"/>
      <c r="J30" s="730"/>
      <c r="K30" s="730"/>
      <c r="L30" s="730"/>
      <c r="M30" s="730"/>
      <c r="N30" s="730"/>
      <c r="O30" s="730"/>
      <c r="P30" s="730"/>
      <c r="Q30" s="730"/>
      <c r="R30" s="730"/>
      <c r="S30" s="730"/>
      <c r="T30" s="730"/>
      <c r="U30" s="730"/>
      <c r="V30" s="746"/>
    </row>
    <row r="31" spans="1:22" s="712" customFormat="1">
      <c r="A31" s="750" t="s">
        <v>491</v>
      </c>
      <c r="B31" s="750"/>
      <c r="C31" s="751"/>
      <c r="D31" s="736">
        <f>SUM(D25:D30)</f>
        <v>4</v>
      </c>
      <c r="E31" s="737">
        <f>SUM(E25:E30)</f>
        <v>0.44</v>
      </c>
      <c r="F31" s="737">
        <f>SUM(F25:F30)</f>
        <v>23.669999999999998</v>
      </c>
      <c r="G31" s="737">
        <f t="shared" ref="G31:V31" si="32">SUM(G25:G30)</f>
        <v>23.669999999999998</v>
      </c>
      <c r="H31" s="737">
        <f t="shared" si="32"/>
        <v>23.669999999999998</v>
      </c>
      <c r="I31" s="737">
        <f t="shared" si="32"/>
        <v>23.669999999999998</v>
      </c>
      <c r="J31" s="737">
        <f t="shared" si="32"/>
        <v>41.777999999999992</v>
      </c>
      <c r="K31" s="737">
        <f t="shared" si="32"/>
        <v>41.777999999999992</v>
      </c>
      <c r="L31" s="737">
        <f t="shared" si="32"/>
        <v>41.777999999999992</v>
      </c>
      <c r="M31" s="737">
        <f t="shared" si="32"/>
        <v>41.777999999999992</v>
      </c>
      <c r="N31" s="737">
        <f t="shared" si="32"/>
        <v>261.79560000000004</v>
      </c>
      <c r="O31" s="737">
        <f t="shared" si="32"/>
        <v>361.76580000000007</v>
      </c>
      <c r="P31" s="737">
        <f t="shared" si="32"/>
        <v>397.94238000000007</v>
      </c>
      <c r="Q31" s="737">
        <f t="shared" si="32"/>
        <v>437.73661799999991</v>
      </c>
      <c r="R31" s="737">
        <f t="shared" si="32"/>
        <v>481.51027980000015</v>
      </c>
      <c r="S31" s="737">
        <f t="shared" si="32"/>
        <v>529.66130778000013</v>
      </c>
      <c r="T31" s="737">
        <f t="shared" si="32"/>
        <v>582.62743855800022</v>
      </c>
      <c r="U31" s="737">
        <f t="shared" si="32"/>
        <v>640.89018241380018</v>
      </c>
      <c r="V31" s="738">
        <f t="shared" si="32"/>
        <v>3955.7216065518005</v>
      </c>
    </row>
    <row r="32" spans="1:22" s="743" customFormat="1">
      <c r="A32" s="752"/>
      <c r="B32" s="752"/>
      <c r="C32" s="745"/>
      <c r="D32" s="740"/>
      <c r="E32" s="741"/>
      <c r="F32" s="741"/>
      <c r="G32" s="741"/>
      <c r="H32" s="741"/>
      <c r="I32" s="741"/>
      <c r="J32" s="741"/>
      <c r="K32" s="741"/>
      <c r="L32" s="741"/>
      <c r="M32" s="741"/>
      <c r="N32" s="741"/>
      <c r="O32" s="741"/>
      <c r="P32" s="741"/>
      <c r="Q32" s="741"/>
      <c r="R32" s="741"/>
      <c r="S32" s="741"/>
      <c r="T32" s="741"/>
      <c r="U32" s="583"/>
      <c r="V32" s="753"/>
    </row>
    <row r="33" spans="1:22" s="712" customFormat="1">
      <c r="A33" s="719" t="s">
        <v>368</v>
      </c>
      <c r="B33" s="719"/>
      <c r="C33" s="754"/>
      <c r="D33" s="750">
        <f t="shared" ref="D33:V33" si="33">D19+D31</f>
        <v>14</v>
      </c>
      <c r="E33" s="738">
        <f t="shared" si="33"/>
        <v>3.4399999999999995</v>
      </c>
      <c r="F33" s="750">
        <f t="shared" si="33"/>
        <v>32.67</v>
      </c>
      <c r="G33" s="750">
        <f t="shared" si="33"/>
        <v>32.67</v>
      </c>
      <c r="H33" s="750">
        <f t="shared" si="33"/>
        <v>32.67</v>
      </c>
      <c r="I33" s="750">
        <f t="shared" si="33"/>
        <v>32.67</v>
      </c>
      <c r="J33" s="750">
        <f t="shared" si="33"/>
        <v>51.67799999999999</v>
      </c>
      <c r="K33" s="750">
        <f t="shared" si="33"/>
        <v>51.67799999999999</v>
      </c>
      <c r="L33" s="750">
        <f t="shared" si="33"/>
        <v>51.67799999999999</v>
      </c>
      <c r="M33" s="750">
        <f t="shared" si="33"/>
        <v>51.67799999999999</v>
      </c>
      <c r="N33" s="750">
        <f t="shared" si="33"/>
        <v>305.35560000000004</v>
      </c>
      <c r="O33" s="750">
        <f t="shared" si="33"/>
        <v>409.68180000000007</v>
      </c>
      <c r="P33" s="750">
        <f t="shared" si="33"/>
        <v>450.64998000000008</v>
      </c>
      <c r="Q33" s="750">
        <f t="shared" si="33"/>
        <v>495.71497799999992</v>
      </c>
      <c r="R33" s="750">
        <f t="shared" si="33"/>
        <v>545.28647580000018</v>
      </c>
      <c r="S33" s="750">
        <f t="shared" si="33"/>
        <v>599.81512338000016</v>
      </c>
      <c r="T33" s="750">
        <f t="shared" si="33"/>
        <v>659.79663571800029</v>
      </c>
      <c r="U33" s="750">
        <f t="shared" si="33"/>
        <v>725.77629928980014</v>
      </c>
      <c r="V33" s="750">
        <f t="shared" si="33"/>
        <v>4529.4688921878005</v>
      </c>
    </row>
    <row r="34" spans="1:22">
      <c r="A34" s="713"/>
      <c r="B34" s="713"/>
      <c r="E34" s="741"/>
      <c r="F34" s="755"/>
      <c r="G34" s="755"/>
      <c r="H34" s="755"/>
      <c r="I34" s="755"/>
    </row>
    <row r="35" spans="1:22" s="758" customFormat="1">
      <c r="A35" s="719" t="s">
        <v>520</v>
      </c>
      <c r="B35" s="719"/>
      <c r="C35" s="757"/>
      <c r="D35" s="757"/>
      <c r="V35" s="719"/>
    </row>
    <row r="36" spans="1:22" s="716" customFormat="1">
      <c r="A36" s="759"/>
      <c r="B36" s="759"/>
      <c r="C36" s="759"/>
      <c r="D36" s="759"/>
      <c r="E36" s="715"/>
      <c r="V36" s="713"/>
    </row>
    <row r="37" spans="1:22" s="765" customFormat="1" ht="18" customHeight="1">
      <c r="A37" s="760" t="s">
        <v>424</v>
      </c>
      <c r="B37" s="760"/>
      <c r="C37" s="761" t="s">
        <v>525</v>
      </c>
      <c r="D37" s="723" t="s">
        <v>459</v>
      </c>
      <c r="E37" s="762" t="s">
        <v>192</v>
      </c>
      <c r="F37" s="763"/>
      <c r="G37" s="763"/>
      <c r="H37" s="763"/>
      <c r="I37" s="763"/>
      <c r="J37" s="764"/>
      <c r="K37" s="764"/>
      <c r="L37" s="764"/>
      <c r="M37" s="764"/>
      <c r="V37" s="766"/>
    </row>
    <row r="38" spans="1:22">
      <c r="A38" s="724" t="s">
        <v>524</v>
      </c>
      <c r="C38" s="767">
        <v>1700</v>
      </c>
      <c r="D38" s="767">
        <v>16</v>
      </c>
      <c r="E38" s="742">
        <f>C38*D38/10^5</f>
        <v>0.27200000000000002</v>
      </c>
      <c r="F38" s="747">
        <f t="shared" ref="F38:M38" si="34">$E$38*F5*3</f>
        <v>0.81600000000000006</v>
      </c>
      <c r="G38" s="747">
        <f t="shared" si="34"/>
        <v>0.81600000000000006</v>
      </c>
      <c r="H38" s="747">
        <f t="shared" si="34"/>
        <v>0.81600000000000006</v>
      </c>
      <c r="I38" s="747">
        <f t="shared" si="34"/>
        <v>0.81600000000000006</v>
      </c>
      <c r="J38" s="747">
        <f t="shared" si="34"/>
        <v>0.89760000000000006</v>
      </c>
      <c r="K38" s="747">
        <f t="shared" si="34"/>
        <v>0.89760000000000006</v>
      </c>
      <c r="L38" s="747">
        <f t="shared" si="34"/>
        <v>0.89760000000000006</v>
      </c>
      <c r="M38" s="747">
        <f t="shared" si="34"/>
        <v>0.89760000000000006</v>
      </c>
      <c r="N38" s="747">
        <f>$E$38*N5*12</f>
        <v>3.9494400000000009</v>
      </c>
      <c r="O38" s="747">
        <f t="shared" ref="O38:U38" si="35">$E$38*O5*12</f>
        <v>4.3443840000000007</v>
      </c>
      <c r="P38" s="747">
        <f t="shared" si="35"/>
        <v>4.778822400000001</v>
      </c>
      <c r="Q38" s="747">
        <f t="shared" si="35"/>
        <v>5.2567046400000006</v>
      </c>
      <c r="R38" s="747">
        <f t="shared" si="35"/>
        <v>5.7823751040000015</v>
      </c>
      <c r="S38" s="747">
        <f t="shared" si="35"/>
        <v>6.3606126144000008</v>
      </c>
      <c r="T38" s="747">
        <f t="shared" si="35"/>
        <v>6.9966738758400009</v>
      </c>
      <c r="U38" s="747">
        <f t="shared" si="35"/>
        <v>7.6963412634240012</v>
      </c>
      <c r="V38" s="768">
        <f>SUM(F38:U38)</f>
        <v>52.019753897664017</v>
      </c>
    </row>
    <row r="39" spans="1:22">
      <c r="A39" s="724" t="s">
        <v>184</v>
      </c>
      <c r="D39" s="769">
        <v>0.15</v>
      </c>
      <c r="E39" s="742">
        <f>D39*E38</f>
        <v>4.0800000000000003E-2</v>
      </c>
      <c r="F39" s="747">
        <f t="shared" ref="F39:M39" si="36">$E$39*F5*3</f>
        <v>0.12240000000000001</v>
      </c>
      <c r="G39" s="747">
        <f t="shared" si="36"/>
        <v>0.12240000000000001</v>
      </c>
      <c r="H39" s="747">
        <f t="shared" si="36"/>
        <v>0.12240000000000001</v>
      </c>
      <c r="I39" s="747">
        <f t="shared" si="36"/>
        <v>0.12240000000000001</v>
      </c>
      <c r="J39" s="747">
        <f t="shared" si="36"/>
        <v>0.13464000000000004</v>
      </c>
      <c r="K39" s="747">
        <f t="shared" si="36"/>
        <v>0.13464000000000004</v>
      </c>
      <c r="L39" s="747">
        <f t="shared" si="36"/>
        <v>0.13464000000000004</v>
      </c>
      <c r="M39" s="747">
        <f t="shared" si="36"/>
        <v>0.13464000000000004</v>
      </c>
      <c r="N39" s="747">
        <f>$E$39*N5*12</f>
        <v>0.59241600000000005</v>
      </c>
      <c r="O39" s="747">
        <f t="shared" ref="O39:U39" si="37">$E$39*O5*12</f>
        <v>0.65165760000000017</v>
      </c>
      <c r="P39" s="747">
        <f t="shared" si="37"/>
        <v>0.71682336000000013</v>
      </c>
      <c r="Q39" s="747">
        <f t="shared" si="37"/>
        <v>0.78850569600000009</v>
      </c>
      <c r="R39" s="747">
        <f t="shared" si="37"/>
        <v>0.86735626560000001</v>
      </c>
      <c r="S39" s="747">
        <f t="shared" si="37"/>
        <v>0.95409189216000012</v>
      </c>
      <c r="T39" s="747">
        <f t="shared" si="37"/>
        <v>1.0495010813760002</v>
      </c>
      <c r="U39" s="747">
        <f t="shared" si="37"/>
        <v>1.1544511895136003</v>
      </c>
      <c r="V39" s="768">
        <f t="shared" ref="V39:V47" si="38">SUM(F39:U39)</f>
        <v>7.8029630846496021</v>
      </c>
    </row>
    <row r="40" spans="1:22">
      <c r="A40" s="770" t="s">
        <v>509</v>
      </c>
      <c r="B40" s="770"/>
      <c r="C40" s="771"/>
      <c r="D40" s="771"/>
      <c r="E40" s="772">
        <v>0.03</v>
      </c>
      <c r="F40" s="747">
        <f t="shared" ref="F40:M40" si="39">$E$40*F5*3</f>
        <v>0.09</v>
      </c>
      <c r="G40" s="747">
        <f t="shared" si="39"/>
        <v>0.09</v>
      </c>
      <c r="H40" s="747">
        <f t="shared" si="39"/>
        <v>0.09</v>
      </c>
      <c r="I40" s="747">
        <f t="shared" si="39"/>
        <v>0.09</v>
      </c>
      <c r="J40" s="747">
        <f t="shared" si="39"/>
        <v>9.9000000000000005E-2</v>
      </c>
      <c r="K40" s="747">
        <f t="shared" si="39"/>
        <v>9.9000000000000005E-2</v>
      </c>
      <c r="L40" s="747">
        <f t="shared" si="39"/>
        <v>9.9000000000000005E-2</v>
      </c>
      <c r="M40" s="747">
        <f t="shared" si="39"/>
        <v>9.9000000000000005E-2</v>
      </c>
      <c r="N40" s="747">
        <f>$E$40*N5*12</f>
        <v>0.4356000000000001</v>
      </c>
      <c r="O40" s="747">
        <f t="shared" ref="O40:U40" si="40">$E$40*O5*12</f>
        <v>0.47916000000000009</v>
      </c>
      <c r="P40" s="747">
        <f t="shared" si="40"/>
        <v>0.5270760000000001</v>
      </c>
      <c r="Q40" s="747">
        <f t="shared" si="40"/>
        <v>0.57978359999999995</v>
      </c>
      <c r="R40" s="747">
        <f t="shared" si="40"/>
        <v>0.63776196000000007</v>
      </c>
      <c r="S40" s="747">
        <f t="shared" si="40"/>
        <v>0.70153815600000002</v>
      </c>
      <c r="T40" s="747">
        <f t="shared" si="40"/>
        <v>0.77169197160000014</v>
      </c>
      <c r="U40" s="747">
        <f t="shared" si="40"/>
        <v>0.84886116875999995</v>
      </c>
      <c r="V40" s="768">
        <f t="shared" si="38"/>
        <v>5.7374728563600002</v>
      </c>
    </row>
    <row r="41" spans="1:22">
      <c r="A41" s="770" t="s">
        <v>510</v>
      </c>
      <c r="B41" s="770"/>
      <c r="C41" s="771"/>
      <c r="D41" s="771"/>
      <c r="E41" s="772">
        <v>0.3</v>
      </c>
      <c r="F41" s="747">
        <f t="shared" ref="F41:M41" si="41">$E$41*F5*3</f>
        <v>0.89999999999999991</v>
      </c>
      <c r="G41" s="747">
        <f t="shared" si="41"/>
        <v>0.89999999999999991</v>
      </c>
      <c r="H41" s="747">
        <f t="shared" si="41"/>
        <v>0.89999999999999991</v>
      </c>
      <c r="I41" s="747">
        <f t="shared" si="41"/>
        <v>0.89999999999999991</v>
      </c>
      <c r="J41" s="747">
        <f t="shared" si="41"/>
        <v>0.99</v>
      </c>
      <c r="K41" s="747">
        <f t="shared" si="41"/>
        <v>0.99</v>
      </c>
      <c r="L41" s="747">
        <f t="shared" si="41"/>
        <v>0.99</v>
      </c>
      <c r="M41" s="747">
        <f t="shared" si="41"/>
        <v>0.99</v>
      </c>
      <c r="N41" s="747">
        <f>$E$41*N5*12</f>
        <v>4.3560000000000008</v>
      </c>
      <c r="O41" s="747">
        <f t="shared" ref="O41:U41" si="42">$E$41*O5*12</f>
        <v>4.7916000000000007</v>
      </c>
      <c r="P41" s="747">
        <f t="shared" si="42"/>
        <v>5.270760000000001</v>
      </c>
      <c r="Q41" s="747">
        <f t="shared" si="42"/>
        <v>5.7978360000000002</v>
      </c>
      <c r="R41" s="747">
        <f t="shared" si="42"/>
        <v>6.3776196000000001</v>
      </c>
      <c r="S41" s="747">
        <f t="shared" si="42"/>
        <v>7.0153815599999998</v>
      </c>
      <c r="T41" s="747">
        <f t="shared" si="42"/>
        <v>7.7169197159999996</v>
      </c>
      <c r="U41" s="747">
        <f t="shared" si="42"/>
        <v>8.4886116876000006</v>
      </c>
      <c r="V41" s="768">
        <f t="shared" si="38"/>
        <v>57.374728563600002</v>
      </c>
    </row>
    <row r="42" spans="1:22">
      <c r="A42" s="770" t="s">
        <v>511</v>
      </c>
      <c r="B42" s="770"/>
      <c r="C42" s="771"/>
      <c r="D42" s="771"/>
      <c r="E42" s="772">
        <v>0.25</v>
      </c>
      <c r="F42" s="747">
        <f t="shared" ref="F42:M42" si="43">$E$42*F5*3</f>
        <v>0.75</v>
      </c>
      <c r="G42" s="747">
        <f t="shared" si="43"/>
        <v>0.75</v>
      </c>
      <c r="H42" s="747">
        <f t="shared" si="43"/>
        <v>0.75</v>
      </c>
      <c r="I42" s="747">
        <f t="shared" si="43"/>
        <v>0.75</v>
      </c>
      <c r="J42" s="747">
        <f t="shared" si="43"/>
        <v>0.82500000000000007</v>
      </c>
      <c r="K42" s="747">
        <f t="shared" si="43"/>
        <v>0.82500000000000007</v>
      </c>
      <c r="L42" s="747">
        <f t="shared" si="43"/>
        <v>0.82500000000000007</v>
      </c>
      <c r="M42" s="747">
        <f t="shared" si="43"/>
        <v>0.82500000000000007</v>
      </c>
      <c r="N42" s="747">
        <f>$E$42*N5*12</f>
        <v>3.6300000000000008</v>
      </c>
      <c r="O42" s="747">
        <f t="shared" ref="O42:U42" si="44">$E$42*O5*12</f>
        <v>3.9930000000000003</v>
      </c>
      <c r="P42" s="747">
        <f t="shared" si="44"/>
        <v>4.3923000000000005</v>
      </c>
      <c r="Q42" s="747">
        <f t="shared" si="44"/>
        <v>4.8315300000000008</v>
      </c>
      <c r="R42" s="747">
        <f t="shared" si="44"/>
        <v>5.3146830000000005</v>
      </c>
      <c r="S42" s="747">
        <f t="shared" si="44"/>
        <v>5.8461513000000007</v>
      </c>
      <c r="T42" s="747">
        <f t="shared" si="44"/>
        <v>6.4307664300000003</v>
      </c>
      <c r="U42" s="747">
        <f t="shared" si="44"/>
        <v>7.0738430730000008</v>
      </c>
      <c r="V42" s="768">
        <f t="shared" si="38"/>
        <v>47.812273803000004</v>
      </c>
    </row>
    <row r="43" spans="1:22">
      <c r="A43" s="770" t="s">
        <v>189</v>
      </c>
      <c r="B43" s="770"/>
      <c r="C43" s="723"/>
      <c r="D43" s="723"/>
      <c r="E43" s="772">
        <v>0.05</v>
      </c>
      <c r="F43" s="747">
        <f t="shared" ref="F43:M43" si="45">$E$43*F5*3</f>
        <v>0.15000000000000002</v>
      </c>
      <c r="G43" s="747">
        <f t="shared" si="45"/>
        <v>0.15000000000000002</v>
      </c>
      <c r="H43" s="747">
        <f t="shared" si="45"/>
        <v>0.15000000000000002</v>
      </c>
      <c r="I43" s="747">
        <f t="shared" si="45"/>
        <v>0.15000000000000002</v>
      </c>
      <c r="J43" s="747">
        <f t="shared" si="45"/>
        <v>0.16500000000000004</v>
      </c>
      <c r="K43" s="747">
        <f t="shared" si="45"/>
        <v>0.16500000000000004</v>
      </c>
      <c r="L43" s="747">
        <f t="shared" si="45"/>
        <v>0.16500000000000004</v>
      </c>
      <c r="M43" s="747">
        <f t="shared" si="45"/>
        <v>0.16500000000000004</v>
      </c>
      <c r="N43" s="747">
        <f>$E$43*N5*12</f>
        <v>0.7260000000000002</v>
      </c>
      <c r="O43" s="747">
        <f t="shared" ref="O43:U43" si="46">$E$43*O5*12</f>
        <v>0.7986000000000002</v>
      </c>
      <c r="P43" s="747">
        <f t="shared" si="46"/>
        <v>0.87846000000000002</v>
      </c>
      <c r="Q43" s="747">
        <f t="shared" si="46"/>
        <v>0.96630600000000011</v>
      </c>
      <c r="R43" s="747">
        <f t="shared" si="46"/>
        <v>1.0629366000000002</v>
      </c>
      <c r="S43" s="747">
        <f t="shared" si="46"/>
        <v>1.1692302600000002</v>
      </c>
      <c r="T43" s="747">
        <f t="shared" si="46"/>
        <v>1.2861532860000002</v>
      </c>
      <c r="U43" s="747">
        <f t="shared" si="46"/>
        <v>1.4147686146000003</v>
      </c>
      <c r="V43" s="768">
        <f t="shared" si="38"/>
        <v>9.5624547606000014</v>
      </c>
    </row>
    <row r="44" spans="1:22">
      <c r="A44" s="770" t="s">
        <v>186</v>
      </c>
      <c r="B44" s="770"/>
      <c r="C44" s="723"/>
      <c r="D44" s="723"/>
      <c r="E44" s="772">
        <v>0.05</v>
      </c>
      <c r="F44" s="747">
        <f t="shared" ref="F44:M44" si="47">$E$44*F5*3</f>
        <v>0.15000000000000002</v>
      </c>
      <c r="G44" s="747">
        <f t="shared" si="47"/>
        <v>0.15000000000000002</v>
      </c>
      <c r="H44" s="747">
        <f t="shared" si="47"/>
        <v>0.15000000000000002</v>
      </c>
      <c r="I44" s="747">
        <f t="shared" si="47"/>
        <v>0.15000000000000002</v>
      </c>
      <c r="J44" s="747">
        <f t="shared" si="47"/>
        <v>0.16500000000000004</v>
      </c>
      <c r="K44" s="747">
        <f t="shared" si="47"/>
        <v>0.16500000000000004</v>
      </c>
      <c r="L44" s="747">
        <f t="shared" si="47"/>
        <v>0.16500000000000004</v>
      </c>
      <c r="M44" s="747">
        <f t="shared" si="47"/>
        <v>0.16500000000000004</v>
      </c>
      <c r="N44" s="747">
        <f>$E$44*N5*12</f>
        <v>0.7260000000000002</v>
      </c>
      <c r="O44" s="747">
        <f t="shared" ref="O44:U44" si="48">$E$44*O5*12</f>
        <v>0.7986000000000002</v>
      </c>
      <c r="P44" s="747">
        <f t="shared" si="48"/>
        <v>0.87846000000000002</v>
      </c>
      <c r="Q44" s="747">
        <f t="shared" si="48"/>
        <v>0.96630600000000011</v>
      </c>
      <c r="R44" s="747">
        <f t="shared" si="48"/>
        <v>1.0629366000000002</v>
      </c>
      <c r="S44" s="747">
        <f t="shared" si="48"/>
        <v>1.1692302600000002</v>
      </c>
      <c r="T44" s="747">
        <f t="shared" si="48"/>
        <v>1.2861532860000002</v>
      </c>
      <c r="U44" s="747">
        <f t="shared" si="48"/>
        <v>1.4147686146000003</v>
      </c>
      <c r="V44" s="768">
        <f t="shared" si="38"/>
        <v>9.5624547606000014</v>
      </c>
    </row>
    <row r="45" spans="1:22" s="773" customFormat="1">
      <c r="A45" s="770" t="s">
        <v>512</v>
      </c>
      <c r="B45" s="770"/>
      <c r="C45" s="723"/>
      <c r="D45" s="723"/>
      <c r="E45" s="772">
        <v>0.05</v>
      </c>
      <c r="F45" s="747">
        <f t="shared" ref="F45:M45" si="49">$E$45*F5*3</f>
        <v>0.15000000000000002</v>
      </c>
      <c r="G45" s="747">
        <f t="shared" si="49"/>
        <v>0.15000000000000002</v>
      </c>
      <c r="H45" s="747">
        <f t="shared" si="49"/>
        <v>0.15000000000000002</v>
      </c>
      <c r="I45" s="747">
        <f t="shared" si="49"/>
        <v>0.15000000000000002</v>
      </c>
      <c r="J45" s="747">
        <f t="shared" si="49"/>
        <v>0.16500000000000004</v>
      </c>
      <c r="K45" s="747">
        <f t="shared" si="49"/>
        <v>0.16500000000000004</v>
      </c>
      <c r="L45" s="747">
        <f t="shared" si="49"/>
        <v>0.16500000000000004</v>
      </c>
      <c r="M45" s="747">
        <f t="shared" si="49"/>
        <v>0.16500000000000004</v>
      </c>
      <c r="N45" s="747">
        <f>$E$45*N5*12</f>
        <v>0.7260000000000002</v>
      </c>
      <c r="O45" s="747">
        <f t="shared" ref="O45:U45" si="50">$E$45*O5*12</f>
        <v>0.7986000000000002</v>
      </c>
      <c r="P45" s="747">
        <f t="shared" si="50"/>
        <v>0.87846000000000002</v>
      </c>
      <c r="Q45" s="747">
        <f t="shared" si="50"/>
        <v>0.96630600000000011</v>
      </c>
      <c r="R45" s="747">
        <f t="shared" si="50"/>
        <v>1.0629366000000002</v>
      </c>
      <c r="S45" s="747">
        <f t="shared" si="50"/>
        <v>1.1692302600000002</v>
      </c>
      <c r="T45" s="747">
        <f t="shared" si="50"/>
        <v>1.2861532860000002</v>
      </c>
      <c r="U45" s="747">
        <f t="shared" si="50"/>
        <v>1.4147686146000003</v>
      </c>
      <c r="V45" s="768">
        <f t="shared" si="38"/>
        <v>9.5624547606000014</v>
      </c>
    </row>
    <row r="46" spans="1:22">
      <c r="A46" s="770" t="s">
        <v>513</v>
      </c>
      <c r="B46" s="770"/>
      <c r="C46" s="723"/>
      <c r="D46" s="769">
        <v>0.1</v>
      </c>
      <c r="E46" s="742">
        <f>D46*E38</f>
        <v>2.7200000000000002E-2</v>
      </c>
      <c r="F46" s="747">
        <f t="shared" ref="F46:M46" si="51">$E$46*F5*3</f>
        <v>8.1600000000000006E-2</v>
      </c>
      <c r="G46" s="747">
        <f t="shared" si="51"/>
        <v>8.1600000000000006E-2</v>
      </c>
      <c r="H46" s="747">
        <f t="shared" si="51"/>
        <v>8.1600000000000006E-2</v>
      </c>
      <c r="I46" s="747">
        <f t="shared" si="51"/>
        <v>8.1600000000000006E-2</v>
      </c>
      <c r="J46" s="747">
        <f t="shared" si="51"/>
        <v>8.976000000000002E-2</v>
      </c>
      <c r="K46" s="747">
        <f t="shared" si="51"/>
        <v>8.976000000000002E-2</v>
      </c>
      <c r="L46" s="747">
        <f t="shared" si="51"/>
        <v>8.976000000000002E-2</v>
      </c>
      <c r="M46" s="747">
        <f t="shared" si="51"/>
        <v>8.976000000000002E-2</v>
      </c>
      <c r="N46" s="747">
        <f>$E$46*N5*12</f>
        <v>0.39494400000000013</v>
      </c>
      <c r="O46" s="747">
        <f t="shared" ref="O46:U46" si="52">$E$46*O5*12</f>
        <v>0.43443840000000006</v>
      </c>
      <c r="P46" s="747">
        <f t="shared" si="52"/>
        <v>0.47788224000000012</v>
      </c>
      <c r="Q46" s="747">
        <f t="shared" si="52"/>
        <v>0.52567046400000006</v>
      </c>
      <c r="R46" s="747">
        <f t="shared" si="52"/>
        <v>0.57823751040000015</v>
      </c>
      <c r="S46" s="747">
        <f t="shared" si="52"/>
        <v>0.63606126144000008</v>
      </c>
      <c r="T46" s="747">
        <f t="shared" si="52"/>
        <v>0.69966738758400016</v>
      </c>
      <c r="U46" s="747">
        <f t="shared" si="52"/>
        <v>0.76963412634240014</v>
      </c>
      <c r="V46" s="768">
        <f t="shared" si="38"/>
        <v>5.2019753897664014</v>
      </c>
    </row>
    <row r="47" spans="1:22">
      <c r="A47" s="770" t="s">
        <v>581</v>
      </c>
      <c r="B47" s="770"/>
      <c r="C47" s="723"/>
      <c r="D47" s="774">
        <v>8.3299999999999999E-2</v>
      </c>
      <c r="E47" s="775"/>
      <c r="F47" s="747">
        <f>D47*E19*12</f>
        <v>2.9987999999999992</v>
      </c>
      <c r="G47" s="747"/>
      <c r="H47" s="747"/>
      <c r="I47" s="747"/>
      <c r="J47" s="747"/>
      <c r="K47" s="747"/>
      <c r="L47" s="747"/>
      <c r="M47" s="747"/>
      <c r="N47" s="747"/>
      <c r="O47" s="747"/>
      <c r="P47" s="747"/>
      <c r="Q47" s="747"/>
      <c r="R47" s="747"/>
      <c r="S47" s="747"/>
      <c r="T47" s="747"/>
      <c r="U47" s="747"/>
      <c r="V47" s="768">
        <f t="shared" si="38"/>
        <v>2.9987999999999992</v>
      </c>
    </row>
    <row r="48" spans="1:22">
      <c r="C48" s="723"/>
      <c r="D48" s="723"/>
      <c r="E48" s="729"/>
      <c r="F48" s="747"/>
      <c r="G48" s="747"/>
      <c r="H48" s="747"/>
      <c r="I48" s="747"/>
      <c r="J48" s="776"/>
      <c r="K48" s="776"/>
      <c r="L48" s="776"/>
      <c r="M48" s="776"/>
      <c r="N48" s="776"/>
      <c r="O48" s="776"/>
      <c r="P48" s="776"/>
      <c r="Q48" s="776"/>
      <c r="R48" s="776"/>
      <c r="S48" s="776"/>
      <c r="T48" s="776"/>
      <c r="U48" s="776"/>
      <c r="V48" s="731"/>
    </row>
    <row r="49" spans="1:22" s="712" customFormat="1">
      <c r="A49" s="754" t="s">
        <v>191</v>
      </c>
      <c r="B49" s="754"/>
      <c r="C49" s="754"/>
      <c r="D49" s="754"/>
      <c r="E49" s="737">
        <f t="shared" ref="E49:U49" si="53">SUM(E38:E48)</f>
        <v>1.0700000000000003</v>
      </c>
      <c r="F49" s="737">
        <f t="shared" si="53"/>
        <v>6.2087999999999983</v>
      </c>
      <c r="G49" s="737">
        <f t="shared" si="53"/>
        <v>3.2099999999999995</v>
      </c>
      <c r="H49" s="737">
        <f t="shared" si="53"/>
        <v>3.2099999999999995</v>
      </c>
      <c r="I49" s="737">
        <f t="shared" si="53"/>
        <v>3.2099999999999995</v>
      </c>
      <c r="J49" s="777">
        <f t="shared" si="53"/>
        <v>3.5310000000000006</v>
      </c>
      <c r="K49" s="777">
        <f t="shared" si="53"/>
        <v>3.5310000000000006</v>
      </c>
      <c r="L49" s="777">
        <f t="shared" si="53"/>
        <v>3.5310000000000006</v>
      </c>
      <c r="M49" s="777">
        <f t="shared" si="53"/>
        <v>3.5310000000000006</v>
      </c>
      <c r="N49" s="777">
        <f t="shared" si="53"/>
        <v>15.536400000000006</v>
      </c>
      <c r="O49" s="777">
        <f t="shared" si="53"/>
        <v>17.090040000000002</v>
      </c>
      <c r="P49" s="777">
        <f t="shared" si="53"/>
        <v>18.799044000000002</v>
      </c>
      <c r="Q49" s="777">
        <f t="shared" si="53"/>
        <v>20.678948399999999</v>
      </c>
      <c r="R49" s="777">
        <f t="shared" si="53"/>
        <v>22.746843240000004</v>
      </c>
      <c r="S49" s="777">
        <f t="shared" si="53"/>
        <v>25.021527563999996</v>
      </c>
      <c r="T49" s="777">
        <f t="shared" si="53"/>
        <v>27.523680320400004</v>
      </c>
      <c r="U49" s="777">
        <f t="shared" si="53"/>
        <v>30.276048352439997</v>
      </c>
      <c r="V49" s="738">
        <f>F49+G49+H49+I49+J49+K49+L49+M49+N49+O49+P49+Q49+R49+S49+T49+U49</f>
        <v>207.63533187683998</v>
      </c>
    </row>
    <row r="50" spans="1:22">
      <c r="A50" s="778"/>
      <c r="B50" s="778"/>
      <c r="C50" s="723"/>
      <c r="D50" s="723"/>
      <c r="E50" s="741"/>
      <c r="F50" s="747"/>
      <c r="G50" s="747"/>
      <c r="H50" s="747"/>
      <c r="I50" s="747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</row>
    <row r="51" spans="1:22">
      <c r="A51" s="780" t="s">
        <v>457</v>
      </c>
      <c r="B51" s="780"/>
      <c r="C51" s="723"/>
      <c r="D51" s="723"/>
      <c r="E51" s="741"/>
      <c r="F51" s="741"/>
      <c r="G51" s="741"/>
      <c r="H51" s="741"/>
      <c r="I51" s="741"/>
      <c r="J51" s="781"/>
      <c r="K51" s="781"/>
      <c r="L51" s="781"/>
      <c r="M51" s="781"/>
      <c r="N51" s="781"/>
      <c r="O51" s="781"/>
      <c r="P51" s="781"/>
      <c r="Q51" s="781"/>
      <c r="R51" s="781"/>
      <c r="S51" s="781"/>
      <c r="T51" s="781"/>
      <c r="U51" s="781"/>
    </row>
    <row r="52" spans="1:22">
      <c r="A52" s="723"/>
      <c r="B52" s="723"/>
      <c r="C52" s="723"/>
      <c r="D52" s="723"/>
      <c r="E52" s="741"/>
      <c r="F52" s="741"/>
      <c r="G52" s="741"/>
      <c r="H52" s="741"/>
      <c r="I52" s="741"/>
      <c r="J52" s="781"/>
      <c r="K52" s="781"/>
      <c r="L52" s="781"/>
      <c r="M52" s="781"/>
      <c r="N52" s="781"/>
      <c r="O52" s="781"/>
      <c r="P52" s="781"/>
      <c r="Q52" s="781"/>
      <c r="R52" s="781"/>
      <c r="S52" s="781"/>
      <c r="T52" s="781"/>
      <c r="U52" s="781"/>
    </row>
    <row r="53" spans="1:22">
      <c r="A53" s="723" t="s">
        <v>458</v>
      </c>
      <c r="B53" s="723"/>
      <c r="C53" s="723"/>
      <c r="D53" s="723"/>
      <c r="E53" s="741"/>
      <c r="F53" s="741">
        <f>'Key Assumptions'!F8</f>
        <v>6</v>
      </c>
      <c r="G53" s="741">
        <f>'Key Assumptions'!G8</f>
        <v>6</v>
      </c>
      <c r="H53" s="741">
        <f>'Key Assumptions'!H8</f>
        <v>6</v>
      </c>
      <c r="I53" s="741">
        <f>'Key Assumptions'!I8</f>
        <v>6</v>
      </c>
      <c r="J53" s="741">
        <f>'Key Assumptions'!J8</f>
        <v>9</v>
      </c>
      <c r="K53" s="741">
        <f>'Key Assumptions'!K8</f>
        <v>9</v>
      </c>
      <c r="L53" s="741">
        <f>'Key Assumptions'!L8</f>
        <v>9</v>
      </c>
      <c r="M53" s="741">
        <f>'Key Assumptions'!M8</f>
        <v>9</v>
      </c>
      <c r="N53" s="741">
        <f>'Key Assumptions'!N8</f>
        <v>12</v>
      </c>
      <c r="O53" s="741">
        <f>'Key Assumptions'!O8</f>
        <v>15</v>
      </c>
      <c r="P53" s="741">
        <f>'Key Assumptions'!P8</f>
        <v>15</v>
      </c>
      <c r="Q53" s="741">
        <f>'Key Assumptions'!Q8</f>
        <v>15</v>
      </c>
      <c r="R53" s="741">
        <f>'Key Assumptions'!R8</f>
        <v>15</v>
      </c>
      <c r="S53" s="741">
        <f>'Key Assumptions'!S8</f>
        <v>15</v>
      </c>
      <c r="T53" s="741">
        <f>'Key Assumptions'!T8</f>
        <v>15</v>
      </c>
      <c r="U53" s="741">
        <f>'Key Assumptions'!U8</f>
        <v>15</v>
      </c>
    </row>
    <row r="54" spans="1:22">
      <c r="A54" s="723"/>
      <c r="B54" s="723"/>
      <c r="C54" s="761" t="s">
        <v>525</v>
      </c>
      <c r="D54" s="723" t="s">
        <v>459</v>
      </c>
      <c r="E54" s="741"/>
      <c r="F54" s="741"/>
      <c r="G54" s="741"/>
      <c r="H54" s="741"/>
      <c r="I54" s="741"/>
      <c r="J54" s="781"/>
      <c r="K54" s="781"/>
      <c r="L54" s="781"/>
      <c r="M54" s="781"/>
      <c r="N54" s="781"/>
      <c r="O54" s="781"/>
      <c r="P54" s="781"/>
      <c r="Q54" s="781"/>
      <c r="R54" s="781"/>
      <c r="S54" s="781"/>
      <c r="T54" s="781"/>
      <c r="U54" s="781"/>
    </row>
    <row r="55" spans="1:22">
      <c r="A55" s="743" t="s">
        <v>389</v>
      </c>
      <c r="B55" s="743"/>
      <c r="C55" s="782">
        <v>2000</v>
      </c>
      <c r="D55" s="783">
        <v>15</v>
      </c>
      <c r="E55" s="742">
        <f>C55*D55/10^5</f>
        <v>0.3</v>
      </c>
      <c r="F55" s="741">
        <f t="shared" ref="F55:M55" si="54">$E$55*F53*F5*3</f>
        <v>5.3999999999999995</v>
      </c>
      <c r="G55" s="741">
        <f t="shared" si="54"/>
        <v>5.3999999999999995</v>
      </c>
      <c r="H55" s="741">
        <f t="shared" si="54"/>
        <v>5.3999999999999995</v>
      </c>
      <c r="I55" s="741">
        <f t="shared" si="54"/>
        <v>5.3999999999999995</v>
      </c>
      <c r="J55" s="741">
        <f t="shared" si="54"/>
        <v>8.91</v>
      </c>
      <c r="K55" s="741">
        <f t="shared" si="54"/>
        <v>8.91</v>
      </c>
      <c r="L55" s="741">
        <f t="shared" si="54"/>
        <v>8.91</v>
      </c>
      <c r="M55" s="741">
        <f t="shared" si="54"/>
        <v>8.91</v>
      </c>
      <c r="N55" s="741">
        <f t="shared" ref="N55:U55" si="55">$E$55*N53*N5*12</f>
        <v>52.271999999999998</v>
      </c>
      <c r="O55" s="741">
        <f t="shared" si="55"/>
        <v>71.874000000000009</v>
      </c>
      <c r="P55" s="741">
        <f t="shared" si="55"/>
        <v>79.061400000000006</v>
      </c>
      <c r="Q55" s="741">
        <f t="shared" si="55"/>
        <v>86.96754</v>
      </c>
      <c r="R55" s="741">
        <f t="shared" si="55"/>
        <v>95.664294000000012</v>
      </c>
      <c r="S55" s="741">
        <f t="shared" si="55"/>
        <v>105.2307234</v>
      </c>
      <c r="T55" s="741">
        <f t="shared" si="55"/>
        <v>115.75379574000002</v>
      </c>
      <c r="U55" s="741">
        <f t="shared" si="55"/>
        <v>127.329175314</v>
      </c>
      <c r="V55" s="731">
        <f>SUM(F55:U55)</f>
        <v>791.39292845399996</v>
      </c>
    </row>
    <row r="56" spans="1:22">
      <c r="A56" s="770" t="s">
        <v>184</v>
      </c>
      <c r="B56" s="770"/>
      <c r="C56" s="741"/>
      <c r="D56" s="784">
        <v>0.15</v>
      </c>
      <c r="E56" s="742">
        <f>D56*E55</f>
        <v>4.4999999999999998E-2</v>
      </c>
      <c r="F56" s="741">
        <f t="shared" ref="F56:M56" si="56">$E$56*F53*F5*3</f>
        <v>0.81</v>
      </c>
      <c r="G56" s="741">
        <f t="shared" si="56"/>
        <v>0.81</v>
      </c>
      <c r="H56" s="741">
        <f t="shared" si="56"/>
        <v>0.81</v>
      </c>
      <c r="I56" s="741">
        <f t="shared" si="56"/>
        <v>0.81</v>
      </c>
      <c r="J56" s="741">
        <f t="shared" si="56"/>
        <v>1.3365</v>
      </c>
      <c r="K56" s="741">
        <f t="shared" si="56"/>
        <v>1.3365</v>
      </c>
      <c r="L56" s="741">
        <f t="shared" si="56"/>
        <v>1.3365</v>
      </c>
      <c r="M56" s="741">
        <f t="shared" si="56"/>
        <v>1.3365</v>
      </c>
      <c r="N56" s="741">
        <f t="shared" ref="N56:U56" si="57">$E$56*N53*N5*12</f>
        <v>7.8408000000000015</v>
      </c>
      <c r="O56" s="741">
        <f t="shared" si="57"/>
        <v>10.7811</v>
      </c>
      <c r="P56" s="741">
        <f t="shared" si="57"/>
        <v>11.859210000000001</v>
      </c>
      <c r="Q56" s="741">
        <f t="shared" si="57"/>
        <v>13.045131000000001</v>
      </c>
      <c r="R56" s="741">
        <f t="shared" si="57"/>
        <v>14.349644100000001</v>
      </c>
      <c r="S56" s="741">
        <f t="shared" si="57"/>
        <v>15.784608509999998</v>
      </c>
      <c r="T56" s="741">
        <f t="shared" si="57"/>
        <v>17.363069361000001</v>
      </c>
      <c r="U56" s="741">
        <f t="shared" si="57"/>
        <v>19.099376297100001</v>
      </c>
      <c r="V56" s="731">
        <f t="shared" ref="V56:V62" si="58">SUM(F56:U56)</f>
        <v>118.70893926810001</v>
      </c>
    </row>
    <row r="57" spans="1:22">
      <c r="A57" s="770" t="s">
        <v>545</v>
      </c>
      <c r="B57" s="770"/>
      <c r="C57" s="741"/>
      <c r="D57" s="784"/>
      <c r="E57" s="785"/>
      <c r="F57" s="741">
        <f>'No. of people trained '!F153</f>
        <v>0.75749999999999984</v>
      </c>
      <c r="G57" s="741">
        <f>'No. of people trained '!G153</f>
        <v>0.75749999999999984</v>
      </c>
      <c r="H57" s="741">
        <f>'No. of people trained '!H153</f>
        <v>0.75749999999999984</v>
      </c>
      <c r="I57" s="741">
        <f>'No. of people trained '!I153</f>
        <v>0.75749999999999984</v>
      </c>
      <c r="J57" s="741">
        <f>'No. of people trained '!J153</f>
        <v>1.4107500000000002</v>
      </c>
      <c r="K57" s="741">
        <f>'No. of people trained '!K153</f>
        <v>1.4107500000000002</v>
      </c>
      <c r="L57" s="741">
        <f>'No. of people trained '!L153</f>
        <v>1.4107500000000002</v>
      </c>
      <c r="M57" s="741">
        <f>'No. of people trained '!M153</f>
        <v>1.4107500000000002</v>
      </c>
      <c r="N57" s="741">
        <f>'No. of people trained '!N153</f>
        <v>9.1113</v>
      </c>
      <c r="O57" s="741">
        <f>'No. of people trained '!O153</f>
        <v>21.229450000000003</v>
      </c>
      <c r="P57" s="741">
        <f>'No. of people trained '!P153</f>
        <v>23.352395000000008</v>
      </c>
      <c r="Q57" s="741">
        <f>'No. of people trained '!Q153</f>
        <v>25.687634500000009</v>
      </c>
      <c r="R57" s="741">
        <f>'No. of people trained '!R153</f>
        <v>28.25639795</v>
      </c>
      <c r="S57" s="741">
        <f>'No. of people trained '!S153</f>
        <v>31.082037744999997</v>
      </c>
      <c r="T57" s="741">
        <f>'No. of people trained '!T153</f>
        <v>34.190241519499999</v>
      </c>
      <c r="U57" s="741">
        <f>'No. of people trained '!U153</f>
        <v>37.609265671450004</v>
      </c>
      <c r="V57" s="731">
        <f t="shared" si="58"/>
        <v>219.19172238595004</v>
      </c>
    </row>
    <row r="58" spans="1:22">
      <c r="A58" s="770" t="s">
        <v>509</v>
      </c>
      <c r="B58" s="770"/>
      <c r="C58" s="741"/>
      <c r="D58" s="741"/>
      <c r="E58" s="775">
        <v>0.02</v>
      </c>
      <c r="F58" s="741">
        <f t="shared" ref="F58:M58" si="59">$E$58*F53*F5*3</f>
        <v>0.36</v>
      </c>
      <c r="G58" s="741">
        <f t="shared" si="59"/>
        <v>0.36</v>
      </c>
      <c r="H58" s="741">
        <f t="shared" si="59"/>
        <v>0.36</v>
      </c>
      <c r="I58" s="741">
        <f t="shared" si="59"/>
        <v>0.36</v>
      </c>
      <c r="J58" s="741">
        <f t="shared" si="59"/>
        <v>0.59400000000000008</v>
      </c>
      <c r="K58" s="741">
        <f t="shared" si="59"/>
        <v>0.59400000000000008</v>
      </c>
      <c r="L58" s="741">
        <f t="shared" si="59"/>
        <v>0.59400000000000008</v>
      </c>
      <c r="M58" s="741">
        <f t="shared" si="59"/>
        <v>0.59400000000000008</v>
      </c>
      <c r="N58" s="741">
        <f t="shared" ref="N58:U58" si="60">$E$58*N53*N5*12</f>
        <v>3.4848000000000008</v>
      </c>
      <c r="O58" s="741">
        <f t="shared" si="60"/>
        <v>4.7916000000000007</v>
      </c>
      <c r="P58" s="741">
        <f t="shared" si="60"/>
        <v>5.270760000000001</v>
      </c>
      <c r="Q58" s="741">
        <f t="shared" si="60"/>
        <v>5.7978360000000002</v>
      </c>
      <c r="R58" s="741">
        <f t="shared" si="60"/>
        <v>6.3776196000000001</v>
      </c>
      <c r="S58" s="741">
        <f t="shared" si="60"/>
        <v>7.0153815599999998</v>
      </c>
      <c r="T58" s="741">
        <f t="shared" si="60"/>
        <v>7.7169197159999996</v>
      </c>
      <c r="U58" s="741">
        <f t="shared" si="60"/>
        <v>8.4886116876000006</v>
      </c>
      <c r="V58" s="731">
        <f t="shared" si="58"/>
        <v>52.7595285636</v>
      </c>
    </row>
    <row r="59" spans="1:22">
      <c r="A59" s="770" t="s">
        <v>186</v>
      </c>
      <c r="B59" s="770"/>
      <c r="C59" s="741"/>
      <c r="D59" s="741"/>
      <c r="E59" s="775">
        <v>0.05</v>
      </c>
      <c r="F59" s="741">
        <f t="shared" ref="F59:M59" si="61">$E$59*F53*F5*3</f>
        <v>0.90000000000000013</v>
      </c>
      <c r="G59" s="741">
        <f t="shared" si="61"/>
        <v>0.90000000000000013</v>
      </c>
      <c r="H59" s="741">
        <f t="shared" si="61"/>
        <v>0.90000000000000013</v>
      </c>
      <c r="I59" s="741">
        <f t="shared" si="61"/>
        <v>0.90000000000000013</v>
      </c>
      <c r="J59" s="741">
        <f t="shared" si="61"/>
        <v>1.4850000000000001</v>
      </c>
      <c r="K59" s="741">
        <f t="shared" si="61"/>
        <v>1.4850000000000001</v>
      </c>
      <c r="L59" s="741">
        <f t="shared" si="61"/>
        <v>1.4850000000000001</v>
      </c>
      <c r="M59" s="741">
        <f t="shared" si="61"/>
        <v>1.4850000000000001</v>
      </c>
      <c r="N59" s="741">
        <f t="shared" ref="N59:U59" si="62">$E$59*N53*N5*12</f>
        <v>8.7120000000000033</v>
      </c>
      <c r="O59" s="741">
        <f t="shared" si="62"/>
        <v>11.979000000000001</v>
      </c>
      <c r="P59" s="741">
        <f t="shared" si="62"/>
        <v>13.176900000000002</v>
      </c>
      <c r="Q59" s="741">
        <f t="shared" si="62"/>
        <v>14.494590000000002</v>
      </c>
      <c r="R59" s="741">
        <f t="shared" si="62"/>
        <v>15.944049000000001</v>
      </c>
      <c r="S59" s="741">
        <f t="shared" si="62"/>
        <v>17.5384539</v>
      </c>
      <c r="T59" s="741">
        <f t="shared" si="62"/>
        <v>19.292299290000003</v>
      </c>
      <c r="U59" s="741">
        <f t="shared" si="62"/>
        <v>21.221529219000004</v>
      </c>
      <c r="V59" s="731">
        <f t="shared" si="58"/>
        <v>131.89882140900002</v>
      </c>
    </row>
    <row r="60" spans="1:22">
      <c r="A60" s="770" t="s">
        <v>513</v>
      </c>
      <c r="B60" s="770"/>
      <c r="C60" s="741"/>
      <c r="D60" s="784">
        <v>0.1</v>
      </c>
      <c r="E60" s="742">
        <f>D60*E55</f>
        <v>0.03</v>
      </c>
      <c r="F60" s="741">
        <f t="shared" ref="F60:M60" si="63">$E$60*F53*F5*3</f>
        <v>0.54</v>
      </c>
      <c r="G60" s="741">
        <f t="shared" si="63"/>
        <v>0.54</v>
      </c>
      <c r="H60" s="741">
        <f t="shared" si="63"/>
        <v>0.54</v>
      </c>
      <c r="I60" s="741">
        <f t="shared" si="63"/>
        <v>0.54</v>
      </c>
      <c r="J60" s="741">
        <f t="shared" si="63"/>
        <v>0.89100000000000013</v>
      </c>
      <c r="K60" s="741">
        <f t="shared" si="63"/>
        <v>0.89100000000000013</v>
      </c>
      <c r="L60" s="741">
        <f t="shared" si="63"/>
        <v>0.89100000000000013</v>
      </c>
      <c r="M60" s="741">
        <f t="shared" si="63"/>
        <v>0.89100000000000013</v>
      </c>
      <c r="N60" s="741">
        <f t="shared" ref="N60:U60" si="64">$E$60*N53*N5*12</f>
        <v>5.2272000000000007</v>
      </c>
      <c r="O60" s="741">
        <f t="shared" si="64"/>
        <v>7.1874000000000002</v>
      </c>
      <c r="P60" s="741">
        <f t="shared" si="64"/>
        <v>7.9061400000000006</v>
      </c>
      <c r="Q60" s="741">
        <f t="shared" si="64"/>
        <v>8.6967540000000003</v>
      </c>
      <c r="R60" s="741">
        <f t="shared" si="64"/>
        <v>9.5664294000000005</v>
      </c>
      <c r="S60" s="741">
        <f t="shared" si="64"/>
        <v>10.523072339999999</v>
      </c>
      <c r="T60" s="741">
        <f t="shared" si="64"/>
        <v>11.575379574000001</v>
      </c>
      <c r="U60" s="741">
        <f t="shared" si="64"/>
        <v>12.732917531399998</v>
      </c>
      <c r="V60" s="731">
        <f t="shared" si="58"/>
        <v>79.139292845400007</v>
      </c>
    </row>
    <row r="61" spans="1:22">
      <c r="A61" s="770" t="s">
        <v>581</v>
      </c>
      <c r="B61" s="770"/>
      <c r="C61" s="741"/>
      <c r="D61" s="786"/>
      <c r="E61" s="775"/>
      <c r="F61" s="741">
        <f>F168</f>
        <v>5.2478999999999996</v>
      </c>
      <c r="G61" s="741">
        <f t="shared" ref="G61:U61" si="65">G168</f>
        <v>0</v>
      </c>
      <c r="H61" s="741">
        <f t="shared" si="65"/>
        <v>0</v>
      </c>
      <c r="I61" s="741">
        <f t="shared" si="65"/>
        <v>0</v>
      </c>
      <c r="J61" s="741">
        <f t="shared" si="65"/>
        <v>3.7934820000000014</v>
      </c>
      <c r="K61" s="741">
        <f t="shared" si="65"/>
        <v>0</v>
      </c>
      <c r="L61" s="741">
        <f t="shared" si="65"/>
        <v>0</v>
      </c>
      <c r="M61" s="741">
        <f t="shared" si="65"/>
        <v>0</v>
      </c>
      <c r="N61" s="741">
        <f t="shared" si="65"/>
        <v>4.8985398000000018</v>
      </c>
      <c r="O61" s="741">
        <f t="shared" si="65"/>
        <v>4.3905430800000005</v>
      </c>
      <c r="P61" s="741">
        <f t="shared" si="65"/>
        <v>0</v>
      </c>
      <c r="Q61" s="741">
        <f t="shared" si="65"/>
        <v>0</v>
      </c>
      <c r="R61" s="741">
        <f t="shared" si="65"/>
        <v>0</v>
      </c>
      <c r="S61" s="741">
        <f t="shared" si="65"/>
        <v>0</v>
      </c>
      <c r="T61" s="741">
        <f t="shared" si="65"/>
        <v>0</v>
      </c>
      <c r="U61" s="741">
        <f t="shared" si="65"/>
        <v>0</v>
      </c>
      <c r="V61" s="731">
        <f t="shared" si="58"/>
        <v>18.330464880000001</v>
      </c>
    </row>
    <row r="62" spans="1:22">
      <c r="A62" s="770" t="s">
        <v>597</v>
      </c>
      <c r="B62" s="770"/>
      <c r="C62" s="741"/>
      <c r="D62" s="786"/>
      <c r="E62" s="775"/>
      <c r="F62" s="741">
        <f>F167</f>
        <v>5.2500000000000018</v>
      </c>
      <c r="G62" s="741">
        <f t="shared" ref="G62:U62" si="66">G167</f>
        <v>0</v>
      </c>
      <c r="H62" s="741">
        <f t="shared" si="66"/>
        <v>0</v>
      </c>
      <c r="I62" s="741">
        <f t="shared" si="66"/>
        <v>0</v>
      </c>
      <c r="J62" s="741">
        <f t="shared" si="66"/>
        <v>3.7950000000000004</v>
      </c>
      <c r="K62" s="741">
        <f t="shared" si="66"/>
        <v>0</v>
      </c>
      <c r="L62" s="741">
        <f t="shared" si="66"/>
        <v>0</v>
      </c>
      <c r="M62" s="741">
        <f t="shared" si="66"/>
        <v>0</v>
      </c>
      <c r="N62" s="741">
        <f t="shared" si="66"/>
        <v>4.9005000000000001</v>
      </c>
      <c r="O62" s="741">
        <f t="shared" si="66"/>
        <v>4.3923000000000014</v>
      </c>
      <c r="P62" s="741">
        <f t="shared" si="66"/>
        <v>0</v>
      </c>
      <c r="Q62" s="741">
        <f t="shared" si="66"/>
        <v>0</v>
      </c>
      <c r="R62" s="741">
        <f t="shared" si="66"/>
        <v>0</v>
      </c>
      <c r="S62" s="741">
        <f t="shared" si="66"/>
        <v>0</v>
      </c>
      <c r="T62" s="741">
        <f t="shared" si="66"/>
        <v>0</v>
      </c>
      <c r="U62" s="741">
        <f t="shared" si="66"/>
        <v>0</v>
      </c>
      <c r="V62" s="731">
        <f t="shared" si="58"/>
        <v>18.337800000000005</v>
      </c>
    </row>
    <row r="63" spans="1:22">
      <c r="A63" s="726"/>
      <c r="B63" s="726"/>
      <c r="C63" s="741"/>
      <c r="D63" s="741"/>
      <c r="E63" s="741"/>
      <c r="F63" s="741"/>
      <c r="G63" s="741"/>
      <c r="H63" s="741"/>
      <c r="I63" s="741"/>
      <c r="J63" s="741"/>
      <c r="K63" s="741"/>
      <c r="L63" s="741"/>
      <c r="M63" s="741"/>
      <c r="N63" s="741"/>
      <c r="O63" s="741"/>
      <c r="P63" s="741"/>
      <c r="Q63" s="741"/>
      <c r="R63" s="741"/>
      <c r="S63" s="741"/>
      <c r="T63" s="741"/>
      <c r="U63" s="741"/>
      <c r="V63" s="731"/>
    </row>
    <row r="64" spans="1:22" s="712" customFormat="1">
      <c r="A64" s="799" t="s">
        <v>526</v>
      </c>
      <c r="B64" s="799"/>
      <c r="C64" s="799"/>
      <c r="D64" s="737"/>
      <c r="E64" s="737">
        <f t="shared" ref="E64:U64" si="67">SUM(E55:E63)</f>
        <v>0.44499999999999995</v>
      </c>
      <c r="F64" s="737">
        <f t="shared" si="67"/>
        <v>19.2654</v>
      </c>
      <c r="G64" s="737">
        <f t="shared" si="67"/>
        <v>8.7674999999999983</v>
      </c>
      <c r="H64" s="737">
        <f t="shared" si="67"/>
        <v>8.7674999999999983</v>
      </c>
      <c r="I64" s="737">
        <f t="shared" si="67"/>
        <v>8.7674999999999983</v>
      </c>
      <c r="J64" s="737">
        <f t="shared" si="67"/>
        <v>22.215732000000003</v>
      </c>
      <c r="K64" s="737">
        <f t="shared" si="67"/>
        <v>14.62725</v>
      </c>
      <c r="L64" s="737">
        <f t="shared" si="67"/>
        <v>14.62725</v>
      </c>
      <c r="M64" s="737">
        <f t="shared" si="67"/>
        <v>14.62725</v>
      </c>
      <c r="N64" s="737">
        <f t="shared" si="67"/>
        <v>96.447139800000002</v>
      </c>
      <c r="O64" s="737">
        <f t="shared" si="67"/>
        <v>136.62539308000001</v>
      </c>
      <c r="P64" s="737">
        <f t="shared" si="67"/>
        <v>140.62680499999999</v>
      </c>
      <c r="Q64" s="737">
        <f t="shared" si="67"/>
        <v>154.68948549999999</v>
      </c>
      <c r="R64" s="737">
        <f t="shared" si="67"/>
        <v>170.15843405000004</v>
      </c>
      <c r="S64" s="737">
        <f t="shared" si="67"/>
        <v>187.17427745500001</v>
      </c>
      <c r="T64" s="737">
        <f t="shared" si="67"/>
        <v>205.89170520050004</v>
      </c>
      <c r="U64" s="737">
        <f t="shared" si="67"/>
        <v>226.48087572055005</v>
      </c>
      <c r="V64" s="738">
        <f>SUM(V55:V60)</f>
        <v>1393.09123292605</v>
      </c>
    </row>
    <row r="65" spans="1:23" s="743" customFormat="1">
      <c r="A65" s="787"/>
      <c r="B65" s="787"/>
      <c r="C65" s="741"/>
      <c r="D65" s="741"/>
      <c r="E65" s="741"/>
      <c r="F65" s="741"/>
      <c r="G65" s="741"/>
      <c r="H65" s="741"/>
      <c r="I65" s="741"/>
      <c r="J65" s="741"/>
      <c r="K65" s="741"/>
      <c r="L65" s="741"/>
      <c r="M65" s="741"/>
      <c r="N65" s="741"/>
      <c r="O65" s="741"/>
      <c r="P65" s="741"/>
      <c r="Q65" s="741"/>
      <c r="R65" s="741"/>
      <c r="S65" s="741"/>
      <c r="T65" s="741"/>
      <c r="U65" s="741"/>
      <c r="V65" s="742"/>
    </row>
    <row r="66" spans="1:23" s="712" customFormat="1">
      <c r="A66" s="799" t="s">
        <v>431</v>
      </c>
      <c r="B66" s="799"/>
      <c r="C66" s="799"/>
      <c r="D66" s="737"/>
      <c r="E66" s="737"/>
      <c r="F66" s="737">
        <f>F49+F64</f>
        <v>25.474199999999996</v>
      </c>
      <c r="G66" s="737">
        <f t="shared" ref="G66:U66" si="68">G49+G64</f>
        <v>11.977499999999997</v>
      </c>
      <c r="H66" s="737">
        <f t="shared" si="68"/>
        <v>11.977499999999997</v>
      </c>
      <c r="I66" s="737">
        <f t="shared" si="68"/>
        <v>11.977499999999997</v>
      </c>
      <c r="J66" s="737">
        <f t="shared" si="68"/>
        <v>25.746732000000002</v>
      </c>
      <c r="K66" s="737">
        <f t="shared" si="68"/>
        <v>18.158250000000002</v>
      </c>
      <c r="L66" s="737">
        <f t="shared" si="68"/>
        <v>18.158250000000002</v>
      </c>
      <c r="M66" s="737">
        <f t="shared" si="68"/>
        <v>18.158250000000002</v>
      </c>
      <c r="N66" s="737">
        <f t="shared" si="68"/>
        <v>111.9835398</v>
      </c>
      <c r="O66" s="737">
        <f t="shared" si="68"/>
        <v>153.71543308000003</v>
      </c>
      <c r="P66" s="737">
        <f t="shared" si="68"/>
        <v>159.425849</v>
      </c>
      <c r="Q66" s="737">
        <f t="shared" si="68"/>
        <v>175.36843389999999</v>
      </c>
      <c r="R66" s="737">
        <f t="shared" si="68"/>
        <v>192.90527729000004</v>
      </c>
      <c r="S66" s="737">
        <f t="shared" si="68"/>
        <v>212.19580501900001</v>
      </c>
      <c r="T66" s="737">
        <f t="shared" si="68"/>
        <v>233.41538552090003</v>
      </c>
      <c r="U66" s="737">
        <f t="shared" si="68"/>
        <v>256.75692407299005</v>
      </c>
      <c r="V66" s="738">
        <f>SUM(V58:V64)</f>
        <v>1693.5571406240501</v>
      </c>
    </row>
    <row r="67" spans="1:23" s="743" customFormat="1">
      <c r="A67" s="787"/>
      <c r="B67" s="787"/>
      <c r="C67" s="787"/>
      <c r="D67" s="741"/>
      <c r="E67" s="741"/>
      <c r="F67" s="741"/>
      <c r="G67" s="741"/>
      <c r="H67" s="741"/>
      <c r="I67" s="741"/>
      <c r="J67" s="741"/>
      <c r="K67" s="741"/>
      <c r="L67" s="741"/>
      <c r="M67" s="741"/>
      <c r="N67" s="741"/>
      <c r="O67" s="741"/>
      <c r="P67" s="741"/>
      <c r="Q67" s="741"/>
      <c r="R67" s="741"/>
      <c r="S67" s="741"/>
      <c r="T67" s="741"/>
      <c r="U67" s="741"/>
      <c r="V67" s="742"/>
    </row>
    <row r="68" spans="1:23" s="712" customFormat="1">
      <c r="A68" s="754" t="s">
        <v>527</v>
      </c>
      <c r="B68" s="754"/>
      <c r="C68" s="754"/>
      <c r="D68" s="754"/>
      <c r="E68" s="737">
        <f t="shared" ref="E68:U68" si="69">E19+E49</f>
        <v>4.07</v>
      </c>
      <c r="F68" s="737">
        <f t="shared" si="69"/>
        <v>15.208799999999998</v>
      </c>
      <c r="G68" s="737">
        <f t="shared" si="69"/>
        <v>12.209999999999999</v>
      </c>
      <c r="H68" s="737">
        <f t="shared" si="69"/>
        <v>12.209999999999999</v>
      </c>
      <c r="I68" s="737">
        <f t="shared" si="69"/>
        <v>12.209999999999999</v>
      </c>
      <c r="J68" s="737">
        <f t="shared" si="69"/>
        <v>13.430999999999999</v>
      </c>
      <c r="K68" s="737">
        <f t="shared" si="69"/>
        <v>13.430999999999999</v>
      </c>
      <c r="L68" s="737">
        <f t="shared" si="69"/>
        <v>13.430999999999999</v>
      </c>
      <c r="M68" s="737">
        <f t="shared" si="69"/>
        <v>13.430999999999999</v>
      </c>
      <c r="N68" s="737">
        <f t="shared" si="69"/>
        <v>59.096400000000017</v>
      </c>
      <c r="O68" s="737">
        <f t="shared" si="69"/>
        <v>65.006040000000013</v>
      </c>
      <c r="P68" s="737">
        <f t="shared" si="69"/>
        <v>71.506643999999994</v>
      </c>
      <c r="Q68" s="737">
        <f t="shared" si="69"/>
        <v>78.657308400000005</v>
      </c>
      <c r="R68" s="737">
        <f t="shared" si="69"/>
        <v>86.523039240000017</v>
      </c>
      <c r="S68" s="737">
        <f t="shared" si="69"/>
        <v>95.175343163999997</v>
      </c>
      <c r="T68" s="737">
        <f t="shared" si="69"/>
        <v>104.69287748040003</v>
      </c>
      <c r="U68" s="737">
        <f t="shared" si="69"/>
        <v>115.16216522844002</v>
      </c>
      <c r="V68" s="750">
        <f>SUM(F68:U68)</f>
        <v>781.38261751284006</v>
      </c>
    </row>
    <row r="69" spans="1:23" s="743" customFormat="1">
      <c r="A69" s="723"/>
      <c r="B69" s="723"/>
      <c r="C69" s="723"/>
      <c r="D69" s="723"/>
      <c r="E69" s="741"/>
      <c r="F69" s="741"/>
      <c r="G69" s="741"/>
      <c r="H69" s="741"/>
      <c r="I69" s="741"/>
      <c r="J69" s="741"/>
      <c r="K69" s="741"/>
      <c r="L69" s="741"/>
      <c r="M69" s="741"/>
      <c r="N69" s="741"/>
      <c r="O69" s="741"/>
      <c r="P69" s="741"/>
      <c r="Q69" s="741"/>
      <c r="R69" s="741"/>
      <c r="S69" s="741"/>
      <c r="T69" s="741"/>
      <c r="U69" s="741"/>
      <c r="V69" s="752"/>
    </row>
    <row r="70" spans="1:23" s="712" customFormat="1">
      <c r="A70" s="754" t="s">
        <v>493</v>
      </c>
      <c r="B70" s="754"/>
      <c r="C70" s="754"/>
      <c r="D70" s="754"/>
      <c r="E70" s="737">
        <f>E31+E64</f>
        <v>0.88500000000000001</v>
      </c>
      <c r="F70" s="737">
        <f>F31+F64</f>
        <v>42.935400000000001</v>
      </c>
      <c r="G70" s="737">
        <f t="shared" ref="G70:U70" si="70">G21+G51</f>
        <v>0</v>
      </c>
      <c r="H70" s="737">
        <f t="shared" si="70"/>
        <v>0</v>
      </c>
      <c r="I70" s="737">
        <f t="shared" si="70"/>
        <v>0</v>
      </c>
      <c r="J70" s="737">
        <f t="shared" si="70"/>
        <v>0</v>
      </c>
      <c r="K70" s="737">
        <f t="shared" si="70"/>
        <v>0</v>
      </c>
      <c r="L70" s="737">
        <f t="shared" si="70"/>
        <v>0</v>
      </c>
      <c r="M70" s="737">
        <f t="shared" si="70"/>
        <v>0</v>
      </c>
      <c r="N70" s="737">
        <f t="shared" si="70"/>
        <v>0</v>
      </c>
      <c r="O70" s="737">
        <f t="shared" si="70"/>
        <v>0</v>
      </c>
      <c r="P70" s="737">
        <f t="shared" si="70"/>
        <v>0</v>
      </c>
      <c r="Q70" s="737">
        <f t="shared" si="70"/>
        <v>0</v>
      </c>
      <c r="R70" s="737">
        <f t="shared" si="70"/>
        <v>0</v>
      </c>
      <c r="S70" s="737">
        <f t="shared" si="70"/>
        <v>0</v>
      </c>
      <c r="T70" s="737">
        <f t="shared" si="70"/>
        <v>0</v>
      </c>
      <c r="U70" s="737">
        <f t="shared" si="70"/>
        <v>0</v>
      </c>
      <c r="V70" s="750">
        <f>SUM(F70:U70)</f>
        <v>42.935400000000001</v>
      </c>
    </row>
    <row r="71" spans="1:23" s="743" customFormat="1">
      <c r="A71" s="723"/>
      <c r="B71" s="723"/>
      <c r="C71" s="723"/>
      <c r="D71" s="723"/>
      <c r="E71" s="741"/>
      <c r="F71" s="741"/>
      <c r="G71" s="741"/>
      <c r="H71" s="741"/>
      <c r="I71" s="741"/>
      <c r="J71" s="741"/>
      <c r="K71" s="741"/>
      <c r="L71" s="741"/>
      <c r="M71" s="741"/>
      <c r="N71" s="741"/>
      <c r="O71" s="741"/>
      <c r="P71" s="741"/>
      <c r="Q71" s="741"/>
      <c r="R71" s="741"/>
      <c r="S71" s="741"/>
      <c r="T71" s="741"/>
      <c r="U71" s="741"/>
      <c r="V71" s="752"/>
    </row>
    <row r="73" spans="1:23" s="743" customFormat="1">
      <c r="C73" s="788"/>
      <c r="D73" s="788"/>
      <c r="E73" s="788"/>
      <c r="F73" s="583"/>
      <c r="G73" s="583"/>
      <c r="H73" s="583"/>
      <c r="I73" s="583"/>
      <c r="J73" s="602"/>
      <c r="K73" s="602"/>
      <c r="L73" s="602"/>
      <c r="M73" s="602"/>
      <c r="N73" s="602"/>
      <c r="O73" s="602"/>
      <c r="P73" s="602"/>
      <c r="Q73" s="602"/>
      <c r="R73" s="602"/>
      <c r="S73" s="602"/>
      <c r="T73" s="602"/>
      <c r="U73" s="602"/>
      <c r="V73" s="742"/>
    </row>
    <row r="74" spans="1:23" s="789" customFormat="1" ht="26.25">
      <c r="A74" s="800" t="s">
        <v>595</v>
      </c>
      <c r="B74" s="800"/>
      <c r="C74" s="800"/>
      <c r="D74" s="800"/>
      <c r="E74" s="800"/>
      <c r="F74" s="800"/>
      <c r="G74" s="800"/>
      <c r="H74" s="800"/>
      <c r="I74" s="800"/>
      <c r="J74" s="800"/>
      <c r="K74" s="800"/>
      <c r="L74" s="800"/>
      <c r="M74" s="800"/>
      <c r="N74" s="800"/>
      <c r="O74" s="800"/>
      <c r="P74" s="800"/>
      <c r="Q74" s="800"/>
      <c r="R74" s="800"/>
      <c r="S74" s="800"/>
      <c r="T74" s="800"/>
      <c r="U74" s="800"/>
      <c r="V74" s="800"/>
      <c r="W74" s="800"/>
    </row>
    <row r="75" spans="1:23" s="791" customFormat="1">
      <c r="C75" s="790"/>
      <c r="D75" s="790"/>
      <c r="E75" s="790"/>
      <c r="V75" s="792"/>
    </row>
    <row r="76" spans="1:23" s="791" customFormat="1" ht="15.75" customHeight="1">
      <c r="A76" s="791" t="str">
        <f>'Key Assumptions'!B89</f>
        <v>Hospitality course : House keeping (60 Days, 240 hrs)</v>
      </c>
      <c r="D76" s="790" t="s">
        <v>599</v>
      </c>
      <c r="F76" s="794">
        <f>'Key Assumptions'!F107</f>
        <v>4</v>
      </c>
      <c r="G76" s="794">
        <f>'Key Assumptions'!G107</f>
        <v>0</v>
      </c>
      <c r="H76" s="794">
        <f>'Key Assumptions'!H107</f>
        <v>0</v>
      </c>
      <c r="I76" s="794">
        <f>'Key Assumptions'!I107</f>
        <v>0</v>
      </c>
      <c r="J76" s="794">
        <f>'Key Assumptions'!J107</f>
        <v>3</v>
      </c>
      <c r="K76" s="794">
        <f>'Key Assumptions'!K107</f>
        <v>0</v>
      </c>
      <c r="L76" s="794">
        <f>'Key Assumptions'!L107</f>
        <v>0</v>
      </c>
      <c r="M76" s="794">
        <f>'Key Assumptions'!M107</f>
        <v>0</v>
      </c>
      <c r="N76" s="794">
        <f>'Key Assumptions'!N107</f>
        <v>3</v>
      </c>
      <c r="O76" s="794">
        <f>'Key Assumptions'!O107</f>
        <v>2</v>
      </c>
      <c r="P76" s="794">
        <f>'Key Assumptions'!P107</f>
        <v>0</v>
      </c>
      <c r="Q76" s="794">
        <f>'Key Assumptions'!Q107</f>
        <v>0</v>
      </c>
      <c r="R76" s="794">
        <f>'Key Assumptions'!R107</f>
        <v>0</v>
      </c>
      <c r="S76" s="794">
        <f>'Key Assumptions'!S107</f>
        <v>0</v>
      </c>
      <c r="T76" s="794">
        <f>'Key Assumptions'!T107</f>
        <v>0</v>
      </c>
      <c r="U76" s="794">
        <f>'Key Assumptions'!U107</f>
        <v>0</v>
      </c>
      <c r="V76" s="796"/>
    </row>
    <row r="77" spans="1:23" s="791" customFormat="1" ht="15.75" customHeight="1">
      <c r="D77" s="790" t="s">
        <v>532</v>
      </c>
      <c r="E77" s="795" t="s">
        <v>598</v>
      </c>
      <c r="F77" s="794">
        <f>'Key Assumptions'!F108</f>
        <v>4</v>
      </c>
      <c r="G77" s="794">
        <f>'Key Assumptions'!G108</f>
        <v>4</v>
      </c>
      <c r="H77" s="794">
        <f>'Key Assumptions'!H108</f>
        <v>4</v>
      </c>
      <c r="I77" s="794">
        <f>'Key Assumptions'!I108</f>
        <v>4</v>
      </c>
      <c r="J77" s="794">
        <f>'Key Assumptions'!J108</f>
        <v>7</v>
      </c>
      <c r="K77" s="794">
        <f>'Key Assumptions'!K108</f>
        <v>7</v>
      </c>
      <c r="L77" s="794">
        <f>'Key Assumptions'!L108</f>
        <v>7</v>
      </c>
      <c r="M77" s="794">
        <f>'Key Assumptions'!M108</f>
        <v>7</v>
      </c>
      <c r="N77" s="794">
        <f>'Key Assumptions'!N108</f>
        <v>10</v>
      </c>
      <c r="O77" s="794">
        <f>'Key Assumptions'!O108</f>
        <v>12</v>
      </c>
      <c r="P77" s="794">
        <f>'Key Assumptions'!P108</f>
        <v>12</v>
      </c>
      <c r="Q77" s="794">
        <f>'Key Assumptions'!Q108</f>
        <v>12</v>
      </c>
      <c r="R77" s="794">
        <f>'Key Assumptions'!R108</f>
        <v>12</v>
      </c>
      <c r="S77" s="794">
        <f>'Key Assumptions'!S108</f>
        <v>12</v>
      </c>
      <c r="T77" s="794">
        <f>'Key Assumptions'!T108</f>
        <v>12</v>
      </c>
      <c r="U77" s="794">
        <f>'Key Assumptions'!U108</f>
        <v>12</v>
      </c>
      <c r="V77" s="794"/>
    </row>
    <row r="78" spans="1:23" s="791" customFormat="1" ht="15.75" customHeight="1">
      <c r="A78" s="791" t="s">
        <v>596</v>
      </c>
      <c r="D78" s="790"/>
      <c r="E78" s="793">
        <v>0.15</v>
      </c>
      <c r="F78" s="794">
        <f t="shared" ref="F78:M78" si="71">$E$78*F77*F5*3</f>
        <v>1.7999999999999998</v>
      </c>
      <c r="G78" s="794">
        <f t="shared" si="71"/>
        <v>1.7999999999999998</v>
      </c>
      <c r="H78" s="794">
        <f t="shared" si="71"/>
        <v>1.7999999999999998</v>
      </c>
      <c r="I78" s="794">
        <f t="shared" si="71"/>
        <v>1.7999999999999998</v>
      </c>
      <c r="J78" s="794">
        <f t="shared" si="71"/>
        <v>3.4650000000000007</v>
      </c>
      <c r="K78" s="794">
        <f t="shared" si="71"/>
        <v>3.4650000000000007</v>
      </c>
      <c r="L78" s="794">
        <f t="shared" si="71"/>
        <v>3.4650000000000007</v>
      </c>
      <c r="M78" s="794">
        <f t="shared" si="71"/>
        <v>3.4650000000000007</v>
      </c>
      <c r="N78" s="794">
        <f t="shared" ref="N78:U78" si="72">$E$78*N77*N5*12</f>
        <v>21.780000000000005</v>
      </c>
      <c r="O78" s="794">
        <f t="shared" si="72"/>
        <v>28.749600000000001</v>
      </c>
      <c r="P78" s="794">
        <f t="shared" si="72"/>
        <v>31.624560000000002</v>
      </c>
      <c r="Q78" s="794">
        <f t="shared" si="72"/>
        <v>34.787016000000001</v>
      </c>
      <c r="R78" s="794">
        <f t="shared" si="72"/>
        <v>38.265717600000002</v>
      </c>
      <c r="S78" s="794">
        <f t="shared" si="72"/>
        <v>42.092289359999995</v>
      </c>
      <c r="T78" s="794">
        <f t="shared" si="72"/>
        <v>46.301518296000005</v>
      </c>
      <c r="U78" s="794">
        <f t="shared" si="72"/>
        <v>50.931670125599993</v>
      </c>
      <c r="V78" s="796">
        <f>SUM(F78:U78)</f>
        <v>315.59237138159995</v>
      </c>
    </row>
    <row r="79" spans="1:23" s="791" customFormat="1">
      <c r="A79" s="791" t="s">
        <v>597</v>
      </c>
      <c r="D79" s="793">
        <v>10</v>
      </c>
      <c r="E79" s="793">
        <v>1500</v>
      </c>
      <c r="F79" s="794">
        <f t="shared" ref="F79:U79" si="73">$D$79*$E$79*F76*F5/10^5</f>
        <v>0.6</v>
      </c>
      <c r="G79" s="794">
        <f t="shared" si="73"/>
        <v>0</v>
      </c>
      <c r="H79" s="794">
        <f t="shared" si="73"/>
        <v>0</v>
      </c>
      <c r="I79" s="794">
        <f t="shared" si="73"/>
        <v>0</v>
      </c>
      <c r="J79" s="794">
        <f t="shared" si="73"/>
        <v>0.49500000000000005</v>
      </c>
      <c r="K79" s="794">
        <f t="shared" si="73"/>
        <v>0</v>
      </c>
      <c r="L79" s="794">
        <f t="shared" si="73"/>
        <v>0</v>
      </c>
      <c r="M79" s="794">
        <f t="shared" si="73"/>
        <v>0</v>
      </c>
      <c r="N79" s="794">
        <f t="shared" si="73"/>
        <v>0.5445000000000001</v>
      </c>
      <c r="O79" s="794">
        <f t="shared" si="73"/>
        <v>0.3993000000000001</v>
      </c>
      <c r="P79" s="794">
        <f t="shared" si="73"/>
        <v>0</v>
      </c>
      <c r="Q79" s="794">
        <f t="shared" si="73"/>
        <v>0</v>
      </c>
      <c r="R79" s="794">
        <f t="shared" si="73"/>
        <v>0</v>
      </c>
      <c r="S79" s="794">
        <f t="shared" si="73"/>
        <v>0</v>
      </c>
      <c r="T79" s="794">
        <f t="shared" si="73"/>
        <v>0</v>
      </c>
      <c r="U79" s="794">
        <f t="shared" si="73"/>
        <v>0</v>
      </c>
      <c r="V79" s="796">
        <f>SUM(F79:U79)</f>
        <v>2.0388000000000002</v>
      </c>
    </row>
    <row r="80" spans="1:23" s="791" customFormat="1">
      <c r="A80" s="791" t="s">
        <v>603</v>
      </c>
      <c r="D80" s="798">
        <v>8.3299999999999999E-2</v>
      </c>
      <c r="E80" s="793"/>
      <c r="F80" s="794">
        <f t="shared" ref="F80:U80" si="74">$D$80*$E$78*12*F76*F5</f>
        <v>0.59975999999999996</v>
      </c>
      <c r="G80" s="794">
        <f t="shared" si="74"/>
        <v>0</v>
      </c>
      <c r="H80" s="794">
        <f t="shared" si="74"/>
        <v>0</v>
      </c>
      <c r="I80" s="794">
        <f t="shared" si="74"/>
        <v>0</v>
      </c>
      <c r="J80" s="794">
        <f t="shared" si="74"/>
        <v>0.49480200000000002</v>
      </c>
      <c r="K80" s="794">
        <f t="shared" si="74"/>
        <v>0</v>
      </c>
      <c r="L80" s="794">
        <f t="shared" si="74"/>
        <v>0</v>
      </c>
      <c r="M80" s="794">
        <f t="shared" si="74"/>
        <v>0</v>
      </c>
      <c r="N80" s="794">
        <f t="shared" si="74"/>
        <v>0.54428220000000005</v>
      </c>
      <c r="O80" s="794">
        <f t="shared" si="74"/>
        <v>0.39914028000000001</v>
      </c>
      <c r="P80" s="794">
        <f t="shared" si="74"/>
        <v>0</v>
      </c>
      <c r="Q80" s="794">
        <f t="shared" si="74"/>
        <v>0</v>
      </c>
      <c r="R80" s="794">
        <f t="shared" si="74"/>
        <v>0</v>
      </c>
      <c r="S80" s="794">
        <f t="shared" si="74"/>
        <v>0</v>
      </c>
      <c r="T80" s="794">
        <f t="shared" si="74"/>
        <v>0</v>
      </c>
      <c r="U80" s="794">
        <f t="shared" si="74"/>
        <v>0</v>
      </c>
      <c r="V80" s="796">
        <f>SUM(F80:U80)</f>
        <v>2.03798448</v>
      </c>
    </row>
    <row r="81" spans="1:22" s="791" customFormat="1">
      <c r="D81" s="793"/>
      <c r="E81" s="793"/>
      <c r="F81" s="794"/>
      <c r="G81" s="794"/>
      <c r="H81" s="794"/>
      <c r="I81" s="794"/>
      <c r="J81" s="794"/>
      <c r="K81" s="794"/>
      <c r="L81" s="794"/>
      <c r="M81" s="794"/>
      <c r="N81" s="794"/>
      <c r="O81" s="794"/>
      <c r="P81" s="794"/>
      <c r="Q81" s="794"/>
      <c r="R81" s="794"/>
      <c r="S81" s="794"/>
      <c r="T81" s="794"/>
      <c r="U81" s="794"/>
      <c r="V81" s="796"/>
    </row>
    <row r="82" spans="1:22" s="791" customFormat="1" ht="15.75" customHeight="1">
      <c r="A82" s="791" t="str">
        <f>'Key Assumptions'!B90</f>
        <v>Hospitality course : Front Office Management (40Days, 180 hrs)</v>
      </c>
      <c r="D82" s="790" t="s">
        <v>599</v>
      </c>
      <c r="E82" s="793"/>
      <c r="F82" s="794">
        <f>'Key Assumptions'!F110</f>
        <v>4</v>
      </c>
      <c r="G82" s="794">
        <f>'Key Assumptions'!G110</f>
        <v>0</v>
      </c>
      <c r="H82" s="794">
        <f>'Key Assumptions'!H110</f>
        <v>0</v>
      </c>
      <c r="I82" s="794">
        <f>'Key Assumptions'!I110</f>
        <v>0</v>
      </c>
      <c r="J82" s="794">
        <f>'Key Assumptions'!J110</f>
        <v>3</v>
      </c>
      <c r="K82" s="794">
        <f>'Key Assumptions'!K110</f>
        <v>0</v>
      </c>
      <c r="L82" s="794">
        <f>'Key Assumptions'!L110</f>
        <v>0</v>
      </c>
      <c r="M82" s="794">
        <f>'Key Assumptions'!M110</f>
        <v>0</v>
      </c>
      <c r="N82" s="794">
        <f>'Key Assumptions'!N110</f>
        <v>3</v>
      </c>
      <c r="O82" s="794">
        <f>'Key Assumptions'!O110</f>
        <v>2</v>
      </c>
      <c r="P82" s="794">
        <f>'Key Assumptions'!P110</f>
        <v>0</v>
      </c>
      <c r="Q82" s="794">
        <f>'Key Assumptions'!Q110</f>
        <v>0</v>
      </c>
      <c r="R82" s="794">
        <f>'Key Assumptions'!R110</f>
        <v>0</v>
      </c>
      <c r="S82" s="794">
        <f>'Key Assumptions'!S110</f>
        <v>0</v>
      </c>
      <c r="T82" s="794">
        <f>'Key Assumptions'!T110</f>
        <v>0</v>
      </c>
      <c r="U82" s="794">
        <f>'Key Assumptions'!U110</f>
        <v>0</v>
      </c>
      <c r="V82" s="796"/>
    </row>
    <row r="83" spans="1:22" s="791" customFormat="1">
      <c r="D83" s="790" t="s">
        <v>532</v>
      </c>
      <c r="E83" s="795" t="s">
        <v>598</v>
      </c>
      <c r="F83" s="794">
        <f>'Key Assumptions'!F111</f>
        <v>4</v>
      </c>
      <c r="G83" s="794">
        <f>'Key Assumptions'!G111</f>
        <v>4</v>
      </c>
      <c r="H83" s="794">
        <f>'Key Assumptions'!H111</f>
        <v>4</v>
      </c>
      <c r="I83" s="794">
        <f>'Key Assumptions'!I111</f>
        <v>4</v>
      </c>
      <c r="J83" s="794">
        <f>'Key Assumptions'!J111</f>
        <v>7</v>
      </c>
      <c r="K83" s="794">
        <f>'Key Assumptions'!K111</f>
        <v>7</v>
      </c>
      <c r="L83" s="794">
        <f>'Key Assumptions'!L111</f>
        <v>7</v>
      </c>
      <c r="M83" s="794">
        <f>'Key Assumptions'!M111</f>
        <v>7</v>
      </c>
      <c r="N83" s="794">
        <f>'Key Assumptions'!N111</f>
        <v>10</v>
      </c>
      <c r="O83" s="794">
        <f>'Key Assumptions'!O111</f>
        <v>12</v>
      </c>
      <c r="P83" s="794">
        <f>'Key Assumptions'!P111</f>
        <v>12</v>
      </c>
      <c r="Q83" s="794">
        <f>'Key Assumptions'!Q111</f>
        <v>12</v>
      </c>
      <c r="R83" s="794">
        <f>'Key Assumptions'!R111</f>
        <v>12</v>
      </c>
      <c r="S83" s="794">
        <f>'Key Assumptions'!S111</f>
        <v>12</v>
      </c>
      <c r="T83" s="794">
        <f>'Key Assumptions'!T111</f>
        <v>12</v>
      </c>
      <c r="U83" s="794">
        <f>'Key Assumptions'!U111</f>
        <v>12</v>
      </c>
      <c r="V83" s="796"/>
    </row>
    <row r="84" spans="1:22" s="791" customFormat="1">
      <c r="A84" s="791" t="s">
        <v>596</v>
      </c>
      <c r="D84" s="790"/>
      <c r="E84" s="793">
        <v>0.15</v>
      </c>
      <c r="F84" s="794">
        <f t="shared" ref="F84:M84" si="75">$E$84*F83*F5*3</f>
        <v>1.7999999999999998</v>
      </c>
      <c r="G84" s="794">
        <f t="shared" si="75"/>
        <v>1.7999999999999998</v>
      </c>
      <c r="H84" s="794">
        <f t="shared" si="75"/>
        <v>1.7999999999999998</v>
      </c>
      <c r="I84" s="794">
        <f t="shared" si="75"/>
        <v>1.7999999999999998</v>
      </c>
      <c r="J84" s="794">
        <f t="shared" si="75"/>
        <v>3.4650000000000007</v>
      </c>
      <c r="K84" s="794">
        <f t="shared" si="75"/>
        <v>3.4650000000000007</v>
      </c>
      <c r="L84" s="794">
        <f t="shared" si="75"/>
        <v>3.4650000000000007</v>
      </c>
      <c r="M84" s="794">
        <f t="shared" si="75"/>
        <v>3.4650000000000007</v>
      </c>
      <c r="N84" s="794">
        <f t="shared" ref="N84:U84" si="76">$E$84*N83*N5*12</f>
        <v>21.780000000000005</v>
      </c>
      <c r="O84" s="794">
        <f t="shared" si="76"/>
        <v>28.749600000000001</v>
      </c>
      <c r="P84" s="794">
        <f t="shared" si="76"/>
        <v>31.624560000000002</v>
      </c>
      <c r="Q84" s="794">
        <f t="shared" si="76"/>
        <v>34.787016000000001</v>
      </c>
      <c r="R84" s="794">
        <f t="shared" si="76"/>
        <v>38.265717600000002</v>
      </c>
      <c r="S84" s="794">
        <f t="shared" si="76"/>
        <v>42.092289359999995</v>
      </c>
      <c r="T84" s="794">
        <f t="shared" si="76"/>
        <v>46.301518296000005</v>
      </c>
      <c r="U84" s="794">
        <f t="shared" si="76"/>
        <v>50.931670125599993</v>
      </c>
      <c r="V84" s="796">
        <f>SUM(F84:U84)</f>
        <v>315.59237138159995</v>
      </c>
    </row>
    <row r="85" spans="1:22" s="791" customFormat="1">
      <c r="A85" s="791" t="s">
        <v>597</v>
      </c>
      <c r="D85" s="793">
        <v>10</v>
      </c>
      <c r="E85" s="793">
        <v>1500</v>
      </c>
      <c r="F85" s="794">
        <f t="shared" ref="F85:U85" si="77">$D$85*$E$85*F82*F5/10^5</f>
        <v>0.6</v>
      </c>
      <c r="G85" s="794">
        <f t="shared" si="77"/>
        <v>0</v>
      </c>
      <c r="H85" s="794">
        <f t="shared" si="77"/>
        <v>0</v>
      </c>
      <c r="I85" s="794">
        <f t="shared" si="77"/>
        <v>0</v>
      </c>
      <c r="J85" s="794">
        <f t="shared" si="77"/>
        <v>0.49500000000000005</v>
      </c>
      <c r="K85" s="794">
        <f t="shared" si="77"/>
        <v>0</v>
      </c>
      <c r="L85" s="794">
        <f t="shared" si="77"/>
        <v>0</v>
      </c>
      <c r="M85" s="794">
        <f t="shared" si="77"/>
        <v>0</v>
      </c>
      <c r="N85" s="794">
        <f t="shared" si="77"/>
        <v>0.5445000000000001</v>
      </c>
      <c r="O85" s="794">
        <f t="shared" si="77"/>
        <v>0.3993000000000001</v>
      </c>
      <c r="P85" s="794">
        <f t="shared" si="77"/>
        <v>0</v>
      </c>
      <c r="Q85" s="794">
        <f t="shared" si="77"/>
        <v>0</v>
      </c>
      <c r="R85" s="794">
        <f t="shared" si="77"/>
        <v>0</v>
      </c>
      <c r="S85" s="794">
        <f t="shared" si="77"/>
        <v>0</v>
      </c>
      <c r="T85" s="794">
        <f t="shared" si="77"/>
        <v>0</v>
      </c>
      <c r="U85" s="794">
        <f t="shared" si="77"/>
        <v>0</v>
      </c>
      <c r="V85" s="796">
        <f>SUM(F85:U85)</f>
        <v>2.0388000000000002</v>
      </c>
    </row>
    <row r="86" spans="1:22" s="791" customFormat="1">
      <c r="A86" s="791" t="s">
        <v>603</v>
      </c>
      <c r="D86" s="798">
        <v>8.3299999999999999E-2</v>
      </c>
      <c r="E86" s="793"/>
      <c r="F86" s="794">
        <f t="shared" ref="F86:U86" si="78">$D$86*$E$84*12*F82*F5</f>
        <v>0.59975999999999996</v>
      </c>
      <c r="G86" s="794">
        <f t="shared" si="78"/>
        <v>0</v>
      </c>
      <c r="H86" s="794">
        <f t="shared" si="78"/>
        <v>0</v>
      </c>
      <c r="I86" s="794">
        <f t="shared" si="78"/>
        <v>0</v>
      </c>
      <c r="J86" s="794">
        <f t="shared" si="78"/>
        <v>0.49480200000000002</v>
      </c>
      <c r="K86" s="794">
        <f t="shared" si="78"/>
        <v>0</v>
      </c>
      <c r="L86" s="794">
        <f t="shared" si="78"/>
        <v>0</v>
      </c>
      <c r="M86" s="794">
        <f t="shared" si="78"/>
        <v>0</v>
      </c>
      <c r="N86" s="794">
        <f t="shared" si="78"/>
        <v>0.54428220000000005</v>
      </c>
      <c r="O86" s="794">
        <f t="shared" si="78"/>
        <v>0.39914028000000001</v>
      </c>
      <c r="P86" s="794">
        <f t="shared" si="78"/>
        <v>0</v>
      </c>
      <c r="Q86" s="794">
        <f t="shared" si="78"/>
        <v>0</v>
      </c>
      <c r="R86" s="794">
        <f t="shared" si="78"/>
        <v>0</v>
      </c>
      <c r="S86" s="794">
        <f t="shared" si="78"/>
        <v>0</v>
      </c>
      <c r="T86" s="794">
        <f t="shared" si="78"/>
        <v>0</v>
      </c>
      <c r="U86" s="794">
        <f t="shared" si="78"/>
        <v>0</v>
      </c>
      <c r="V86" s="796">
        <f>SUM(F86:U86)</f>
        <v>2.03798448</v>
      </c>
    </row>
    <row r="87" spans="1:22" s="791" customFormat="1">
      <c r="D87" s="790"/>
      <c r="E87" s="790"/>
      <c r="F87" s="794"/>
      <c r="G87" s="794"/>
      <c r="H87" s="794"/>
      <c r="I87" s="794"/>
      <c r="J87" s="794"/>
      <c r="K87" s="794"/>
      <c r="L87" s="794"/>
      <c r="M87" s="794"/>
      <c r="N87" s="794"/>
      <c r="O87" s="794"/>
      <c r="P87" s="794"/>
      <c r="Q87" s="794"/>
      <c r="R87" s="794"/>
      <c r="S87" s="794"/>
      <c r="T87" s="794"/>
      <c r="U87" s="794"/>
      <c r="V87" s="796"/>
    </row>
    <row r="88" spans="1:22" s="791" customFormat="1" ht="15.75" customHeight="1">
      <c r="A88" s="791" t="str">
        <f>'Key Assumptions'!B91</f>
        <v>Hospitality course : Food &amp; Beverages (40 Days, 180 hrs)</v>
      </c>
      <c r="D88" s="790" t="s">
        <v>599</v>
      </c>
      <c r="E88" s="790"/>
      <c r="F88" s="794">
        <f>'Key Assumptions'!F113</f>
        <v>2</v>
      </c>
      <c r="G88" s="794">
        <f>'Key Assumptions'!G113</f>
        <v>0</v>
      </c>
      <c r="H88" s="794">
        <f>'Key Assumptions'!H113</f>
        <v>0</v>
      </c>
      <c r="I88" s="794">
        <f>'Key Assumptions'!I113</f>
        <v>0</v>
      </c>
      <c r="J88" s="794">
        <f>'Key Assumptions'!J113</f>
        <v>3</v>
      </c>
      <c r="K88" s="794">
        <f>'Key Assumptions'!K113</f>
        <v>0</v>
      </c>
      <c r="L88" s="794">
        <f>'Key Assumptions'!L113</f>
        <v>0</v>
      </c>
      <c r="M88" s="794">
        <f>'Key Assumptions'!M113</f>
        <v>0</v>
      </c>
      <c r="N88" s="794">
        <f>'Key Assumptions'!N113</f>
        <v>3</v>
      </c>
      <c r="O88" s="794">
        <f>'Key Assumptions'!O113</f>
        <v>2</v>
      </c>
      <c r="P88" s="794">
        <f>'Key Assumptions'!P113</f>
        <v>0</v>
      </c>
      <c r="Q88" s="794">
        <f>'Key Assumptions'!Q113</f>
        <v>0</v>
      </c>
      <c r="R88" s="794">
        <f>'Key Assumptions'!R113</f>
        <v>0</v>
      </c>
      <c r="S88" s="794">
        <f>'Key Assumptions'!S113</f>
        <v>0</v>
      </c>
      <c r="T88" s="794">
        <f>'Key Assumptions'!T113</f>
        <v>0</v>
      </c>
      <c r="U88" s="794">
        <f>'Key Assumptions'!U113</f>
        <v>0</v>
      </c>
      <c r="V88" s="796"/>
    </row>
    <row r="89" spans="1:22" s="791" customFormat="1">
      <c r="D89" s="790" t="s">
        <v>532</v>
      </c>
      <c r="E89" s="795" t="s">
        <v>598</v>
      </c>
      <c r="F89" s="794">
        <f>'Key Assumptions'!F114</f>
        <v>2</v>
      </c>
      <c r="G89" s="794">
        <f>'Key Assumptions'!G114</f>
        <v>2</v>
      </c>
      <c r="H89" s="794">
        <f>'Key Assumptions'!H114</f>
        <v>2</v>
      </c>
      <c r="I89" s="794">
        <f>'Key Assumptions'!I114</f>
        <v>2</v>
      </c>
      <c r="J89" s="794">
        <f>'Key Assumptions'!J114</f>
        <v>5</v>
      </c>
      <c r="K89" s="794">
        <f>'Key Assumptions'!K114</f>
        <v>5</v>
      </c>
      <c r="L89" s="794">
        <f>'Key Assumptions'!L114</f>
        <v>5</v>
      </c>
      <c r="M89" s="794">
        <f>'Key Assumptions'!M114</f>
        <v>5</v>
      </c>
      <c r="N89" s="794">
        <f>'Key Assumptions'!N114</f>
        <v>8</v>
      </c>
      <c r="O89" s="794">
        <f>'Key Assumptions'!O114</f>
        <v>10</v>
      </c>
      <c r="P89" s="794">
        <f>'Key Assumptions'!P114</f>
        <v>10</v>
      </c>
      <c r="Q89" s="794">
        <f>'Key Assumptions'!Q114</f>
        <v>10</v>
      </c>
      <c r="R89" s="794">
        <f>'Key Assumptions'!R114</f>
        <v>10</v>
      </c>
      <c r="S89" s="794">
        <f>'Key Assumptions'!S114</f>
        <v>10</v>
      </c>
      <c r="T89" s="794">
        <f>'Key Assumptions'!T114</f>
        <v>10</v>
      </c>
      <c r="U89" s="794">
        <f>'Key Assumptions'!U114</f>
        <v>10</v>
      </c>
      <c r="V89" s="796"/>
    </row>
    <row r="90" spans="1:22" s="791" customFormat="1">
      <c r="A90" s="791" t="s">
        <v>596</v>
      </c>
      <c r="D90" s="790"/>
      <c r="E90" s="793">
        <v>0.15</v>
      </c>
      <c r="F90" s="794">
        <f t="shared" ref="F90:M90" si="79">$E$90*F89*F5*3</f>
        <v>0.89999999999999991</v>
      </c>
      <c r="G90" s="794">
        <f t="shared" si="79"/>
        <v>0.89999999999999991</v>
      </c>
      <c r="H90" s="794">
        <f t="shared" si="79"/>
        <v>0.89999999999999991</v>
      </c>
      <c r="I90" s="794">
        <f t="shared" si="79"/>
        <v>0.89999999999999991</v>
      </c>
      <c r="J90" s="794">
        <f t="shared" si="79"/>
        <v>2.4750000000000001</v>
      </c>
      <c r="K90" s="794">
        <f t="shared" si="79"/>
        <v>2.4750000000000001</v>
      </c>
      <c r="L90" s="794">
        <f t="shared" si="79"/>
        <v>2.4750000000000001</v>
      </c>
      <c r="M90" s="794">
        <f t="shared" si="79"/>
        <v>2.4750000000000001</v>
      </c>
      <c r="N90" s="794">
        <f t="shared" ref="N90:U90" si="80">$E$90*N89*N5*12</f>
        <v>17.424000000000003</v>
      </c>
      <c r="O90" s="794">
        <f t="shared" si="80"/>
        <v>23.958000000000002</v>
      </c>
      <c r="P90" s="794">
        <f t="shared" si="80"/>
        <v>26.353800000000003</v>
      </c>
      <c r="Q90" s="794">
        <f t="shared" si="80"/>
        <v>28.989180000000005</v>
      </c>
      <c r="R90" s="794">
        <f t="shared" si="80"/>
        <v>31.888098000000003</v>
      </c>
      <c r="S90" s="794">
        <f t="shared" si="80"/>
        <v>35.076907800000001</v>
      </c>
      <c r="T90" s="794">
        <f t="shared" si="80"/>
        <v>38.584598580000005</v>
      </c>
      <c r="U90" s="794">
        <f t="shared" si="80"/>
        <v>42.443058438000008</v>
      </c>
      <c r="V90" s="796">
        <f>SUM(F90:U90)</f>
        <v>258.21764281800006</v>
      </c>
    </row>
    <row r="91" spans="1:22" s="791" customFormat="1">
      <c r="A91" s="791" t="s">
        <v>597</v>
      </c>
      <c r="D91" s="793">
        <v>10</v>
      </c>
      <c r="E91" s="793">
        <v>1500</v>
      </c>
      <c r="F91" s="794">
        <f t="shared" ref="F91:U91" si="81">$D$91*$E$91*F88*F5/10^5</f>
        <v>0.3</v>
      </c>
      <c r="G91" s="794">
        <f t="shared" si="81"/>
        <v>0</v>
      </c>
      <c r="H91" s="794">
        <f t="shared" si="81"/>
        <v>0</v>
      </c>
      <c r="I91" s="794">
        <f t="shared" si="81"/>
        <v>0</v>
      </c>
      <c r="J91" s="794">
        <f t="shared" si="81"/>
        <v>0.49500000000000005</v>
      </c>
      <c r="K91" s="794">
        <f t="shared" si="81"/>
        <v>0</v>
      </c>
      <c r="L91" s="794">
        <f t="shared" si="81"/>
        <v>0</v>
      </c>
      <c r="M91" s="794">
        <f t="shared" si="81"/>
        <v>0</v>
      </c>
      <c r="N91" s="794">
        <f t="shared" si="81"/>
        <v>0.5445000000000001</v>
      </c>
      <c r="O91" s="794">
        <f t="shared" si="81"/>
        <v>0.3993000000000001</v>
      </c>
      <c r="P91" s="794">
        <f t="shared" si="81"/>
        <v>0</v>
      </c>
      <c r="Q91" s="794">
        <f t="shared" si="81"/>
        <v>0</v>
      </c>
      <c r="R91" s="794">
        <f t="shared" si="81"/>
        <v>0</v>
      </c>
      <c r="S91" s="794">
        <f t="shared" si="81"/>
        <v>0</v>
      </c>
      <c r="T91" s="794">
        <f t="shared" si="81"/>
        <v>0</v>
      </c>
      <c r="U91" s="794">
        <f t="shared" si="81"/>
        <v>0</v>
      </c>
      <c r="V91" s="796">
        <f>SUM(F91:U91)</f>
        <v>1.7388000000000003</v>
      </c>
    </row>
    <row r="92" spans="1:22" s="791" customFormat="1">
      <c r="A92" s="791" t="s">
        <v>603</v>
      </c>
      <c r="D92" s="798">
        <v>8.3299999999999999E-2</v>
      </c>
      <c r="E92" s="793"/>
      <c r="F92" s="794">
        <f t="shared" ref="F92:U92" si="82">$D$92*$E$90*12*F88*F5</f>
        <v>0.29987999999999998</v>
      </c>
      <c r="G92" s="794">
        <f t="shared" si="82"/>
        <v>0</v>
      </c>
      <c r="H92" s="794">
        <f t="shared" si="82"/>
        <v>0</v>
      </c>
      <c r="I92" s="794">
        <f t="shared" si="82"/>
        <v>0</v>
      </c>
      <c r="J92" s="794">
        <f t="shared" si="82"/>
        <v>0.49480200000000002</v>
      </c>
      <c r="K92" s="794">
        <f t="shared" si="82"/>
        <v>0</v>
      </c>
      <c r="L92" s="794">
        <f t="shared" si="82"/>
        <v>0</v>
      </c>
      <c r="M92" s="794">
        <f t="shared" si="82"/>
        <v>0</v>
      </c>
      <c r="N92" s="794">
        <f t="shared" si="82"/>
        <v>0.54428220000000005</v>
      </c>
      <c r="O92" s="794">
        <f t="shared" si="82"/>
        <v>0.39914028000000001</v>
      </c>
      <c r="P92" s="794">
        <f t="shared" si="82"/>
        <v>0</v>
      </c>
      <c r="Q92" s="794">
        <f t="shared" si="82"/>
        <v>0</v>
      </c>
      <c r="R92" s="794">
        <f t="shared" si="82"/>
        <v>0</v>
      </c>
      <c r="S92" s="794">
        <f t="shared" si="82"/>
        <v>0</v>
      </c>
      <c r="T92" s="794">
        <f t="shared" si="82"/>
        <v>0</v>
      </c>
      <c r="U92" s="794">
        <f t="shared" si="82"/>
        <v>0</v>
      </c>
      <c r="V92" s="796">
        <f>SUM(F92:U92)</f>
        <v>1.7381044800000001</v>
      </c>
    </row>
    <row r="93" spans="1:22" s="791" customFormat="1">
      <c r="D93" s="790"/>
      <c r="E93" s="790"/>
      <c r="F93" s="794"/>
      <c r="G93" s="794"/>
      <c r="H93" s="794"/>
      <c r="I93" s="794"/>
      <c r="J93" s="794"/>
      <c r="K93" s="794"/>
      <c r="L93" s="794"/>
      <c r="M93" s="794"/>
      <c r="N93" s="794"/>
      <c r="O93" s="794"/>
      <c r="P93" s="794"/>
      <c r="Q93" s="794"/>
      <c r="R93" s="794"/>
      <c r="S93" s="794"/>
      <c r="T93" s="794"/>
      <c r="U93" s="794"/>
      <c r="V93" s="796"/>
    </row>
    <row r="94" spans="1:22" s="791" customFormat="1">
      <c r="A94" s="791" t="str">
        <f>'Key Assumptions'!B92</f>
        <v>IT/ITES : BPO Voice (60 Days, 180 hrs)</v>
      </c>
      <c r="D94" s="790" t="s">
        <v>599</v>
      </c>
      <c r="E94" s="790"/>
      <c r="F94" s="794">
        <f>'Key Assumptions'!F116</f>
        <v>4</v>
      </c>
      <c r="G94" s="794">
        <f>'Key Assumptions'!G116</f>
        <v>0</v>
      </c>
      <c r="H94" s="794">
        <f>'Key Assumptions'!H116</f>
        <v>0</v>
      </c>
      <c r="I94" s="794">
        <f>'Key Assumptions'!I116</f>
        <v>0</v>
      </c>
      <c r="J94" s="794">
        <f>'Key Assumptions'!J116</f>
        <v>2</v>
      </c>
      <c r="K94" s="794">
        <f>'Key Assumptions'!K116</f>
        <v>0</v>
      </c>
      <c r="L94" s="794">
        <f>'Key Assumptions'!L116</f>
        <v>0</v>
      </c>
      <c r="M94" s="794">
        <f>'Key Assumptions'!M116</f>
        <v>0</v>
      </c>
      <c r="N94" s="794">
        <f>'Key Assumptions'!N116</f>
        <v>3</v>
      </c>
      <c r="O94" s="794">
        <f>'Key Assumptions'!O116</f>
        <v>2</v>
      </c>
      <c r="P94" s="794">
        <f>'Key Assumptions'!P116</f>
        <v>0</v>
      </c>
      <c r="Q94" s="794">
        <f>'Key Assumptions'!Q116</f>
        <v>0</v>
      </c>
      <c r="R94" s="794">
        <f>'Key Assumptions'!R116</f>
        <v>0</v>
      </c>
      <c r="S94" s="794">
        <f>'Key Assumptions'!S116</f>
        <v>0</v>
      </c>
      <c r="T94" s="794">
        <f>'Key Assumptions'!T116</f>
        <v>0</v>
      </c>
      <c r="U94" s="794">
        <f>'Key Assumptions'!U116</f>
        <v>0</v>
      </c>
      <c r="V94" s="796"/>
    </row>
    <row r="95" spans="1:22" s="791" customFormat="1">
      <c r="D95" s="790" t="s">
        <v>532</v>
      </c>
      <c r="E95" s="795" t="s">
        <v>598</v>
      </c>
      <c r="F95" s="794">
        <f>'Key Assumptions'!F117</f>
        <v>4</v>
      </c>
      <c r="G95" s="794">
        <f>'Key Assumptions'!G117</f>
        <v>4</v>
      </c>
      <c r="H95" s="794">
        <f>'Key Assumptions'!H117</f>
        <v>4</v>
      </c>
      <c r="I95" s="794">
        <f>'Key Assumptions'!I117</f>
        <v>4</v>
      </c>
      <c r="J95" s="794">
        <f>'Key Assumptions'!J117</f>
        <v>6</v>
      </c>
      <c r="K95" s="794">
        <f>'Key Assumptions'!K117</f>
        <v>6</v>
      </c>
      <c r="L95" s="794">
        <f>'Key Assumptions'!L117</f>
        <v>6</v>
      </c>
      <c r="M95" s="794">
        <f>'Key Assumptions'!M117</f>
        <v>6</v>
      </c>
      <c r="N95" s="794">
        <f>'Key Assumptions'!N117</f>
        <v>9</v>
      </c>
      <c r="O95" s="794">
        <f>'Key Assumptions'!O117</f>
        <v>11</v>
      </c>
      <c r="P95" s="794">
        <f>'Key Assumptions'!P117</f>
        <v>11</v>
      </c>
      <c r="Q95" s="794">
        <f>'Key Assumptions'!Q117</f>
        <v>11</v>
      </c>
      <c r="R95" s="794">
        <f>'Key Assumptions'!R117</f>
        <v>11</v>
      </c>
      <c r="S95" s="794">
        <f>'Key Assumptions'!S117</f>
        <v>11</v>
      </c>
      <c r="T95" s="794">
        <f>'Key Assumptions'!T117</f>
        <v>11</v>
      </c>
      <c r="U95" s="794">
        <f>'Key Assumptions'!U117</f>
        <v>11</v>
      </c>
      <c r="V95" s="796"/>
    </row>
    <row r="96" spans="1:22" s="791" customFormat="1">
      <c r="A96" s="791" t="s">
        <v>596</v>
      </c>
      <c r="D96" s="790"/>
      <c r="E96" s="793">
        <v>0.15</v>
      </c>
      <c r="F96" s="794">
        <f t="shared" ref="F96:M96" si="83">$E$96*F95*F5*3</f>
        <v>1.7999999999999998</v>
      </c>
      <c r="G96" s="794">
        <f t="shared" si="83"/>
        <v>1.7999999999999998</v>
      </c>
      <c r="H96" s="794">
        <f t="shared" si="83"/>
        <v>1.7999999999999998</v>
      </c>
      <c r="I96" s="794">
        <f t="shared" si="83"/>
        <v>1.7999999999999998</v>
      </c>
      <c r="J96" s="794">
        <f t="shared" si="83"/>
        <v>2.9699999999999998</v>
      </c>
      <c r="K96" s="794">
        <f t="shared" si="83"/>
        <v>2.9699999999999998</v>
      </c>
      <c r="L96" s="794">
        <f t="shared" si="83"/>
        <v>2.9699999999999998</v>
      </c>
      <c r="M96" s="794">
        <f t="shared" si="83"/>
        <v>2.9699999999999998</v>
      </c>
      <c r="N96" s="794">
        <f t="shared" ref="N96:U96" si="84">$E$96*N95*N5*12</f>
        <v>19.602000000000004</v>
      </c>
      <c r="O96" s="794">
        <f t="shared" si="84"/>
        <v>26.353800000000003</v>
      </c>
      <c r="P96" s="794">
        <f t="shared" si="84"/>
        <v>28.989180000000005</v>
      </c>
      <c r="Q96" s="794">
        <f t="shared" si="84"/>
        <v>31.888098000000003</v>
      </c>
      <c r="R96" s="794">
        <f t="shared" si="84"/>
        <v>35.076907800000001</v>
      </c>
      <c r="S96" s="794">
        <f t="shared" si="84"/>
        <v>38.584598580000005</v>
      </c>
      <c r="T96" s="794">
        <f t="shared" si="84"/>
        <v>42.443058438000008</v>
      </c>
      <c r="U96" s="794">
        <f t="shared" si="84"/>
        <v>46.687364281800001</v>
      </c>
      <c r="V96" s="796">
        <f>SUM(F96:U96)</f>
        <v>288.70500709980001</v>
      </c>
    </row>
    <row r="97" spans="1:22" s="791" customFormat="1">
      <c r="A97" s="791" t="s">
        <v>597</v>
      </c>
      <c r="D97" s="793">
        <v>10</v>
      </c>
      <c r="E97" s="793">
        <v>1500</v>
      </c>
      <c r="F97" s="794">
        <f t="shared" ref="F97:U97" si="85">$D$97*$E$97*F94*F5/10^5</f>
        <v>0.6</v>
      </c>
      <c r="G97" s="794">
        <f t="shared" si="85"/>
        <v>0</v>
      </c>
      <c r="H97" s="794">
        <f t="shared" si="85"/>
        <v>0</v>
      </c>
      <c r="I97" s="794">
        <f t="shared" si="85"/>
        <v>0</v>
      </c>
      <c r="J97" s="794">
        <f t="shared" si="85"/>
        <v>0.33</v>
      </c>
      <c r="K97" s="794">
        <f t="shared" si="85"/>
        <v>0</v>
      </c>
      <c r="L97" s="794">
        <f t="shared" si="85"/>
        <v>0</v>
      </c>
      <c r="M97" s="794">
        <f t="shared" si="85"/>
        <v>0</v>
      </c>
      <c r="N97" s="794">
        <f t="shared" si="85"/>
        <v>0.5445000000000001</v>
      </c>
      <c r="O97" s="794">
        <f t="shared" si="85"/>
        <v>0.3993000000000001</v>
      </c>
      <c r="P97" s="794">
        <f t="shared" si="85"/>
        <v>0</v>
      </c>
      <c r="Q97" s="794">
        <f t="shared" si="85"/>
        <v>0</v>
      </c>
      <c r="R97" s="794">
        <f t="shared" si="85"/>
        <v>0</v>
      </c>
      <c r="S97" s="794">
        <f t="shared" si="85"/>
        <v>0</v>
      </c>
      <c r="T97" s="794">
        <f t="shared" si="85"/>
        <v>0</v>
      </c>
      <c r="U97" s="794">
        <f t="shared" si="85"/>
        <v>0</v>
      </c>
      <c r="V97" s="796">
        <f>SUM(F97:U97)</f>
        <v>1.8738000000000001</v>
      </c>
    </row>
    <row r="98" spans="1:22" s="791" customFormat="1">
      <c r="A98" s="791" t="s">
        <v>603</v>
      </c>
      <c r="D98" s="798">
        <v>8.3299999999999999E-2</v>
      </c>
      <c r="E98" s="793"/>
      <c r="F98" s="794">
        <f t="shared" ref="F98:U98" si="86">$D$98*$E$96*12*F94*F5</f>
        <v>0.59975999999999996</v>
      </c>
      <c r="G98" s="794">
        <f t="shared" si="86"/>
        <v>0</v>
      </c>
      <c r="H98" s="794">
        <f t="shared" si="86"/>
        <v>0</v>
      </c>
      <c r="I98" s="794">
        <f t="shared" si="86"/>
        <v>0</v>
      </c>
      <c r="J98" s="794">
        <f t="shared" si="86"/>
        <v>0.32986799999999999</v>
      </c>
      <c r="K98" s="794">
        <f t="shared" si="86"/>
        <v>0</v>
      </c>
      <c r="L98" s="794">
        <f t="shared" si="86"/>
        <v>0</v>
      </c>
      <c r="M98" s="794">
        <f t="shared" si="86"/>
        <v>0</v>
      </c>
      <c r="N98" s="794">
        <f t="shared" si="86"/>
        <v>0.54428220000000005</v>
      </c>
      <c r="O98" s="794">
        <f t="shared" si="86"/>
        <v>0.39914028000000001</v>
      </c>
      <c r="P98" s="794">
        <f t="shared" si="86"/>
        <v>0</v>
      </c>
      <c r="Q98" s="794">
        <f t="shared" si="86"/>
        <v>0</v>
      </c>
      <c r="R98" s="794">
        <f t="shared" si="86"/>
        <v>0</v>
      </c>
      <c r="S98" s="794">
        <f t="shared" si="86"/>
        <v>0</v>
      </c>
      <c r="T98" s="794">
        <f t="shared" si="86"/>
        <v>0</v>
      </c>
      <c r="U98" s="794">
        <f t="shared" si="86"/>
        <v>0</v>
      </c>
      <c r="V98" s="796">
        <f>SUM(F98:U98)</f>
        <v>1.8730504799999999</v>
      </c>
    </row>
    <row r="99" spans="1:22" s="791" customFormat="1">
      <c r="D99" s="790"/>
      <c r="E99" s="790"/>
      <c r="F99" s="794"/>
      <c r="G99" s="794"/>
      <c r="H99" s="794"/>
      <c r="I99" s="794"/>
      <c r="J99" s="794"/>
      <c r="K99" s="794"/>
      <c r="L99" s="794"/>
      <c r="M99" s="794"/>
      <c r="N99" s="794"/>
      <c r="O99" s="794"/>
      <c r="P99" s="794"/>
      <c r="Q99" s="794"/>
      <c r="R99" s="794"/>
      <c r="S99" s="794"/>
      <c r="T99" s="794"/>
      <c r="U99" s="794"/>
      <c r="V99" s="796"/>
    </row>
    <row r="100" spans="1:22" ht="15.75" customHeight="1">
      <c r="A100" s="791" t="str">
        <f>'Key Assumptions'!B93</f>
        <v>IT/ITES : BPO Non Voice (60 Days, 180 hrs)</v>
      </c>
      <c r="B100" s="791"/>
      <c r="C100" s="791"/>
      <c r="D100" s="790" t="s">
        <v>599</v>
      </c>
      <c r="E100" s="790"/>
      <c r="F100" s="794">
        <f>'Key Assumptions'!F119</f>
        <v>4</v>
      </c>
      <c r="G100" s="794">
        <f>'Key Assumptions'!G119</f>
        <v>0</v>
      </c>
      <c r="H100" s="794">
        <f>'Key Assumptions'!H119</f>
        <v>0</v>
      </c>
      <c r="I100" s="794">
        <f>'Key Assumptions'!I119</f>
        <v>0</v>
      </c>
      <c r="J100" s="794">
        <f>'Key Assumptions'!J119</f>
        <v>2</v>
      </c>
      <c r="K100" s="794">
        <f>'Key Assumptions'!K119</f>
        <v>0</v>
      </c>
      <c r="L100" s="794">
        <f>'Key Assumptions'!L119</f>
        <v>0</v>
      </c>
      <c r="M100" s="794">
        <f>'Key Assumptions'!M119</f>
        <v>0</v>
      </c>
      <c r="N100" s="794">
        <f>'Key Assumptions'!N119</f>
        <v>3</v>
      </c>
      <c r="O100" s="794">
        <f>'Key Assumptions'!O119</f>
        <v>2</v>
      </c>
      <c r="P100" s="794">
        <f>'Key Assumptions'!P119</f>
        <v>0</v>
      </c>
      <c r="Q100" s="794">
        <f>'Key Assumptions'!Q119</f>
        <v>0</v>
      </c>
      <c r="R100" s="794">
        <f>'Key Assumptions'!R119</f>
        <v>0</v>
      </c>
      <c r="S100" s="794">
        <f>'Key Assumptions'!S119</f>
        <v>0</v>
      </c>
      <c r="T100" s="794">
        <f>'Key Assumptions'!T119</f>
        <v>0</v>
      </c>
      <c r="U100" s="794">
        <f>'Key Assumptions'!U119</f>
        <v>0</v>
      </c>
      <c r="V100" s="796"/>
    </row>
    <row r="101" spans="1:22">
      <c r="A101" s="791"/>
      <c r="B101" s="791"/>
      <c r="C101" s="791"/>
      <c r="D101" s="790" t="s">
        <v>532</v>
      </c>
      <c r="E101" s="795" t="s">
        <v>598</v>
      </c>
      <c r="F101" s="794">
        <f>'Key Assumptions'!F120</f>
        <v>4</v>
      </c>
      <c r="G101" s="794">
        <f>'Key Assumptions'!G120</f>
        <v>4</v>
      </c>
      <c r="H101" s="794">
        <f>'Key Assumptions'!H120</f>
        <v>4</v>
      </c>
      <c r="I101" s="794">
        <f>'Key Assumptions'!I120</f>
        <v>4</v>
      </c>
      <c r="J101" s="794">
        <f>'Key Assumptions'!J120</f>
        <v>6</v>
      </c>
      <c r="K101" s="794">
        <f>'Key Assumptions'!K120</f>
        <v>6</v>
      </c>
      <c r="L101" s="794">
        <f>'Key Assumptions'!L120</f>
        <v>6</v>
      </c>
      <c r="M101" s="794">
        <f>'Key Assumptions'!M120</f>
        <v>6</v>
      </c>
      <c r="N101" s="794">
        <f>'Key Assumptions'!N120</f>
        <v>9</v>
      </c>
      <c r="O101" s="794">
        <f>'Key Assumptions'!O120</f>
        <v>11</v>
      </c>
      <c r="P101" s="794">
        <f>'Key Assumptions'!P120</f>
        <v>11</v>
      </c>
      <c r="Q101" s="794">
        <f>'Key Assumptions'!Q120</f>
        <v>11</v>
      </c>
      <c r="R101" s="794">
        <f>'Key Assumptions'!R120</f>
        <v>11</v>
      </c>
      <c r="S101" s="794">
        <f>'Key Assumptions'!S120</f>
        <v>11</v>
      </c>
      <c r="T101" s="794">
        <f>'Key Assumptions'!T120</f>
        <v>11</v>
      </c>
      <c r="U101" s="794">
        <f>'Key Assumptions'!U120</f>
        <v>11</v>
      </c>
      <c r="V101" s="796"/>
    </row>
    <row r="102" spans="1:22">
      <c r="A102" s="791" t="s">
        <v>596</v>
      </c>
      <c r="B102" s="791"/>
      <c r="C102" s="791"/>
      <c r="E102" s="793">
        <v>0.15</v>
      </c>
      <c r="F102" s="794">
        <f t="shared" ref="F102:M102" si="87">$E$102*F101*F5*3</f>
        <v>1.7999999999999998</v>
      </c>
      <c r="G102" s="794">
        <f t="shared" si="87"/>
        <v>1.7999999999999998</v>
      </c>
      <c r="H102" s="794">
        <f t="shared" si="87"/>
        <v>1.7999999999999998</v>
      </c>
      <c r="I102" s="794">
        <f t="shared" si="87"/>
        <v>1.7999999999999998</v>
      </c>
      <c r="J102" s="794">
        <f t="shared" si="87"/>
        <v>2.9699999999999998</v>
      </c>
      <c r="K102" s="794">
        <f t="shared" si="87"/>
        <v>2.9699999999999998</v>
      </c>
      <c r="L102" s="794">
        <f t="shared" si="87"/>
        <v>2.9699999999999998</v>
      </c>
      <c r="M102" s="794">
        <f t="shared" si="87"/>
        <v>2.9699999999999998</v>
      </c>
      <c r="N102" s="794">
        <f t="shared" ref="N102:U102" si="88">$E$102*N101*N5*12</f>
        <v>19.602000000000004</v>
      </c>
      <c r="O102" s="794">
        <f t="shared" si="88"/>
        <v>26.353800000000003</v>
      </c>
      <c r="P102" s="794">
        <f t="shared" si="88"/>
        <v>28.989180000000005</v>
      </c>
      <c r="Q102" s="794">
        <f t="shared" si="88"/>
        <v>31.888098000000003</v>
      </c>
      <c r="R102" s="794">
        <f t="shared" si="88"/>
        <v>35.076907800000001</v>
      </c>
      <c r="S102" s="794">
        <f t="shared" si="88"/>
        <v>38.584598580000005</v>
      </c>
      <c r="T102" s="794">
        <f t="shared" si="88"/>
        <v>42.443058438000008</v>
      </c>
      <c r="U102" s="794">
        <f t="shared" si="88"/>
        <v>46.687364281800001</v>
      </c>
      <c r="V102" s="796">
        <f>SUM(F102:U102)</f>
        <v>288.70500709980001</v>
      </c>
    </row>
    <row r="103" spans="1:22">
      <c r="A103" s="791" t="s">
        <v>597</v>
      </c>
      <c r="B103" s="791"/>
      <c r="C103" s="791"/>
      <c r="D103" s="793">
        <v>10</v>
      </c>
      <c r="E103" s="793">
        <v>1500</v>
      </c>
      <c r="F103" s="794">
        <f t="shared" ref="F103:U103" si="89">$D$103*$E$103*F100*F5/10^5</f>
        <v>0.6</v>
      </c>
      <c r="G103" s="794">
        <f t="shared" si="89"/>
        <v>0</v>
      </c>
      <c r="H103" s="794">
        <f t="shared" si="89"/>
        <v>0</v>
      </c>
      <c r="I103" s="794">
        <f t="shared" si="89"/>
        <v>0</v>
      </c>
      <c r="J103" s="794">
        <f t="shared" si="89"/>
        <v>0.33</v>
      </c>
      <c r="K103" s="794">
        <f t="shared" si="89"/>
        <v>0</v>
      </c>
      <c r="L103" s="794">
        <f t="shared" si="89"/>
        <v>0</v>
      </c>
      <c r="M103" s="794">
        <f t="shared" si="89"/>
        <v>0</v>
      </c>
      <c r="N103" s="794">
        <f t="shared" si="89"/>
        <v>0.5445000000000001</v>
      </c>
      <c r="O103" s="794">
        <f t="shared" si="89"/>
        <v>0.3993000000000001</v>
      </c>
      <c r="P103" s="794">
        <f t="shared" si="89"/>
        <v>0</v>
      </c>
      <c r="Q103" s="794">
        <f t="shared" si="89"/>
        <v>0</v>
      </c>
      <c r="R103" s="794">
        <f t="shared" si="89"/>
        <v>0</v>
      </c>
      <c r="S103" s="794">
        <f t="shared" si="89"/>
        <v>0</v>
      </c>
      <c r="T103" s="794">
        <f t="shared" si="89"/>
        <v>0</v>
      </c>
      <c r="U103" s="794">
        <f t="shared" si="89"/>
        <v>0</v>
      </c>
      <c r="V103" s="796">
        <f>SUM(F103:U103)</f>
        <v>1.8738000000000001</v>
      </c>
    </row>
    <row r="104" spans="1:22">
      <c r="A104" s="791" t="s">
        <v>603</v>
      </c>
      <c r="B104" s="791"/>
      <c r="C104" s="791"/>
      <c r="D104" s="798">
        <v>8.3299999999999999E-2</v>
      </c>
      <c r="E104" s="793"/>
      <c r="F104" s="794">
        <f t="shared" ref="F104:U104" si="90">$D$104*$E$102*12*F100*F5</f>
        <v>0.59975999999999996</v>
      </c>
      <c r="G104" s="794">
        <f t="shared" si="90"/>
        <v>0</v>
      </c>
      <c r="H104" s="794">
        <f t="shared" si="90"/>
        <v>0</v>
      </c>
      <c r="I104" s="794">
        <f t="shared" si="90"/>
        <v>0</v>
      </c>
      <c r="J104" s="794">
        <f t="shared" si="90"/>
        <v>0.32986799999999999</v>
      </c>
      <c r="K104" s="794">
        <f t="shared" si="90"/>
        <v>0</v>
      </c>
      <c r="L104" s="794">
        <f t="shared" si="90"/>
        <v>0</v>
      </c>
      <c r="M104" s="794">
        <f t="shared" si="90"/>
        <v>0</v>
      </c>
      <c r="N104" s="794">
        <f t="shared" si="90"/>
        <v>0.54428220000000005</v>
      </c>
      <c r="O104" s="794">
        <f t="shared" si="90"/>
        <v>0.39914028000000001</v>
      </c>
      <c r="P104" s="794">
        <f t="shared" si="90"/>
        <v>0</v>
      </c>
      <c r="Q104" s="794">
        <f t="shared" si="90"/>
        <v>0</v>
      </c>
      <c r="R104" s="794">
        <f t="shared" si="90"/>
        <v>0</v>
      </c>
      <c r="S104" s="794">
        <f t="shared" si="90"/>
        <v>0</v>
      </c>
      <c r="T104" s="794">
        <f t="shared" si="90"/>
        <v>0</v>
      </c>
      <c r="U104" s="794">
        <f t="shared" si="90"/>
        <v>0</v>
      </c>
      <c r="V104" s="796">
        <f>SUM(F104:U104)</f>
        <v>1.8730504799999999</v>
      </c>
    </row>
    <row r="105" spans="1:22">
      <c r="A105" s="791"/>
      <c r="B105" s="791"/>
      <c r="C105" s="791"/>
      <c r="E105" s="790"/>
      <c r="F105" s="794"/>
      <c r="G105" s="794"/>
      <c r="H105" s="794"/>
      <c r="I105" s="794"/>
      <c r="J105" s="794"/>
      <c r="K105" s="794"/>
      <c r="L105" s="794"/>
      <c r="M105" s="794"/>
      <c r="N105" s="794"/>
      <c r="O105" s="794"/>
      <c r="P105" s="794"/>
      <c r="Q105" s="794"/>
      <c r="R105" s="794"/>
      <c r="S105" s="794"/>
      <c r="T105" s="794"/>
      <c r="U105" s="794"/>
      <c r="V105" s="796"/>
    </row>
    <row r="106" spans="1:22" ht="15.75" customHeight="1">
      <c r="A106" s="791" t="str">
        <f>'Key Assumptions'!B94</f>
        <v>IT/ITES : Hardware &amp; networking (40 Days, 180 hrs)</v>
      </c>
      <c r="B106" s="791"/>
      <c r="C106" s="791"/>
      <c r="D106" s="790" t="s">
        <v>599</v>
      </c>
      <c r="E106" s="790"/>
      <c r="F106" s="794">
        <f>'Key Assumptions'!F122</f>
        <v>3</v>
      </c>
      <c r="G106" s="794">
        <f>'Key Assumptions'!G122</f>
        <v>0</v>
      </c>
      <c r="H106" s="794">
        <f>'Key Assumptions'!H122</f>
        <v>0</v>
      </c>
      <c r="I106" s="794">
        <f>'Key Assumptions'!I122</f>
        <v>0</v>
      </c>
      <c r="J106" s="794">
        <f>'Key Assumptions'!J122</f>
        <v>1</v>
      </c>
      <c r="K106" s="794">
        <f>'Key Assumptions'!K122</f>
        <v>0</v>
      </c>
      <c r="L106" s="794">
        <f>'Key Assumptions'!L122</f>
        <v>0</v>
      </c>
      <c r="M106" s="794">
        <f>'Key Assumptions'!M122</f>
        <v>0</v>
      </c>
      <c r="N106" s="794">
        <f>'Key Assumptions'!N122</f>
        <v>2</v>
      </c>
      <c r="O106" s="794">
        <f>'Key Assumptions'!O122</f>
        <v>2</v>
      </c>
      <c r="P106" s="794">
        <f>'Key Assumptions'!P122</f>
        <v>0</v>
      </c>
      <c r="Q106" s="794">
        <f>'Key Assumptions'!Q122</f>
        <v>0</v>
      </c>
      <c r="R106" s="794">
        <f>'Key Assumptions'!R122</f>
        <v>0</v>
      </c>
      <c r="S106" s="794">
        <f>'Key Assumptions'!S122</f>
        <v>0</v>
      </c>
      <c r="T106" s="794">
        <f>'Key Assumptions'!T122</f>
        <v>0</v>
      </c>
      <c r="U106" s="794">
        <f>'Key Assumptions'!U122</f>
        <v>0</v>
      </c>
      <c r="V106" s="796"/>
    </row>
    <row r="107" spans="1:22">
      <c r="A107" s="791"/>
      <c r="B107" s="791"/>
      <c r="C107" s="791"/>
      <c r="D107" s="790" t="s">
        <v>532</v>
      </c>
      <c r="E107" s="795" t="s">
        <v>598</v>
      </c>
      <c r="F107" s="794">
        <f>'Key Assumptions'!F123</f>
        <v>3</v>
      </c>
      <c r="G107" s="794">
        <f>'Key Assumptions'!G123</f>
        <v>3</v>
      </c>
      <c r="H107" s="794">
        <f>'Key Assumptions'!H123</f>
        <v>3</v>
      </c>
      <c r="I107" s="794">
        <f>'Key Assumptions'!I123</f>
        <v>3</v>
      </c>
      <c r="J107" s="794">
        <f>'Key Assumptions'!J123</f>
        <v>4</v>
      </c>
      <c r="K107" s="794">
        <f>'Key Assumptions'!K123</f>
        <v>4</v>
      </c>
      <c r="L107" s="794">
        <f>'Key Assumptions'!L123</f>
        <v>4</v>
      </c>
      <c r="M107" s="794">
        <f>'Key Assumptions'!M123</f>
        <v>4</v>
      </c>
      <c r="N107" s="794">
        <f>'Key Assumptions'!N123</f>
        <v>6</v>
      </c>
      <c r="O107" s="794">
        <f>'Key Assumptions'!O123</f>
        <v>8</v>
      </c>
      <c r="P107" s="794">
        <f>'Key Assumptions'!P123</f>
        <v>8</v>
      </c>
      <c r="Q107" s="794">
        <f>'Key Assumptions'!Q123</f>
        <v>8</v>
      </c>
      <c r="R107" s="794">
        <f>'Key Assumptions'!R123</f>
        <v>8</v>
      </c>
      <c r="S107" s="794">
        <f>'Key Assumptions'!S123</f>
        <v>8</v>
      </c>
      <c r="T107" s="794">
        <f>'Key Assumptions'!T123</f>
        <v>8</v>
      </c>
      <c r="U107" s="794">
        <f>'Key Assumptions'!U123</f>
        <v>8</v>
      </c>
      <c r="V107" s="796"/>
    </row>
    <row r="108" spans="1:22">
      <c r="A108" s="791" t="s">
        <v>596</v>
      </c>
      <c r="B108" s="791"/>
      <c r="C108" s="791"/>
      <c r="E108" s="793">
        <v>0.15</v>
      </c>
      <c r="F108" s="794">
        <f t="shared" ref="F108:M108" si="91">$E$108*F107*F5*3</f>
        <v>1.3499999999999999</v>
      </c>
      <c r="G108" s="794">
        <f t="shared" si="91"/>
        <v>1.3499999999999999</v>
      </c>
      <c r="H108" s="794">
        <f t="shared" si="91"/>
        <v>1.3499999999999999</v>
      </c>
      <c r="I108" s="794">
        <f t="shared" si="91"/>
        <v>1.3499999999999999</v>
      </c>
      <c r="J108" s="794">
        <f t="shared" si="91"/>
        <v>1.98</v>
      </c>
      <c r="K108" s="794">
        <f t="shared" si="91"/>
        <v>1.98</v>
      </c>
      <c r="L108" s="794">
        <f t="shared" si="91"/>
        <v>1.98</v>
      </c>
      <c r="M108" s="794">
        <f t="shared" si="91"/>
        <v>1.98</v>
      </c>
      <c r="N108" s="794">
        <f t="shared" ref="N108:U108" si="92">$E$108*N107*N5*12</f>
        <v>13.068</v>
      </c>
      <c r="O108" s="794">
        <f t="shared" si="92"/>
        <v>19.166400000000003</v>
      </c>
      <c r="P108" s="794">
        <f t="shared" si="92"/>
        <v>21.083040000000004</v>
      </c>
      <c r="Q108" s="794">
        <f t="shared" si="92"/>
        <v>23.191344000000001</v>
      </c>
      <c r="R108" s="794">
        <f t="shared" si="92"/>
        <v>25.5104784</v>
      </c>
      <c r="S108" s="794">
        <f t="shared" si="92"/>
        <v>28.061526239999999</v>
      </c>
      <c r="T108" s="794">
        <f t="shared" si="92"/>
        <v>30.867678863999998</v>
      </c>
      <c r="U108" s="794">
        <f t="shared" si="92"/>
        <v>33.954446750400002</v>
      </c>
      <c r="V108" s="796">
        <f>SUM(F108:U108)</f>
        <v>208.2229142544</v>
      </c>
    </row>
    <row r="109" spans="1:22">
      <c r="A109" s="791" t="s">
        <v>597</v>
      </c>
      <c r="B109" s="791"/>
      <c r="C109" s="791"/>
      <c r="D109" s="793">
        <v>10</v>
      </c>
      <c r="E109" s="793">
        <v>1500</v>
      </c>
      <c r="F109" s="794">
        <f t="shared" ref="F109:U109" si="93">$D$109*$E$109*F106*F5/10^5</f>
        <v>0.45</v>
      </c>
      <c r="G109" s="794">
        <f t="shared" si="93"/>
        <v>0</v>
      </c>
      <c r="H109" s="794">
        <f t="shared" si="93"/>
        <v>0</v>
      </c>
      <c r="I109" s="794">
        <f t="shared" si="93"/>
        <v>0</v>
      </c>
      <c r="J109" s="794">
        <f t="shared" si="93"/>
        <v>0.16500000000000001</v>
      </c>
      <c r="K109" s="794">
        <f t="shared" si="93"/>
        <v>0</v>
      </c>
      <c r="L109" s="794">
        <f t="shared" si="93"/>
        <v>0</v>
      </c>
      <c r="M109" s="794">
        <f t="shared" si="93"/>
        <v>0</v>
      </c>
      <c r="N109" s="794">
        <f t="shared" si="93"/>
        <v>0.3630000000000001</v>
      </c>
      <c r="O109" s="794">
        <f t="shared" si="93"/>
        <v>0.3993000000000001</v>
      </c>
      <c r="P109" s="794">
        <f t="shared" si="93"/>
        <v>0</v>
      </c>
      <c r="Q109" s="794">
        <f t="shared" si="93"/>
        <v>0</v>
      </c>
      <c r="R109" s="794">
        <f t="shared" si="93"/>
        <v>0</v>
      </c>
      <c r="S109" s="794">
        <f t="shared" si="93"/>
        <v>0</v>
      </c>
      <c r="T109" s="794">
        <f t="shared" si="93"/>
        <v>0</v>
      </c>
      <c r="U109" s="794">
        <f t="shared" si="93"/>
        <v>0</v>
      </c>
      <c r="V109" s="796">
        <f>SUM(F109:U109)</f>
        <v>1.3773000000000002</v>
      </c>
    </row>
    <row r="110" spans="1:22">
      <c r="A110" s="791" t="s">
        <v>603</v>
      </c>
      <c r="B110" s="791"/>
      <c r="C110" s="791"/>
      <c r="D110" s="798">
        <v>8.3299999999999999E-2</v>
      </c>
      <c r="E110" s="793"/>
      <c r="F110" s="794">
        <f t="shared" ref="F110:U110" si="94">$D$110*$E$108*12*F106*F5</f>
        <v>0.44982</v>
      </c>
      <c r="G110" s="794">
        <f t="shared" si="94"/>
        <v>0</v>
      </c>
      <c r="H110" s="794">
        <f t="shared" si="94"/>
        <v>0</v>
      </c>
      <c r="I110" s="794">
        <f t="shared" si="94"/>
        <v>0</v>
      </c>
      <c r="J110" s="794">
        <f t="shared" si="94"/>
        <v>0.164934</v>
      </c>
      <c r="K110" s="794">
        <f t="shared" si="94"/>
        <v>0</v>
      </c>
      <c r="L110" s="794">
        <f t="shared" si="94"/>
        <v>0</v>
      </c>
      <c r="M110" s="794">
        <f t="shared" si="94"/>
        <v>0</v>
      </c>
      <c r="N110" s="794">
        <f t="shared" si="94"/>
        <v>0.36285480000000003</v>
      </c>
      <c r="O110" s="794">
        <f t="shared" si="94"/>
        <v>0.39914028000000001</v>
      </c>
      <c r="P110" s="794">
        <f t="shared" si="94"/>
        <v>0</v>
      </c>
      <c r="Q110" s="794">
        <f t="shared" si="94"/>
        <v>0</v>
      </c>
      <c r="R110" s="794">
        <f t="shared" si="94"/>
        <v>0</v>
      </c>
      <c r="S110" s="794">
        <f t="shared" si="94"/>
        <v>0</v>
      </c>
      <c r="T110" s="794">
        <f t="shared" si="94"/>
        <v>0</v>
      </c>
      <c r="U110" s="794">
        <f t="shared" si="94"/>
        <v>0</v>
      </c>
      <c r="V110" s="796">
        <f>SUM(F110:U110)</f>
        <v>1.3767490800000002</v>
      </c>
    </row>
    <row r="111" spans="1:22">
      <c r="A111" s="791"/>
      <c r="B111" s="791"/>
      <c r="C111" s="791"/>
      <c r="F111" s="794"/>
      <c r="G111" s="794"/>
      <c r="H111" s="794"/>
      <c r="I111" s="794"/>
      <c r="J111" s="794"/>
      <c r="K111" s="794"/>
      <c r="L111" s="794"/>
      <c r="M111" s="794"/>
      <c r="N111" s="794"/>
      <c r="O111" s="794"/>
      <c r="P111" s="794"/>
      <c r="Q111" s="794"/>
      <c r="R111" s="794"/>
      <c r="S111" s="794"/>
      <c r="T111" s="794"/>
      <c r="U111" s="794"/>
      <c r="V111" s="796"/>
    </row>
    <row r="112" spans="1:22" ht="15.75" customHeight="1">
      <c r="A112" s="791" t="str">
        <f>'Key Assumptions'!B95</f>
        <v>Health Care : General Duty Attendant (40 Days, 180 hrs)</v>
      </c>
      <c r="B112" s="791"/>
      <c r="C112" s="791"/>
      <c r="D112" s="790" t="s">
        <v>599</v>
      </c>
      <c r="F112" s="794">
        <f>'Key Assumptions'!F125</f>
        <v>2</v>
      </c>
      <c r="G112" s="794">
        <f>'Key Assumptions'!G125</f>
        <v>0</v>
      </c>
      <c r="H112" s="794">
        <f>'Key Assumptions'!H125</f>
        <v>0</v>
      </c>
      <c r="I112" s="794">
        <f>'Key Assumptions'!I125</f>
        <v>0</v>
      </c>
      <c r="J112" s="794">
        <f>'Key Assumptions'!J125</f>
        <v>1</v>
      </c>
      <c r="K112" s="794">
        <f>'Key Assumptions'!K125</f>
        <v>0</v>
      </c>
      <c r="L112" s="794">
        <f>'Key Assumptions'!L125</f>
        <v>0</v>
      </c>
      <c r="M112" s="794">
        <f>'Key Assumptions'!M125</f>
        <v>0</v>
      </c>
      <c r="N112" s="794">
        <f>'Key Assumptions'!N125</f>
        <v>2</v>
      </c>
      <c r="O112" s="794">
        <f>'Key Assumptions'!O125</f>
        <v>2</v>
      </c>
      <c r="P112" s="794">
        <f>'Key Assumptions'!P125</f>
        <v>0</v>
      </c>
      <c r="Q112" s="794">
        <f>'Key Assumptions'!Q125</f>
        <v>0</v>
      </c>
      <c r="R112" s="794">
        <f>'Key Assumptions'!R125</f>
        <v>0</v>
      </c>
      <c r="S112" s="794">
        <f>'Key Assumptions'!S125</f>
        <v>0</v>
      </c>
      <c r="T112" s="794">
        <f>'Key Assumptions'!T125</f>
        <v>0</v>
      </c>
      <c r="U112" s="794">
        <f>'Key Assumptions'!U125</f>
        <v>0</v>
      </c>
      <c r="V112" s="796"/>
    </row>
    <row r="113" spans="1:22">
      <c r="A113" s="791"/>
      <c r="B113" s="791"/>
      <c r="C113" s="791"/>
      <c r="D113" s="790" t="s">
        <v>532</v>
      </c>
      <c r="E113" s="795" t="s">
        <v>598</v>
      </c>
      <c r="F113" s="794">
        <f>'Key Assumptions'!F126</f>
        <v>2</v>
      </c>
      <c r="G113" s="794">
        <f>'Key Assumptions'!G126</f>
        <v>2</v>
      </c>
      <c r="H113" s="794">
        <f>'Key Assumptions'!H126</f>
        <v>2</v>
      </c>
      <c r="I113" s="794">
        <f>'Key Assumptions'!I126</f>
        <v>2</v>
      </c>
      <c r="J113" s="794">
        <f>'Key Assumptions'!J126</f>
        <v>3</v>
      </c>
      <c r="K113" s="794">
        <f>'Key Assumptions'!K126</f>
        <v>3</v>
      </c>
      <c r="L113" s="794">
        <f>'Key Assumptions'!L126</f>
        <v>3</v>
      </c>
      <c r="M113" s="794">
        <f>'Key Assumptions'!M126</f>
        <v>3</v>
      </c>
      <c r="N113" s="794">
        <f>'Key Assumptions'!N126</f>
        <v>5</v>
      </c>
      <c r="O113" s="794">
        <f>'Key Assumptions'!O126</f>
        <v>7</v>
      </c>
      <c r="P113" s="794">
        <f>'Key Assumptions'!P126</f>
        <v>7</v>
      </c>
      <c r="Q113" s="794">
        <f>'Key Assumptions'!Q126</f>
        <v>7</v>
      </c>
      <c r="R113" s="794">
        <f>'Key Assumptions'!R126</f>
        <v>7</v>
      </c>
      <c r="S113" s="794">
        <f>'Key Assumptions'!S126</f>
        <v>7</v>
      </c>
      <c r="T113" s="794">
        <f>'Key Assumptions'!T126</f>
        <v>7</v>
      </c>
      <c r="U113" s="794">
        <f>'Key Assumptions'!U126</f>
        <v>7</v>
      </c>
      <c r="V113" s="796"/>
    </row>
    <row r="114" spans="1:22">
      <c r="A114" s="791" t="s">
        <v>596</v>
      </c>
      <c r="B114" s="791"/>
      <c r="C114" s="791"/>
      <c r="E114" s="793">
        <v>0.15</v>
      </c>
      <c r="F114" s="794">
        <f t="shared" ref="F114:M114" si="95">$E$114*F113*F5*3</f>
        <v>0.89999999999999991</v>
      </c>
      <c r="G114" s="794">
        <f t="shared" si="95"/>
        <v>0.89999999999999991</v>
      </c>
      <c r="H114" s="794">
        <f t="shared" si="95"/>
        <v>0.89999999999999991</v>
      </c>
      <c r="I114" s="794">
        <f t="shared" si="95"/>
        <v>0.89999999999999991</v>
      </c>
      <c r="J114" s="794">
        <f t="shared" si="95"/>
        <v>1.4849999999999999</v>
      </c>
      <c r="K114" s="794">
        <f t="shared" si="95"/>
        <v>1.4849999999999999</v>
      </c>
      <c r="L114" s="794">
        <f t="shared" si="95"/>
        <v>1.4849999999999999</v>
      </c>
      <c r="M114" s="794">
        <f t="shared" si="95"/>
        <v>1.4849999999999999</v>
      </c>
      <c r="N114" s="794">
        <f t="shared" ref="N114:U114" si="96">$E$114*N113*N5*12</f>
        <v>10.890000000000002</v>
      </c>
      <c r="O114" s="794">
        <f t="shared" si="96"/>
        <v>16.770600000000002</v>
      </c>
      <c r="P114" s="794">
        <f t="shared" si="96"/>
        <v>18.447660000000003</v>
      </c>
      <c r="Q114" s="794">
        <f t="shared" si="96"/>
        <v>20.292426000000003</v>
      </c>
      <c r="R114" s="794">
        <f t="shared" si="96"/>
        <v>22.321668600000002</v>
      </c>
      <c r="S114" s="794">
        <f t="shared" si="96"/>
        <v>24.553835460000002</v>
      </c>
      <c r="T114" s="794">
        <f t="shared" si="96"/>
        <v>27.009219006000002</v>
      </c>
      <c r="U114" s="794">
        <f t="shared" si="96"/>
        <v>29.710140906600003</v>
      </c>
      <c r="V114" s="796">
        <f>SUM(F114:U114)</f>
        <v>179.53554997260002</v>
      </c>
    </row>
    <row r="115" spans="1:22">
      <c r="A115" s="791" t="s">
        <v>597</v>
      </c>
      <c r="B115" s="791"/>
      <c r="C115" s="791"/>
      <c r="D115" s="793">
        <v>10</v>
      </c>
      <c r="E115" s="793">
        <v>1500</v>
      </c>
      <c r="F115" s="794">
        <f t="shared" ref="F115:U115" si="97">$D$115*$E$115*F112*F5/10^5</f>
        <v>0.3</v>
      </c>
      <c r="G115" s="794">
        <f t="shared" si="97"/>
        <v>0</v>
      </c>
      <c r="H115" s="794">
        <f t="shared" si="97"/>
        <v>0</v>
      </c>
      <c r="I115" s="794">
        <f t="shared" si="97"/>
        <v>0</v>
      </c>
      <c r="J115" s="794">
        <f t="shared" si="97"/>
        <v>0.16500000000000001</v>
      </c>
      <c r="K115" s="794">
        <f t="shared" si="97"/>
        <v>0</v>
      </c>
      <c r="L115" s="794">
        <f t="shared" si="97"/>
        <v>0</v>
      </c>
      <c r="M115" s="794">
        <f t="shared" si="97"/>
        <v>0</v>
      </c>
      <c r="N115" s="794">
        <f t="shared" si="97"/>
        <v>0.3630000000000001</v>
      </c>
      <c r="O115" s="794">
        <f t="shared" si="97"/>
        <v>0.3993000000000001</v>
      </c>
      <c r="P115" s="794">
        <f t="shared" si="97"/>
        <v>0</v>
      </c>
      <c r="Q115" s="794">
        <f t="shared" si="97"/>
        <v>0</v>
      </c>
      <c r="R115" s="794">
        <f t="shared" si="97"/>
        <v>0</v>
      </c>
      <c r="S115" s="794">
        <f t="shared" si="97"/>
        <v>0</v>
      </c>
      <c r="T115" s="794">
        <f t="shared" si="97"/>
        <v>0</v>
      </c>
      <c r="U115" s="794">
        <f t="shared" si="97"/>
        <v>0</v>
      </c>
      <c r="V115" s="796">
        <f>SUM(F115:U115)</f>
        <v>1.2273000000000001</v>
      </c>
    </row>
    <row r="116" spans="1:22">
      <c r="A116" s="791" t="s">
        <v>603</v>
      </c>
      <c r="B116" s="791"/>
      <c r="C116" s="791"/>
      <c r="D116" s="798">
        <v>8.3299999999999999E-2</v>
      </c>
      <c r="E116" s="793"/>
      <c r="F116" s="794">
        <f t="shared" ref="F116:U116" si="98">$D$116*$E$114*12*F112*F5</f>
        <v>0.29987999999999998</v>
      </c>
      <c r="G116" s="794">
        <f t="shared" si="98"/>
        <v>0</v>
      </c>
      <c r="H116" s="794">
        <f t="shared" si="98"/>
        <v>0</v>
      </c>
      <c r="I116" s="794">
        <f t="shared" si="98"/>
        <v>0</v>
      </c>
      <c r="J116" s="794">
        <f t="shared" si="98"/>
        <v>0.164934</v>
      </c>
      <c r="K116" s="794">
        <f t="shared" si="98"/>
        <v>0</v>
      </c>
      <c r="L116" s="794">
        <f t="shared" si="98"/>
        <v>0</v>
      </c>
      <c r="M116" s="794">
        <f t="shared" si="98"/>
        <v>0</v>
      </c>
      <c r="N116" s="794">
        <f t="shared" si="98"/>
        <v>0.36285480000000003</v>
      </c>
      <c r="O116" s="794">
        <f t="shared" si="98"/>
        <v>0.39914028000000001</v>
      </c>
      <c r="P116" s="794">
        <f t="shared" si="98"/>
        <v>0</v>
      </c>
      <c r="Q116" s="794">
        <f t="shared" si="98"/>
        <v>0</v>
      </c>
      <c r="R116" s="794">
        <f t="shared" si="98"/>
        <v>0</v>
      </c>
      <c r="S116" s="794">
        <f t="shared" si="98"/>
        <v>0</v>
      </c>
      <c r="T116" s="794">
        <f t="shared" si="98"/>
        <v>0</v>
      </c>
      <c r="U116" s="794">
        <f t="shared" si="98"/>
        <v>0</v>
      </c>
      <c r="V116" s="796">
        <f>SUM(F116:U116)</f>
        <v>1.22680908</v>
      </c>
    </row>
    <row r="117" spans="1:22">
      <c r="A117" s="791"/>
      <c r="B117" s="791"/>
      <c r="C117" s="791"/>
      <c r="F117" s="794"/>
      <c r="G117" s="794"/>
      <c r="H117" s="794"/>
      <c r="I117" s="794"/>
      <c r="J117" s="794"/>
      <c r="K117" s="794"/>
      <c r="L117" s="794"/>
      <c r="M117" s="794"/>
      <c r="N117" s="794"/>
      <c r="O117" s="794"/>
      <c r="P117" s="794"/>
      <c r="Q117" s="794"/>
      <c r="R117" s="794"/>
      <c r="S117" s="794"/>
      <c r="T117" s="794"/>
      <c r="U117" s="794"/>
      <c r="V117" s="796"/>
    </row>
    <row r="118" spans="1:22" ht="15.75" customHeight="1">
      <c r="A118" s="791" t="str">
        <f>'Key Assumptions'!B96</f>
        <v>Health Care : Asha (Health workers) (40 Days, 180 hrs)</v>
      </c>
      <c r="B118" s="791"/>
      <c r="C118" s="791"/>
      <c r="D118" s="790" t="s">
        <v>599</v>
      </c>
      <c r="F118" s="794">
        <f>'Key Assumptions'!F128</f>
        <v>2</v>
      </c>
      <c r="G118" s="794">
        <f>'Key Assumptions'!G128</f>
        <v>0</v>
      </c>
      <c r="H118" s="794">
        <f>'Key Assumptions'!H128</f>
        <v>0</v>
      </c>
      <c r="I118" s="794">
        <f>'Key Assumptions'!I128</f>
        <v>0</v>
      </c>
      <c r="J118" s="794">
        <f>'Key Assumptions'!J128</f>
        <v>1</v>
      </c>
      <c r="K118" s="794">
        <f>'Key Assumptions'!K128</f>
        <v>0</v>
      </c>
      <c r="L118" s="794">
        <f>'Key Assumptions'!L128</f>
        <v>0</v>
      </c>
      <c r="M118" s="794">
        <f>'Key Assumptions'!M128</f>
        <v>0</v>
      </c>
      <c r="N118" s="794">
        <f>'Key Assumptions'!N128</f>
        <v>2</v>
      </c>
      <c r="O118" s="794">
        <f>'Key Assumptions'!O128</f>
        <v>2</v>
      </c>
      <c r="P118" s="794">
        <f>'Key Assumptions'!P128</f>
        <v>0</v>
      </c>
      <c r="Q118" s="794">
        <f>'Key Assumptions'!Q128</f>
        <v>0</v>
      </c>
      <c r="R118" s="794">
        <f>'Key Assumptions'!R128</f>
        <v>0</v>
      </c>
      <c r="S118" s="794">
        <f>'Key Assumptions'!S128</f>
        <v>0</v>
      </c>
      <c r="T118" s="794">
        <f>'Key Assumptions'!T128</f>
        <v>0</v>
      </c>
      <c r="U118" s="794">
        <f>'Key Assumptions'!U128</f>
        <v>0</v>
      </c>
      <c r="V118" s="796"/>
    </row>
    <row r="119" spans="1:22">
      <c r="A119" s="791"/>
      <c r="B119" s="791"/>
      <c r="C119" s="791"/>
      <c r="D119" s="790" t="s">
        <v>532</v>
      </c>
      <c r="E119" s="795" t="s">
        <v>598</v>
      </c>
      <c r="F119" s="794">
        <f>'Key Assumptions'!F129</f>
        <v>2</v>
      </c>
      <c r="G119" s="794">
        <f>'Key Assumptions'!G129</f>
        <v>2</v>
      </c>
      <c r="H119" s="794">
        <f>'Key Assumptions'!H129</f>
        <v>2</v>
      </c>
      <c r="I119" s="794">
        <f>'Key Assumptions'!I129</f>
        <v>2</v>
      </c>
      <c r="J119" s="794">
        <f>'Key Assumptions'!J129</f>
        <v>3</v>
      </c>
      <c r="K119" s="794">
        <f>'Key Assumptions'!K129</f>
        <v>3</v>
      </c>
      <c r="L119" s="794">
        <f>'Key Assumptions'!L129</f>
        <v>3</v>
      </c>
      <c r="M119" s="794">
        <f>'Key Assumptions'!M129</f>
        <v>3</v>
      </c>
      <c r="N119" s="794">
        <f>'Key Assumptions'!N129</f>
        <v>5</v>
      </c>
      <c r="O119" s="794">
        <f>'Key Assumptions'!O129</f>
        <v>7</v>
      </c>
      <c r="P119" s="794">
        <f>'Key Assumptions'!P129</f>
        <v>7</v>
      </c>
      <c r="Q119" s="794">
        <f>'Key Assumptions'!Q129</f>
        <v>7</v>
      </c>
      <c r="R119" s="794">
        <f>'Key Assumptions'!R129</f>
        <v>7</v>
      </c>
      <c r="S119" s="794">
        <f>'Key Assumptions'!S129</f>
        <v>7</v>
      </c>
      <c r="T119" s="794">
        <f>'Key Assumptions'!T129</f>
        <v>7</v>
      </c>
      <c r="U119" s="794">
        <f>'Key Assumptions'!U129</f>
        <v>7</v>
      </c>
      <c r="V119" s="796"/>
    </row>
    <row r="120" spans="1:22">
      <c r="A120" s="791" t="s">
        <v>596</v>
      </c>
      <c r="B120" s="791"/>
      <c r="C120" s="791"/>
      <c r="E120" s="793">
        <v>0.15</v>
      </c>
      <c r="F120" s="794">
        <f t="shared" ref="F120:M120" si="99">$E$120*F119*F5*3</f>
        <v>0.89999999999999991</v>
      </c>
      <c r="G120" s="794">
        <f t="shared" si="99"/>
        <v>0.89999999999999991</v>
      </c>
      <c r="H120" s="794">
        <f t="shared" si="99"/>
        <v>0.89999999999999991</v>
      </c>
      <c r="I120" s="794">
        <f t="shared" si="99"/>
        <v>0.89999999999999991</v>
      </c>
      <c r="J120" s="794">
        <f t="shared" si="99"/>
        <v>1.4849999999999999</v>
      </c>
      <c r="K120" s="794">
        <f t="shared" si="99"/>
        <v>1.4849999999999999</v>
      </c>
      <c r="L120" s="794">
        <f t="shared" si="99"/>
        <v>1.4849999999999999</v>
      </c>
      <c r="M120" s="794">
        <f t="shared" si="99"/>
        <v>1.4849999999999999</v>
      </c>
      <c r="N120" s="794">
        <f t="shared" ref="N120:U120" si="100">$E$120*N119*N5*12</f>
        <v>10.890000000000002</v>
      </c>
      <c r="O120" s="794">
        <f t="shared" si="100"/>
        <v>16.770600000000002</v>
      </c>
      <c r="P120" s="794">
        <f t="shared" si="100"/>
        <v>18.447660000000003</v>
      </c>
      <c r="Q120" s="794">
        <f t="shared" si="100"/>
        <v>20.292426000000003</v>
      </c>
      <c r="R120" s="794">
        <f t="shared" si="100"/>
        <v>22.321668600000002</v>
      </c>
      <c r="S120" s="794">
        <f t="shared" si="100"/>
        <v>24.553835460000002</v>
      </c>
      <c r="T120" s="794">
        <f t="shared" si="100"/>
        <v>27.009219006000002</v>
      </c>
      <c r="U120" s="794">
        <f t="shared" si="100"/>
        <v>29.710140906600003</v>
      </c>
      <c r="V120" s="796">
        <f>SUM(F120:U120)</f>
        <v>179.53554997260002</v>
      </c>
    </row>
    <row r="121" spans="1:22">
      <c r="A121" s="791" t="s">
        <v>597</v>
      </c>
      <c r="B121" s="791"/>
      <c r="C121" s="791"/>
      <c r="D121" s="793">
        <v>10</v>
      </c>
      <c r="E121" s="793">
        <v>1500</v>
      </c>
      <c r="F121" s="794">
        <f t="shared" ref="F121:U121" si="101">$D$121*$E$121*F118*F5/10^5</f>
        <v>0.3</v>
      </c>
      <c r="G121" s="794">
        <f t="shared" si="101"/>
        <v>0</v>
      </c>
      <c r="H121" s="794">
        <f t="shared" si="101"/>
        <v>0</v>
      </c>
      <c r="I121" s="794">
        <f t="shared" si="101"/>
        <v>0</v>
      </c>
      <c r="J121" s="794">
        <f t="shared" si="101"/>
        <v>0.16500000000000001</v>
      </c>
      <c r="K121" s="794">
        <f t="shared" si="101"/>
        <v>0</v>
      </c>
      <c r="L121" s="794">
        <f t="shared" si="101"/>
        <v>0</v>
      </c>
      <c r="M121" s="794">
        <f t="shared" si="101"/>
        <v>0</v>
      </c>
      <c r="N121" s="794">
        <f t="shared" si="101"/>
        <v>0.3630000000000001</v>
      </c>
      <c r="O121" s="794">
        <f t="shared" si="101"/>
        <v>0.3993000000000001</v>
      </c>
      <c r="P121" s="794">
        <f t="shared" si="101"/>
        <v>0</v>
      </c>
      <c r="Q121" s="794">
        <f t="shared" si="101"/>
        <v>0</v>
      </c>
      <c r="R121" s="794">
        <f t="shared" si="101"/>
        <v>0</v>
      </c>
      <c r="S121" s="794">
        <f t="shared" si="101"/>
        <v>0</v>
      </c>
      <c r="T121" s="794">
        <f t="shared" si="101"/>
        <v>0</v>
      </c>
      <c r="U121" s="794">
        <f t="shared" si="101"/>
        <v>0</v>
      </c>
      <c r="V121" s="796">
        <f>SUM(F121:U121)</f>
        <v>1.2273000000000001</v>
      </c>
    </row>
    <row r="122" spans="1:22">
      <c r="A122" s="791" t="s">
        <v>603</v>
      </c>
      <c r="B122" s="791"/>
      <c r="C122" s="791"/>
      <c r="D122" s="798">
        <v>8.3299999999999999E-2</v>
      </c>
      <c r="E122" s="793"/>
      <c r="F122" s="794">
        <f t="shared" ref="F122:U122" si="102">$D$122*$E$120*12*F118*F5</f>
        <v>0.29987999999999998</v>
      </c>
      <c r="G122" s="794">
        <f t="shared" si="102"/>
        <v>0</v>
      </c>
      <c r="H122" s="794">
        <f t="shared" si="102"/>
        <v>0</v>
      </c>
      <c r="I122" s="794">
        <f t="shared" si="102"/>
        <v>0</v>
      </c>
      <c r="J122" s="794">
        <f t="shared" si="102"/>
        <v>0.164934</v>
      </c>
      <c r="K122" s="794">
        <f t="shared" si="102"/>
        <v>0</v>
      </c>
      <c r="L122" s="794">
        <f t="shared" si="102"/>
        <v>0</v>
      </c>
      <c r="M122" s="794">
        <f t="shared" si="102"/>
        <v>0</v>
      </c>
      <c r="N122" s="794">
        <f t="shared" si="102"/>
        <v>0.36285480000000003</v>
      </c>
      <c r="O122" s="794">
        <f t="shared" si="102"/>
        <v>0.39914028000000001</v>
      </c>
      <c r="P122" s="794">
        <f t="shared" si="102"/>
        <v>0</v>
      </c>
      <c r="Q122" s="794">
        <f t="shared" si="102"/>
        <v>0</v>
      </c>
      <c r="R122" s="794">
        <f t="shared" si="102"/>
        <v>0</v>
      </c>
      <c r="S122" s="794">
        <f t="shared" si="102"/>
        <v>0</v>
      </c>
      <c r="T122" s="794">
        <f t="shared" si="102"/>
        <v>0</v>
      </c>
      <c r="U122" s="794">
        <f t="shared" si="102"/>
        <v>0</v>
      </c>
      <c r="V122" s="796">
        <f>SUM(F122:U122)</f>
        <v>1.22680908</v>
      </c>
    </row>
    <row r="123" spans="1:22">
      <c r="A123" s="791"/>
      <c r="B123" s="791"/>
      <c r="C123" s="791"/>
      <c r="F123" s="794"/>
      <c r="G123" s="794"/>
      <c r="H123" s="794"/>
      <c r="I123" s="794"/>
      <c r="J123" s="794"/>
      <c r="K123" s="794"/>
      <c r="L123" s="794"/>
      <c r="M123" s="794"/>
      <c r="N123" s="794"/>
      <c r="O123" s="794"/>
      <c r="P123" s="794"/>
      <c r="Q123" s="794"/>
      <c r="R123" s="794"/>
      <c r="S123" s="794"/>
      <c r="T123" s="794"/>
      <c r="U123" s="794"/>
      <c r="V123" s="796"/>
    </row>
    <row r="124" spans="1:22" ht="15.75" customHeight="1">
      <c r="A124" s="791" t="str">
        <f>'Key Assumptions'!B97</f>
        <v>Health Care : Home Health Aide (40 Days, 180 hrs)</v>
      </c>
      <c r="B124" s="791"/>
      <c r="C124" s="791"/>
      <c r="D124" s="790" t="s">
        <v>599</v>
      </c>
      <c r="F124" s="794">
        <f>'Key Assumptions'!F131</f>
        <v>2</v>
      </c>
      <c r="G124" s="794">
        <f>'Key Assumptions'!G131</f>
        <v>0</v>
      </c>
      <c r="H124" s="794">
        <f>'Key Assumptions'!H131</f>
        <v>0</v>
      </c>
      <c r="I124" s="794">
        <f>'Key Assumptions'!I131</f>
        <v>0</v>
      </c>
      <c r="J124" s="794">
        <f>'Key Assumptions'!J131</f>
        <v>1</v>
      </c>
      <c r="K124" s="794">
        <f>'Key Assumptions'!K131</f>
        <v>0</v>
      </c>
      <c r="L124" s="794">
        <f>'Key Assumptions'!L131</f>
        <v>0</v>
      </c>
      <c r="M124" s="794">
        <f>'Key Assumptions'!M131</f>
        <v>0</v>
      </c>
      <c r="N124" s="794">
        <f>'Key Assumptions'!N131</f>
        <v>2</v>
      </c>
      <c r="O124" s="794">
        <f>'Key Assumptions'!O131</f>
        <v>2</v>
      </c>
      <c r="P124" s="794">
        <f>'Key Assumptions'!P131</f>
        <v>0</v>
      </c>
      <c r="Q124" s="794">
        <f>'Key Assumptions'!Q131</f>
        <v>0</v>
      </c>
      <c r="R124" s="794">
        <f>'Key Assumptions'!R131</f>
        <v>0</v>
      </c>
      <c r="S124" s="794">
        <f>'Key Assumptions'!S131</f>
        <v>0</v>
      </c>
      <c r="T124" s="794">
        <f>'Key Assumptions'!T131</f>
        <v>0</v>
      </c>
      <c r="U124" s="794">
        <f>'Key Assumptions'!U131</f>
        <v>0</v>
      </c>
      <c r="V124" s="796"/>
    </row>
    <row r="125" spans="1:22">
      <c r="A125" s="791"/>
      <c r="B125" s="791"/>
      <c r="C125" s="791"/>
      <c r="D125" s="790" t="s">
        <v>532</v>
      </c>
      <c r="E125" s="795" t="s">
        <v>598</v>
      </c>
      <c r="F125" s="794">
        <f>'Key Assumptions'!F132</f>
        <v>2</v>
      </c>
      <c r="G125" s="794">
        <f>'Key Assumptions'!G132</f>
        <v>2</v>
      </c>
      <c r="H125" s="794">
        <f>'Key Assumptions'!H132</f>
        <v>2</v>
      </c>
      <c r="I125" s="794">
        <f>'Key Assumptions'!I132</f>
        <v>2</v>
      </c>
      <c r="J125" s="794">
        <f>'Key Assumptions'!J132</f>
        <v>3</v>
      </c>
      <c r="K125" s="794">
        <f>'Key Assumptions'!K132</f>
        <v>3</v>
      </c>
      <c r="L125" s="794">
        <f>'Key Assumptions'!L132</f>
        <v>3</v>
      </c>
      <c r="M125" s="794">
        <f>'Key Assumptions'!M132</f>
        <v>3</v>
      </c>
      <c r="N125" s="794">
        <f>'Key Assumptions'!N132</f>
        <v>5</v>
      </c>
      <c r="O125" s="794">
        <f>'Key Assumptions'!O132</f>
        <v>7</v>
      </c>
      <c r="P125" s="794">
        <f>'Key Assumptions'!P132</f>
        <v>7</v>
      </c>
      <c r="Q125" s="794">
        <f>'Key Assumptions'!Q132</f>
        <v>7</v>
      </c>
      <c r="R125" s="794">
        <f>'Key Assumptions'!R132</f>
        <v>7</v>
      </c>
      <c r="S125" s="794">
        <f>'Key Assumptions'!S132</f>
        <v>7</v>
      </c>
      <c r="T125" s="794">
        <f>'Key Assumptions'!T132</f>
        <v>7</v>
      </c>
      <c r="U125" s="794">
        <f>'Key Assumptions'!U132</f>
        <v>7</v>
      </c>
      <c r="V125" s="796"/>
    </row>
    <row r="126" spans="1:22">
      <c r="A126" s="791" t="s">
        <v>596</v>
      </c>
      <c r="B126" s="791"/>
      <c r="C126" s="791"/>
      <c r="E126" s="793">
        <v>0.15</v>
      </c>
      <c r="F126" s="794">
        <f t="shared" ref="F126:M126" si="103">$E$126*F125*F5*3</f>
        <v>0.89999999999999991</v>
      </c>
      <c r="G126" s="794">
        <f t="shared" si="103"/>
        <v>0.89999999999999991</v>
      </c>
      <c r="H126" s="794">
        <f t="shared" si="103"/>
        <v>0.89999999999999991</v>
      </c>
      <c r="I126" s="794">
        <f t="shared" si="103"/>
        <v>0.89999999999999991</v>
      </c>
      <c r="J126" s="794">
        <f t="shared" si="103"/>
        <v>1.4849999999999999</v>
      </c>
      <c r="K126" s="794">
        <f t="shared" si="103"/>
        <v>1.4849999999999999</v>
      </c>
      <c r="L126" s="794">
        <f t="shared" si="103"/>
        <v>1.4849999999999999</v>
      </c>
      <c r="M126" s="794">
        <f t="shared" si="103"/>
        <v>1.4849999999999999</v>
      </c>
      <c r="N126" s="794">
        <f t="shared" ref="N126:U126" si="104">$E$126*N125*N5*12</f>
        <v>10.890000000000002</v>
      </c>
      <c r="O126" s="794">
        <f t="shared" si="104"/>
        <v>16.770600000000002</v>
      </c>
      <c r="P126" s="794">
        <f t="shared" si="104"/>
        <v>18.447660000000003</v>
      </c>
      <c r="Q126" s="794">
        <f t="shared" si="104"/>
        <v>20.292426000000003</v>
      </c>
      <c r="R126" s="794">
        <f t="shared" si="104"/>
        <v>22.321668600000002</v>
      </c>
      <c r="S126" s="794">
        <f t="shared" si="104"/>
        <v>24.553835460000002</v>
      </c>
      <c r="T126" s="794">
        <f t="shared" si="104"/>
        <v>27.009219006000002</v>
      </c>
      <c r="U126" s="794">
        <f t="shared" si="104"/>
        <v>29.710140906600003</v>
      </c>
      <c r="V126" s="796">
        <f>SUM(F126:U126)</f>
        <v>179.53554997260002</v>
      </c>
    </row>
    <row r="127" spans="1:22">
      <c r="A127" s="791" t="s">
        <v>597</v>
      </c>
      <c r="B127" s="791"/>
      <c r="C127" s="791"/>
      <c r="D127" s="793">
        <v>10</v>
      </c>
      <c r="E127" s="793">
        <v>1500</v>
      </c>
      <c r="F127" s="794">
        <f t="shared" ref="F127:U127" si="105">$D$127*$E$127*F124*F5/10^5</f>
        <v>0.3</v>
      </c>
      <c r="G127" s="794">
        <f t="shared" si="105"/>
        <v>0</v>
      </c>
      <c r="H127" s="794">
        <f t="shared" si="105"/>
        <v>0</v>
      </c>
      <c r="I127" s="794">
        <f t="shared" si="105"/>
        <v>0</v>
      </c>
      <c r="J127" s="794">
        <f t="shared" si="105"/>
        <v>0.16500000000000001</v>
      </c>
      <c r="K127" s="794">
        <f t="shared" si="105"/>
        <v>0</v>
      </c>
      <c r="L127" s="794">
        <f t="shared" si="105"/>
        <v>0</v>
      </c>
      <c r="M127" s="794">
        <f t="shared" si="105"/>
        <v>0</v>
      </c>
      <c r="N127" s="794">
        <f t="shared" si="105"/>
        <v>0.3630000000000001</v>
      </c>
      <c r="O127" s="794">
        <f t="shared" si="105"/>
        <v>0.3993000000000001</v>
      </c>
      <c r="P127" s="794">
        <f t="shared" si="105"/>
        <v>0</v>
      </c>
      <c r="Q127" s="794">
        <f t="shared" si="105"/>
        <v>0</v>
      </c>
      <c r="R127" s="794">
        <f t="shared" si="105"/>
        <v>0</v>
      </c>
      <c r="S127" s="794">
        <f t="shared" si="105"/>
        <v>0</v>
      </c>
      <c r="T127" s="794">
        <f t="shared" si="105"/>
        <v>0</v>
      </c>
      <c r="U127" s="794">
        <f t="shared" si="105"/>
        <v>0</v>
      </c>
      <c r="V127" s="796">
        <f>SUM(F127:U127)</f>
        <v>1.2273000000000001</v>
      </c>
    </row>
    <row r="128" spans="1:22">
      <c r="A128" s="791" t="s">
        <v>603</v>
      </c>
      <c r="B128" s="791"/>
      <c r="C128" s="791"/>
      <c r="D128" s="798">
        <v>8.3299999999999999E-2</v>
      </c>
      <c r="E128" s="793"/>
      <c r="F128" s="794">
        <f t="shared" ref="F128:U128" si="106">$D$128*$E$126*12*F124*F5</f>
        <v>0.29987999999999998</v>
      </c>
      <c r="G128" s="794">
        <f t="shared" si="106"/>
        <v>0</v>
      </c>
      <c r="H128" s="794">
        <f t="shared" si="106"/>
        <v>0</v>
      </c>
      <c r="I128" s="794">
        <f t="shared" si="106"/>
        <v>0</v>
      </c>
      <c r="J128" s="794">
        <f t="shared" si="106"/>
        <v>0.164934</v>
      </c>
      <c r="K128" s="794">
        <f t="shared" si="106"/>
        <v>0</v>
      </c>
      <c r="L128" s="794">
        <f t="shared" si="106"/>
        <v>0</v>
      </c>
      <c r="M128" s="794">
        <f t="shared" si="106"/>
        <v>0</v>
      </c>
      <c r="N128" s="794">
        <f t="shared" si="106"/>
        <v>0.36285480000000003</v>
      </c>
      <c r="O128" s="794">
        <f t="shared" si="106"/>
        <v>0.39914028000000001</v>
      </c>
      <c r="P128" s="794">
        <f t="shared" si="106"/>
        <v>0</v>
      </c>
      <c r="Q128" s="794">
        <f t="shared" si="106"/>
        <v>0</v>
      </c>
      <c r="R128" s="794">
        <f t="shared" si="106"/>
        <v>0</v>
      </c>
      <c r="S128" s="794">
        <f t="shared" si="106"/>
        <v>0</v>
      </c>
      <c r="T128" s="794">
        <f t="shared" si="106"/>
        <v>0</v>
      </c>
      <c r="U128" s="794">
        <f t="shared" si="106"/>
        <v>0</v>
      </c>
      <c r="V128" s="796">
        <f>SUM(F128:U128)</f>
        <v>1.22680908</v>
      </c>
    </row>
    <row r="129" spans="1:22">
      <c r="A129" s="791"/>
      <c r="B129" s="791"/>
      <c r="C129" s="791"/>
      <c r="F129" s="794"/>
      <c r="G129" s="794"/>
      <c r="H129" s="794"/>
      <c r="I129" s="794"/>
      <c r="J129" s="794"/>
      <c r="K129" s="794"/>
      <c r="L129" s="794"/>
      <c r="M129" s="794"/>
      <c r="N129" s="794"/>
      <c r="O129" s="794"/>
      <c r="P129" s="794"/>
      <c r="Q129" s="794"/>
      <c r="R129" s="794"/>
      <c r="S129" s="794"/>
      <c r="T129" s="794"/>
      <c r="U129" s="794"/>
      <c r="V129" s="796"/>
    </row>
    <row r="130" spans="1:22">
      <c r="A130" s="791" t="str">
        <f>'Key Assumptions'!B98</f>
        <v>Retail : Cashier (40 Days, 180 hrs)</v>
      </c>
      <c r="B130" s="791"/>
      <c r="C130" s="791"/>
      <c r="D130" s="790" t="s">
        <v>599</v>
      </c>
      <c r="F130" s="794">
        <f>'Key Assumptions'!F134</f>
        <v>1</v>
      </c>
      <c r="G130" s="794">
        <f>'Key Assumptions'!G134</f>
        <v>0</v>
      </c>
      <c r="H130" s="794">
        <f>'Key Assumptions'!H134</f>
        <v>0</v>
      </c>
      <c r="I130" s="794">
        <f>'Key Assumptions'!I134</f>
        <v>0</v>
      </c>
      <c r="J130" s="794">
        <f>'Key Assumptions'!J134</f>
        <v>1</v>
      </c>
      <c r="K130" s="794">
        <f>'Key Assumptions'!K134</f>
        <v>0</v>
      </c>
      <c r="L130" s="794">
        <f>'Key Assumptions'!L134</f>
        <v>0</v>
      </c>
      <c r="M130" s="794">
        <f>'Key Assumptions'!M134</f>
        <v>0</v>
      </c>
      <c r="N130" s="794">
        <f>'Key Assumptions'!N134</f>
        <v>0</v>
      </c>
      <c r="O130" s="794">
        <f>'Key Assumptions'!O134</f>
        <v>0</v>
      </c>
      <c r="P130" s="794">
        <f>'Key Assumptions'!P134</f>
        <v>0</v>
      </c>
      <c r="Q130" s="794">
        <f>'Key Assumptions'!Q134</f>
        <v>0</v>
      </c>
      <c r="R130" s="794">
        <f>'Key Assumptions'!R134</f>
        <v>0</v>
      </c>
      <c r="S130" s="794">
        <f>'Key Assumptions'!S134</f>
        <v>0</v>
      </c>
      <c r="T130" s="794">
        <f>'Key Assumptions'!T134</f>
        <v>0</v>
      </c>
      <c r="U130" s="794">
        <f>'Key Assumptions'!U134</f>
        <v>0</v>
      </c>
      <c r="V130" s="796"/>
    </row>
    <row r="131" spans="1:22">
      <c r="A131" s="791"/>
      <c r="B131" s="791"/>
      <c r="C131" s="791"/>
      <c r="D131" s="790" t="s">
        <v>532</v>
      </c>
      <c r="E131" s="795" t="s">
        <v>598</v>
      </c>
      <c r="F131" s="794">
        <f>'Key Assumptions'!F135</f>
        <v>1</v>
      </c>
      <c r="G131" s="794">
        <f>'Key Assumptions'!G135</f>
        <v>1</v>
      </c>
      <c r="H131" s="794">
        <f>'Key Assumptions'!H135</f>
        <v>1</v>
      </c>
      <c r="I131" s="794">
        <f>'Key Assumptions'!I135</f>
        <v>1</v>
      </c>
      <c r="J131" s="794">
        <f>'Key Assumptions'!J135</f>
        <v>2</v>
      </c>
      <c r="K131" s="794">
        <f>'Key Assumptions'!K135</f>
        <v>2</v>
      </c>
      <c r="L131" s="794">
        <f>'Key Assumptions'!L135</f>
        <v>2</v>
      </c>
      <c r="M131" s="794">
        <f>'Key Assumptions'!M135</f>
        <v>2</v>
      </c>
      <c r="N131" s="794">
        <f>'Key Assumptions'!N135</f>
        <v>2</v>
      </c>
      <c r="O131" s="794">
        <f>'Key Assumptions'!O135</f>
        <v>2</v>
      </c>
      <c r="P131" s="794">
        <f>'Key Assumptions'!P135</f>
        <v>2</v>
      </c>
      <c r="Q131" s="794">
        <f>'Key Assumptions'!Q135</f>
        <v>2</v>
      </c>
      <c r="R131" s="794">
        <f>'Key Assumptions'!R135</f>
        <v>2</v>
      </c>
      <c r="S131" s="794">
        <f>'Key Assumptions'!S135</f>
        <v>2</v>
      </c>
      <c r="T131" s="794">
        <f>'Key Assumptions'!T135</f>
        <v>2</v>
      </c>
      <c r="U131" s="794">
        <f>'Key Assumptions'!U135</f>
        <v>2</v>
      </c>
      <c r="V131" s="796"/>
    </row>
    <row r="132" spans="1:22">
      <c r="A132" s="791" t="s">
        <v>596</v>
      </c>
      <c r="B132" s="791"/>
      <c r="C132" s="791"/>
      <c r="E132" s="793">
        <v>0.15</v>
      </c>
      <c r="F132" s="794">
        <f t="shared" ref="F132:M132" si="107">$E$132*F131*F5*3</f>
        <v>0.44999999999999996</v>
      </c>
      <c r="G132" s="794">
        <f t="shared" si="107"/>
        <v>0.44999999999999996</v>
      </c>
      <c r="H132" s="794">
        <f t="shared" si="107"/>
        <v>0.44999999999999996</v>
      </c>
      <c r="I132" s="794">
        <f t="shared" si="107"/>
        <v>0.44999999999999996</v>
      </c>
      <c r="J132" s="794">
        <f t="shared" si="107"/>
        <v>0.99</v>
      </c>
      <c r="K132" s="794">
        <f t="shared" si="107"/>
        <v>0.99</v>
      </c>
      <c r="L132" s="794">
        <f t="shared" si="107"/>
        <v>0.99</v>
      </c>
      <c r="M132" s="794">
        <f t="shared" si="107"/>
        <v>0.99</v>
      </c>
      <c r="N132" s="794">
        <f t="shared" ref="N132:U132" si="108">$E$132*N131*N5*12</f>
        <v>4.3560000000000008</v>
      </c>
      <c r="O132" s="794">
        <f t="shared" si="108"/>
        <v>4.7916000000000007</v>
      </c>
      <c r="P132" s="794">
        <f t="shared" si="108"/>
        <v>5.270760000000001</v>
      </c>
      <c r="Q132" s="794">
        <f t="shared" si="108"/>
        <v>5.7978360000000002</v>
      </c>
      <c r="R132" s="794">
        <f t="shared" si="108"/>
        <v>6.3776196000000001</v>
      </c>
      <c r="S132" s="794">
        <f t="shared" si="108"/>
        <v>7.0153815599999998</v>
      </c>
      <c r="T132" s="794">
        <f t="shared" si="108"/>
        <v>7.7169197159999996</v>
      </c>
      <c r="U132" s="794">
        <f t="shared" si="108"/>
        <v>8.4886116876000006</v>
      </c>
      <c r="V132" s="796">
        <f>SUM(F132:U132)</f>
        <v>55.574728563600004</v>
      </c>
    </row>
    <row r="133" spans="1:22">
      <c r="A133" s="791" t="s">
        <v>597</v>
      </c>
      <c r="B133" s="791"/>
      <c r="C133" s="791"/>
      <c r="D133" s="793">
        <v>10</v>
      </c>
      <c r="E133" s="793">
        <v>1500</v>
      </c>
      <c r="F133" s="794">
        <f t="shared" ref="F133:U133" si="109">$D$133*$E$133*F130*F5/10^5</f>
        <v>0.15</v>
      </c>
      <c r="G133" s="794">
        <f t="shared" si="109"/>
        <v>0</v>
      </c>
      <c r="H133" s="794">
        <f t="shared" si="109"/>
        <v>0</v>
      </c>
      <c r="I133" s="794">
        <f t="shared" si="109"/>
        <v>0</v>
      </c>
      <c r="J133" s="794">
        <f t="shared" si="109"/>
        <v>0.16500000000000001</v>
      </c>
      <c r="K133" s="794">
        <f t="shared" si="109"/>
        <v>0</v>
      </c>
      <c r="L133" s="794">
        <f t="shared" si="109"/>
        <v>0</v>
      </c>
      <c r="M133" s="794">
        <f t="shared" si="109"/>
        <v>0</v>
      </c>
      <c r="N133" s="794">
        <f t="shared" si="109"/>
        <v>0</v>
      </c>
      <c r="O133" s="794">
        <f t="shared" si="109"/>
        <v>0</v>
      </c>
      <c r="P133" s="794">
        <f t="shared" si="109"/>
        <v>0</v>
      </c>
      <c r="Q133" s="794">
        <f t="shared" si="109"/>
        <v>0</v>
      </c>
      <c r="R133" s="794">
        <f t="shared" si="109"/>
        <v>0</v>
      </c>
      <c r="S133" s="794">
        <f t="shared" si="109"/>
        <v>0</v>
      </c>
      <c r="T133" s="794">
        <f t="shared" si="109"/>
        <v>0</v>
      </c>
      <c r="U133" s="794">
        <f t="shared" si="109"/>
        <v>0</v>
      </c>
      <c r="V133" s="796">
        <f>SUM(F133:U133)</f>
        <v>0.315</v>
      </c>
    </row>
    <row r="134" spans="1:22">
      <c r="A134" s="791" t="s">
        <v>603</v>
      </c>
      <c r="B134" s="791"/>
      <c r="C134" s="791"/>
      <c r="D134" s="798">
        <v>8.3299999999999999E-2</v>
      </c>
      <c r="E134" s="793"/>
      <c r="F134" s="794">
        <f t="shared" ref="F134:U134" si="110">$D$134*$E$132*12*F130*F5</f>
        <v>0.14993999999999999</v>
      </c>
      <c r="G134" s="794">
        <f t="shared" si="110"/>
        <v>0</v>
      </c>
      <c r="H134" s="794">
        <f t="shared" si="110"/>
        <v>0</v>
      </c>
      <c r="I134" s="794">
        <f t="shared" si="110"/>
        <v>0</v>
      </c>
      <c r="J134" s="794">
        <f t="shared" si="110"/>
        <v>0.164934</v>
      </c>
      <c r="K134" s="794">
        <f t="shared" si="110"/>
        <v>0</v>
      </c>
      <c r="L134" s="794">
        <f t="shared" si="110"/>
        <v>0</v>
      </c>
      <c r="M134" s="794">
        <f t="shared" si="110"/>
        <v>0</v>
      </c>
      <c r="N134" s="794">
        <f t="shared" si="110"/>
        <v>0</v>
      </c>
      <c r="O134" s="794">
        <f t="shared" si="110"/>
        <v>0</v>
      </c>
      <c r="P134" s="794">
        <f t="shared" si="110"/>
        <v>0</v>
      </c>
      <c r="Q134" s="794">
        <f t="shared" si="110"/>
        <v>0</v>
      </c>
      <c r="R134" s="794">
        <f t="shared" si="110"/>
        <v>0</v>
      </c>
      <c r="S134" s="794">
        <f t="shared" si="110"/>
        <v>0</v>
      </c>
      <c r="T134" s="794">
        <f t="shared" si="110"/>
        <v>0</v>
      </c>
      <c r="U134" s="794">
        <f t="shared" si="110"/>
        <v>0</v>
      </c>
      <c r="V134" s="796">
        <f>SUM(F134:U134)</f>
        <v>0.31487399999999999</v>
      </c>
    </row>
    <row r="135" spans="1:22">
      <c r="A135" s="791"/>
      <c r="B135" s="791"/>
      <c r="C135" s="791"/>
      <c r="F135" s="794"/>
      <c r="G135" s="794"/>
      <c r="H135" s="794"/>
      <c r="I135" s="794"/>
      <c r="J135" s="794"/>
      <c r="K135" s="794"/>
      <c r="L135" s="794"/>
      <c r="M135" s="794"/>
      <c r="N135" s="794"/>
      <c r="O135" s="794"/>
      <c r="P135" s="794"/>
      <c r="Q135" s="794"/>
      <c r="R135" s="794"/>
      <c r="S135" s="794"/>
      <c r="T135" s="794"/>
      <c r="U135" s="794"/>
      <c r="V135" s="796"/>
    </row>
    <row r="136" spans="1:22">
      <c r="A136" s="791" t="str">
        <f>'Key Assumptions'!B99</f>
        <v>Retail : Assistant (40 Days, 180 hrs)</v>
      </c>
      <c r="B136" s="791"/>
      <c r="C136" s="791"/>
      <c r="D136" s="790" t="s">
        <v>599</v>
      </c>
      <c r="F136" s="794">
        <f>'Key Assumptions'!F137</f>
        <v>3</v>
      </c>
      <c r="G136" s="794">
        <f>'Key Assumptions'!G137</f>
        <v>0</v>
      </c>
      <c r="H136" s="794">
        <f>'Key Assumptions'!H137</f>
        <v>0</v>
      </c>
      <c r="I136" s="794">
        <f>'Key Assumptions'!I137</f>
        <v>0</v>
      </c>
      <c r="J136" s="794">
        <f>'Key Assumptions'!J137</f>
        <v>1</v>
      </c>
      <c r="K136" s="794">
        <f>'Key Assumptions'!K137</f>
        <v>0</v>
      </c>
      <c r="L136" s="794">
        <f>'Key Assumptions'!L137</f>
        <v>0</v>
      </c>
      <c r="M136" s="794">
        <f>'Key Assumptions'!M137</f>
        <v>0</v>
      </c>
      <c r="N136" s="794">
        <f>'Key Assumptions'!N137</f>
        <v>0</v>
      </c>
      <c r="O136" s="794">
        <f>'Key Assumptions'!O137</f>
        <v>0</v>
      </c>
      <c r="P136" s="794">
        <f>'Key Assumptions'!P137</f>
        <v>0</v>
      </c>
      <c r="Q136" s="794">
        <f>'Key Assumptions'!Q137</f>
        <v>0</v>
      </c>
      <c r="R136" s="794">
        <f>'Key Assumptions'!R137</f>
        <v>0</v>
      </c>
      <c r="S136" s="794">
        <f>'Key Assumptions'!S137</f>
        <v>0</v>
      </c>
      <c r="T136" s="794">
        <f>'Key Assumptions'!T137</f>
        <v>0</v>
      </c>
      <c r="U136" s="794">
        <f>'Key Assumptions'!U137</f>
        <v>0</v>
      </c>
      <c r="V136" s="796"/>
    </row>
    <row r="137" spans="1:22">
      <c r="A137" s="791"/>
      <c r="B137" s="791"/>
      <c r="C137" s="791"/>
      <c r="D137" s="790" t="s">
        <v>532</v>
      </c>
      <c r="E137" s="795" t="s">
        <v>598</v>
      </c>
      <c r="F137" s="794">
        <f>'Key Assumptions'!F138</f>
        <v>3</v>
      </c>
      <c r="G137" s="794">
        <f>'Key Assumptions'!G138</f>
        <v>3</v>
      </c>
      <c r="H137" s="794">
        <f>'Key Assumptions'!H138</f>
        <v>3</v>
      </c>
      <c r="I137" s="794">
        <f>'Key Assumptions'!I138</f>
        <v>3</v>
      </c>
      <c r="J137" s="794">
        <f>'Key Assumptions'!J138</f>
        <v>4</v>
      </c>
      <c r="K137" s="794">
        <f>'Key Assumptions'!K138</f>
        <v>4</v>
      </c>
      <c r="L137" s="794">
        <f>'Key Assumptions'!L138</f>
        <v>4</v>
      </c>
      <c r="M137" s="794">
        <f>'Key Assumptions'!M138</f>
        <v>4</v>
      </c>
      <c r="N137" s="794">
        <f>'Key Assumptions'!N138</f>
        <v>4</v>
      </c>
      <c r="O137" s="794">
        <f>'Key Assumptions'!O138</f>
        <v>4</v>
      </c>
      <c r="P137" s="794">
        <f>'Key Assumptions'!P138</f>
        <v>4</v>
      </c>
      <c r="Q137" s="794">
        <f>'Key Assumptions'!Q138</f>
        <v>4</v>
      </c>
      <c r="R137" s="794">
        <f>'Key Assumptions'!R138</f>
        <v>4</v>
      </c>
      <c r="S137" s="794">
        <f>'Key Assumptions'!S138</f>
        <v>4</v>
      </c>
      <c r="T137" s="794">
        <f>'Key Assumptions'!T138</f>
        <v>4</v>
      </c>
      <c r="U137" s="794">
        <f>'Key Assumptions'!U138</f>
        <v>4</v>
      </c>
      <c r="V137" s="796"/>
    </row>
    <row r="138" spans="1:22">
      <c r="A138" s="791" t="s">
        <v>596</v>
      </c>
      <c r="B138" s="791"/>
      <c r="C138" s="791"/>
      <c r="E138" s="793">
        <v>0.15</v>
      </c>
      <c r="F138" s="794">
        <f t="shared" ref="F138:M138" si="111">$E$138*F137*F5*3</f>
        <v>1.3499999999999999</v>
      </c>
      <c r="G138" s="794">
        <f t="shared" si="111"/>
        <v>1.3499999999999999</v>
      </c>
      <c r="H138" s="794">
        <f t="shared" si="111"/>
        <v>1.3499999999999999</v>
      </c>
      <c r="I138" s="794">
        <f t="shared" si="111"/>
        <v>1.3499999999999999</v>
      </c>
      <c r="J138" s="794">
        <f t="shared" si="111"/>
        <v>1.98</v>
      </c>
      <c r="K138" s="794">
        <f t="shared" si="111"/>
        <v>1.98</v>
      </c>
      <c r="L138" s="794">
        <f t="shared" si="111"/>
        <v>1.98</v>
      </c>
      <c r="M138" s="794">
        <f t="shared" si="111"/>
        <v>1.98</v>
      </c>
      <c r="N138" s="794">
        <f t="shared" ref="N138:U138" si="112">$E$138*N137*N5*12</f>
        <v>8.7120000000000015</v>
      </c>
      <c r="O138" s="794">
        <f t="shared" si="112"/>
        <v>9.5832000000000015</v>
      </c>
      <c r="P138" s="794">
        <f t="shared" si="112"/>
        <v>10.541520000000002</v>
      </c>
      <c r="Q138" s="794">
        <f t="shared" si="112"/>
        <v>11.595672</v>
      </c>
      <c r="R138" s="794">
        <f t="shared" si="112"/>
        <v>12.7552392</v>
      </c>
      <c r="S138" s="794">
        <f t="shared" si="112"/>
        <v>14.03076312</v>
      </c>
      <c r="T138" s="794">
        <f t="shared" si="112"/>
        <v>15.433839431999999</v>
      </c>
      <c r="U138" s="794">
        <f t="shared" si="112"/>
        <v>16.977223375200001</v>
      </c>
      <c r="V138" s="796">
        <f>SUM(F138:U138)</f>
        <v>112.94945712720001</v>
      </c>
    </row>
    <row r="139" spans="1:22">
      <c r="A139" s="791" t="s">
        <v>597</v>
      </c>
      <c r="B139" s="791"/>
      <c r="C139" s="791"/>
      <c r="D139" s="793">
        <v>10</v>
      </c>
      <c r="E139" s="793">
        <v>1500</v>
      </c>
      <c r="F139" s="794">
        <f t="shared" ref="F139:U139" si="113">$D$139*$E$139*F136*F5/10^5</f>
        <v>0.45</v>
      </c>
      <c r="G139" s="794">
        <f t="shared" si="113"/>
        <v>0</v>
      </c>
      <c r="H139" s="794">
        <f t="shared" si="113"/>
        <v>0</v>
      </c>
      <c r="I139" s="794">
        <f t="shared" si="113"/>
        <v>0</v>
      </c>
      <c r="J139" s="794">
        <f t="shared" si="113"/>
        <v>0.16500000000000001</v>
      </c>
      <c r="K139" s="794">
        <f t="shared" si="113"/>
        <v>0</v>
      </c>
      <c r="L139" s="794">
        <f t="shared" si="113"/>
        <v>0</v>
      </c>
      <c r="M139" s="794">
        <f t="shared" si="113"/>
        <v>0</v>
      </c>
      <c r="N139" s="794">
        <f t="shared" si="113"/>
        <v>0</v>
      </c>
      <c r="O139" s="794">
        <f t="shared" si="113"/>
        <v>0</v>
      </c>
      <c r="P139" s="794">
        <f t="shared" si="113"/>
        <v>0</v>
      </c>
      <c r="Q139" s="794">
        <f t="shared" si="113"/>
        <v>0</v>
      </c>
      <c r="R139" s="794">
        <f t="shared" si="113"/>
        <v>0</v>
      </c>
      <c r="S139" s="794">
        <f t="shared" si="113"/>
        <v>0</v>
      </c>
      <c r="T139" s="794">
        <f t="shared" si="113"/>
        <v>0</v>
      </c>
      <c r="U139" s="794">
        <f t="shared" si="113"/>
        <v>0</v>
      </c>
      <c r="V139" s="796">
        <f>SUM(F139:U139)</f>
        <v>0.61499999999999999</v>
      </c>
    </row>
    <row r="140" spans="1:22">
      <c r="A140" s="791" t="s">
        <v>603</v>
      </c>
      <c r="B140" s="791"/>
      <c r="C140" s="791"/>
      <c r="D140" s="798">
        <v>8.3299999999999999E-2</v>
      </c>
      <c r="E140" s="793"/>
      <c r="F140" s="794">
        <f t="shared" ref="F140:U140" si="114">$D$140*$E$138*12*F136*F5</f>
        <v>0.44982</v>
      </c>
      <c r="G140" s="794">
        <f t="shared" si="114"/>
        <v>0</v>
      </c>
      <c r="H140" s="794">
        <f t="shared" si="114"/>
        <v>0</v>
      </c>
      <c r="I140" s="794">
        <f t="shared" si="114"/>
        <v>0</v>
      </c>
      <c r="J140" s="794">
        <f t="shared" si="114"/>
        <v>0.164934</v>
      </c>
      <c r="K140" s="794">
        <f t="shared" si="114"/>
        <v>0</v>
      </c>
      <c r="L140" s="794">
        <f t="shared" si="114"/>
        <v>0</v>
      </c>
      <c r="M140" s="794">
        <f t="shared" si="114"/>
        <v>0</v>
      </c>
      <c r="N140" s="794">
        <f t="shared" si="114"/>
        <v>0</v>
      </c>
      <c r="O140" s="794">
        <f t="shared" si="114"/>
        <v>0</v>
      </c>
      <c r="P140" s="794">
        <f t="shared" si="114"/>
        <v>0</v>
      </c>
      <c r="Q140" s="794">
        <f t="shared" si="114"/>
        <v>0</v>
      </c>
      <c r="R140" s="794">
        <f t="shared" si="114"/>
        <v>0</v>
      </c>
      <c r="S140" s="794">
        <f t="shared" si="114"/>
        <v>0</v>
      </c>
      <c r="T140" s="794">
        <f t="shared" si="114"/>
        <v>0</v>
      </c>
      <c r="U140" s="794">
        <f t="shared" si="114"/>
        <v>0</v>
      </c>
      <c r="V140" s="796">
        <f>SUM(F140:U140)</f>
        <v>0.61475400000000002</v>
      </c>
    </row>
    <row r="141" spans="1:22">
      <c r="A141" s="791"/>
      <c r="B141" s="791"/>
      <c r="C141" s="791"/>
      <c r="F141" s="794"/>
      <c r="G141" s="794"/>
      <c r="H141" s="794"/>
      <c r="I141" s="794"/>
      <c r="J141" s="794"/>
      <c r="K141" s="794"/>
      <c r="L141" s="794"/>
      <c r="M141" s="794"/>
      <c r="N141" s="794"/>
      <c r="O141" s="794"/>
      <c r="P141" s="794"/>
      <c r="Q141" s="794"/>
      <c r="R141" s="794"/>
      <c r="S141" s="794"/>
      <c r="T141" s="794"/>
      <c r="U141" s="794"/>
      <c r="V141" s="796"/>
    </row>
    <row r="142" spans="1:22">
      <c r="A142" s="791" t="str">
        <f>'Key Assumptions'!B100</f>
        <v>Agriculture : Apiculture (16 Days, 48 hrs)</v>
      </c>
      <c r="B142" s="791"/>
      <c r="C142" s="791"/>
      <c r="D142" s="790" t="s">
        <v>599</v>
      </c>
      <c r="F142" s="794">
        <f>'Key Assumptions'!F140</f>
        <v>1</v>
      </c>
      <c r="G142" s="794">
        <f>'Key Assumptions'!G140</f>
        <v>0</v>
      </c>
      <c r="H142" s="794">
        <f>'Key Assumptions'!H140</f>
        <v>0</v>
      </c>
      <c r="I142" s="794">
        <f>'Key Assumptions'!I140</f>
        <v>0</v>
      </c>
      <c r="J142" s="794">
        <f>'Key Assumptions'!J140</f>
        <v>1</v>
      </c>
      <c r="K142" s="794">
        <f>'Key Assumptions'!K140</f>
        <v>0</v>
      </c>
      <c r="L142" s="794">
        <f>'Key Assumptions'!L140</f>
        <v>0</v>
      </c>
      <c r="M142" s="794">
        <f>'Key Assumptions'!M140</f>
        <v>0</v>
      </c>
      <c r="N142" s="794">
        <f>'Key Assumptions'!N140</f>
        <v>1</v>
      </c>
      <c r="O142" s="794">
        <f>'Key Assumptions'!O140</f>
        <v>1</v>
      </c>
      <c r="P142" s="794">
        <f>'Key Assumptions'!P140</f>
        <v>0</v>
      </c>
      <c r="Q142" s="794">
        <f>'Key Assumptions'!Q140</f>
        <v>0</v>
      </c>
      <c r="R142" s="794">
        <f>'Key Assumptions'!R140</f>
        <v>0</v>
      </c>
      <c r="S142" s="794">
        <f>'Key Assumptions'!S140</f>
        <v>0</v>
      </c>
      <c r="T142" s="794">
        <f>'Key Assumptions'!T140</f>
        <v>0</v>
      </c>
      <c r="U142" s="794">
        <f>'Key Assumptions'!U140</f>
        <v>0</v>
      </c>
      <c r="V142" s="796"/>
    </row>
    <row r="143" spans="1:22">
      <c r="A143" s="791"/>
      <c r="B143" s="791"/>
      <c r="C143" s="791"/>
      <c r="D143" s="790" t="s">
        <v>532</v>
      </c>
      <c r="E143" s="795" t="s">
        <v>598</v>
      </c>
      <c r="F143" s="794">
        <f>'Key Assumptions'!F141</f>
        <v>1</v>
      </c>
      <c r="G143" s="794">
        <f>'Key Assumptions'!G141</f>
        <v>1</v>
      </c>
      <c r="H143" s="794">
        <f>'Key Assumptions'!H141</f>
        <v>1</v>
      </c>
      <c r="I143" s="794">
        <f>'Key Assumptions'!I141</f>
        <v>1</v>
      </c>
      <c r="J143" s="794">
        <f>'Key Assumptions'!J141</f>
        <v>2</v>
      </c>
      <c r="K143" s="794">
        <f>'Key Assumptions'!K141</f>
        <v>2</v>
      </c>
      <c r="L143" s="794">
        <f>'Key Assumptions'!L141</f>
        <v>2</v>
      </c>
      <c r="M143" s="794">
        <f>'Key Assumptions'!M141</f>
        <v>2</v>
      </c>
      <c r="N143" s="794">
        <f>'Key Assumptions'!N141</f>
        <v>3</v>
      </c>
      <c r="O143" s="794">
        <f>'Key Assumptions'!O141</f>
        <v>4</v>
      </c>
      <c r="P143" s="794">
        <f>'Key Assumptions'!P141</f>
        <v>4</v>
      </c>
      <c r="Q143" s="794">
        <f>'Key Assumptions'!Q141</f>
        <v>4</v>
      </c>
      <c r="R143" s="794">
        <f>'Key Assumptions'!R141</f>
        <v>4</v>
      </c>
      <c r="S143" s="794">
        <f>'Key Assumptions'!S141</f>
        <v>4</v>
      </c>
      <c r="T143" s="794">
        <f>'Key Assumptions'!T141</f>
        <v>4</v>
      </c>
      <c r="U143" s="794">
        <f>'Key Assumptions'!U141</f>
        <v>4</v>
      </c>
      <c r="V143" s="796"/>
    </row>
    <row r="144" spans="1:22">
      <c r="A144" s="791" t="s">
        <v>596</v>
      </c>
      <c r="B144" s="791"/>
      <c r="C144" s="791"/>
      <c r="E144" s="793">
        <v>0.15</v>
      </c>
      <c r="F144" s="794">
        <f t="shared" ref="F144:M144" si="115">$E$144*F143*F5*3</f>
        <v>0.44999999999999996</v>
      </c>
      <c r="G144" s="794">
        <f t="shared" si="115"/>
        <v>0.44999999999999996</v>
      </c>
      <c r="H144" s="794">
        <f t="shared" si="115"/>
        <v>0.44999999999999996</v>
      </c>
      <c r="I144" s="794">
        <f t="shared" si="115"/>
        <v>0.44999999999999996</v>
      </c>
      <c r="J144" s="794">
        <f t="shared" si="115"/>
        <v>0.99</v>
      </c>
      <c r="K144" s="794">
        <f t="shared" si="115"/>
        <v>0.99</v>
      </c>
      <c r="L144" s="794">
        <f t="shared" si="115"/>
        <v>0.99</v>
      </c>
      <c r="M144" s="794">
        <f t="shared" si="115"/>
        <v>0.99</v>
      </c>
      <c r="N144" s="794">
        <f t="shared" ref="N144:U144" si="116">$E$144*N143*N5*12</f>
        <v>6.5339999999999998</v>
      </c>
      <c r="O144" s="794">
        <f t="shared" si="116"/>
        <v>9.5832000000000015</v>
      </c>
      <c r="P144" s="794">
        <f t="shared" si="116"/>
        <v>10.541520000000002</v>
      </c>
      <c r="Q144" s="794">
        <f t="shared" si="116"/>
        <v>11.595672</v>
      </c>
      <c r="R144" s="794">
        <f t="shared" si="116"/>
        <v>12.7552392</v>
      </c>
      <c r="S144" s="794">
        <f t="shared" si="116"/>
        <v>14.03076312</v>
      </c>
      <c r="T144" s="794">
        <f t="shared" si="116"/>
        <v>15.433839431999999</v>
      </c>
      <c r="U144" s="794">
        <f t="shared" si="116"/>
        <v>16.977223375200001</v>
      </c>
      <c r="V144" s="796">
        <f>SUM(F144:U144)</f>
        <v>103.21145712720001</v>
      </c>
    </row>
    <row r="145" spans="1:22">
      <c r="A145" s="791" t="s">
        <v>597</v>
      </c>
      <c r="B145" s="791"/>
      <c r="C145" s="791"/>
      <c r="D145" s="793">
        <v>10</v>
      </c>
      <c r="E145" s="793">
        <v>1500</v>
      </c>
      <c r="F145" s="794">
        <f t="shared" ref="F145:U145" si="117">$D$145*$E$145*F142*F5/10^5</f>
        <v>0.15</v>
      </c>
      <c r="G145" s="794">
        <f t="shared" si="117"/>
        <v>0</v>
      </c>
      <c r="H145" s="794">
        <f t="shared" si="117"/>
        <v>0</v>
      </c>
      <c r="I145" s="794">
        <f t="shared" si="117"/>
        <v>0</v>
      </c>
      <c r="J145" s="794">
        <f t="shared" si="117"/>
        <v>0.16500000000000001</v>
      </c>
      <c r="K145" s="794">
        <f t="shared" si="117"/>
        <v>0</v>
      </c>
      <c r="L145" s="794">
        <f t="shared" si="117"/>
        <v>0</v>
      </c>
      <c r="M145" s="794">
        <f t="shared" si="117"/>
        <v>0</v>
      </c>
      <c r="N145" s="794">
        <f t="shared" si="117"/>
        <v>0.18150000000000005</v>
      </c>
      <c r="O145" s="794">
        <f t="shared" si="117"/>
        <v>0.19965000000000005</v>
      </c>
      <c r="P145" s="794">
        <f t="shared" si="117"/>
        <v>0</v>
      </c>
      <c r="Q145" s="794">
        <f t="shared" si="117"/>
        <v>0</v>
      </c>
      <c r="R145" s="794">
        <f t="shared" si="117"/>
        <v>0</v>
      </c>
      <c r="S145" s="794">
        <f t="shared" si="117"/>
        <v>0</v>
      </c>
      <c r="T145" s="794">
        <f t="shared" si="117"/>
        <v>0</v>
      </c>
      <c r="U145" s="794">
        <f t="shared" si="117"/>
        <v>0</v>
      </c>
      <c r="V145" s="796">
        <f>SUM(F145:U145)</f>
        <v>0.69615000000000005</v>
      </c>
    </row>
    <row r="146" spans="1:22">
      <c r="A146" s="791" t="s">
        <v>603</v>
      </c>
      <c r="B146" s="791"/>
      <c r="C146" s="791"/>
      <c r="D146" s="798">
        <v>8.3299999999999999E-2</v>
      </c>
      <c r="E146" s="793"/>
      <c r="F146" s="794">
        <f t="shared" ref="F146:U146" si="118">$D$146*$E$144*12*F142*F5</f>
        <v>0.14993999999999999</v>
      </c>
      <c r="G146" s="794">
        <f t="shared" si="118"/>
        <v>0</v>
      </c>
      <c r="H146" s="794">
        <f t="shared" si="118"/>
        <v>0</v>
      </c>
      <c r="I146" s="794">
        <f t="shared" si="118"/>
        <v>0</v>
      </c>
      <c r="J146" s="794">
        <f t="shared" si="118"/>
        <v>0.164934</v>
      </c>
      <c r="K146" s="794">
        <f t="shared" si="118"/>
        <v>0</v>
      </c>
      <c r="L146" s="794">
        <f t="shared" si="118"/>
        <v>0</v>
      </c>
      <c r="M146" s="794">
        <f t="shared" si="118"/>
        <v>0</v>
      </c>
      <c r="N146" s="794">
        <f t="shared" si="118"/>
        <v>0.18142740000000002</v>
      </c>
      <c r="O146" s="794">
        <f t="shared" si="118"/>
        <v>0.19957014000000001</v>
      </c>
      <c r="P146" s="794">
        <f t="shared" si="118"/>
        <v>0</v>
      </c>
      <c r="Q146" s="794">
        <f t="shared" si="118"/>
        <v>0</v>
      </c>
      <c r="R146" s="794">
        <f t="shared" si="118"/>
        <v>0</v>
      </c>
      <c r="S146" s="794">
        <f t="shared" si="118"/>
        <v>0</v>
      </c>
      <c r="T146" s="794">
        <f t="shared" si="118"/>
        <v>0</v>
      </c>
      <c r="U146" s="794">
        <f t="shared" si="118"/>
        <v>0</v>
      </c>
      <c r="V146" s="796">
        <f>SUM(F146:U146)</f>
        <v>0.69587153999999996</v>
      </c>
    </row>
    <row r="147" spans="1:22">
      <c r="A147" s="791"/>
      <c r="B147" s="791"/>
      <c r="C147" s="791"/>
      <c r="F147" s="794"/>
      <c r="G147" s="794"/>
      <c r="H147" s="794"/>
      <c r="I147" s="794"/>
      <c r="J147" s="794"/>
      <c r="K147" s="794"/>
      <c r="L147" s="794"/>
      <c r="M147" s="794"/>
      <c r="N147" s="794"/>
      <c r="O147" s="794"/>
      <c r="P147" s="794"/>
      <c r="Q147" s="794"/>
      <c r="R147" s="794"/>
      <c r="S147" s="794"/>
      <c r="T147" s="794"/>
      <c r="U147" s="794"/>
      <c r="V147" s="796"/>
    </row>
    <row r="148" spans="1:22" ht="15.75" customHeight="1">
      <c r="A148" s="791" t="str">
        <f>'Key Assumptions'!B101</f>
        <v>Agriculture : Mushroom farming  (16 Days, 48 hrs)</v>
      </c>
      <c r="B148" s="791"/>
      <c r="C148" s="791"/>
      <c r="D148" s="790" t="s">
        <v>599</v>
      </c>
      <c r="F148" s="794">
        <f>'Key Assumptions'!F143</f>
        <v>1</v>
      </c>
      <c r="G148" s="794">
        <f>'Key Assumptions'!G143</f>
        <v>0</v>
      </c>
      <c r="H148" s="794">
        <f>'Key Assumptions'!H143</f>
        <v>0</v>
      </c>
      <c r="I148" s="794">
        <f>'Key Assumptions'!I143</f>
        <v>0</v>
      </c>
      <c r="J148" s="794">
        <f>'Key Assumptions'!J143</f>
        <v>1</v>
      </c>
      <c r="K148" s="794">
        <f>'Key Assumptions'!K143</f>
        <v>0</v>
      </c>
      <c r="L148" s="794">
        <f>'Key Assumptions'!L143</f>
        <v>0</v>
      </c>
      <c r="M148" s="794">
        <f>'Key Assumptions'!M143</f>
        <v>0</v>
      </c>
      <c r="N148" s="794">
        <f>'Key Assumptions'!N143</f>
        <v>1</v>
      </c>
      <c r="O148" s="794">
        <f>'Key Assumptions'!O143</f>
        <v>1</v>
      </c>
      <c r="P148" s="794">
        <f>'Key Assumptions'!P143</f>
        <v>0</v>
      </c>
      <c r="Q148" s="794">
        <f>'Key Assumptions'!Q143</f>
        <v>0</v>
      </c>
      <c r="R148" s="794">
        <f>'Key Assumptions'!R143</f>
        <v>0</v>
      </c>
      <c r="S148" s="794">
        <f>'Key Assumptions'!S143</f>
        <v>0</v>
      </c>
      <c r="T148" s="794">
        <f>'Key Assumptions'!T143</f>
        <v>0</v>
      </c>
      <c r="U148" s="794">
        <f>'Key Assumptions'!U143</f>
        <v>0</v>
      </c>
      <c r="V148" s="796"/>
    </row>
    <row r="149" spans="1:22">
      <c r="A149" s="791"/>
      <c r="B149" s="791"/>
      <c r="C149" s="791"/>
      <c r="D149" s="790" t="s">
        <v>532</v>
      </c>
      <c r="E149" s="795" t="s">
        <v>598</v>
      </c>
      <c r="F149" s="794">
        <f>'Key Assumptions'!F144</f>
        <v>1</v>
      </c>
      <c r="G149" s="794">
        <f>'Key Assumptions'!G144</f>
        <v>1</v>
      </c>
      <c r="H149" s="794">
        <f>'Key Assumptions'!H144</f>
        <v>1</v>
      </c>
      <c r="I149" s="794">
        <f>'Key Assumptions'!I144</f>
        <v>1</v>
      </c>
      <c r="J149" s="794">
        <f>'Key Assumptions'!J144</f>
        <v>2</v>
      </c>
      <c r="K149" s="794">
        <f>'Key Assumptions'!K144</f>
        <v>2</v>
      </c>
      <c r="L149" s="794">
        <f>'Key Assumptions'!L144</f>
        <v>2</v>
      </c>
      <c r="M149" s="794">
        <f>'Key Assumptions'!M144</f>
        <v>2</v>
      </c>
      <c r="N149" s="794">
        <f>'Key Assumptions'!N144</f>
        <v>3</v>
      </c>
      <c r="O149" s="794">
        <f>'Key Assumptions'!O144</f>
        <v>4</v>
      </c>
      <c r="P149" s="794">
        <f>'Key Assumptions'!P144</f>
        <v>4</v>
      </c>
      <c r="Q149" s="794">
        <f>'Key Assumptions'!Q144</f>
        <v>4</v>
      </c>
      <c r="R149" s="794">
        <f>'Key Assumptions'!R144</f>
        <v>4</v>
      </c>
      <c r="S149" s="794">
        <f>'Key Assumptions'!S144</f>
        <v>4</v>
      </c>
      <c r="T149" s="794">
        <f>'Key Assumptions'!T144</f>
        <v>4</v>
      </c>
      <c r="U149" s="794">
        <f>'Key Assumptions'!U144</f>
        <v>4</v>
      </c>
      <c r="V149" s="796"/>
    </row>
    <row r="150" spans="1:22">
      <c r="A150" s="791" t="s">
        <v>596</v>
      </c>
      <c r="B150" s="791"/>
      <c r="C150" s="791"/>
      <c r="E150" s="793">
        <v>0.15</v>
      </c>
      <c r="F150" s="794">
        <f t="shared" ref="F150:M150" si="119">$E$150*F149*F5*3</f>
        <v>0.44999999999999996</v>
      </c>
      <c r="G150" s="794">
        <f t="shared" si="119"/>
        <v>0.44999999999999996</v>
      </c>
      <c r="H150" s="794">
        <f t="shared" si="119"/>
        <v>0.44999999999999996</v>
      </c>
      <c r="I150" s="794">
        <f t="shared" si="119"/>
        <v>0.44999999999999996</v>
      </c>
      <c r="J150" s="794">
        <f t="shared" si="119"/>
        <v>0.99</v>
      </c>
      <c r="K150" s="794">
        <f t="shared" si="119"/>
        <v>0.99</v>
      </c>
      <c r="L150" s="794">
        <f t="shared" si="119"/>
        <v>0.99</v>
      </c>
      <c r="M150" s="794">
        <f t="shared" si="119"/>
        <v>0.99</v>
      </c>
      <c r="N150" s="794">
        <f t="shared" ref="N150:U150" si="120">$E$150*N149*N5*12</f>
        <v>6.5339999999999998</v>
      </c>
      <c r="O150" s="794">
        <f t="shared" si="120"/>
        <v>9.5832000000000015</v>
      </c>
      <c r="P150" s="794">
        <f t="shared" si="120"/>
        <v>10.541520000000002</v>
      </c>
      <c r="Q150" s="794">
        <f t="shared" si="120"/>
        <v>11.595672</v>
      </c>
      <c r="R150" s="794">
        <f t="shared" si="120"/>
        <v>12.7552392</v>
      </c>
      <c r="S150" s="794">
        <f t="shared" si="120"/>
        <v>14.03076312</v>
      </c>
      <c r="T150" s="794">
        <f t="shared" si="120"/>
        <v>15.433839431999999</v>
      </c>
      <c r="U150" s="794">
        <f t="shared" si="120"/>
        <v>16.977223375200001</v>
      </c>
      <c r="V150" s="796">
        <f>SUM(F150:U150)</f>
        <v>103.21145712720001</v>
      </c>
    </row>
    <row r="151" spans="1:22">
      <c r="A151" s="791" t="s">
        <v>597</v>
      </c>
      <c r="B151" s="791"/>
      <c r="C151" s="791"/>
      <c r="D151" s="793">
        <v>10</v>
      </c>
      <c r="E151" s="793">
        <v>1500</v>
      </c>
      <c r="F151" s="794">
        <f t="shared" ref="F151:U151" si="121">$D$151*$E$151*F148*F5/10^5</f>
        <v>0.15</v>
      </c>
      <c r="G151" s="794">
        <f t="shared" si="121"/>
        <v>0</v>
      </c>
      <c r="H151" s="794">
        <f t="shared" si="121"/>
        <v>0</v>
      </c>
      <c r="I151" s="794">
        <f t="shared" si="121"/>
        <v>0</v>
      </c>
      <c r="J151" s="794">
        <f t="shared" si="121"/>
        <v>0.16500000000000001</v>
      </c>
      <c r="K151" s="794">
        <f t="shared" si="121"/>
        <v>0</v>
      </c>
      <c r="L151" s="794">
        <f t="shared" si="121"/>
        <v>0</v>
      </c>
      <c r="M151" s="794">
        <f t="shared" si="121"/>
        <v>0</v>
      </c>
      <c r="N151" s="794">
        <f t="shared" si="121"/>
        <v>0.18150000000000005</v>
      </c>
      <c r="O151" s="794">
        <f t="shared" si="121"/>
        <v>0.19965000000000005</v>
      </c>
      <c r="P151" s="794">
        <f t="shared" si="121"/>
        <v>0</v>
      </c>
      <c r="Q151" s="794">
        <f t="shared" si="121"/>
        <v>0</v>
      </c>
      <c r="R151" s="794">
        <f t="shared" si="121"/>
        <v>0</v>
      </c>
      <c r="S151" s="794">
        <f t="shared" si="121"/>
        <v>0</v>
      </c>
      <c r="T151" s="794">
        <f t="shared" si="121"/>
        <v>0</v>
      </c>
      <c r="U151" s="794">
        <f t="shared" si="121"/>
        <v>0</v>
      </c>
      <c r="V151" s="796">
        <f>SUM(F151:U151)</f>
        <v>0.69615000000000005</v>
      </c>
    </row>
    <row r="152" spans="1:22">
      <c r="A152" s="791" t="s">
        <v>603</v>
      </c>
      <c r="B152" s="791"/>
      <c r="C152" s="791"/>
      <c r="D152" s="798">
        <v>8.3299999999999999E-2</v>
      </c>
      <c r="E152" s="793"/>
      <c r="F152" s="794">
        <f t="shared" ref="F152:U152" si="122">$D$152*$E$150*12*F148*F5</f>
        <v>0.14993999999999999</v>
      </c>
      <c r="G152" s="794">
        <f t="shared" si="122"/>
        <v>0</v>
      </c>
      <c r="H152" s="794">
        <f t="shared" si="122"/>
        <v>0</v>
      </c>
      <c r="I152" s="794">
        <f t="shared" si="122"/>
        <v>0</v>
      </c>
      <c r="J152" s="794">
        <f t="shared" si="122"/>
        <v>0.164934</v>
      </c>
      <c r="K152" s="794">
        <f t="shared" si="122"/>
        <v>0</v>
      </c>
      <c r="L152" s="794">
        <f t="shared" si="122"/>
        <v>0</v>
      </c>
      <c r="M152" s="794">
        <f t="shared" si="122"/>
        <v>0</v>
      </c>
      <c r="N152" s="794">
        <f t="shared" si="122"/>
        <v>0.18142740000000002</v>
      </c>
      <c r="O152" s="794">
        <f t="shared" si="122"/>
        <v>0.19957014000000001</v>
      </c>
      <c r="P152" s="794">
        <f t="shared" si="122"/>
        <v>0</v>
      </c>
      <c r="Q152" s="794">
        <f t="shared" si="122"/>
        <v>0</v>
      </c>
      <c r="R152" s="794">
        <f t="shared" si="122"/>
        <v>0</v>
      </c>
      <c r="S152" s="794">
        <f t="shared" si="122"/>
        <v>0</v>
      </c>
      <c r="T152" s="794">
        <f t="shared" si="122"/>
        <v>0</v>
      </c>
      <c r="U152" s="794">
        <f t="shared" si="122"/>
        <v>0</v>
      </c>
      <c r="V152" s="796">
        <f>SUM(F152:U152)</f>
        <v>0.69587153999999996</v>
      </c>
    </row>
    <row r="153" spans="1:22">
      <c r="A153" s="791"/>
      <c r="B153" s="791"/>
      <c r="C153" s="791"/>
      <c r="F153" s="794"/>
      <c r="G153" s="794"/>
      <c r="H153" s="794"/>
      <c r="I153" s="794"/>
      <c r="J153" s="794"/>
      <c r="K153" s="794"/>
      <c r="L153" s="794"/>
      <c r="M153" s="794"/>
      <c r="N153" s="794"/>
      <c r="O153" s="794"/>
      <c r="P153" s="794"/>
      <c r="Q153" s="794"/>
      <c r="R153" s="794"/>
      <c r="S153" s="794"/>
      <c r="T153" s="794"/>
      <c r="U153" s="794"/>
      <c r="V153" s="796"/>
    </row>
    <row r="154" spans="1:22">
      <c r="A154" s="791" t="str">
        <f>'Key Assumptions'!B102</f>
        <v>Agriculture : Floriculture  (16 Days, 48 hrs)</v>
      </c>
      <c r="B154" s="791"/>
      <c r="C154" s="791"/>
      <c r="D154" s="790" t="s">
        <v>599</v>
      </c>
      <c r="F154" s="794">
        <f>'Key Assumptions'!F146</f>
        <v>1</v>
      </c>
      <c r="G154" s="794">
        <f>'Key Assumptions'!G146</f>
        <v>0</v>
      </c>
      <c r="H154" s="794">
        <f>'Key Assumptions'!H146</f>
        <v>0</v>
      </c>
      <c r="I154" s="794">
        <f>'Key Assumptions'!I146</f>
        <v>0</v>
      </c>
      <c r="J154" s="794">
        <f>'Key Assumptions'!J146</f>
        <v>1</v>
      </c>
      <c r="K154" s="794">
        <f>'Key Assumptions'!K146</f>
        <v>0</v>
      </c>
      <c r="L154" s="794">
        <f>'Key Assumptions'!L146</f>
        <v>0</v>
      </c>
      <c r="M154" s="794">
        <f>'Key Assumptions'!M146</f>
        <v>0</v>
      </c>
      <c r="N154" s="794">
        <f>'Key Assumptions'!N146</f>
        <v>1</v>
      </c>
      <c r="O154" s="794">
        <f>'Key Assumptions'!O146</f>
        <v>1</v>
      </c>
      <c r="P154" s="794">
        <f>'Key Assumptions'!P146</f>
        <v>0</v>
      </c>
      <c r="Q154" s="794">
        <f>'Key Assumptions'!Q146</f>
        <v>0</v>
      </c>
      <c r="R154" s="794">
        <f>'Key Assumptions'!R146</f>
        <v>0</v>
      </c>
      <c r="S154" s="794">
        <f>'Key Assumptions'!S146</f>
        <v>0</v>
      </c>
      <c r="T154" s="794">
        <f>'Key Assumptions'!T146</f>
        <v>0</v>
      </c>
      <c r="U154" s="794">
        <f>'Key Assumptions'!U146</f>
        <v>0</v>
      </c>
      <c r="V154" s="796"/>
    </row>
    <row r="155" spans="1:22">
      <c r="A155" s="791"/>
      <c r="B155" s="791"/>
      <c r="C155" s="791"/>
      <c r="D155" s="790" t="s">
        <v>532</v>
      </c>
      <c r="E155" s="795" t="s">
        <v>598</v>
      </c>
      <c r="F155" s="794">
        <f>'Key Assumptions'!F147</f>
        <v>1</v>
      </c>
      <c r="G155" s="794">
        <f>'Key Assumptions'!G147</f>
        <v>1</v>
      </c>
      <c r="H155" s="794">
        <f>'Key Assumptions'!H147</f>
        <v>1</v>
      </c>
      <c r="I155" s="794">
        <f>'Key Assumptions'!I147</f>
        <v>1</v>
      </c>
      <c r="J155" s="794">
        <f>'Key Assumptions'!J147</f>
        <v>2</v>
      </c>
      <c r="K155" s="794">
        <f>'Key Assumptions'!K147</f>
        <v>2</v>
      </c>
      <c r="L155" s="794">
        <f>'Key Assumptions'!L147</f>
        <v>2</v>
      </c>
      <c r="M155" s="794">
        <f>'Key Assumptions'!M147</f>
        <v>2</v>
      </c>
      <c r="N155" s="794">
        <f>'Key Assumptions'!N147</f>
        <v>3</v>
      </c>
      <c r="O155" s="794">
        <f>'Key Assumptions'!O147</f>
        <v>4</v>
      </c>
      <c r="P155" s="794">
        <f>'Key Assumptions'!P147</f>
        <v>4</v>
      </c>
      <c r="Q155" s="794">
        <f>'Key Assumptions'!Q147</f>
        <v>4</v>
      </c>
      <c r="R155" s="794">
        <f>'Key Assumptions'!R147</f>
        <v>4</v>
      </c>
      <c r="S155" s="794">
        <f>'Key Assumptions'!S147</f>
        <v>4</v>
      </c>
      <c r="T155" s="794">
        <f>'Key Assumptions'!T147</f>
        <v>4</v>
      </c>
      <c r="U155" s="794">
        <f>'Key Assumptions'!U147</f>
        <v>4</v>
      </c>
      <c r="V155" s="796"/>
    </row>
    <row r="156" spans="1:22">
      <c r="A156" s="791" t="s">
        <v>596</v>
      </c>
      <c r="B156" s="791"/>
      <c r="C156" s="791"/>
      <c r="E156" s="793">
        <v>0.15</v>
      </c>
      <c r="F156" s="794">
        <f t="shared" ref="F156:M156" si="123">$E$156*F155*F5*3</f>
        <v>0.44999999999999996</v>
      </c>
      <c r="G156" s="794">
        <f t="shared" si="123"/>
        <v>0.44999999999999996</v>
      </c>
      <c r="H156" s="794">
        <f t="shared" si="123"/>
        <v>0.44999999999999996</v>
      </c>
      <c r="I156" s="794">
        <f t="shared" si="123"/>
        <v>0.44999999999999996</v>
      </c>
      <c r="J156" s="794">
        <f t="shared" si="123"/>
        <v>0.99</v>
      </c>
      <c r="K156" s="794">
        <f t="shared" si="123"/>
        <v>0.99</v>
      </c>
      <c r="L156" s="794">
        <f t="shared" si="123"/>
        <v>0.99</v>
      </c>
      <c r="M156" s="794">
        <f t="shared" si="123"/>
        <v>0.99</v>
      </c>
      <c r="N156" s="794">
        <f t="shared" ref="N156:U156" si="124">$E$156*N155*N5*12</f>
        <v>6.5339999999999998</v>
      </c>
      <c r="O156" s="794">
        <f t="shared" si="124"/>
        <v>9.5832000000000015</v>
      </c>
      <c r="P156" s="794">
        <f t="shared" si="124"/>
        <v>10.541520000000002</v>
      </c>
      <c r="Q156" s="794">
        <f t="shared" si="124"/>
        <v>11.595672</v>
      </c>
      <c r="R156" s="794">
        <f t="shared" si="124"/>
        <v>12.7552392</v>
      </c>
      <c r="S156" s="794">
        <f t="shared" si="124"/>
        <v>14.03076312</v>
      </c>
      <c r="T156" s="794">
        <f t="shared" si="124"/>
        <v>15.433839431999999</v>
      </c>
      <c r="U156" s="794">
        <f t="shared" si="124"/>
        <v>16.977223375200001</v>
      </c>
      <c r="V156" s="796">
        <f>SUM(F156:U156)</f>
        <v>103.21145712720001</v>
      </c>
    </row>
    <row r="157" spans="1:22">
      <c r="A157" s="791" t="s">
        <v>597</v>
      </c>
      <c r="B157" s="791"/>
      <c r="C157" s="791"/>
      <c r="D157" s="793">
        <v>10</v>
      </c>
      <c r="E157" s="793">
        <v>1500</v>
      </c>
      <c r="F157" s="794">
        <f t="shared" ref="F157:U157" si="125">$D$157*$E$157*F154*F5/10^5</f>
        <v>0.15</v>
      </c>
      <c r="G157" s="794">
        <f t="shared" si="125"/>
        <v>0</v>
      </c>
      <c r="H157" s="794">
        <f t="shared" si="125"/>
        <v>0</v>
      </c>
      <c r="I157" s="794">
        <f t="shared" si="125"/>
        <v>0</v>
      </c>
      <c r="J157" s="794">
        <f t="shared" si="125"/>
        <v>0.16500000000000001</v>
      </c>
      <c r="K157" s="794">
        <f t="shared" si="125"/>
        <v>0</v>
      </c>
      <c r="L157" s="794">
        <f t="shared" si="125"/>
        <v>0</v>
      </c>
      <c r="M157" s="794">
        <f t="shared" si="125"/>
        <v>0</v>
      </c>
      <c r="N157" s="794">
        <f t="shared" si="125"/>
        <v>0.18150000000000005</v>
      </c>
      <c r="O157" s="794">
        <f t="shared" si="125"/>
        <v>0.19965000000000005</v>
      </c>
      <c r="P157" s="794">
        <f t="shared" si="125"/>
        <v>0</v>
      </c>
      <c r="Q157" s="794">
        <f t="shared" si="125"/>
        <v>0</v>
      </c>
      <c r="R157" s="794">
        <f t="shared" si="125"/>
        <v>0</v>
      </c>
      <c r="S157" s="794">
        <f t="shared" si="125"/>
        <v>0</v>
      </c>
      <c r="T157" s="794">
        <f t="shared" si="125"/>
        <v>0</v>
      </c>
      <c r="U157" s="794">
        <f t="shared" si="125"/>
        <v>0</v>
      </c>
      <c r="V157" s="796">
        <f>SUM(F157:U157)</f>
        <v>0.69615000000000005</v>
      </c>
    </row>
    <row r="158" spans="1:22">
      <c r="A158" s="791" t="s">
        <v>603</v>
      </c>
      <c r="B158" s="791"/>
      <c r="C158" s="791"/>
      <c r="D158" s="798">
        <v>8.3299999999999999E-2</v>
      </c>
      <c r="E158" s="793"/>
      <c r="F158" s="794">
        <f t="shared" ref="F158:U158" si="126">$D$158*$E$156*12*F154*F5</f>
        <v>0.14993999999999999</v>
      </c>
      <c r="G158" s="794">
        <f t="shared" si="126"/>
        <v>0</v>
      </c>
      <c r="H158" s="794">
        <f t="shared" si="126"/>
        <v>0</v>
      </c>
      <c r="I158" s="794">
        <f t="shared" si="126"/>
        <v>0</v>
      </c>
      <c r="J158" s="794">
        <f t="shared" si="126"/>
        <v>0.164934</v>
      </c>
      <c r="K158" s="794">
        <f t="shared" si="126"/>
        <v>0</v>
      </c>
      <c r="L158" s="794">
        <f t="shared" si="126"/>
        <v>0</v>
      </c>
      <c r="M158" s="794">
        <f t="shared" si="126"/>
        <v>0</v>
      </c>
      <c r="N158" s="794">
        <f t="shared" si="126"/>
        <v>0.18142740000000002</v>
      </c>
      <c r="O158" s="794">
        <f t="shared" si="126"/>
        <v>0.19957014000000001</v>
      </c>
      <c r="P158" s="794">
        <f t="shared" si="126"/>
        <v>0</v>
      </c>
      <c r="Q158" s="794">
        <f t="shared" si="126"/>
        <v>0</v>
      </c>
      <c r="R158" s="794">
        <f t="shared" si="126"/>
        <v>0</v>
      </c>
      <c r="S158" s="794">
        <f t="shared" si="126"/>
        <v>0</v>
      </c>
      <c r="T158" s="794">
        <f t="shared" si="126"/>
        <v>0</v>
      </c>
      <c r="U158" s="794">
        <f t="shared" si="126"/>
        <v>0</v>
      </c>
      <c r="V158" s="796">
        <f>SUM(F158:U158)</f>
        <v>0.69587153999999996</v>
      </c>
    </row>
    <row r="159" spans="1:22">
      <c r="A159" s="791"/>
      <c r="B159" s="791"/>
      <c r="C159" s="791"/>
      <c r="F159" s="794"/>
      <c r="G159" s="794"/>
      <c r="H159" s="794"/>
      <c r="I159" s="794"/>
      <c r="J159" s="794"/>
      <c r="K159" s="794"/>
      <c r="L159" s="794"/>
      <c r="M159" s="794"/>
      <c r="N159" s="794"/>
      <c r="O159" s="794"/>
      <c r="P159" s="794"/>
      <c r="Q159" s="794"/>
      <c r="R159" s="794"/>
      <c r="S159" s="794"/>
      <c r="T159" s="794"/>
      <c r="U159" s="794"/>
      <c r="V159" s="796"/>
    </row>
    <row r="160" spans="1:22">
      <c r="A160" s="791" t="str">
        <f>'Key Assumptions'!B103</f>
        <v>Food Processing  (16 Days, 60 hrs)</v>
      </c>
      <c r="B160" s="791"/>
      <c r="C160" s="791"/>
      <c r="D160" s="790" t="s">
        <v>599</v>
      </c>
      <c r="F160" s="794">
        <f>'Key Assumptions'!F149</f>
        <v>1</v>
      </c>
      <c r="G160" s="794">
        <f>'Key Assumptions'!G149</f>
        <v>0</v>
      </c>
      <c r="H160" s="794">
        <f>'Key Assumptions'!H149</f>
        <v>0</v>
      </c>
      <c r="I160" s="794">
        <f>'Key Assumptions'!I149</f>
        <v>0</v>
      </c>
      <c r="J160" s="794">
        <f>'Key Assumptions'!J149</f>
        <v>1</v>
      </c>
      <c r="K160" s="794">
        <f>'Key Assumptions'!K149</f>
        <v>0</v>
      </c>
      <c r="L160" s="794">
        <f>'Key Assumptions'!L149</f>
        <v>0</v>
      </c>
      <c r="M160" s="794">
        <f>'Key Assumptions'!M149</f>
        <v>0</v>
      </c>
      <c r="N160" s="794">
        <f>'Key Assumptions'!N149</f>
        <v>1</v>
      </c>
      <c r="O160" s="794">
        <f>'Key Assumptions'!O149</f>
        <v>1</v>
      </c>
      <c r="P160" s="794">
        <f>'Key Assumptions'!P149</f>
        <v>0</v>
      </c>
      <c r="Q160" s="794">
        <f>'Key Assumptions'!Q149</f>
        <v>0</v>
      </c>
      <c r="R160" s="794">
        <f>'Key Assumptions'!R149</f>
        <v>0</v>
      </c>
      <c r="S160" s="794">
        <f>'Key Assumptions'!S149</f>
        <v>0</v>
      </c>
      <c r="T160" s="794">
        <f>'Key Assumptions'!T149</f>
        <v>0</v>
      </c>
      <c r="U160" s="794">
        <f>'Key Assumptions'!U149</f>
        <v>0</v>
      </c>
      <c r="V160" s="796"/>
    </row>
    <row r="161" spans="1:22">
      <c r="A161" s="791"/>
      <c r="B161" s="791"/>
      <c r="C161" s="791"/>
      <c r="D161" s="790" t="s">
        <v>532</v>
      </c>
      <c r="E161" s="795" t="s">
        <v>598</v>
      </c>
      <c r="F161" s="794">
        <f>'Key Assumptions'!F150</f>
        <v>1</v>
      </c>
      <c r="G161" s="794">
        <f>'Key Assumptions'!G150</f>
        <v>1</v>
      </c>
      <c r="H161" s="794">
        <f>'Key Assumptions'!H150</f>
        <v>1</v>
      </c>
      <c r="I161" s="794">
        <f>'Key Assumptions'!I150</f>
        <v>1</v>
      </c>
      <c r="J161" s="794">
        <f>'Key Assumptions'!J150</f>
        <v>2</v>
      </c>
      <c r="K161" s="794">
        <f>'Key Assumptions'!K150</f>
        <v>2</v>
      </c>
      <c r="L161" s="794">
        <f>'Key Assumptions'!L150</f>
        <v>2</v>
      </c>
      <c r="M161" s="794">
        <f>'Key Assumptions'!M150</f>
        <v>2</v>
      </c>
      <c r="N161" s="794">
        <f>'Key Assumptions'!N150</f>
        <v>3</v>
      </c>
      <c r="O161" s="794">
        <f>'Key Assumptions'!O150</f>
        <v>4</v>
      </c>
      <c r="P161" s="794">
        <f>'Key Assumptions'!P150</f>
        <v>4</v>
      </c>
      <c r="Q161" s="794">
        <f>'Key Assumptions'!Q150</f>
        <v>4</v>
      </c>
      <c r="R161" s="794">
        <f>'Key Assumptions'!R150</f>
        <v>4</v>
      </c>
      <c r="S161" s="794">
        <f>'Key Assumptions'!S150</f>
        <v>4</v>
      </c>
      <c r="T161" s="794">
        <f>'Key Assumptions'!T150</f>
        <v>4</v>
      </c>
      <c r="U161" s="794">
        <f>'Key Assumptions'!U150</f>
        <v>4</v>
      </c>
      <c r="V161" s="796"/>
    </row>
    <row r="162" spans="1:22">
      <c r="A162" s="791" t="s">
        <v>596</v>
      </c>
      <c r="B162" s="791"/>
      <c r="C162" s="791"/>
      <c r="E162" s="793">
        <v>0.15</v>
      </c>
      <c r="F162" s="794">
        <f t="shared" ref="F162:M162" si="127">$E$162*F161*F5*3</f>
        <v>0.44999999999999996</v>
      </c>
      <c r="G162" s="794">
        <f t="shared" si="127"/>
        <v>0.44999999999999996</v>
      </c>
      <c r="H162" s="794">
        <f t="shared" si="127"/>
        <v>0.44999999999999996</v>
      </c>
      <c r="I162" s="794">
        <f t="shared" si="127"/>
        <v>0.44999999999999996</v>
      </c>
      <c r="J162" s="794">
        <f t="shared" si="127"/>
        <v>0.99</v>
      </c>
      <c r="K162" s="794">
        <f t="shared" si="127"/>
        <v>0.99</v>
      </c>
      <c r="L162" s="794">
        <f t="shared" si="127"/>
        <v>0.99</v>
      </c>
      <c r="M162" s="794">
        <f t="shared" si="127"/>
        <v>0.99</v>
      </c>
      <c r="N162" s="794">
        <f t="shared" ref="N162:U162" si="128">$E$162*N161*N5*12</f>
        <v>6.5339999999999998</v>
      </c>
      <c r="O162" s="794">
        <f t="shared" si="128"/>
        <v>9.5832000000000015</v>
      </c>
      <c r="P162" s="794">
        <f t="shared" si="128"/>
        <v>10.541520000000002</v>
      </c>
      <c r="Q162" s="794">
        <f t="shared" si="128"/>
        <v>11.595672</v>
      </c>
      <c r="R162" s="794">
        <f t="shared" si="128"/>
        <v>12.7552392</v>
      </c>
      <c r="S162" s="794">
        <f t="shared" si="128"/>
        <v>14.03076312</v>
      </c>
      <c r="T162" s="794">
        <f t="shared" si="128"/>
        <v>15.433839431999999</v>
      </c>
      <c r="U162" s="794">
        <f t="shared" si="128"/>
        <v>16.977223375200001</v>
      </c>
      <c r="V162" s="796">
        <f>SUM(F162:U162)</f>
        <v>103.21145712720001</v>
      </c>
    </row>
    <row r="163" spans="1:22">
      <c r="A163" s="791" t="s">
        <v>597</v>
      </c>
      <c r="B163" s="791"/>
      <c r="C163" s="791"/>
      <c r="D163" s="793">
        <v>10</v>
      </c>
      <c r="E163" s="793">
        <v>1500</v>
      </c>
      <c r="F163" s="794">
        <f t="shared" ref="F163:U163" si="129">$D$163*$E$163*F160*F5/10^5</f>
        <v>0.15</v>
      </c>
      <c r="G163" s="794">
        <f t="shared" si="129"/>
        <v>0</v>
      </c>
      <c r="H163" s="794">
        <f t="shared" si="129"/>
        <v>0</v>
      </c>
      <c r="I163" s="794">
        <f t="shared" si="129"/>
        <v>0</v>
      </c>
      <c r="J163" s="794">
        <f t="shared" si="129"/>
        <v>0.16500000000000001</v>
      </c>
      <c r="K163" s="794">
        <f t="shared" si="129"/>
        <v>0</v>
      </c>
      <c r="L163" s="794">
        <f t="shared" si="129"/>
        <v>0</v>
      </c>
      <c r="M163" s="794">
        <f t="shared" si="129"/>
        <v>0</v>
      </c>
      <c r="N163" s="794">
        <f t="shared" si="129"/>
        <v>0.18150000000000005</v>
      </c>
      <c r="O163" s="794">
        <f t="shared" si="129"/>
        <v>0.19965000000000005</v>
      </c>
      <c r="P163" s="794">
        <f t="shared" si="129"/>
        <v>0</v>
      </c>
      <c r="Q163" s="794">
        <f t="shared" si="129"/>
        <v>0</v>
      </c>
      <c r="R163" s="794">
        <f t="shared" si="129"/>
        <v>0</v>
      </c>
      <c r="S163" s="794">
        <f t="shared" si="129"/>
        <v>0</v>
      </c>
      <c r="T163" s="794">
        <f t="shared" si="129"/>
        <v>0</v>
      </c>
      <c r="U163" s="794">
        <f t="shared" si="129"/>
        <v>0</v>
      </c>
      <c r="V163" s="796">
        <f>SUM(F163:U163)</f>
        <v>0.69615000000000005</v>
      </c>
    </row>
    <row r="164" spans="1:22">
      <c r="A164" s="791" t="s">
        <v>603</v>
      </c>
      <c r="B164" s="791"/>
      <c r="C164" s="791"/>
      <c r="D164" s="798">
        <v>8.3299999999999999E-2</v>
      </c>
      <c r="E164" s="793"/>
      <c r="F164" s="794">
        <f t="shared" ref="F164:U164" si="130">$D$164*$E$162*12*F160*F5</f>
        <v>0.14993999999999999</v>
      </c>
      <c r="G164" s="794">
        <f t="shared" si="130"/>
        <v>0</v>
      </c>
      <c r="H164" s="794">
        <f t="shared" si="130"/>
        <v>0</v>
      </c>
      <c r="I164" s="794">
        <f t="shared" si="130"/>
        <v>0</v>
      </c>
      <c r="J164" s="794">
        <f t="shared" si="130"/>
        <v>0.164934</v>
      </c>
      <c r="K164" s="794">
        <f t="shared" si="130"/>
        <v>0</v>
      </c>
      <c r="L164" s="794">
        <f t="shared" si="130"/>
        <v>0</v>
      </c>
      <c r="M164" s="794">
        <f t="shared" si="130"/>
        <v>0</v>
      </c>
      <c r="N164" s="794">
        <f t="shared" si="130"/>
        <v>0.18142740000000002</v>
      </c>
      <c r="O164" s="794">
        <f t="shared" si="130"/>
        <v>0.19957014000000001</v>
      </c>
      <c r="P164" s="794">
        <f t="shared" si="130"/>
        <v>0</v>
      </c>
      <c r="Q164" s="794">
        <f t="shared" si="130"/>
        <v>0</v>
      </c>
      <c r="R164" s="794">
        <f t="shared" si="130"/>
        <v>0</v>
      </c>
      <c r="S164" s="794">
        <f t="shared" si="130"/>
        <v>0</v>
      </c>
      <c r="T164" s="794">
        <f t="shared" si="130"/>
        <v>0</v>
      </c>
      <c r="U164" s="794">
        <f t="shared" si="130"/>
        <v>0</v>
      </c>
      <c r="V164" s="796">
        <f>SUM(F164:U164)</f>
        <v>0.69587153999999996</v>
      </c>
    </row>
    <row r="165" spans="1:22">
      <c r="F165" s="794"/>
      <c r="G165" s="794"/>
      <c r="H165" s="794"/>
      <c r="I165" s="794"/>
      <c r="J165" s="794"/>
      <c r="K165" s="794"/>
      <c r="L165" s="794"/>
      <c r="M165" s="794"/>
      <c r="N165" s="794"/>
      <c r="O165" s="794"/>
      <c r="P165" s="794"/>
      <c r="Q165" s="794"/>
      <c r="R165" s="794"/>
      <c r="S165" s="794"/>
      <c r="T165" s="794"/>
      <c r="U165" s="794"/>
      <c r="V165" s="796"/>
    </row>
    <row r="166" spans="1:22">
      <c r="A166" s="801" t="s">
        <v>600</v>
      </c>
      <c r="B166" s="801"/>
      <c r="C166" s="801"/>
      <c r="D166" s="754"/>
      <c r="E166" s="754"/>
      <c r="F166" s="797">
        <f t="shared" ref="F166:U166" si="131">F78+F84+F90+F96+F102+F108+F114+F120+F126+F132+F138+F144+F150+F156+F162</f>
        <v>15.749999999999996</v>
      </c>
      <c r="G166" s="797">
        <f t="shared" si="131"/>
        <v>15.749999999999996</v>
      </c>
      <c r="H166" s="797">
        <f t="shared" si="131"/>
        <v>15.749999999999996</v>
      </c>
      <c r="I166" s="797">
        <f t="shared" si="131"/>
        <v>15.749999999999996</v>
      </c>
      <c r="J166" s="797">
        <f t="shared" si="131"/>
        <v>28.70999999999999</v>
      </c>
      <c r="K166" s="797">
        <f t="shared" si="131"/>
        <v>28.70999999999999</v>
      </c>
      <c r="L166" s="797">
        <f t="shared" si="131"/>
        <v>28.70999999999999</v>
      </c>
      <c r="M166" s="797">
        <f t="shared" si="131"/>
        <v>28.70999999999999</v>
      </c>
      <c r="N166" s="797">
        <f t="shared" si="131"/>
        <v>185.13</v>
      </c>
      <c r="O166" s="797">
        <f t="shared" si="131"/>
        <v>256.35060000000004</v>
      </c>
      <c r="P166" s="797">
        <f t="shared" si="131"/>
        <v>281.98566000000005</v>
      </c>
      <c r="Q166" s="797">
        <f t="shared" si="131"/>
        <v>310.18422599999991</v>
      </c>
      <c r="R166" s="797">
        <f t="shared" si="131"/>
        <v>341.20264860000009</v>
      </c>
      <c r="S166" s="797">
        <f t="shared" si="131"/>
        <v>375.32291346000011</v>
      </c>
      <c r="T166" s="797">
        <f t="shared" si="131"/>
        <v>412.85520480600013</v>
      </c>
      <c r="U166" s="797">
        <f t="shared" si="131"/>
        <v>454.14072528660017</v>
      </c>
      <c r="V166" s="796">
        <f>SUM(F166:U166)</f>
        <v>2795.0119781526005</v>
      </c>
    </row>
    <row r="167" spans="1:22">
      <c r="A167" s="801" t="s">
        <v>601</v>
      </c>
      <c r="B167" s="801"/>
      <c r="C167" s="801"/>
      <c r="D167" s="754"/>
      <c r="E167" s="754"/>
      <c r="F167" s="797">
        <f t="shared" ref="F167:U167" si="132">F79+F85+F91+F97+F103+F109+F115+F121+F127+F133+F139+F145+F151+F157+F163</f>
        <v>5.2500000000000018</v>
      </c>
      <c r="G167" s="797">
        <f t="shared" si="132"/>
        <v>0</v>
      </c>
      <c r="H167" s="797">
        <f t="shared" si="132"/>
        <v>0</v>
      </c>
      <c r="I167" s="797">
        <f t="shared" si="132"/>
        <v>0</v>
      </c>
      <c r="J167" s="797">
        <f t="shared" si="132"/>
        <v>3.7950000000000004</v>
      </c>
      <c r="K167" s="797">
        <f t="shared" si="132"/>
        <v>0</v>
      </c>
      <c r="L167" s="797">
        <f t="shared" si="132"/>
        <v>0</v>
      </c>
      <c r="M167" s="797">
        <f t="shared" si="132"/>
        <v>0</v>
      </c>
      <c r="N167" s="797">
        <f t="shared" si="132"/>
        <v>4.9005000000000001</v>
      </c>
      <c r="O167" s="797">
        <f t="shared" si="132"/>
        <v>4.3923000000000014</v>
      </c>
      <c r="P167" s="797">
        <f t="shared" si="132"/>
        <v>0</v>
      </c>
      <c r="Q167" s="797">
        <f t="shared" si="132"/>
        <v>0</v>
      </c>
      <c r="R167" s="797">
        <f t="shared" si="132"/>
        <v>0</v>
      </c>
      <c r="S167" s="797">
        <f t="shared" si="132"/>
        <v>0</v>
      </c>
      <c r="T167" s="797">
        <f t="shared" si="132"/>
        <v>0</v>
      </c>
      <c r="U167" s="797">
        <f t="shared" si="132"/>
        <v>0</v>
      </c>
      <c r="V167" s="796">
        <f>SUM(F167:U167)</f>
        <v>18.337800000000005</v>
      </c>
    </row>
    <row r="168" spans="1:22">
      <c r="A168" s="801" t="s">
        <v>604</v>
      </c>
      <c r="B168" s="801"/>
      <c r="C168" s="801"/>
      <c r="D168" s="754"/>
      <c r="E168" s="754"/>
      <c r="F168" s="797">
        <f t="shared" ref="F168:U168" si="133">F80+F86+F92+F98+F104+F110+F116+F122+F128+F134+F140+F146+F152+F158+F164</f>
        <v>5.2478999999999996</v>
      </c>
      <c r="G168" s="797">
        <f t="shared" si="133"/>
        <v>0</v>
      </c>
      <c r="H168" s="797">
        <f t="shared" si="133"/>
        <v>0</v>
      </c>
      <c r="I168" s="797">
        <f t="shared" si="133"/>
        <v>0</v>
      </c>
      <c r="J168" s="797">
        <f t="shared" si="133"/>
        <v>3.7934820000000014</v>
      </c>
      <c r="K168" s="797">
        <f t="shared" si="133"/>
        <v>0</v>
      </c>
      <c r="L168" s="797">
        <f t="shared" si="133"/>
        <v>0</v>
      </c>
      <c r="M168" s="797">
        <f t="shared" si="133"/>
        <v>0</v>
      </c>
      <c r="N168" s="797">
        <f t="shared" si="133"/>
        <v>4.8985398000000018</v>
      </c>
      <c r="O168" s="797">
        <f t="shared" si="133"/>
        <v>4.3905430800000005</v>
      </c>
      <c r="P168" s="797">
        <f t="shared" si="133"/>
        <v>0</v>
      </c>
      <c r="Q168" s="797">
        <f t="shared" si="133"/>
        <v>0</v>
      </c>
      <c r="R168" s="797">
        <f t="shared" si="133"/>
        <v>0</v>
      </c>
      <c r="S168" s="797">
        <f t="shared" si="133"/>
        <v>0</v>
      </c>
      <c r="T168" s="797">
        <f t="shared" si="133"/>
        <v>0</v>
      </c>
      <c r="U168" s="797">
        <f t="shared" si="133"/>
        <v>0</v>
      </c>
      <c r="V168" s="796">
        <f>SUM(F168:U168)</f>
        <v>18.330464880000001</v>
      </c>
    </row>
  </sheetData>
  <pageMargins left="0.43" right="0.4" top="0.56999999999999995" bottom="0.39" header="0.31496062992126" footer="0.19"/>
  <pageSetup paperSize="5" scale="53" fitToHeight="4" orientation="landscape" r:id="rId1"/>
  <headerFooter>
    <oddFooter>&amp;A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213"/>
  <sheetViews>
    <sheetView zoomScale="70" zoomScaleNormal="70" workbookViewId="0">
      <pane ySplit="5" topLeftCell="A6" activePane="bottomLeft" state="frozen"/>
      <selection pane="bottomLeft" activeCell="V82" sqref="V82"/>
    </sheetView>
  </sheetViews>
  <sheetFormatPr defaultRowHeight="15.75"/>
  <cols>
    <col min="1" max="1" width="63.140625" style="572" bestFit="1" customWidth="1"/>
    <col min="2" max="2" width="9.85546875" style="572" hidden="1" customWidth="1"/>
    <col min="3" max="3" width="11.7109375" style="572" hidden="1" customWidth="1"/>
    <col min="4" max="4" width="13" style="572" hidden="1" customWidth="1"/>
    <col min="5" max="5" width="7.85546875" style="572" bestFit="1" customWidth="1"/>
    <col min="6" max="6" width="11.42578125" style="572" bestFit="1" customWidth="1"/>
    <col min="7" max="9" width="9.5703125" style="572" customWidth="1"/>
    <col min="10" max="13" width="11.28515625" style="572" bestFit="1" customWidth="1"/>
    <col min="14" max="14" width="11.42578125" style="572" customWidth="1"/>
    <col min="15" max="15" width="11.28515625" style="572" bestFit="1" customWidth="1"/>
    <col min="16" max="17" width="11.5703125" style="572" bestFit="1" customWidth="1"/>
    <col min="18" max="19" width="12.28515625" style="572" bestFit="1" customWidth="1"/>
    <col min="20" max="20" width="12.85546875" style="572" bestFit="1" customWidth="1"/>
    <col min="21" max="21" width="12.42578125" style="572" bestFit="1" customWidth="1"/>
    <col min="22" max="22" width="13" style="572" bestFit="1" customWidth="1"/>
    <col min="23" max="23" width="20" style="576" bestFit="1" customWidth="1"/>
    <col min="24" max="24" width="11.7109375" style="575" customWidth="1"/>
    <col min="25" max="25" width="13" style="576" bestFit="1" customWidth="1"/>
    <col min="26" max="26" width="11.28515625" style="576" customWidth="1"/>
    <col min="27" max="38" width="9.140625" style="576"/>
    <col min="39" max="16384" width="9.140625" style="572"/>
  </cols>
  <sheetData>
    <row r="1" spans="1:38" s="566" customFormat="1" ht="20.25">
      <c r="A1" s="994" t="s">
        <v>318</v>
      </c>
      <c r="B1" s="994"/>
      <c r="C1" s="994"/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  <c r="O1" s="994"/>
      <c r="P1" s="994"/>
      <c r="Q1" s="994"/>
      <c r="R1" s="994"/>
      <c r="S1" s="994"/>
      <c r="T1" s="994"/>
      <c r="U1" s="994"/>
      <c r="V1" s="994"/>
      <c r="W1" s="564"/>
      <c r="X1" s="565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</row>
    <row r="2" spans="1:38" s="570" customFormat="1" ht="20.25">
      <c r="A2" s="567"/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  <c r="V2" s="567"/>
      <c r="W2" s="568"/>
      <c r="X2" s="569"/>
      <c r="Y2" s="568"/>
      <c r="Z2" s="568"/>
      <c r="AA2" s="568"/>
      <c r="AB2" s="568"/>
      <c r="AC2" s="568"/>
      <c r="AD2" s="568"/>
      <c r="AE2" s="568"/>
      <c r="AF2" s="568"/>
      <c r="AG2" s="568"/>
      <c r="AH2" s="568"/>
      <c r="AI2" s="568"/>
      <c r="AJ2" s="568"/>
      <c r="AK2" s="568"/>
      <c r="AL2" s="568"/>
    </row>
    <row r="3" spans="1:38" s="570" customFormat="1" ht="20.25">
      <c r="A3" s="567"/>
      <c r="B3" s="567"/>
      <c r="C3" s="567"/>
      <c r="D3" s="567"/>
      <c r="E3" s="567"/>
      <c r="F3" s="996" t="s">
        <v>195</v>
      </c>
      <c r="G3" s="996"/>
      <c r="H3" s="996"/>
      <c r="I3" s="996"/>
      <c r="J3" s="996" t="s">
        <v>196</v>
      </c>
      <c r="K3" s="996"/>
      <c r="L3" s="996"/>
      <c r="M3" s="996"/>
      <c r="N3" s="596" t="s">
        <v>198</v>
      </c>
      <c r="O3" s="596" t="s">
        <v>199</v>
      </c>
      <c r="P3" s="596" t="s">
        <v>200</v>
      </c>
      <c r="Q3" s="596" t="s">
        <v>201</v>
      </c>
      <c r="R3" s="596" t="s">
        <v>202</v>
      </c>
      <c r="S3" s="596" t="s">
        <v>203</v>
      </c>
      <c r="T3" s="596" t="s">
        <v>204</v>
      </c>
      <c r="U3" s="596" t="s">
        <v>205</v>
      </c>
      <c r="V3" s="567"/>
      <c r="W3" s="568"/>
      <c r="X3" s="569"/>
      <c r="Y3" s="568"/>
      <c r="Z3" s="568"/>
      <c r="AA3" s="568"/>
      <c r="AB3" s="568"/>
      <c r="AC3" s="568"/>
      <c r="AD3" s="568"/>
      <c r="AE3" s="568"/>
      <c r="AF3" s="568"/>
      <c r="AG3" s="568"/>
      <c r="AH3" s="568"/>
      <c r="AI3" s="568"/>
      <c r="AJ3" s="568"/>
      <c r="AK3" s="568"/>
      <c r="AL3" s="568"/>
    </row>
    <row r="4" spans="1:38" s="570" customFormat="1" ht="20.25">
      <c r="A4" s="567"/>
      <c r="B4" s="567"/>
      <c r="C4" s="567"/>
      <c r="D4" s="567"/>
      <c r="E4" s="567"/>
      <c r="F4" s="596" t="s">
        <v>407</v>
      </c>
      <c r="G4" s="596" t="s">
        <v>408</v>
      </c>
      <c r="H4" s="596" t="s">
        <v>409</v>
      </c>
      <c r="I4" s="596" t="s">
        <v>410</v>
      </c>
      <c r="J4" s="596" t="s">
        <v>407</v>
      </c>
      <c r="K4" s="596" t="s">
        <v>408</v>
      </c>
      <c r="L4" s="596" t="s">
        <v>409</v>
      </c>
      <c r="M4" s="596" t="s">
        <v>410</v>
      </c>
      <c r="N4" s="596"/>
      <c r="O4" s="596"/>
      <c r="P4" s="596"/>
      <c r="Q4" s="596"/>
      <c r="R4" s="596"/>
      <c r="S4" s="596"/>
      <c r="T4" s="596"/>
      <c r="U4" s="596"/>
      <c r="V4" s="567"/>
      <c r="W4" s="568"/>
      <c r="X4" s="569"/>
      <c r="Y4" s="568"/>
      <c r="Z4" s="568"/>
      <c r="AA4" s="568"/>
      <c r="AB4" s="568"/>
      <c r="AC4" s="568"/>
      <c r="AD4" s="568"/>
      <c r="AE4" s="568"/>
      <c r="AF4" s="568"/>
      <c r="AG4" s="568"/>
      <c r="AH4" s="568"/>
      <c r="AI4" s="568"/>
      <c r="AJ4" s="568"/>
      <c r="AK4" s="568"/>
      <c r="AL4" s="568"/>
    </row>
    <row r="5" spans="1:38" s="570" customFormat="1" ht="20.25">
      <c r="A5" s="567"/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  <c r="P5" s="567"/>
      <c r="Q5" s="567"/>
      <c r="R5" s="567"/>
      <c r="S5" s="567"/>
      <c r="T5" s="567"/>
      <c r="U5" s="567"/>
      <c r="V5" s="567"/>
      <c r="W5" s="568"/>
      <c r="X5" s="569"/>
      <c r="Y5" s="568"/>
      <c r="Z5" s="568"/>
      <c r="AA5" s="568"/>
      <c r="AB5" s="568"/>
      <c r="AC5" s="568"/>
      <c r="AD5" s="568"/>
      <c r="AE5" s="568"/>
      <c r="AF5" s="568"/>
      <c r="AG5" s="568"/>
      <c r="AH5" s="568"/>
      <c r="AI5" s="568"/>
      <c r="AJ5" s="568"/>
      <c r="AK5" s="568"/>
      <c r="AL5" s="568"/>
    </row>
    <row r="6" spans="1:38" ht="17.25" customHeight="1">
      <c r="A6" s="572" t="s">
        <v>434</v>
      </c>
      <c r="E6" s="577"/>
      <c r="F6" s="578">
        <f>'Key Assumptions'!F7</f>
        <v>6</v>
      </c>
      <c r="G6" s="578">
        <f>'Key Assumptions'!G7</f>
        <v>0</v>
      </c>
      <c r="H6" s="578">
        <f>'Key Assumptions'!H7</f>
        <v>0</v>
      </c>
      <c r="I6" s="578">
        <f>'Key Assumptions'!I7</f>
        <v>0</v>
      </c>
      <c r="J6" s="578">
        <f>'Key Assumptions'!J7</f>
        <v>3</v>
      </c>
      <c r="K6" s="578">
        <f>'Key Assumptions'!K7</f>
        <v>0</v>
      </c>
      <c r="L6" s="578">
        <f>'Key Assumptions'!L7</f>
        <v>0</v>
      </c>
      <c r="M6" s="578">
        <f>'Key Assumptions'!M7</f>
        <v>0</v>
      </c>
      <c r="N6" s="578">
        <f>'Key Assumptions'!N7</f>
        <v>3</v>
      </c>
      <c r="O6" s="578">
        <f>'Key Assumptions'!O7</f>
        <v>3</v>
      </c>
      <c r="P6" s="578">
        <f>'Key Assumptions'!P7</f>
        <v>0</v>
      </c>
      <c r="Q6" s="578">
        <f>'Key Assumptions'!Q7</f>
        <v>0</v>
      </c>
      <c r="R6" s="578">
        <f>'Key Assumptions'!R7</f>
        <v>0</v>
      </c>
      <c r="S6" s="578">
        <f>'Key Assumptions'!S7</f>
        <v>0</v>
      </c>
      <c r="T6" s="578">
        <f>'Key Assumptions'!T7</f>
        <v>0</v>
      </c>
      <c r="U6" s="578">
        <f>'Key Assumptions'!U7</f>
        <v>0</v>
      </c>
      <c r="V6" s="645">
        <f>SUM(F6:U6)</f>
        <v>15</v>
      </c>
    </row>
    <row r="7" spans="1:38" ht="17.25" customHeight="1">
      <c r="A7" s="572" t="s">
        <v>386</v>
      </c>
      <c r="E7" s="579"/>
      <c r="F7" s="580">
        <f>'Key Assumptions'!F8</f>
        <v>6</v>
      </c>
      <c r="G7" s="580">
        <f>'Key Assumptions'!G8</f>
        <v>6</v>
      </c>
      <c r="H7" s="580">
        <f>'Key Assumptions'!H8</f>
        <v>6</v>
      </c>
      <c r="I7" s="580">
        <f>'Key Assumptions'!I8</f>
        <v>6</v>
      </c>
      <c r="J7" s="580">
        <f>'Key Assumptions'!J8</f>
        <v>9</v>
      </c>
      <c r="K7" s="580">
        <f>'Key Assumptions'!K8</f>
        <v>9</v>
      </c>
      <c r="L7" s="580">
        <f>'Key Assumptions'!L8</f>
        <v>9</v>
      </c>
      <c r="M7" s="580">
        <f>'Key Assumptions'!M8</f>
        <v>9</v>
      </c>
      <c r="N7" s="580">
        <f>'Key Assumptions'!N8</f>
        <v>12</v>
      </c>
      <c r="O7" s="580">
        <f>'Key Assumptions'!O8</f>
        <v>15</v>
      </c>
      <c r="P7" s="580">
        <f>'Key Assumptions'!P8</f>
        <v>15</v>
      </c>
      <c r="Q7" s="580">
        <f>'Key Assumptions'!Q8</f>
        <v>15</v>
      </c>
      <c r="R7" s="580">
        <f>'Key Assumptions'!R8</f>
        <v>15</v>
      </c>
      <c r="S7" s="580">
        <f>'Key Assumptions'!S8</f>
        <v>15</v>
      </c>
      <c r="T7" s="580">
        <f>'Key Assumptions'!T8</f>
        <v>15</v>
      </c>
      <c r="U7" s="580">
        <f>'Key Assumptions'!U8</f>
        <v>15</v>
      </c>
      <c r="V7" s="581"/>
      <c r="Y7" s="582"/>
    </row>
    <row r="8" spans="1:38" ht="17.25" customHeight="1">
      <c r="E8" s="571"/>
      <c r="F8" s="583"/>
      <c r="G8" s="583"/>
      <c r="H8" s="583"/>
      <c r="I8" s="583"/>
      <c r="O8" s="583"/>
    </row>
    <row r="9" spans="1:38" ht="17.25" customHeight="1">
      <c r="A9" s="595" t="str">
        <f>'Key Assumptions'!B11</f>
        <v>Hospitality course : House keeping (60 Days, 240 hrs)</v>
      </c>
      <c r="B9" s="595"/>
      <c r="C9" s="595"/>
      <c r="D9" s="595"/>
      <c r="E9" s="577"/>
      <c r="J9" s="580"/>
      <c r="K9" s="580"/>
      <c r="L9" s="580"/>
      <c r="M9" s="580"/>
      <c r="N9" s="580"/>
      <c r="O9" s="580"/>
      <c r="P9" s="580"/>
      <c r="Q9" s="580"/>
      <c r="R9" s="580"/>
      <c r="S9" s="580"/>
      <c r="T9" s="580"/>
      <c r="U9" s="580"/>
    </row>
    <row r="10" spans="1:38" ht="17.25" customHeight="1">
      <c r="A10" s="562" t="s">
        <v>455</v>
      </c>
      <c r="B10" s="562"/>
      <c r="C10" s="562"/>
      <c r="D10" s="562"/>
      <c r="E10" s="577"/>
      <c r="F10" s="585">
        <f>'Key Assumptions'!F108</f>
        <v>4</v>
      </c>
      <c r="G10" s="585">
        <f>'Key Assumptions'!G108</f>
        <v>4</v>
      </c>
      <c r="H10" s="585">
        <f>'Key Assumptions'!H108</f>
        <v>4</v>
      </c>
      <c r="I10" s="585">
        <f>'Key Assumptions'!I108</f>
        <v>4</v>
      </c>
      <c r="J10" s="585">
        <f>'Key Assumptions'!J108</f>
        <v>7</v>
      </c>
      <c r="K10" s="585">
        <f>'Key Assumptions'!K108</f>
        <v>7</v>
      </c>
      <c r="L10" s="585">
        <f>'Key Assumptions'!L108</f>
        <v>7</v>
      </c>
      <c r="M10" s="585">
        <f>'Key Assumptions'!M108</f>
        <v>7</v>
      </c>
      <c r="N10" s="585">
        <f>'Key Assumptions'!N108</f>
        <v>10</v>
      </c>
      <c r="O10" s="585">
        <f>'Key Assumptions'!O108</f>
        <v>12</v>
      </c>
      <c r="P10" s="585">
        <f>'Key Assumptions'!P108</f>
        <v>12</v>
      </c>
      <c r="Q10" s="585">
        <f>'Key Assumptions'!Q108</f>
        <v>12</v>
      </c>
      <c r="R10" s="585">
        <f>'Key Assumptions'!R108</f>
        <v>12</v>
      </c>
      <c r="S10" s="585">
        <f>'Key Assumptions'!S108</f>
        <v>12</v>
      </c>
      <c r="T10" s="585">
        <f>'Key Assumptions'!T108</f>
        <v>12</v>
      </c>
      <c r="U10" s="585">
        <f>'Key Assumptions'!U108</f>
        <v>12</v>
      </c>
    </row>
    <row r="11" spans="1:38" ht="17.25" customHeight="1">
      <c r="A11" s="562" t="s">
        <v>421</v>
      </c>
      <c r="B11" s="562"/>
      <c r="C11" s="562"/>
      <c r="D11" s="562"/>
      <c r="F11" s="585">
        <f>'Key Assumptions'!F13</f>
        <v>1</v>
      </c>
      <c r="G11" s="585">
        <f>'Key Assumptions'!G13</f>
        <v>1</v>
      </c>
      <c r="H11" s="585">
        <f>'Key Assumptions'!H13</f>
        <v>1</v>
      </c>
      <c r="I11" s="585">
        <f>'Key Assumptions'!I13</f>
        <v>1</v>
      </c>
      <c r="J11" s="585">
        <f>'Key Assumptions'!J13</f>
        <v>1</v>
      </c>
      <c r="K11" s="585">
        <f>'Key Assumptions'!K13</f>
        <v>1</v>
      </c>
      <c r="L11" s="585">
        <f>'Key Assumptions'!L13</f>
        <v>1</v>
      </c>
      <c r="M11" s="585">
        <f>'Key Assumptions'!M13</f>
        <v>1</v>
      </c>
      <c r="N11" s="585">
        <f>'Key Assumptions'!N13</f>
        <v>4</v>
      </c>
      <c r="O11" s="585">
        <f>'Key Assumptions'!O13</f>
        <v>4</v>
      </c>
      <c r="P11" s="585">
        <f>'Key Assumptions'!P13</f>
        <v>4</v>
      </c>
      <c r="Q11" s="585">
        <f>'Key Assumptions'!Q13</f>
        <v>4</v>
      </c>
      <c r="R11" s="585">
        <f>'Key Assumptions'!R13</f>
        <v>4</v>
      </c>
      <c r="S11" s="585">
        <f>'Key Assumptions'!S13</f>
        <v>4</v>
      </c>
      <c r="T11" s="585">
        <f>'Key Assumptions'!T13</f>
        <v>4</v>
      </c>
      <c r="U11" s="585">
        <f>'Key Assumptions'!U13</f>
        <v>4</v>
      </c>
    </row>
    <row r="12" spans="1:38" ht="17.25" customHeight="1">
      <c r="A12" s="562" t="s">
        <v>411</v>
      </c>
      <c r="B12" s="562"/>
      <c r="C12" s="562"/>
      <c r="D12" s="562"/>
      <c r="F12" s="585">
        <f>'Key Assumptions'!F14</f>
        <v>1</v>
      </c>
      <c r="G12" s="585">
        <f>'Key Assumptions'!G14</f>
        <v>1</v>
      </c>
      <c r="H12" s="585">
        <f>'Key Assumptions'!H14</f>
        <v>1</v>
      </c>
      <c r="I12" s="585">
        <f>'Key Assumptions'!I14</f>
        <v>1</v>
      </c>
      <c r="J12" s="585">
        <f>'Key Assumptions'!J14</f>
        <v>1</v>
      </c>
      <c r="K12" s="585">
        <f>'Key Assumptions'!K14</f>
        <v>1</v>
      </c>
      <c r="L12" s="585">
        <f>'Key Assumptions'!L14</f>
        <v>1</v>
      </c>
      <c r="M12" s="585">
        <f>'Key Assumptions'!M14</f>
        <v>1</v>
      </c>
      <c r="N12" s="585">
        <f>'Key Assumptions'!N14</f>
        <v>1</v>
      </c>
      <c r="O12" s="585">
        <f>'Key Assumptions'!O14</f>
        <v>1</v>
      </c>
      <c r="P12" s="585">
        <f>'Key Assumptions'!P14</f>
        <v>1</v>
      </c>
      <c r="Q12" s="585">
        <f>'Key Assumptions'!Q14</f>
        <v>1</v>
      </c>
      <c r="R12" s="585">
        <f>'Key Assumptions'!R14</f>
        <v>1</v>
      </c>
      <c r="S12" s="585">
        <f>'Key Assumptions'!S14</f>
        <v>1</v>
      </c>
      <c r="T12" s="585">
        <f>'Key Assumptions'!T14</f>
        <v>1</v>
      </c>
      <c r="U12" s="585">
        <f>'Key Assumptions'!U14</f>
        <v>1</v>
      </c>
    </row>
    <row r="13" spans="1:38" ht="17.25" customHeight="1">
      <c r="A13" s="562" t="s">
        <v>422</v>
      </c>
      <c r="B13" s="562"/>
      <c r="C13" s="562"/>
      <c r="D13" s="562"/>
      <c r="F13" s="585">
        <f>F11*F12</f>
        <v>1</v>
      </c>
      <c r="G13" s="585">
        <f t="shared" ref="G13:U13" si="0">G11*G12</f>
        <v>1</v>
      </c>
      <c r="H13" s="585">
        <f t="shared" si="0"/>
        <v>1</v>
      </c>
      <c r="I13" s="585">
        <f t="shared" si="0"/>
        <v>1</v>
      </c>
      <c r="J13" s="585">
        <f t="shared" si="0"/>
        <v>1</v>
      </c>
      <c r="K13" s="585">
        <f t="shared" si="0"/>
        <v>1</v>
      </c>
      <c r="L13" s="585">
        <f t="shared" si="0"/>
        <v>1</v>
      </c>
      <c r="M13" s="585">
        <f t="shared" si="0"/>
        <v>1</v>
      </c>
      <c r="N13" s="585">
        <f t="shared" si="0"/>
        <v>4</v>
      </c>
      <c r="O13" s="585">
        <f t="shared" si="0"/>
        <v>4</v>
      </c>
      <c r="P13" s="585">
        <f t="shared" si="0"/>
        <v>4</v>
      </c>
      <c r="Q13" s="585">
        <f t="shared" si="0"/>
        <v>4</v>
      </c>
      <c r="R13" s="585">
        <f t="shared" si="0"/>
        <v>4</v>
      </c>
      <c r="S13" s="585">
        <f t="shared" si="0"/>
        <v>4</v>
      </c>
      <c r="T13" s="585">
        <f t="shared" si="0"/>
        <v>4</v>
      </c>
      <c r="U13" s="585">
        <f t="shared" si="0"/>
        <v>4</v>
      </c>
    </row>
    <row r="14" spans="1:38" ht="17.25" customHeight="1">
      <c r="A14" s="562" t="s">
        <v>320</v>
      </c>
      <c r="B14" s="562"/>
      <c r="C14" s="562"/>
      <c r="D14" s="562"/>
      <c r="F14" s="585">
        <f>'Key Assumptions'!F12</f>
        <v>15</v>
      </c>
      <c r="G14" s="585">
        <f>'Key Assumptions'!G12</f>
        <v>15</v>
      </c>
      <c r="H14" s="585">
        <f>'Key Assumptions'!H12</f>
        <v>15</v>
      </c>
      <c r="I14" s="585">
        <f>'Key Assumptions'!I12</f>
        <v>15</v>
      </c>
      <c r="J14" s="585">
        <f>'Key Assumptions'!J12</f>
        <v>15</v>
      </c>
      <c r="K14" s="585">
        <f>'Key Assumptions'!K12</f>
        <v>15</v>
      </c>
      <c r="L14" s="585">
        <f>'Key Assumptions'!L12</f>
        <v>15</v>
      </c>
      <c r="M14" s="585">
        <f>'Key Assumptions'!M12</f>
        <v>15</v>
      </c>
      <c r="N14" s="585">
        <f>'Key Assumptions'!N12</f>
        <v>15</v>
      </c>
      <c r="O14" s="585">
        <f>'Key Assumptions'!O12</f>
        <v>25</v>
      </c>
      <c r="P14" s="585">
        <f>'Key Assumptions'!P12</f>
        <v>25</v>
      </c>
      <c r="Q14" s="585">
        <f>'Key Assumptions'!Q12</f>
        <v>25</v>
      </c>
      <c r="R14" s="585">
        <f>'Key Assumptions'!R12</f>
        <v>25</v>
      </c>
      <c r="S14" s="585">
        <f>'Key Assumptions'!S12</f>
        <v>25</v>
      </c>
      <c r="T14" s="585">
        <f>'Key Assumptions'!T12</f>
        <v>25</v>
      </c>
      <c r="U14" s="585">
        <f>'Key Assumptions'!U12</f>
        <v>25</v>
      </c>
    </row>
    <row r="15" spans="1:38" ht="17.25" customHeight="1">
      <c r="A15" s="586" t="s">
        <v>321</v>
      </c>
      <c r="B15" s="586"/>
      <c r="C15" s="586"/>
      <c r="D15" s="586"/>
      <c r="E15" s="562"/>
      <c r="F15" s="573">
        <f>F10*F13*F14</f>
        <v>60</v>
      </c>
      <c r="G15" s="573">
        <f t="shared" ref="G15:U15" si="1">G10*G13*G14</f>
        <v>60</v>
      </c>
      <c r="H15" s="573">
        <f t="shared" si="1"/>
        <v>60</v>
      </c>
      <c r="I15" s="573">
        <f t="shared" si="1"/>
        <v>60</v>
      </c>
      <c r="J15" s="573">
        <f t="shared" si="1"/>
        <v>105</v>
      </c>
      <c r="K15" s="573">
        <f t="shared" si="1"/>
        <v>105</v>
      </c>
      <c r="L15" s="573">
        <f t="shared" si="1"/>
        <v>105</v>
      </c>
      <c r="M15" s="573">
        <f t="shared" si="1"/>
        <v>105</v>
      </c>
      <c r="N15" s="573">
        <f t="shared" si="1"/>
        <v>600</v>
      </c>
      <c r="O15" s="573">
        <f t="shared" si="1"/>
        <v>1200</v>
      </c>
      <c r="P15" s="573">
        <f t="shared" si="1"/>
        <v>1200</v>
      </c>
      <c r="Q15" s="573">
        <f t="shared" si="1"/>
        <v>1200</v>
      </c>
      <c r="R15" s="573">
        <f t="shared" si="1"/>
        <v>1200</v>
      </c>
      <c r="S15" s="573">
        <f t="shared" si="1"/>
        <v>1200</v>
      </c>
      <c r="T15" s="573">
        <f t="shared" si="1"/>
        <v>1200</v>
      </c>
      <c r="U15" s="573">
        <f t="shared" si="1"/>
        <v>1200</v>
      </c>
      <c r="V15" s="573">
        <f>F15+G15+H15+I15+J15+K15+L15+M15+N15+O15+P15+Q15+R15+S15+T15+U15</f>
        <v>9660</v>
      </c>
      <c r="W15" s="587"/>
    </row>
    <row r="16" spans="1:38" ht="17.25" customHeight="1">
      <c r="A16" s="562" t="s">
        <v>591</v>
      </c>
      <c r="B16" s="562"/>
      <c r="C16" s="562"/>
      <c r="D16" s="562"/>
      <c r="F16" s="580">
        <f>F15/F10</f>
        <v>15</v>
      </c>
      <c r="G16" s="580">
        <f t="shared" ref="G16:U16" si="2">G15/G10</f>
        <v>15</v>
      </c>
      <c r="H16" s="580">
        <f t="shared" si="2"/>
        <v>15</v>
      </c>
      <c r="I16" s="580">
        <f t="shared" si="2"/>
        <v>15</v>
      </c>
      <c r="J16" s="580">
        <f t="shared" si="2"/>
        <v>15</v>
      </c>
      <c r="K16" s="580">
        <f t="shared" si="2"/>
        <v>15</v>
      </c>
      <c r="L16" s="580">
        <f t="shared" si="2"/>
        <v>15</v>
      </c>
      <c r="M16" s="580">
        <f t="shared" si="2"/>
        <v>15</v>
      </c>
      <c r="N16" s="580">
        <f t="shared" si="2"/>
        <v>60</v>
      </c>
      <c r="O16" s="580">
        <f t="shared" si="2"/>
        <v>100</v>
      </c>
      <c r="P16" s="580">
        <f t="shared" si="2"/>
        <v>100</v>
      </c>
      <c r="Q16" s="580">
        <f t="shared" si="2"/>
        <v>100</v>
      </c>
      <c r="R16" s="580">
        <f t="shared" si="2"/>
        <v>100</v>
      </c>
      <c r="S16" s="580">
        <f t="shared" si="2"/>
        <v>100</v>
      </c>
      <c r="T16" s="580">
        <f t="shared" si="2"/>
        <v>100</v>
      </c>
      <c r="U16" s="580">
        <f t="shared" si="2"/>
        <v>100</v>
      </c>
      <c r="W16" s="588"/>
    </row>
    <row r="17" spans="1:23" ht="17.25" customHeight="1">
      <c r="A17" s="595" t="str">
        <f>'Key Assumptions'!B16</f>
        <v>Hospitality course : Front Office Management (40Days, 180 hrs)</v>
      </c>
      <c r="B17" s="595"/>
      <c r="C17" s="595"/>
      <c r="D17" s="595"/>
      <c r="E17" s="577"/>
      <c r="J17" s="580"/>
      <c r="K17" s="580"/>
      <c r="L17" s="580"/>
      <c r="M17" s="580"/>
      <c r="N17" s="580"/>
      <c r="O17" s="580"/>
      <c r="P17" s="580"/>
      <c r="Q17" s="580"/>
      <c r="R17" s="580"/>
      <c r="S17" s="580"/>
      <c r="T17" s="580"/>
      <c r="U17" s="580"/>
      <c r="W17" s="588"/>
    </row>
    <row r="18" spans="1:23" ht="17.25" customHeight="1">
      <c r="A18" s="562" t="s">
        <v>455</v>
      </c>
      <c r="B18" s="562"/>
      <c r="C18" s="562"/>
      <c r="D18" s="562"/>
      <c r="E18" s="577"/>
      <c r="F18" s="589">
        <f>'Key Assumptions'!F111</f>
        <v>4</v>
      </c>
      <c r="G18" s="589">
        <f>'Key Assumptions'!G111</f>
        <v>4</v>
      </c>
      <c r="H18" s="589">
        <f>'Key Assumptions'!H111</f>
        <v>4</v>
      </c>
      <c r="I18" s="589">
        <f>'Key Assumptions'!I111</f>
        <v>4</v>
      </c>
      <c r="J18" s="589">
        <f>'Key Assumptions'!J111</f>
        <v>7</v>
      </c>
      <c r="K18" s="589">
        <f>'Key Assumptions'!K111</f>
        <v>7</v>
      </c>
      <c r="L18" s="589">
        <f>'Key Assumptions'!L111</f>
        <v>7</v>
      </c>
      <c r="M18" s="589">
        <f>'Key Assumptions'!M111</f>
        <v>7</v>
      </c>
      <c r="N18" s="589">
        <f>'Key Assumptions'!N111</f>
        <v>10</v>
      </c>
      <c r="O18" s="589">
        <f>'Key Assumptions'!O111</f>
        <v>12</v>
      </c>
      <c r="P18" s="589">
        <f>'Key Assumptions'!P111</f>
        <v>12</v>
      </c>
      <c r="Q18" s="589">
        <f>'Key Assumptions'!Q111</f>
        <v>12</v>
      </c>
      <c r="R18" s="589">
        <f>'Key Assumptions'!R111</f>
        <v>12</v>
      </c>
      <c r="S18" s="589">
        <f>'Key Assumptions'!S111</f>
        <v>12</v>
      </c>
      <c r="T18" s="589">
        <f>'Key Assumptions'!T111</f>
        <v>12</v>
      </c>
      <c r="U18" s="589">
        <f>'Key Assumptions'!U111</f>
        <v>12</v>
      </c>
      <c r="W18" s="588"/>
    </row>
    <row r="19" spans="1:23" ht="17.25" customHeight="1">
      <c r="A19" s="562" t="s">
        <v>421</v>
      </c>
      <c r="B19" s="562"/>
      <c r="C19" s="562"/>
      <c r="D19" s="562"/>
      <c r="F19" s="589">
        <f>'Key Assumptions'!F18</f>
        <v>1.5</v>
      </c>
      <c r="G19" s="589">
        <f>'Key Assumptions'!G18</f>
        <v>1.5</v>
      </c>
      <c r="H19" s="589">
        <f>'Key Assumptions'!H18</f>
        <v>1.5</v>
      </c>
      <c r="I19" s="589">
        <f>'Key Assumptions'!I18</f>
        <v>1.5</v>
      </c>
      <c r="J19" s="589">
        <f>'Key Assumptions'!J18</f>
        <v>1.5</v>
      </c>
      <c r="K19" s="589">
        <f>'Key Assumptions'!K18</f>
        <v>1.5</v>
      </c>
      <c r="L19" s="589">
        <f>'Key Assumptions'!L18</f>
        <v>1.5</v>
      </c>
      <c r="M19" s="589">
        <f>'Key Assumptions'!M18</f>
        <v>1.5</v>
      </c>
      <c r="N19" s="589">
        <f>'Key Assumptions'!N18</f>
        <v>6</v>
      </c>
      <c r="O19" s="589">
        <f>'Key Assumptions'!O18</f>
        <v>6</v>
      </c>
      <c r="P19" s="589">
        <f>'Key Assumptions'!P18</f>
        <v>6</v>
      </c>
      <c r="Q19" s="589">
        <f>'Key Assumptions'!Q18</f>
        <v>6</v>
      </c>
      <c r="R19" s="589">
        <f>'Key Assumptions'!R18</f>
        <v>6</v>
      </c>
      <c r="S19" s="589">
        <f>'Key Assumptions'!S18</f>
        <v>6</v>
      </c>
      <c r="T19" s="589">
        <f>'Key Assumptions'!T18</f>
        <v>6</v>
      </c>
      <c r="U19" s="589">
        <f>'Key Assumptions'!U18</f>
        <v>6</v>
      </c>
      <c r="W19" s="588"/>
    </row>
    <row r="20" spans="1:23" ht="17.25" customHeight="1">
      <c r="A20" s="562" t="s">
        <v>319</v>
      </c>
      <c r="B20" s="562"/>
      <c r="C20" s="562"/>
      <c r="D20" s="562"/>
      <c r="F20" s="589">
        <f>'Key Assumptions'!F19</f>
        <v>1</v>
      </c>
      <c r="G20" s="589">
        <f>'Key Assumptions'!G19</f>
        <v>1</v>
      </c>
      <c r="H20" s="589">
        <f>'Key Assumptions'!H19</f>
        <v>1</v>
      </c>
      <c r="I20" s="589">
        <f>'Key Assumptions'!I19</f>
        <v>1</v>
      </c>
      <c r="J20" s="589">
        <f>'Key Assumptions'!J19</f>
        <v>1</v>
      </c>
      <c r="K20" s="589">
        <f>'Key Assumptions'!K19</f>
        <v>1</v>
      </c>
      <c r="L20" s="589">
        <f>'Key Assumptions'!L19</f>
        <v>1</v>
      </c>
      <c r="M20" s="589">
        <f>'Key Assumptions'!M19</f>
        <v>1</v>
      </c>
      <c r="N20" s="589">
        <f>'Key Assumptions'!N19</f>
        <v>1</v>
      </c>
      <c r="O20" s="589">
        <f>'Key Assumptions'!O19</f>
        <v>1</v>
      </c>
      <c r="P20" s="589">
        <f>'Key Assumptions'!P19</f>
        <v>1</v>
      </c>
      <c r="Q20" s="589">
        <f>'Key Assumptions'!Q19</f>
        <v>1</v>
      </c>
      <c r="R20" s="589">
        <f>'Key Assumptions'!R19</f>
        <v>1</v>
      </c>
      <c r="S20" s="589">
        <f>'Key Assumptions'!S19</f>
        <v>1</v>
      </c>
      <c r="T20" s="589">
        <f>'Key Assumptions'!T19</f>
        <v>1</v>
      </c>
      <c r="U20" s="589">
        <f>'Key Assumptions'!U19</f>
        <v>1</v>
      </c>
      <c r="W20" s="588"/>
    </row>
    <row r="21" spans="1:23" ht="17.25" customHeight="1">
      <c r="A21" s="562" t="s">
        <v>423</v>
      </c>
      <c r="B21" s="562"/>
      <c r="C21" s="562"/>
      <c r="D21" s="562"/>
      <c r="F21" s="589">
        <f>F19*F20</f>
        <v>1.5</v>
      </c>
      <c r="G21" s="589">
        <f t="shared" ref="G21:U21" si="3">G19*G20</f>
        <v>1.5</v>
      </c>
      <c r="H21" s="589">
        <f t="shared" si="3"/>
        <v>1.5</v>
      </c>
      <c r="I21" s="589">
        <f t="shared" si="3"/>
        <v>1.5</v>
      </c>
      <c r="J21" s="589">
        <f t="shared" si="3"/>
        <v>1.5</v>
      </c>
      <c r="K21" s="589">
        <f t="shared" si="3"/>
        <v>1.5</v>
      </c>
      <c r="L21" s="589">
        <f t="shared" si="3"/>
        <v>1.5</v>
      </c>
      <c r="M21" s="589">
        <f t="shared" si="3"/>
        <v>1.5</v>
      </c>
      <c r="N21" s="589">
        <f t="shared" si="3"/>
        <v>6</v>
      </c>
      <c r="O21" s="589">
        <f t="shared" si="3"/>
        <v>6</v>
      </c>
      <c r="P21" s="589">
        <f t="shared" si="3"/>
        <v>6</v>
      </c>
      <c r="Q21" s="589">
        <f t="shared" si="3"/>
        <v>6</v>
      </c>
      <c r="R21" s="589">
        <f t="shared" si="3"/>
        <v>6</v>
      </c>
      <c r="S21" s="589">
        <f t="shared" si="3"/>
        <v>6</v>
      </c>
      <c r="T21" s="589">
        <f t="shared" si="3"/>
        <v>6</v>
      </c>
      <c r="U21" s="589">
        <f t="shared" si="3"/>
        <v>6</v>
      </c>
      <c r="W21" s="588"/>
    </row>
    <row r="22" spans="1:23" ht="17.25" customHeight="1">
      <c r="A22" s="562" t="s">
        <v>320</v>
      </c>
      <c r="B22" s="562"/>
      <c r="C22" s="562"/>
      <c r="D22" s="562"/>
      <c r="F22" s="589">
        <f>'Key Assumptions'!F17</f>
        <v>15</v>
      </c>
      <c r="G22" s="589">
        <f>'Key Assumptions'!G17</f>
        <v>15</v>
      </c>
      <c r="H22" s="589">
        <f>'Key Assumptions'!H17</f>
        <v>15</v>
      </c>
      <c r="I22" s="589">
        <f>'Key Assumptions'!I17</f>
        <v>15</v>
      </c>
      <c r="J22" s="589">
        <f>'Key Assumptions'!J17</f>
        <v>15</v>
      </c>
      <c r="K22" s="589">
        <f>'Key Assumptions'!K17</f>
        <v>15</v>
      </c>
      <c r="L22" s="589">
        <f>'Key Assumptions'!L17</f>
        <v>15</v>
      </c>
      <c r="M22" s="589">
        <f>'Key Assumptions'!M17</f>
        <v>15</v>
      </c>
      <c r="N22" s="589">
        <f>'Key Assumptions'!N17</f>
        <v>15</v>
      </c>
      <c r="O22" s="589">
        <f>'Key Assumptions'!O17</f>
        <v>25</v>
      </c>
      <c r="P22" s="589">
        <f>'Key Assumptions'!P17</f>
        <v>25</v>
      </c>
      <c r="Q22" s="589">
        <f>'Key Assumptions'!Q17</f>
        <v>25</v>
      </c>
      <c r="R22" s="589">
        <f>'Key Assumptions'!R17</f>
        <v>25</v>
      </c>
      <c r="S22" s="589">
        <f>'Key Assumptions'!S17</f>
        <v>25</v>
      </c>
      <c r="T22" s="589">
        <f>'Key Assumptions'!T17</f>
        <v>25</v>
      </c>
      <c r="U22" s="589">
        <f>'Key Assumptions'!U17</f>
        <v>25</v>
      </c>
      <c r="W22" s="588"/>
    </row>
    <row r="23" spans="1:23" ht="17.25" customHeight="1">
      <c r="A23" s="586" t="s">
        <v>387</v>
      </c>
      <c r="B23" s="586"/>
      <c r="C23" s="586"/>
      <c r="D23" s="586"/>
      <c r="E23" s="562"/>
      <c r="F23" s="575">
        <f>F18*F21*F22</f>
        <v>90</v>
      </c>
      <c r="G23" s="575">
        <f t="shared" ref="G23:U23" si="4">G18*G21*G22</f>
        <v>90</v>
      </c>
      <c r="H23" s="575">
        <f t="shared" si="4"/>
        <v>90</v>
      </c>
      <c r="I23" s="575">
        <f t="shared" si="4"/>
        <v>90</v>
      </c>
      <c r="J23" s="575">
        <f t="shared" si="4"/>
        <v>157.5</v>
      </c>
      <c r="K23" s="575">
        <f t="shared" si="4"/>
        <v>157.5</v>
      </c>
      <c r="L23" s="575">
        <f t="shared" si="4"/>
        <v>157.5</v>
      </c>
      <c r="M23" s="575">
        <f t="shared" si="4"/>
        <v>157.5</v>
      </c>
      <c r="N23" s="575">
        <f t="shared" si="4"/>
        <v>900</v>
      </c>
      <c r="O23" s="575">
        <f t="shared" si="4"/>
        <v>1800</v>
      </c>
      <c r="P23" s="575">
        <f t="shared" si="4"/>
        <v>1800</v>
      </c>
      <c r="Q23" s="575">
        <f t="shared" si="4"/>
        <v>1800</v>
      </c>
      <c r="R23" s="575">
        <f t="shared" si="4"/>
        <v>1800</v>
      </c>
      <c r="S23" s="575">
        <f t="shared" si="4"/>
        <v>1800</v>
      </c>
      <c r="T23" s="575">
        <f t="shared" si="4"/>
        <v>1800</v>
      </c>
      <c r="U23" s="575">
        <f t="shared" si="4"/>
        <v>1800</v>
      </c>
      <c r="V23" s="573">
        <f>F23+G23+H23+I23+J23+K23+L23+M23+N23+O23+P23+Q23+R23+S23+T23+U23</f>
        <v>14490</v>
      </c>
      <c r="W23" s="588"/>
    </row>
    <row r="24" spans="1:23" ht="17.25" customHeight="1">
      <c r="A24" s="562" t="s">
        <v>591</v>
      </c>
      <c r="B24" s="562"/>
      <c r="C24" s="562"/>
      <c r="D24" s="562"/>
      <c r="F24" s="589">
        <f>F23/F18</f>
        <v>22.5</v>
      </c>
      <c r="G24" s="589">
        <f t="shared" ref="G24:U24" si="5">G23/G18</f>
        <v>22.5</v>
      </c>
      <c r="H24" s="589">
        <f t="shared" si="5"/>
        <v>22.5</v>
      </c>
      <c r="I24" s="589">
        <f t="shared" si="5"/>
        <v>22.5</v>
      </c>
      <c r="J24" s="589">
        <f t="shared" si="5"/>
        <v>22.5</v>
      </c>
      <c r="K24" s="589">
        <f t="shared" si="5"/>
        <v>22.5</v>
      </c>
      <c r="L24" s="589">
        <f t="shared" si="5"/>
        <v>22.5</v>
      </c>
      <c r="M24" s="589">
        <f t="shared" si="5"/>
        <v>22.5</v>
      </c>
      <c r="N24" s="589">
        <f t="shared" si="5"/>
        <v>90</v>
      </c>
      <c r="O24" s="589">
        <f t="shared" si="5"/>
        <v>150</v>
      </c>
      <c r="P24" s="589">
        <f t="shared" si="5"/>
        <v>150</v>
      </c>
      <c r="Q24" s="589">
        <f t="shared" si="5"/>
        <v>150</v>
      </c>
      <c r="R24" s="589">
        <f t="shared" si="5"/>
        <v>150</v>
      </c>
      <c r="S24" s="589">
        <f t="shared" si="5"/>
        <v>150</v>
      </c>
      <c r="T24" s="589">
        <f t="shared" si="5"/>
        <v>150</v>
      </c>
      <c r="U24" s="589">
        <f t="shared" si="5"/>
        <v>150</v>
      </c>
      <c r="W24" s="588"/>
    </row>
    <row r="25" spans="1:23" ht="17.25" customHeight="1">
      <c r="A25" s="595" t="str">
        <f>'Key Assumptions'!B21</f>
        <v>Hospitality course : Food &amp; Beverages (40 Days, 180 hrs)</v>
      </c>
      <c r="B25" s="595"/>
      <c r="C25" s="595"/>
      <c r="D25" s="595"/>
      <c r="E25" s="577"/>
      <c r="J25" s="580"/>
      <c r="K25" s="580"/>
      <c r="L25" s="580"/>
      <c r="M25" s="580"/>
      <c r="N25" s="580"/>
      <c r="O25" s="580"/>
      <c r="P25" s="580"/>
      <c r="Q25" s="580"/>
      <c r="R25" s="580"/>
      <c r="S25" s="580"/>
      <c r="T25" s="580"/>
      <c r="U25" s="580"/>
      <c r="W25" s="588"/>
    </row>
    <row r="26" spans="1:23" ht="17.25" customHeight="1">
      <c r="A26" s="562" t="s">
        <v>455</v>
      </c>
      <c r="B26" s="562"/>
      <c r="C26" s="562"/>
      <c r="D26" s="562"/>
      <c r="E26" s="579"/>
      <c r="F26" s="580">
        <f>'Key Assumptions'!F114</f>
        <v>2</v>
      </c>
      <c r="G26" s="580">
        <f>'Key Assumptions'!G114</f>
        <v>2</v>
      </c>
      <c r="H26" s="580">
        <f>'Key Assumptions'!H114</f>
        <v>2</v>
      </c>
      <c r="I26" s="580">
        <f>'Key Assumptions'!I114</f>
        <v>2</v>
      </c>
      <c r="J26" s="580">
        <f>'Key Assumptions'!J114</f>
        <v>5</v>
      </c>
      <c r="K26" s="580">
        <f>'Key Assumptions'!K114</f>
        <v>5</v>
      </c>
      <c r="L26" s="580">
        <f>'Key Assumptions'!L114</f>
        <v>5</v>
      </c>
      <c r="M26" s="580">
        <f>'Key Assumptions'!M114</f>
        <v>5</v>
      </c>
      <c r="N26" s="580">
        <f>'Key Assumptions'!N114</f>
        <v>8</v>
      </c>
      <c r="O26" s="580">
        <f>'Key Assumptions'!O114</f>
        <v>10</v>
      </c>
      <c r="P26" s="580">
        <f>'Key Assumptions'!P114</f>
        <v>10</v>
      </c>
      <c r="Q26" s="580">
        <f>'Key Assumptions'!Q114</f>
        <v>10</v>
      </c>
      <c r="R26" s="580">
        <f>'Key Assumptions'!R114</f>
        <v>10</v>
      </c>
      <c r="S26" s="580">
        <f>'Key Assumptions'!S114</f>
        <v>10</v>
      </c>
      <c r="T26" s="580">
        <f>'Key Assumptions'!T114</f>
        <v>10</v>
      </c>
      <c r="U26" s="580">
        <f>'Key Assumptions'!U114</f>
        <v>10</v>
      </c>
      <c r="W26" s="588"/>
    </row>
    <row r="27" spans="1:23" ht="17.25" customHeight="1">
      <c r="A27" s="562" t="s">
        <v>421</v>
      </c>
      <c r="B27" s="562"/>
      <c r="C27" s="562"/>
      <c r="D27" s="562"/>
      <c r="F27" s="589">
        <f>'Key Assumptions'!F23</f>
        <v>1.5</v>
      </c>
      <c r="G27" s="589">
        <f>'Key Assumptions'!G23</f>
        <v>1.5</v>
      </c>
      <c r="H27" s="589">
        <f>'Key Assumptions'!H23</f>
        <v>1.5</v>
      </c>
      <c r="I27" s="589">
        <f>'Key Assumptions'!I23</f>
        <v>1.5</v>
      </c>
      <c r="J27" s="589">
        <f>'Key Assumptions'!J23</f>
        <v>1.5</v>
      </c>
      <c r="K27" s="589">
        <f>'Key Assumptions'!K23</f>
        <v>1.5</v>
      </c>
      <c r="L27" s="589">
        <f>'Key Assumptions'!L23</f>
        <v>1.5</v>
      </c>
      <c r="M27" s="589">
        <f>'Key Assumptions'!M23</f>
        <v>1.5</v>
      </c>
      <c r="N27" s="589">
        <f>'Key Assumptions'!N23</f>
        <v>6</v>
      </c>
      <c r="O27" s="589">
        <f>'Key Assumptions'!O23</f>
        <v>6</v>
      </c>
      <c r="P27" s="589">
        <f>'Key Assumptions'!P23</f>
        <v>6</v>
      </c>
      <c r="Q27" s="589">
        <f>'Key Assumptions'!Q23</f>
        <v>6</v>
      </c>
      <c r="R27" s="589">
        <f>'Key Assumptions'!R23</f>
        <v>6</v>
      </c>
      <c r="S27" s="589">
        <f>'Key Assumptions'!S23</f>
        <v>6</v>
      </c>
      <c r="T27" s="589">
        <f>'Key Assumptions'!T23</f>
        <v>6</v>
      </c>
      <c r="U27" s="589">
        <f>'Key Assumptions'!U23</f>
        <v>6</v>
      </c>
      <c r="W27" s="588"/>
    </row>
    <row r="28" spans="1:23" ht="17.25" customHeight="1">
      <c r="A28" s="562" t="s">
        <v>319</v>
      </c>
      <c r="B28" s="562"/>
      <c r="C28" s="562"/>
      <c r="D28" s="562"/>
      <c r="F28" s="589">
        <f>'Key Assumptions'!F24</f>
        <v>1</v>
      </c>
      <c r="G28" s="589">
        <f>'Key Assumptions'!G24</f>
        <v>1</v>
      </c>
      <c r="H28" s="589">
        <f>'Key Assumptions'!H24</f>
        <v>1</v>
      </c>
      <c r="I28" s="589">
        <f>'Key Assumptions'!I24</f>
        <v>1</v>
      </c>
      <c r="J28" s="589">
        <f>'Key Assumptions'!J24</f>
        <v>1</v>
      </c>
      <c r="K28" s="589">
        <f>'Key Assumptions'!K24</f>
        <v>1</v>
      </c>
      <c r="L28" s="589">
        <f>'Key Assumptions'!L24</f>
        <v>1</v>
      </c>
      <c r="M28" s="589">
        <f>'Key Assumptions'!M24</f>
        <v>1</v>
      </c>
      <c r="N28" s="589">
        <f>'Key Assumptions'!N24</f>
        <v>1</v>
      </c>
      <c r="O28" s="589">
        <f>'Key Assumptions'!O24</f>
        <v>1</v>
      </c>
      <c r="P28" s="589">
        <f>'Key Assumptions'!P24</f>
        <v>1</v>
      </c>
      <c r="Q28" s="589">
        <f>'Key Assumptions'!Q24</f>
        <v>1</v>
      </c>
      <c r="R28" s="589">
        <f>'Key Assumptions'!R24</f>
        <v>1</v>
      </c>
      <c r="S28" s="589">
        <f>'Key Assumptions'!S24</f>
        <v>1</v>
      </c>
      <c r="T28" s="589">
        <f>'Key Assumptions'!T24</f>
        <v>1</v>
      </c>
      <c r="U28" s="589">
        <f>'Key Assumptions'!U24</f>
        <v>1</v>
      </c>
      <c r="W28" s="588"/>
    </row>
    <row r="29" spans="1:23" ht="17.25" customHeight="1">
      <c r="A29" s="562" t="s">
        <v>423</v>
      </c>
      <c r="B29" s="562"/>
      <c r="C29" s="562"/>
      <c r="D29" s="562"/>
      <c r="F29" s="589">
        <f>F27*F28</f>
        <v>1.5</v>
      </c>
      <c r="G29" s="589">
        <f t="shared" ref="G29:U29" si="6">G27*G28</f>
        <v>1.5</v>
      </c>
      <c r="H29" s="589">
        <f t="shared" si="6"/>
        <v>1.5</v>
      </c>
      <c r="I29" s="589">
        <f t="shared" si="6"/>
        <v>1.5</v>
      </c>
      <c r="J29" s="589">
        <f t="shared" si="6"/>
        <v>1.5</v>
      </c>
      <c r="K29" s="589">
        <f t="shared" si="6"/>
        <v>1.5</v>
      </c>
      <c r="L29" s="589">
        <f t="shared" si="6"/>
        <v>1.5</v>
      </c>
      <c r="M29" s="589">
        <f t="shared" si="6"/>
        <v>1.5</v>
      </c>
      <c r="N29" s="589">
        <f t="shared" si="6"/>
        <v>6</v>
      </c>
      <c r="O29" s="589">
        <f t="shared" si="6"/>
        <v>6</v>
      </c>
      <c r="P29" s="589">
        <f t="shared" si="6"/>
        <v>6</v>
      </c>
      <c r="Q29" s="589">
        <f t="shared" si="6"/>
        <v>6</v>
      </c>
      <c r="R29" s="589">
        <f t="shared" si="6"/>
        <v>6</v>
      </c>
      <c r="S29" s="589">
        <f t="shared" si="6"/>
        <v>6</v>
      </c>
      <c r="T29" s="589">
        <f t="shared" si="6"/>
        <v>6</v>
      </c>
      <c r="U29" s="589">
        <f t="shared" si="6"/>
        <v>6</v>
      </c>
      <c r="W29" s="588"/>
    </row>
    <row r="30" spans="1:23" ht="17.25" customHeight="1">
      <c r="A30" s="562" t="s">
        <v>320</v>
      </c>
      <c r="B30" s="562"/>
      <c r="C30" s="562"/>
      <c r="D30" s="562"/>
      <c r="F30" s="589">
        <f>'Key Assumptions'!F22</f>
        <v>15</v>
      </c>
      <c r="G30" s="589">
        <f>'Key Assumptions'!G22</f>
        <v>15</v>
      </c>
      <c r="H30" s="589">
        <f>'Key Assumptions'!H22</f>
        <v>15</v>
      </c>
      <c r="I30" s="589">
        <f>'Key Assumptions'!I22</f>
        <v>15</v>
      </c>
      <c r="J30" s="589">
        <f>'Key Assumptions'!J22</f>
        <v>15</v>
      </c>
      <c r="K30" s="589">
        <f>'Key Assumptions'!K22</f>
        <v>15</v>
      </c>
      <c r="L30" s="589">
        <f>'Key Assumptions'!L22</f>
        <v>15</v>
      </c>
      <c r="M30" s="589">
        <f>'Key Assumptions'!M22</f>
        <v>15</v>
      </c>
      <c r="N30" s="589">
        <f>'Key Assumptions'!N22</f>
        <v>15</v>
      </c>
      <c r="O30" s="589">
        <f>'Key Assumptions'!O22</f>
        <v>25</v>
      </c>
      <c r="P30" s="589">
        <f>'Key Assumptions'!P22</f>
        <v>25</v>
      </c>
      <c r="Q30" s="589">
        <f>'Key Assumptions'!Q22</f>
        <v>25</v>
      </c>
      <c r="R30" s="589">
        <f>'Key Assumptions'!R22</f>
        <v>25</v>
      </c>
      <c r="S30" s="589">
        <f>'Key Assumptions'!S22</f>
        <v>25</v>
      </c>
      <c r="T30" s="589">
        <f>'Key Assumptions'!T22</f>
        <v>25</v>
      </c>
      <c r="U30" s="589">
        <f>'Key Assumptions'!U22</f>
        <v>25</v>
      </c>
      <c r="W30" s="588"/>
    </row>
    <row r="31" spans="1:23" ht="17.25" customHeight="1">
      <c r="A31" s="586" t="s">
        <v>387</v>
      </c>
      <c r="B31" s="586"/>
      <c r="C31" s="586"/>
      <c r="D31" s="586"/>
      <c r="E31" s="562"/>
      <c r="F31" s="573">
        <f>F26*F29*F30</f>
        <v>45</v>
      </c>
      <c r="G31" s="573">
        <f t="shared" ref="G31:U31" si="7">G26*G29*G30</f>
        <v>45</v>
      </c>
      <c r="H31" s="573">
        <f t="shared" si="7"/>
        <v>45</v>
      </c>
      <c r="I31" s="573">
        <f t="shared" si="7"/>
        <v>45</v>
      </c>
      <c r="J31" s="573">
        <f t="shared" si="7"/>
        <v>112.5</v>
      </c>
      <c r="K31" s="573">
        <f t="shared" si="7"/>
        <v>112.5</v>
      </c>
      <c r="L31" s="573">
        <f t="shared" si="7"/>
        <v>112.5</v>
      </c>
      <c r="M31" s="573">
        <f t="shared" si="7"/>
        <v>112.5</v>
      </c>
      <c r="N31" s="573">
        <f t="shared" si="7"/>
        <v>720</v>
      </c>
      <c r="O31" s="573">
        <f t="shared" si="7"/>
        <v>1500</v>
      </c>
      <c r="P31" s="573">
        <f t="shared" si="7"/>
        <v>1500</v>
      </c>
      <c r="Q31" s="573">
        <f t="shared" si="7"/>
        <v>1500</v>
      </c>
      <c r="R31" s="573">
        <f t="shared" si="7"/>
        <v>1500</v>
      </c>
      <c r="S31" s="573">
        <f t="shared" si="7"/>
        <v>1500</v>
      </c>
      <c r="T31" s="573">
        <f t="shared" si="7"/>
        <v>1500</v>
      </c>
      <c r="U31" s="573">
        <f t="shared" si="7"/>
        <v>1500</v>
      </c>
      <c r="V31" s="573">
        <f>F31+G31+H31+I31+J31+K31+L31+M31+N31+O31+P31+Q31+R31+S31+T31+U31</f>
        <v>11850</v>
      </c>
      <c r="W31" s="588"/>
    </row>
    <row r="32" spans="1:23" ht="17.25" customHeight="1">
      <c r="A32" s="562" t="s">
        <v>591</v>
      </c>
      <c r="B32" s="562"/>
      <c r="C32" s="562"/>
      <c r="D32" s="562"/>
      <c r="F32" s="580">
        <f>F31/F26</f>
        <v>22.5</v>
      </c>
      <c r="G32" s="580">
        <f t="shared" ref="G32:U32" si="8">G31/G26</f>
        <v>22.5</v>
      </c>
      <c r="H32" s="580">
        <f t="shared" si="8"/>
        <v>22.5</v>
      </c>
      <c r="I32" s="580">
        <f t="shared" si="8"/>
        <v>22.5</v>
      </c>
      <c r="J32" s="580">
        <f t="shared" si="8"/>
        <v>22.5</v>
      </c>
      <c r="K32" s="580">
        <f t="shared" si="8"/>
        <v>22.5</v>
      </c>
      <c r="L32" s="580">
        <f t="shared" si="8"/>
        <v>22.5</v>
      </c>
      <c r="M32" s="580">
        <f t="shared" si="8"/>
        <v>22.5</v>
      </c>
      <c r="N32" s="580">
        <f t="shared" si="8"/>
        <v>90</v>
      </c>
      <c r="O32" s="580">
        <f t="shared" si="8"/>
        <v>150</v>
      </c>
      <c r="P32" s="580">
        <f t="shared" si="8"/>
        <v>150</v>
      </c>
      <c r="Q32" s="580">
        <f t="shared" si="8"/>
        <v>150</v>
      </c>
      <c r="R32" s="580">
        <f t="shared" si="8"/>
        <v>150</v>
      </c>
      <c r="S32" s="580">
        <f t="shared" si="8"/>
        <v>150</v>
      </c>
      <c r="T32" s="580">
        <f t="shared" si="8"/>
        <v>150</v>
      </c>
      <c r="U32" s="580">
        <f t="shared" si="8"/>
        <v>150</v>
      </c>
      <c r="W32" s="588"/>
    </row>
    <row r="33" spans="1:23" ht="17.25" customHeight="1">
      <c r="A33" s="595" t="str">
        <f>'Key Assumptions'!B26</f>
        <v>IT/ITES : BPO Voice (60 Days, 180 hrs)</v>
      </c>
      <c r="B33" s="595"/>
      <c r="C33" s="595"/>
      <c r="D33" s="595"/>
      <c r="E33" s="577"/>
      <c r="J33" s="580"/>
      <c r="K33" s="580"/>
      <c r="L33" s="580"/>
      <c r="M33" s="580"/>
      <c r="N33" s="580"/>
      <c r="O33" s="580"/>
      <c r="P33" s="580"/>
      <c r="Q33" s="580"/>
      <c r="R33" s="580"/>
      <c r="S33" s="580"/>
      <c r="T33" s="580"/>
      <c r="U33" s="580"/>
      <c r="W33" s="588"/>
    </row>
    <row r="34" spans="1:23" ht="17.25" customHeight="1">
      <c r="A34" s="562" t="s">
        <v>455</v>
      </c>
      <c r="B34" s="562"/>
      <c r="C34" s="562"/>
      <c r="D34" s="562"/>
      <c r="E34" s="577"/>
      <c r="F34" s="585">
        <f>'Key Assumptions'!F117</f>
        <v>4</v>
      </c>
      <c r="G34" s="585">
        <f>'Key Assumptions'!G117</f>
        <v>4</v>
      </c>
      <c r="H34" s="585">
        <f>'Key Assumptions'!H117</f>
        <v>4</v>
      </c>
      <c r="I34" s="585">
        <f>'Key Assumptions'!I117</f>
        <v>4</v>
      </c>
      <c r="J34" s="585">
        <f>'Key Assumptions'!J117</f>
        <v>6</v>
      </c>
      <c r="K34" s="585">
        <f>'Key Assumptions'!K117</f>
        <v>6</v>
      </c>
      <c r="L34" s="585">
        <f>'Key Assumptions'!L117</f>
        <v>6</v>
      </c>
      <c r="M34" s="585">
        <f>'Key Assumptions'!M117</f>
        <v>6</v>
      </c>
      <c r="N34" s="585">
        <f>'Key Assumptions'!N117</f>
        <v>9</v>
      </c>
      <c r="O34" s="585">
        <f>'Key Assumptions'!O117</f>
        <v>11</v>
      </c>
      <c r="P34" s="585">
        <f>'Key Assumptions'!P117</f>
        <v>11</v>
      </c>
      <c r="Q34" s="585">
        <f>'Key Assumptions'!Q117</f>
        <v>11</v>
      </c>
      <c r="R34" s="585">
        <f>'Key Assumptions'!R117</f>
        <v>11</v>
      </c>
      <c r="S34" s="585">
        <f>'Key Assumptions'!S117</f>
        <v>11</v>
      </c>
      <c r="T34" s="585">
        <f>'Key Assumptions'!T117</f>
        <v>11</v>
      </c>
      <c r="U34" s="585">
        <f>'Key Assumptions'!U117</f>
        <v>11</v>
      </c>
      <c r="W34" s="588"/>
    </row>
    <row r="35" spans="1:23" ht="17.25" customHeight="1">
      <c r="A35" s="562" t="s">
        <v>421</v>
      </c>
      <c r="B35" s="562"/>
      <c r="C35" s="562"/>
      <c r="D35" s="562"/>
      <c r="F35" s="585">
        <f>'Key Assumptions'!F28</f>
        <v>1</v>
      </c>
      <c r="G35" s="585">
        <f>'Key Assumptions'!G28</f>
        <v>1</v>
      </c>
      <c r="H35" s="585">
        <f>'Key Assumptions'!H28</f>
        <v>1</v>
      </c>
      <c r="I35" s="585">
        <f>'Key Assumptions'!I28</f>
        <v>1</v>
      </c>
      <c r="J35" s="585">
        <f>'Key Assumptions'!J28</f>
        <v>1</v>
      </c>
      <c r="K35" s="585">
        <f>'Key Assumptions'!K28</f>
        <v>1</v>
      </c>
      <c r="L35" s="585">
        <f>'Key Assumptions'!L28</f>
        <v>1</v>
      </c>
      <c r="M35" s="585">
        <f>'Key Assumptions'!M28</f>
        <v>1</v>
      </c>
      <c r="N35" s="585">
        <f>'Key Assumptions'!N28</f>
        <v>4</v>
      </c>
      <c r="O35" s="585">
        <f>'Key Assumptions'!O28</f>
        <v>4</v>
      </c>
      <c r="P35" s="585">
        <f>'Key Assumptions'!P28</f>
        <v>4</v>
      </c>
      <c r="Q35" s="585">
        <f>'Key Assumptions'!Q28</f>
        <v>4</v>
      </c>
      <c r="R35" s="585">
        <f>'Key Assumptions'!R28</f>
        <v>4</v>
      </c>
      <c r="S35" s="585">
        <f>'Key Assumptions'!S28</f>
        <v>4</v>
      </c>
      <c r="T35" s="585">
        <f>'Key Assumptions'!T28</f>
        <v>4</v>
      </c>
      <c r="U35" s="585">
        <f>'Key Assumptions'!U28</f>
        <v>4</v>
      </c>
      <c r="W35" s="588"/>
    </row>
    <row r="36" spans="1:23" ht="17.25" customHeight="1">
      <c r="A36" s="562" t="s">
        <v>411</v>
      </c>
      <c r="B36" s="562"/>
      <c r="C36" s="562"/>
      <c r="D36" s="562"/>
      <c r="F36" s="585">
        <f>'Key Assumptions'!F29</f>
        <v>1</v>
      </c>
      <c r="G36" s="585">
        <f>'Key Assumptions'!G29</f>
        <v>1</v>
      </c>
      <c r="H36" s="585">
        <f>'Key Assumptions'!H29</f>
        <v>1</v>
      </c>
      <c r="I36" s="585">
        <f>'Key Assumptions'!I29</f>
        <v>1</v>
      </c>
      <c r="J36" s="585">
        <f>'Key Assumptions'!J29</f>
        <v>1</v>
      </c>
      <c r="K36" s="585">
        <f>'Key Assumptions'!K29</f>
        <v>1</v>
      </c>
      <c r="L36" s="585">
        <f>'Key Assumptions'!L29</f>
        <v>1</v>
      </c>
      <c r="M36" s="585">
        <f>'Key Assumptions'!M29</f>
        <v>1</v>
      </c>
      <c r="N36" s="585">
        <f>'Key Assumptions'!N29</f>
        <v>1</v>
      </c>
      <c r="O36" s="585">
        <f>'Key Assumptions'!O29</f>
        <v>1</v>
      </c>
      <c r="P36" s="585">
        <f>'Key Assumptions'!P29</f>
        <v>1</v>
      </c>
      <c r="Q36" s="585">
        <f>'Key Assumptions'!Q29</f>
        <v>1</v>
      </c>
      <c r="R36" s="585">
        <f>'Key Assumptions'!R29</f>
        <v>1</v>
      </c>
      <c r="S36" s="585">
        <f>'Key Assumptions'!S29</f>
        <v>1</v>
      </c>
      <c r="T36" s="585">
        <f>'Key Assumptions'!T29</f>
        <v>1</v>
      </c>
      <c r="U36" s="585">
        <f>'Key Assumptions'!U29</f>
        <v>1</v>
      </c>
      <c r="W36" s="588"/>
    </row>
    <row r="37" spans="1:23" ht="17.25" customHeight="1">
      <c r="A37" s="562" t="s">
        <v>422</v>
      </c>
      <c r="B37" s="562"/>
      <c r="C37" s="562"/>
      <c r="D37" s="562"/>
      <c r="F37" s="585">
        <f>F35*F36</f>
        <v>1</v>
      </c>
      <c r="G37" s="585">
        <f t="shared" ref="G37:U37" si="9">G35*G36</f>
        <v>1</v>
      </c>
      <c r="H37" s="585">
        <f t="shared" si="9"/>
        <v>1</v>
      </c>
      <c r="I37" s="585">
        <f t="shared" si="9"/>
        <v>1</v>
      </c>
      <c r="J37" s="585">
        <f t="shared" si="9"/>
        <v>1</v>
      </c>
      <c r="K37" s="585">
        <f t="shared" si="9"/>
        <v>1</v>
      </c>
      <c r="L37" s="585">
        <f t="shared" si="9"/>
        <v>1</v>
      </c>
      <c r="M37" s="585">
        <f t="shared" si="9"/>
        <v>1</v>
      </c>
      <c r="N37" s="585">
        <f t="shared" si="9"/>
        <v>4</v>
      </c>
      <c r="O37" s="585">
        <f t="shared" si="9"/>
        <v>4</v>
      </c>
      <c r="P37" s="585">
        <f t="shared" si="9"/>
        <v>4</v>
      </c>
      <c r="Q37" s="585">
        <f t="shared" si="9"/>
        <v>4</v>
      </c>
      <c r="R37" s="585">
        <f t="shared" si="9"/>
        <v>4</v>
      </c>
      <c r="S37" s="585">
        <f t="shared" si="9"/>
        <v>4</v>
      </c>
      <c r="T37" s="585">
        <f t="shared" si="9"/>
        <v>4</v>
      </c>
      <c r="U37" s="585">
        <f t="shared" si="9"/>
        <v>4</v>
      </c>
      <c r="W37" s="588"/>
    </row>
    <row r="38" spans="1:23" ht="17.25" customHeight="1">
      <c r="A38" s="562" t="s">
        <v>320</v>
      </c>
      <c r="B38" s="562"/>
      <c r="C38" s="562"/>
      <c r="D38" s="562"/>
      <c r="F38" s="585">
        <f>'Key Assumptions'!F27</f>
        <v>15</v>
      </c>
      <c r="G38" s="585">
        <f>'Key Assumptions'!G27</f>
        <v>15</v>
      </c>
      <c r="H38" s="585">
        <f>'Key Assumptions'!H27</f>
        <v>15</v>
      </c>
      <c r="I38" s="585">
        <f>'Key Assumptions'!I27</f>
        <v>15</v>
      </c>
      <c r="J38" s="585">
        <f>'Key Assumptions'!J27</f>
        <v>15</v>
      </c>
      <c r="K38" s="585">
        <f>'Key Assumptions'!K27</f>
        <v>15</v>
      </c>
      <c r="L38" s="585">
        <f>'Key Assumptions'!L27</f>
        <v>15</v>
      </c>
      <c r="M38" s="585">
        <f>'Key Assumptions'!M27</f>
        <v>15</v>
      </c>
      <c r="N38" s="585">
        <f>'Key Assumptions'!N27</f>
        <v>15</v>
      </c>
      <c r="O38" s="585">
        <f>'Key Assumptions'!O27</f>
        <v>25</v>
      </c>
      <c r="P38" s="585">
        <f>'Key Assumptions'!P27</f>
        <v>25</v>
      </c>
      <c r="Q38" s="585">
        <f>'Key Assumptions'!Q27</f>
        <v>25</v>
      </c>
      <c r="R38" s="585">
        <f>'Key Assumptions'!R27</f>
        <v>25</v>
      </c>
      <c r="S38" s="585">
        <f>'Key Assumptions'!S27</f>
        <v>25</v>
      </c>
      <c r="T38" s="585">
        <f>'Key Assumptions'!T27</f>
        <v>25</v>
      </c>
      <c r="U38" s="585">
        <f>'Key Assumptions'!U27</f>
        <v>25</v>
      </c>
      <c r="W38" s="588"/>
    </row>
    <row r="39" spans="1:23" ht="17.25" customHeight="1">
      <c r="A39" s="586" t="s">
        <v>321</v>
      </c>
      <c r="B39" s="586"/>
      <c r="C39" s="586"/>
      <c r="D39" s="586"/>
      <c r="E39" s="562"/>
      <c r="F39" s="573">
        <f>F34*F37*F38</f>
        <v>60</v>
      </c>
      <c r="G39" s="573">
        <f t="shared" ref="G39:U39" si="10">G34*G37*G38</f>
        <v>60</v>
      </c>
      <c r="H39" s="573">
        <f t="shared" si="10"/>
        <v>60</v>
      </c>
      <c r="I39" s="573">
        <f t="shared" si="10"/>
        <v>60</v>
      </c>
      <c r="J39" s="573">
        <f t="shared" si="10"/>
        <v>90</v>
      </c>
      <c r="K39" s="573">
        <f t="shared" si="10"/>
        <v>90</v>
      </c>
      <c r="L39" s="573">
        <f t="shared" si="10"/>
        <v>90</v>
      </c>
      <c r="M39" s="573">
        <f t="shared" si="10"/>
        <v>90</v>
      </c>
      <c r="N39" s="573">
        <f t="shared" si="10"/>
        <v>540</v>
      </c>
      <c r="O39" s="573">
        <f t="shared" si="10"/>
        <v>1100</v>
      </c>
      <c r="P39" s="573">
        <f t="shared" si="10"/>
        <v>1100</v>
      </c>
      <c r="Q39" s="573">
        <f t="shared" si="10"/>
        <v>1100</v>
      </c>
      <c r="R39" s="573">
        <f t="shared" si="10"/>
        <v>1100</v>
      </c>
      <c r="S39" s="573">
        <f t="shared" si="10"/>
        <v>1100</v>
      </c>
      <c r="T39" s="573">
        <f t="shared" si="10"/>
        <v>1100</v>
      </c>
      <c r="U39" s="573">
        <f t="shared" si="10"/>
        <v>1100</v>
      </c>
      <c r="V39" s="573">
        <f>F39+G39+H39+I39+J39+K39+L39+M39+N39+O39+P39+Q39+R39+S39+T39+U39</f>
        <v>8840</v>
      </c>
      <c r="W39" s="588"/>
    </row>
    <row r="40" spans="1:23" ht="17.25" customHeight="1">
      <c r="A40" s="562" t="s">
        <v>591</v>
      </c>
      <c r="B40" s="562"/>
      <c r="C40" s="562"/>
      <c r="D40" s="562"/>
      <c r="F40" s="580">
        <f>F39/F34</f>
        <v>15</v>
      </c>
      <c r="G40" s="580">
        <f t="shared" ref="G40:U40" si="11">G39/G34</f>
        <v>15</v>
      </c>
      <c r="H40" s="580">
        <f t="shared" si="11"/>
        <v>15</v>
      </c>
      <c r="I40" s="580">
        <f t="shared" si="11"/>
        <v>15</v>
      </c>
      <c r="J40" s="580">
        <f t="shared" si="11"/>
        <v>15</v>
      </c>
      <c r="K40" s="580">
        <f t="shared" si="11"/>
        <v>15</v>
      </c>
      <c r="L40" s="580">
        <f t="shared" si="11"/>
        <v>15</v>
      </c>
      <c r="M40" s="580">
        <f t="shared" si="11"/>
        <v>15</v>
      </c>
      <c r="N40" s="580">
        <f t="shared" si="11"/>
        <v>60</v>
      </c>
      <c r="O40" s="580">
        <f t="shared" si="11"/>
        <v>100</v>
      </c>
      <c r="P40" s="580">
        <f t="shared" si="11"/>
        <v>100</v>
      </c>
      <c r="Q40" s="580">
        <f t="shared" si="11"/>
        <v>100</v>
      </c>
      <c r="R40" s="580">
        <f t="shared" si="11"/>
        <v>100</v>
      </c>
      <c r="S40" s="580">
        <f t="shared" si="11"/>
        <v>100</v>
      </c>
      <c r="T40" s="580">
        <f t="shared" si="11"/>
        <v>100</v>
      </c>
      <c r="U40" s="580">
        <f t="shared" si="11"/>
        <v>100</v>
      </c>
      <c r="W40" s="588"/>
    </row>
    <row r="41" spans="1:23" ht="17.25" customHeight="1">
      <c r="A41" s="595" t="str">
        <f>'Key Assumptions'!B31</f>
        <v>IT/ITES : BPO Non Voice (60 Days, 180 hrs)</v>
      </c>
      <c r="B41" s="595"/>
      <c r="C41" s="595"/>
      <c r="D41" s="595"/>
      <c r="E41" s="577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W41" s="588"/>
    </row>
    <row r="42" spans="1:23" ht="17.25" customHeight="1">
      <c r="A42" s="562" t="s">
        <v>455</v>
      </c>
      <c r="B42" s="562"/>
      <c r="C42" s="562"/>
      <c r="D42" s="562"/>
      <c r="E42" s="577"/>
      <c r="F42" s="585">
        <f>'Key Assumptions'!F120</f>
        <v>4</v>
      </c>
      <c r="G42" s="585">
        <f>'Key Assumptions'!G120</f>
        <v>4</v>
      </c>
      <c r="H42" s="585">
        <f>'Key Assumptions'!H120</f>
        <v>4</v>
      </c>
      <c r="I42" s="585">
        <f>'Key Assumptions'!I120</f>
        <v>4</v>
      </c>
      <c r="J42" s="585">
        <f>'Key Assumptions'!J120</f>
        <v>6</v>
      </c>
      <c r="K42" s="585">
        <f>'Key Assumptions'!K120</f>
        <v>6</v>
      </c>
      <c r="L42" s="585">
        <f>'Key Assumptions'!L120</f>
        <v>6</v>
      </c>
      <c r="M42" s="585">
        <f>'Key Assumptions'!M120</f>
        <v>6</v>
      </c>
      <c r="N42" s="585">
        <f>'Key Assumptions'!N120</f>
        <v>9</v>
      </c>
      <c r="O42" s="585">
        <f>'Key Assumptions'!O120</f>
        <v>11</v>
      </c>
      <c r="P42" s="585">
        <f>'Key Assumptions'!P120</f>
        <v>11</v>
      </c>
      <c r="Q42" s="585">
        <f>'Key Assumptions'!Q120</f>
        <v>11</v>
      </c>
      <c r="R42" s="585">
        <f>'Key Assumptions'!R120</f>
        <v>11</v>
      </c>
      <c r="S42" s="585">
        <f>'Key Assumptions'!S120</f>
        <v>11</v>
      </c>
      <c r="T42" s="585">
        <f>'Key Assumptions'!T120</f>
        <v>11</v>
      </c>
      <c r="U42" s="585">
        <f>'Key Assumptions'!U120</f>
        <v>11</v>
      </c>
      <c r="W42" s="588"/>
    </row>
    <row r="43" spans="1:23" ht="17.25" customHeight="1">
      <c r="A43" s="562" t="s">
        <v>421</v>
      </c>
      <c r="B43" s="562"/>
      <c r="C43" s="562"/>
      <c r="D43" s="562"/>
      <c r="F43" s="585">
        <f>'Key Assumptions'!F33</f>
        <v>1</v>
      </c>
      <c r="G43" s="585">
        <f>'Key Assumptions'!G33</f>
        <v>1</v>
      </c>
      <c r="H43" s="585">
        <f>'Key Assumptions'!H33</f>
        <v>1</v>
      </c>
      <c r="I43" s="585">
        <f>'Key Assumptions'!I33</f>
        <v>1</v>
      </c>
      <c r="J43" s="585">
        <f>'Key Assumptions'!J33</f>
        <v>1</v>
      </c>
      <c r="K43" s="585">
        <f>'Key Assumptions'!K33</f>
        <v>1</v>
      </c>
      <c r="L43" s="585">
        <f>'Key Assumptions'!L33</f>
        <v>1</v>
      </c>
      <c r="M43" s="585">
        <f>'Key Assumptions'!M33</f>
        <v>1</v>
      </c>
      <c r="N43" s="585">
        <f>'Key Assumptions'!N33</f>
        <v>4</v>
      </c>
      <c r="O43" s="585">
        <f>'Key Assumptions'!O33</f>
        <v>4</v>
      </c>
      <c r="P43" s="585">
        <f>'Key Assumptions'!P33</f>
        <v>4</v>
      </c>
      <c r="Q43" s="585">
        <f>'Key Assumptions'!Q33</f>
        <v>4</v>
      </c>
      <c r="R43" s="585">
        <f>'Key Assumptions'!R33</f>
        <v>4</v>
      </c>
      <c r="S43" s="585">
        <f>'Key Assumptions'!S33</f>
        <v>4</v>
      </c>
      <c r="T43" s="585">
        <f>'Key Assumptions'!T33</f>
        <v>4</v>
      </c>
      <c r="U43" s="585">
        <f>'Key Assumptions'!U33</f>
        <v>4</v>
      </c>
      <c r="W43" s="588"/>
    </row>
    <row r="44" spans="1:23" ht="17.25" customHeight="1">
      <c r="A44" s="562" t="s">
        <v>411</v>
      </c>
      <c r="B44" s="562"/>
      <c r="C44" s="562"/>
      <c r="D44" s="562"/>
      <c r="F44" s="585">
        <f>'Key Assumptions'!F34</f>
        <v>1</v>
      </c>
      <c r="G44" s="585">
        <f>'Key Assumptions'!G34</f>
        <v>1</v>
      </c>
      <c r="H44" s="585">
        <f>'Key Assumptions'!H34</f>
        <v>1</v>
      </c>
      <c r="I44" s="585">
        <f>'Key Assumptions'!I34</f>
        <v>1</v>
      </c>
      <c r="J44" s="585">
        <f>'Key Assumptions'!J34</f>
        <v>1</v>
      </c>
      <c r="K44" s="585">
        <f>'Key Assumptions'!K34</f>
        <v>1</v>
      </c>
      <c r="L44" s="585">
        <f>'Key Assumptions'!L34</f>
        <v>1</v>
      </c>
      <c r="M44" s="585">
        <f>'Key Assumptions'!M34</f>
        <v>1</v>
      </c>
      <c r="N44" s="585">
        <f>'Key Assumptions'!N34</f>
        <v>1</v>
      </c>
      <c r="O44" s="585">
        <f>'Key Assumptions'!O34</f>
        <v>1</v>
      </c>
      <c r="P44" s="585">
        <f>'Key Assumptions'!P34</f>
        <v>1</v>
      </c>
      <c r="Q44" s="585">
        <f>'Key Assumptions'!Q34</f>
        <v>1</v>
      </c>
      <c r="R44" s="585">
        <f>'Key Assumptions'!R34</f>
        <v>1</v>
      </c>
      <c r="S44" s="585">
        <f>'Key Assumptions'!S34</f>
        <v>1</v>
      </c>
      <c r="T44" s="585">
        <f>'Key Assumptions'!T34</f>
        <v>1</v>
      </c>
      <c r="U44" s="585">
        <f>'Key Assumptions'!U34</f>
        <v>1</v>
      </c>
      <c r="W44" s="588"/>
    </row>
    <row r="45" spans="1:23" ht="17.25" customHeight="1">
      <c r="A45" s="562" t="s">
        <v>422</v>
      </c>
      <c r="B45" s="562"/>
      <c r="C45" s="562"/>
      <c r="D45" s="562"/>
      <c r="F45" s="585">
        <f>F43*F44</f>
        <v>1</v>
      </c>
      <c r="G45" s="585">
        <f t="shared" ref="G45:U45" si="12">G43*G44</f>
        <v>1</v>
      </c>
      <c r="H45" s="585">
        <f t="shared" si="12"/>
        <v>1</v>
      </c>
      <c r="I45" s="585">
        <f t="shared" si="12"/>
        <v>1</v>
      </c>
      <c r="J45" s="585">
        <f t="shared" si="12"/>
        <v>1</v>
      </c>
      <c r="K45" s="585">
        <f t="shared" si="12"/>
        <v>1</v>
      </c>
      <c r="L45" s="585">
        <f t="shared" si="12"/>
        <v>1</v>
      </c>
      <c r="M45" s="585">
        <f t="shared" si="12"/>
        <v>1</v>
      </c>
      <c r="N45" s="585">
        <f t="shared" si="12"/>
        <v>4</v>
      </c>
      <c r="O45" s="585">
        <f t="shared" si="12"/>
        <v>4</v>
      </c>
      <c r="P45" s="585">
        <f t="shared" si="12"/>
        <v>4</v>
      </c>
      <c r="Q45" s="585">
        <f t="shared" si="12"/>
        <v>4</v>
      </c>
      <c r="R45" s="585">
        <f t="shared" si="12"/>
        <v>4</v>
      </c>
      <c r="S45" s="585">
        <f t="shared" si="12"/>
        <v>4</v>
      </c>
      <c r="T45" s="585">
        <f t="shared" si="12"/>
        <v>4</v>
      </c>
      <c r="U45" s="585">
        <f t="shared" si="12"/>
        <v>4</v>
      </c>
      <c r="W45" s="588"/>
    </row>
    <row r="46" spans="1:23" ht="17.25" customHeight="1">
      <c r="A46" s="562" t="s">
        <v>320</v>
      </c>
      <c r="B46" s="562"/>
      <c r="C46" s="562"/>
      <c r="D46" s="562"/>
      <c r="F46" s="585">
        <f>'Key Assumptions'!F32</f>
        <v>15</v>
      </c>
      <c r="G46" s="585">
        <f>'Key Assumptions'!G32</f>
        <v>15</v>
      </c>
      <c r="H46" s="585">
        <f>'Key Assumptions'!H32</f>
        <v>15</v>
      </c>
      <c r="I46" s="585">
        <f>'Key Assumptions'!I32</f>
        <v>15</v>
      </c>
      <c r="J46" s="585">
        <f>'Key Assumptions'!J32</f>
        <v>15</v>
      </c>
      <c r="K46" s="585">
        <f>'Key Assumptions'!K32</f>
        <v>15</v>
      </c>
      <c r="L46" s="585">
        <f>'Key Assumptions'!L32</f>
        <v>15</v>
      </c>
      <c r="M46" s="585">
        <f>'Key Assumptions'!M32</f>
        <v>15</v>
      </c>
      <c r="N46" s="585">
        <f>'Key Assumptions'!N32</f>
        <v>15</v>
      </c>
      <c r="O46" s="585">
        <f>'Key Assumptions'!O32</f>
        <v>25</v>
      </c>
      <c r="P46" s="585">
        <f>'Key Assumptions'!P32</f>
        <v>25</v>
      </c>
      <c r="Q46" s="585">
        <f>'Key Assumptions'!Q32</f>
        <v>25</v>
      </c>
      <c r="R46" s="585">
        <f>'Key Assumptions'!R32</f>
        <v>25</v>
      </c>
      <c r="S46" s="585">
        <f>'Key Assumptions'!S32</f>
        <v>25</v>
      </c>
      <c r="T46" s="585">
        <f>'Key Assumptions'!T32</f>
        <v>25</v>
      </c>
      <c r="U46" s="585">
        <f>'Key Assumptions'!U32</f>
        <v>25</v>
      </c>
      <c r="W46" s="588"/>
    </row>
    <row r="47" spans="1:23" ht="17.25" customHeight="1">
      <c r="A47" s="586" t="s">
        <v>321</v>
      </c>
      <c r="B47" s="586"/>
      <c r="C47" s="586"/>
      <c r="D47" s="586"/>
      <c r="E47" s="562"/>
      <c r="F47" s="573">
        <f>F42*F45*F46</f>
        <v>60</v>
      </c>
      <c r="G47" s="573">
        <f t="shared" ref="G47:U47" si="13">G42*G45*G46</f>
        <v>60</v>
      </c>
      <c r="H47" s="573">
        <f t="shared" si="13"/>
        <v>60</v>
      </c>
      <c r="I47" s="573">
        <f t="shared" si="13"/>
        <v>60</v>
      </c>
      <c r="J47" s="573">
        <f t="shared" si="13"/>
        <v>90</v>
      </c>
      <c r="K47" s="573">
        <f t="shared" si="13"/>
        <v>90</v>
      </c>
      <c r="L47" s="573">
        <f t="shared" si="13"/>
        <v>90</v>
      </c>
      <c r="M47" s="573">
        <f t="shared" si="13"/>
        <v>90</v>
      </c>
      <c r="N47" s="573">
        <f t="shared" si="13"/>
        <v>540</v>
      </c>
      <c r="O47" s="573">
        <f t="shared" si="13"/>
        <v>1100</v>
      </c>
      <c r="P47" s="573">
        <f t="shared" si="13"/>
        <v>1100</v>
      </c>
      <c r="Q47" s="573">
        <f t="shared" si="13"/>
        <v>1100</v>
      </c>
      <c r="R47" s="573">
        <f t="shared" si="13"/>
        <v>1100</v>
      </c>
      <c r="S47" s="573">
        <f t="shared" si="13"/>
        <v>1100</v>
      </c>
      <c r="T47" s="573">
        <f t="shared" si="13"/>
        <v>1100</v>
      </c>
      <c r="U47" s="573">
        <f t="shared" si="13"/>
        <v>1100</v>
      </c>
      <c r="V47" s="573">
        <f>F47+G47+H47+I47+J47+K47+L47+M47+N47+O47+P47+Q47+R47+S47+T47+U47</f>
        <v>8840</v>
      </c>
      <c r="W47" s="588"/>
    </row>
    <row r="48" spans="1:23" ht="17.25" customHeight="1">
      <c r="A48" s="562" t="s">
        <v>591</v>
      </c>
      <c r="B48" s="562"/>
      <c r="C48" s="562"/>
      <c r="D48" s="562"/>
      <c r="F48" s="580">
        <f>F47/F42</f>
        <v>15</v>
      </c>
      <c r="G48" s="580">
        <f t="shared" ref="G48:U48" si="14">G47/G42</f>
        <v>15</v>
      </c>
      <c r="H48" s="580">
        <f t="shared" si="14"/>
        <v>15</v>
      </c>
      <c r="I48" s="580">
        <f t="shared" si="14"/>
        <v>15</v>
      </c>
      <c r="J48" s="580">
        <f t="shared" si="14"/>
        <v>15</v>
      </c>
      <c r="K48" s="580">
        <f t="shared" si="14"/>
        <v>15</v>
      </c>
      <c r="L48" s="580">
        <f t="shared" si="14"/>
        <v>15</v>
      </c>
      <c r="M48" s="580">
        <f t="shared" si="14"/>
        <v>15</v>
      </c>
      <c r="N48" s="580">
        <f t="shared" si="14"/>
        <v>60</v>
      </c>
      <c r="O48" s="580">
        <f t="shared" si="14"/>
        <v>100</v>
      </c>
      <c r="P48" s="580">
        <f t="shared" si="14"/>
        <v>100</v>
      </c>
      <c r="Q48" s="580">
        <f t="shared" si="14"/>
        <v>100</v>
      </c>
      <c r="R48" s="580">
        <f t="shared" si="14"/>
        <v>100</v>
      </c>
      <c r="S48" s="580">
        <f t="shared" si="14"/>
        <v>100</v>
      </c>
      <c r="T48" s="580">
        <f t="shared" si="14"/>
        <v>100</v>
      </c>
      <c r="U48" s="580">
        <f t="shared" si="14"/>
        <v>100</v>
      </c>
      <c r="W48" s="588"/>
    </row>
    <row r="49" spans="1:23" ht="17.25" customHeight="1">
      <c r="A49" s="595" t="str">
        <f>'Key Assumptions'!B36</f>
        <v>IT/ITES : Hardware &amp; networking (40 Days, 180 hrs)</v>
      </c>
      <c r="B49" s="595"/>
      <c r="C49" s="595"/>
      <c r="D49" s="595"/>
      <c r="E49" s="577"/>
      <c r="J49" s="580"/>
      <c r="K49" s="580"/>
      <c r="L49" s="580"/>
      <c r="M49" s="580"/>
      <c r="N49" s="580"/>
      <c r="O49" s="580"/>
      <c r="P49" s="580"/>
      <c r="Q49" s="580"/>
      <c r="R49" s="580"/>
      <c r="S49" s="580"/>
      <c r="T49" s="580"/>
      <c r="U49" s="580"/>
      <c r="W49" s="588"/>
    </row>
    <row r="50" spans="1:23" ht="17.25" customHeight="1">
      <c r="A50" s="562" t="s">
        <v>455</v>
      </c>
      <c r="B50" s="562"/>
      <c r="C50" s="562"/>
      <c r="D50" s="562"/>
      <c r="E50" s="577"/>
      <c r="F50" s="585">
        <f>'Key Assumptions'!F123</f>
        <v>3</v>
      </c>
      <c r="G50" s="585">
        <f>'Key Assumptions'!G123</f>
        <v>3</v>
      </c>
      <c r="H50" s="585">
        <f>'Key Assumptions'!H123</f>
        <v>3</v>
      </c>
      <c r="I50" s="585">
        <f>'Key Assumptions'!I123</f>
        <v>3</v>
      </c>
      <c r="J50" s="585">
        <f>'Key Assumptions'!J123</f>
        <v>4</v>
      </c>
      <c r="K50" s="585">
        <f>'Key Assumptions'!K123</f>
        <v>4</v>
      </c>
      <c r="L50" s="585">
        <f>'Key Assumptions'!L123</f>
        <v>4</v>
      </c>
      <c r="M50" s="585">
        <f>'Key Assumptions'!M123</f>
        <v>4</v>
      </c>
      <c r="N50" s="585">
        <f>'Key Assumptions'!N123</f>
        <v>6</v>
      </c>
      <c r="O50" s="585">
        <f>'Key Assumptions'!O123</f>
        <v>8</v>
      </c>
      <c r="P50" s="585">
        <f>'Key Assumptions'!P123</f>
        <v>8</v>
      </c>
      <c r="Q50" s="585">
        <f>'Key Assumptions'!Q123</f>
        <v>8</v>
      </c>
      <c r="R50" s="585">
        <f>'Key Assumptions'!R123</f>
        <v>8</v>
      </c>
      <c r="S50" s="585">
        <f>'Key Assumptions'!S123</f>
        <v>8</v>
      </c>
      <c r="T50" s="585">
        <f>'Key Assumptions'!T123</f>
        <v>8</v>
      </c>
      <c r="U50" s="585">
        <f>'Key Assumptions'!U123</f>
        <v>8</v>
      </c>
      <c r="W50" s="588"/>
    </row>
    <row r="51" spans="1:23" ht="17.25" customHeight="1">
      <c r="A51" s="562" t="s">
        <v>421</v>
      </c>
      <c r="B51" s="562"/>
      <c r="C51" s="562"/>
      <c r="D51" s="562"/>
      <c r="F51" s="585">
        <f>'Key Assumptions'!F38</f>
        <v>1.5</v>
      </c>
      <c r="G51" s="585">
        <f>'Key Assumptions'!G38</f>
        <v>1.5</v>
      </c>
      <c r="H51" s="585">
        <f>'Key Assumptions'!H38</f>
        <v>1.5</v>
      </c>
      <c r="I51" s="585">
        <f>'Key Assumptions'!I38</f>
        <v>1.5</v>
      </c>
      <c r="J51" s="585">
        <f>'Key Assumptions'!J38</f>
        <v>1.5</v>
      </c>
      <c r="K51" s="585">
        <f>'Key Assumptions'!K38</f>
        <v>1.5</v>
      </c>
      <c r="L51" s="585">
        <f>'Key Assumptions'!L38</f>
        <v>1.5</v>
      </c>
      <c r="M51" s="585">
        <f>'Key Assumptions'!M38</f>
        <v>1.5</v>
      </c>
      <c r="N51" s="585">
        <f>'Key Assumptions'!N38</f>
        <v>6</v>
      </c>
      <c r="O51" s="585">
        <f>'Key Assumptions'!O38</f>
        <v>6</v>
      </c>
      <c r="P51" s="585">
        <f>'Key Assumptions'!P38</f>
        <v>6</v>
      </c>
      <c r="Q51" s="585">
        <f>'Key Assumptions'!Q38</f>
        <v>6</v>
      </c>
      <c r="R51" s="585">
        <f>'Key Assumptions'!R38</f>
        <v>6</v>
      </c>
      <c r="S51" s="585">
        <f>'Key Assumptions'!S38</f>
        <v>6</v>
      </c>
      <c r="T51" s="585">
        <f>'Key Assumptions'!T38</f>
        <v>6</v>
      </c>
      <c r="U51" s="585">
        <f>'Key Assumptions'!U38</f>
        <v>6</v>
      </c>
      <c r="W51" s="588"/>
    </row>
    <row r="52" spans="1:23" ht="17.25" customHeight="1">
      <c r="A52" s="562" t="s">
        <v>411</v>
      </c>
      <c r="B52" s="562"/>
      <c r="C52" s="562"/>
      <c r="D52" s="562"/>
      <c r="F52" s="585">
        <f>'Key Assumptions'!F39</f>
        <v>1</v>
      </c>
      <c r="G52" s="585">
        <f>'Key Assumptions'!G39</f>
        <v>1</v>
      </c>
      <c r="H52" s="585">
        <f>'Key Assumptions'!H39</f>
        <v>1</v>
      </c>
      <c r="I52" s="585">
        <f>'Key Assumptions'!I39</f>
        <v>1</v>
      </c>
      <c r="J52" s="585">
        <f>'Key Assumptions'!J39</f>
        <v>1</v>
      </c>
      <c r="K52" s="585">
        <f>'Key Assumptions'!K39</f>
        <v>1</v>
      </c>
      <c r="L52" s="585">
        <f>'Key Assumptions'!L39</f>
        <v>1</v>
      </c>
      <c r="M52" s="585">
        <f>'Key Assumptions'!M39</f>
        <v>1</v>
      </c>
      <c r="N52" s="585">
        <f>'Key Assumptions'!N39</f>
        <v>1</v>
      </c>
      <c r="O52" s="585">
        <f>'Key Assumptions'!O39</f>
        <v>1</v>
      </c>
      <c r="P52" s="585">
        <f>'Key Assumptions'!P39</f>
        <v>1</v>
      </c>
      <c r="Q52" s="585">
        <f>'Key Assumptions'!Q39</f>
        <v>1</v>
      </c>
      <c r="R52" s="585">
        <f>'Key Assumptions'!R39</f>
        <v>1</v>
      </c>
      <c r="S52" s="585">
        <f>'Key Assumptions'!S39</f>
        <v>1</v>
      </c>
      <c r="T52" s="585">
        <f>'Key Assumptions'!T39</f>
        <v>1</v>
      </c>
      <c r="U52" s="585">
        <f>'Key Assumptions'!U39</f>
        <v>1</v>
      </c>
      <c r="W52" s="588"/>
    </row>
    <row r="53" spans="1:23" ht="17.25" customHeight="1">
      <c r="A53" s="562" t="s">
        <v>422</v>
      </c>
      <c r="B53" s="562"/>
      <c r="C53" s="562"/>
      <c r="D53" s="562"/>
      <c r="F53" s="585">
        <f>F51*F52</f>
        <v>1.5</v>
      </c>
      <c r="G53" s="585">
        <f t="shared" ref="G53:U53" si="15">G51*G52</f>
        <v>1.5</v>
      </c>
      <c r="H53" s="585">
        <f t="shared" si="15"/>
        <v>1.5</v>
      </c>
      <c r="I53" s="585">
        <f t="shared" si="15"/>
        <v>1.5</v>
      </c>
      <c r="J53" s="585">
        <f t="shared" si="15"/>
        <v>1.5</v>
      </c>
      <c r="K53" s="585">
        <f t="shared" si="15"/>
        <v>1.5</v>
      </c>
      <c r="L53" s="585">
        <f t="shared" si="15"/>
        <v>1.5</v>
      </c>
      <c r="M53" s="585">
        <f t="shared" si="15"/>
        <v>1.5</v>
      </c>
      <c r="N53" s="585">
        <f t="shared" si="15"/>
        <v>6</v>
      </c>
      <c r="O53" s="585">
        <f t="shared" si="15"/>
        <v>6</v>
      </c>
      <c r="P53" s="585">
        <f t="shared" si="15"/>
        <v>6</v>
      </c>
      <c r="Q53" s="585">
        <f t="shared" si="15"/>
        <v>6</v>
      </c>
      <c r="R53" s="585">
        <f t="shared" si="15"/>
        <v>6</v>
      </c>
      <c r="S53" s="585">
        <f t="shared" si="15"/>
        <v>6</v>
      </c>
      <c r="T53" s="585">
        <f t="shared" si="15"/>
        <v>6</v>
      </c>
      <c r="U53" s="585">
        <f t="shared" si="15"/>
        <v>6</v>
      </c>
      <c r="W53" s="588"/>
    </row>
    <row r="54" spans="1:23" ht="17.25" customHeight="1">
      <c r="A54" s="562" t="s">
        <v>320</v>
      </c>
      <c r="B54" s="562"/>
      <c r="C54" s="562"/>
      <c r="D54" s="562"/>
      <c r="F54" s="585">
        <f>'Key Assumptions'!F37</f>
        <v>15</v>
      </c>
      <c r="G54" s="585">
        <f>'Key Assumptions'!G37</f>
        <v>15</v>
      </c>
      <c r="H54" s="585">
        <f>'Key Assumptions'!H37</f>
        <v>15</v>
      </c>
      <c r="I54" s="585">
        <f>'Key Assumptions'!I37</f>
        <v>15</v>
      </c>
      <c r="J54" s="585">
        <f>'Key Assumptions'!J37</f>
        <v>15</v>
      </c>
      <c r="K54" s="585">
        <f>'Key Assumptions'!K37</f>
        <v>15</v>
      </c>
      <c r="L54" s="585">
        <f>'Key Assumptions'!L37</f>
        <v>15</v>
      </c>
      <c r="M54" s="585">
        <f>'Key Assumptions'!M37</f>
        <v>15</v>
      </c>
      <c r="N54" s="585">
        <f>'Key Assumptions'!N37</f>
        <v>15</v>
      </c>
      <c r="O54" s="585">
        <f>'Key Assumptions'!O37</f>
        <v>25</v>
      </c>
      <c r="P54" s="585">
        <f>'Key Assumptions'!P37</f>
        <v>25</v>
      </c>
      <c r="Q54" s="585">
        <f>'Key Assumptions'!Q37</f>
        <v>25</v>
      </c>
      <c r="R54" s="585">
        <f>'Key Assumptions'!R37</f>
        <v>25</v>
      </c>
      <c r="S54" s="585">
        <f>'Key Assumptions'!S37</f>
        <v>25</v>
      </c>
      <c r="T54" s="585">
        <f>'Key Assumptions'!T37</f>
        <v>25</v>
      </c>
      <c r="U54" s="585">
        <f>'Key Assumptions'!U37</f>
        <v>25</v>
      </c>
      <c r="W54" s="588"/>
    </row>
    <row r="55" spans="1:23" ht="17.25" customHeight="1">
      <c r="A55" s="586" t="s">
        <v>321</v>
      </c>
      <c r="B55" s="586"/>
      <c r="C55" s="586"/>
      <c r="D55" s="586"/>
      <c r="E55" s="562"/>
      <c r="F55" s="573">
        <f>F50*F53*F54</f>
        <v>67.5</v>
      </c>
      <c r="G55" s="573">
        <f t="shared" ref="G55:U55" si="16">G50*G53*G54</f>
        <v>67.5</v>
      </c>
      <c r="H55" s="573">
        <f t="shared" si="16"/>
        <v>67.5</v>
      </c>
      <c r="I55" s="573">
        <f t="shared" si="16"/>
        <v>67.5</v>
      </c>
      <c r="J55" s="573">
        <f t="shared" si="16"/>
        <v>90</v>
      </c>
      <c r="K55" s="573">
        <f t="shared" si="16"/>
        <v>90</v>
      </c>
      <c r="L55" s="573">
        <f t="shared" si="16"/>
        <v>90</v>
      </c>
      <c r="M55" s="573">
        <f t="shared" si="16"/>
        <v>90</v>
      </c>
      <c r="N55" s="573">
        <f t="shared" si="16"/>
        <v>540</v>
      </c>
      <c r="O55" s="573">
        <f t="shared" si="16"/>
        <v>1200</v>
      </c>
      <c r="P55" s="573">
        <f t="shared" si="16"/>
        <v>1200</v>
      </c>
      <c r="Q55" s="573">
        <f t="shared" si="16"/>
        <v>1200</v>
      </c>
      <c r="R55" s="573">
        <f t="shared" si="16"/>
        <v>1200</v>
      </c>
      <c r="S55" s="573">
        <f t="shared" si="16"/>
        <v>1200</v>
      </c>
      <c r="T55" s="573">
        <f t="shared" si="16"/>
        <v>1200</v>
      </c>
      <c r="U55" s="573">
        <f t="shared" si="16"/>
        <v>1200</v>
      </c>
      <c r="V55" s="573">
        <f>F55+G55+H55+I55+J55+K55+L55+M55+N55+O55+P55+Q55+R55+S55+T55+U55</f>
        <v>9570</v>
      </c>
      <c r="W55" s="588"/>
    </row>
    <row r="56" spans="1:23" ht="17.25" customHeight="1">
      <c r="A56" s="562" t="s">
        <v>591</v>
      </c>
      <c r="B56" s="562"/>
      <c r="C56" s="562"/>
      <c r="D56" s="562"/>
      <c r="F56" s="580">
        <f>F55/F50</f>
        <v>22.5</v>
      </c>
      <c r="G56" s="580">
        <f t="shared" ref="G56:U56" si="17">G55/G50</f>
        <v>22.5</v>
      </c>
      <c r="H56" s="580">
        <f t="shared" si="17"/>
        <v>22.5</v>
      </c>
      <c r="I56" s="580">
        <f t="shared" si="17"/>
        <v>22.5</v>
      </c>
      <c r="J56" s="580">
        <f t="shared" si="17"/>
        <v>22.5</v>
      </c>
      <c r="K56" s="580">
        <f t="shared" si="17"/>
        <v>22.5</v>
      </c>
      <c r="L56" s="580">
        <f t="shared" si="17"/>
        <v>22.5</v>
      </c>
      <c r="M56" s="580">
        <f t="shared" si="17"/>
        <v>22.5</v>
      </c>
      <c r="N56" s="580">
        <f t="shared" si="17"/>
        <v>90</v>
      </c>
      <c r="O56" s="580">
        <f t="shared" si="17"/>
        <v>150</v>
      </c>
      <c r="P56" s="580">
        <f t="shared" si="17"/>
        <v>150</v>
      </c>
      <c r="Q56" s="580">
        <f t="shared" si="17"/>
        <v>150</v>
      </c>
      <c r="R56" s="580">
        <f t="shared" si="17"/>
        <v>150</v>
      </c>
      <c r="S56" s="580">
        <f t="shared" si="17"/>
        <v>150</v>
      </c>
      <c r="T56" s="580">
        <f t="shared" si="17"/>
        <v>150</v>
      </c>
      <c r="U56" s="580">
        <f t="shared" si="17"/>
        <v>150</v>
      </c>
      <c r="W56" s="588"/>
    </row>
    <row r="57" spans="1:23" ht="17.25" customHeight="1">
      <c r="A57" s="595" t="str">
        <f>'Key Assumptions'!B41</f>
        <v>Health Care : General Duty Attendant (40 Days, 180 hrs)</v>
      </c>
      <c r="B57" s="595"/>
      <c r="C57" s="595"/>
      <c r="D57" s="595"/>
      <c r="E57" s="577"/>
      <c r="J57" s="580"/>
      <c r="K57" s="580"/>
      <c r="L57" s="580"/>
      <c r="M57" s="580"/>
      <c r="N57" s="580"/>
      <c r="O57" s="580"/>
      <c r="P57" s="580"/>
      <c r="Q57" s="580"/>
      <c r="R57" s="580"/>
      <c r="S57" s="580"/>
      <c r="T57" s="580"/>
      <c r="U57" s="580"/>
      <c r="W57" s="588"/>
    </row>
    <row r="58" spans="1:23" ht="17.25" customHeight="1">
      <c r="A58" s="562" t="s">
        <v>455</v>
      </c>
      <c r="B58" s="562"/>
      <c r="C58" s="562"/>
      <c r="D58" s="562"/>
      <c r="E58" s="577"/>
      <c r="F58" s="585">
        <f>'Key Assumptions'!F126</f>
        <v>2</v>
      </c>
      <c r="G58" s="585">
        <f>'Key Assumptions'!G126</f>
        <v>2</v>
      </c>
      <c r="H58" s="585">
        <f>'Key Assumptions'!H126</f>
        <v>2</v>
      </c>
      <c r="I58" s="585">
        <f>'Key Assumptions'!I126</f>
        <v>2</v>
      </c>
      <c r="J58" s="585">
        <f>'Key Assumptions'!J126</f>
        <v>3</v>
      </c>
      <c r="K58" s="585">
        <f>'Key Assumptions'!K126</f>
        <v>3</v>
      </c>
      <c r="L58" s="585">
        <f>'Key Assumptions'!L126</f>
        <v>3</v>
      </c>
      <c r="M58" s="585">
        <f>'Key Assumptions'!M126</f>
        <v>3</v>
      </c>
      <c r="N58" s="585">
        <f>'Key Assumptions'!N126</f>
        <v>5</v>
      </c>
      <c r="O58" s="585">
        <f>'Key Assumptions'!O126</f>
        <v>7</v>
      </c>
      <c r="P58" s="585">
        <f>'Key Assumptions'!P126</f>
        <v>7</v>
      </c>
      <c r="Q58" s="585">
        <f>'Key Assumptions'!Q126</f>
        <v>7</v>
      </c>
      <c r="R58" s="585">
        <f>'Key Assumptions'!R126</f>
        <v>7</v>
      </c>
      <c r="S58" s="585">
        <f>'Key Assumptions'!S126</f>
        <v>7</v>
      </c>
      <c r="T58" s="585">
        <f>'Key Assumptions'!T126</f>
        <v>7</v>
      </c>
      <c r="U58" s="585">
        <f>'Key Assumptions'!U126</f>
        <v>7</v>
      </c>
      <c r="W58" s="588"/>
    </row>
    <row r="59" spans="1:23" ht="17.25" customHeight="1">
      <c r="A59" s="562" t="s">
        <v>421</v>
      </c>
      <c r="B59" s="562"/>
      <c r="C59" s="562"/>
      <c r="D59" s="562"/>
      <c r="F59" s="585">
        <f>'Key Assumptions'!F43</f>
        <v>1.5</v>
      </c>
      <c r="G59" s="585">
        <f>'Key Assumptions'!G43</f>
        <v>1.5</v>
      </c>
      <c r="H59" s="585">
        <f>'Key Assumptions'!H43</f>
        <v>1.5</v>
      </c>
      <c r="I59" s="585">
        <f>'Key Assumptions'!I43</f>
        <v>1.5</v>
      </c>
      <c r="J59" s="585">
        <f>'Key Assumptions'!J43</f>
        <v>1.5</v>
      </c>
      <c r="K59" s="585">
        <f>'Key Assumptions'!K43</f>
        <v>1.5</v>
      </c>
      <c r="L59" s="585">
        <f>'Key Assumptions'!L43</f>
        <v>1.5</v>
      </c>
      <c r="M59" s="585">
        <f>'Key Assumptions'!M43</f>
        <v>1.5</v>
      </c>
      <c r="N59" s="585">
        <f>'Key Assumptions'!N43</f>
        <v>6</v>
      </c>
      <c r="O59" s="585">
        <f>'Key Assumptions'!O43</f>
        <v>6</v>
      </c>
      <c r="P59" s="585">
        <f>'Key Assumptions'!P43</f>
        <v>6</v>
      </c>
      <c r="Q59" s="585">
        <f>'Key Assumptions'!Q43</f>
        <v>6</v>
      </c>
      <c r="R59" s="585">
        <f>'Key Assumptions'!R43</f>
        <v>6</v>
      </c>
      <c r="S59" s="585">
        <f>'Key Assumptions'!S43</f>
        <v>6</v>
      </c>
      <c r="T59" s="585">
        <f>'Key Assumptions'!T43</f>
        <v>6</v>
      </c>
      <c r="U59" s="585">
        <f>'Key Assumptions'!U43</f>
        <v>6</v>
      </c>
      <c r="W59" s="588"/>
    </row>
    <row r="60" spans="1:23" ht="17.25" customHeight="1">
      <c r="A60" s="562" t="s">
        <v>411</v>
      </c>
      <c r="B60" s="562"/>
      <c r="C60" s="562"/>
      <c r="D60" s="562"/>
      <c r="F60" s="585">
        <f>'Key Assumptions'!F44</f>
        <v>1</v>
      </c>
      <c r="G60" s="585">
        <f>'Key Assumptions'!G44</f>
        <v>1</v>
      </c>
      <c r="H60" s="585">
        <f>'Key Assumptions'!H44</f>
        <v>1</v>
      </c>
      <c r="I60" s="585">
        <f>'Key Assumptions'!I44</f>
        <v>1</v>
      </c>
      <c r="J60" s="585">
        <f>'Key Assumptions'!J44</f>
        <v>1</v>
      </c>
      <c r="K60" s="585">
        <f>'Key Assumptions'!K44</f>
        <v>1</v>
      </c>
      <c r="L60" s="585">
        <f>'Key Assumptions'!L44</f>
        <v>1</v>
      </c>
      <c r="M60" s="585">
        <f>'Key Assumptions'!M44</f>
        <v>1</v>
      </c>
      <c r="N60" s="585">
        <f>'Key Assumptions'!N44</f>
        <v>1</v>
      </c>
      <c r="O60" s="585">
        <f>'Key Assumptions'!O44</f>
        <v>1</v>
      </c>
      <c r="P60" s="585">
        <f>'Key Assumptions'!P44</f>
        <v>1</v>
      </c>
      <c r="Q60" s="585">
        <f>'Key Assumptions'!Q44</f>
        <v>1</v>
      </c>
      <c r="R60" s="585">
        <f>'Key Assumptions'!R44</f>
        <v>1</v>
      </c>
      <c r="S60" s="585">
        <f>'Key Assumptions'!S44</f>
        <v>1</v>
      </c>
      <c r="T60" s="585">
        <f>'Key Assumptions'!T44</f>
        <v>1</v>
      </c>
      <c r="U60" s="585">
        <f>'Key Assumptions'!U44</f>
        <v>1</v>
      </c>
      <c r="W60" s="588"/>
    </row>
    <row r="61" spans="1:23" ht="17.25" customHeight="1">
      <c r="A61" s="562" t="s">
        <v>422</v>
      </c>
      <c r="B61" s="562"/>
      <c r="C61" s="562"/>
      <c r="D61" s="562"/>
      <c r="F61" s="585">
        <f>F59*F60</f>
        <v>1.5</v>
      </c>
      <c r="G61" s="585">
        <f t="shared" ref="G61:U61" si="18">G59*G60</f>
        <v>1.5</v>
      </c>
      <c r="H61" s="585">
        <f t="shared" si="18"/>
        <v>1.5</v>
      </c>
      <c r="I61" s="585">
        <f t="shared" si="18"/>
        <v>1.5</v>
      </c>
      <c r="J61" s="585">
        <f t="shared" si="18"/>
        <v>1.5</v>
      </c>
      <c r="K61" s="585">
        <f t="shared" si="18"/>
        <v>1.5</v>
      </c>
      <c r="L61" s="585">
        <f t="shared" si="18"/>
        <v>1.5</v>
      </c>
      <c r="M61" s="585">
        <f t="shared" si="18"/>
        <v>1.5</v>
      </c>
      <c r="N61" s="585">
        <f t="shared" si="18"/>
        <v>6</v>
      </c>
      <c r="O61" s="585">
        <f t="shared" si="18"/>
        <v>6</v>
      </c>
      <c r="P61" s="585">
        <f t="shared" si="18"/>
        <v>6</v>
      </c>
      <c r="Q61" s="585">
        <f t="shared" si="18"/>
        <v>6</v>
      </c>
      <c r="R61" s="585">
        <f t="shared" si="18"/>
        <v>6</v>
      </c>
      <c r="S61" s="585">
        <f t="shared" si="18"/>
        <v>6</v>
      </c>
      <c r="T61" s="585">
        <f t="shared" si="18"/>
        <v>6</v>
      </c>
      <c r="U61" s="585">
        <f t="shared" si="18"/>
        <v>6</v>
      </c>
      <c r="W61" s="588"/>
    </row>
    <row r="62" spans="1:23" ht="17.25" customHeight="1">
      <c r="A62" s="562" t="s">
        <v>320</v>
      </c>
      <c r="B62" s="562"/>
      <c r="C62" s="562"/>
      <c r="D62" s="562"/>
      <c r="F62" s="585">
        <f>'Key Assumptions'!F42</f>
        <v>15</v>
      </c>
      <c r="G62" s="585">
        <f>'Key Assumptions'!G42</f>
        <v>15</v>
      </c>
      <c r="H62" s="585">
        <f>'Key Assumptions'!H42</f>
        <v>15</v>
      </c>
      <c r="I62" s="585">
        <f>'Key Assumptions'!I42</f>
        <v>15</v>
      </c>
      <c r="J62" s="585">
        <f>'Key Assumptions'!J42</f>
        <v>15</v>
      </c>
      <c r="K62" s="585">
        <f>'Key Assumptions'!K42</f>
        <v>15</v>
      </c>
      <c r="L62" s="585">
        <f>'Key Assumptions'!L42</f>
        <v>15</v>
      </c>
      <c r="M62" s="585">
        <f>'Key Assumptions'!M42</f>
        <v>15</v>
      </c>
      <c r="N62" s="585">
        <f>'Key Assumptions'!N42</f>
        <v>15</v>
      </c>
      <c r="O62" s="585">
        <f>'Key Assumptions'!O42</f>
        <v>25</v>
      </c>
      <c r="P62" s="585">
        <f>'Key Assumptions'!P42</f>
        <v>25</v>
      </c>
      <c r="Q62" s="585">
        <f>'Key Assumptions'!Q42</f>
        <v>25</v>
      </c>
      <c r="R62" s="585">
        <f>'Key Assumptions'!R42</f>
        <v>25</v>
      </c>
      <c r="S62" s="585">
        <f>'Key Assumptions'!S42</f>
        <v>25</v>
      </c>
      <c r="T62" s="585">
        <f>'Key Assumptions'!T42</f>
        <v>25</v>
      </c>
      <c r="U62" s="585">
        <f>'Key Assumptions'!U42</f>
        <v>25</v>
      </c>
      <c r="W62" s="588"/>
    </row>
    <row r="63" spans="1:23" ht="17.25" customHeight="1">
      <c r="A63" s="586" t="s">
        <v>321</v>
      </c>
      <c r="B63" s="586"/>
      <c r="C63" s="586"/>
      <c r="D63" s="586"/>
      <c r="E63" s="562"/>
      <c r="F63" s="573">
        <f>F58*F61*F62</f>
        <v>45</v>
      </c>
      <c r="G63" s="573">
        <f t="shared" ref="G63:U63" si="19">G58*G61*G62</f>
        <v>45</v>
      </c>
      <c r="H63" s="573">
        <f t="shared" si="19"/>
        <v>45</v>
      </c>
      <c r="I63" s="573">
        <f t="shared" si="19"/>
        <v>45</v>
      </c>
      <c r="J63" s="573">
        <f t="shared" si="19"/>
        <v>67.5</v>
      </c>
      <c r="K63" s="573">
        <f t="shared" si="19"/>
        <v>67.5</v>
      </c>
      <c r="L63" s="573">
        <f t="shared" si="19"/>
        <v>67.5</v>
      </c>
      <c r="M63" s="573">
        <f t="shared" si="19"/>
        <v>67.5</v>
      </c>
      <c r="N63" s="573">
        <f t="shared" si="19"/>
        <v>450</v>
      </c>
      <c r="O63" s="573">
        <f t="shared" si="19"/>
        <v>1050</v>
      </c>
      <c r="P63" s="573">
        <f t="shared" si="19"/>
        <v>1050</v>
      </c>
      <c r="Q63" s="573">
        <f t="shared" si="19"/>
        <v>1050</v>
      </c>
      <c r="R63" s="573">
        <f t="shared" si="19"/>
        <v>1050</v>
      </c>
      <c r="S63" s="573">
        <f t="shared" si="19"/>
        <v>1050</v>
      </c>
      <c r="T63" s="573">
        <f t="shared" si="19"/>
        <v>1050</v>
      </c>
      <c r="U63" s="573">
        <f t="shared" si="19"/>
        <v>1050</v>
      </c>
      <c r="V63" s="573">
        <f>F63+G63+H63+I63+J63+K63+L63+M63+N63+O63+P63+Q63+R63+S63+T63+U63</f>
        <v>8250</v>
      </c>
      <c r="W63" s="588"/>
    </row>
    <row r="64" spans="1:23" ht="17.25" customHeight="1">
      <c r="A64" s="562" t="s">
        <v>591</v>
      </c>
      <c r="B64" s="562"/>
      <c r="C64" s="562"/>
      <c r="D64" s="562"/>
      <c r="F64" s="580">
        <f>F63/F58</f>
        <v>22.5</v>
      </c>
      <c r="G64" s="580">
        <f t="shared" ref="G64:U64" si="20">G63/G58</f>
        <v>22.5</v>
      </c>
      <c r="H64" s="580">
        <f t="shared" si="20"/>
        <v>22.5</v>
      </c>
      <c r="I64" s="580">
        <f t="shared" si="20"/>
        <v>22.5</v>
      </c>
      <c r="J64" s="580">
        <f t="shared" si="20"/>
        <v>22.5</v>
      </c>
      <c r="K64" s="580">
        <f t="shared" si="20"/>
        <v>22.5</v>
      </c>
      <c r="L64" s="580">
        <f t="shared" si="20"/>
        <v>22.5</v>
      </c>
      <c r="M64" s="580">
        <f t="shared" si="20"/>
        <v>22.5</v>
      </c>
      <c r="N64" s="580">
        <f t="shared" si="20"/>
        <v>90</v>
      </c>
      <c r="O64" s="580">
        <f t="shared" si="20"/>
        <v>150</v>
      </c>
      <c r="P64" s="580">
        <f t="shared" si="20"/>
        <v>150</v>
      </c>
      <c r="Q64" s="580">
        <f t="shared" si="20"/>
        <v>150</v>
      </c>
      <c r="R64" s="580">
        <f t="shared" si="20"/>
        <v>150</v>
      </c>
      <c r="S64" s="580">
        <f t="shared" si="20"/>
        <v>150</v>
      </c>
      <c r="T64" s="580">
        <f t="shared" si="20"/>
        <v>150</v>
      </c>
      <c r="U64" s="580">
        <f t="shared" si="20"/>
        <v>150</v>
      </c>
      <c r="W64" s="588"/>
    </row>
    <row r="65" spans="1:23" ht="17.25" customHeight="1">
      <c r="A65" s="595" t="str">
        <f>'Key Assumptions'!B46</f>
        <v>Health Care : Asha (Health workers) (40 Days, 180 hrs)</v>
      </c>
      <c r="B65" s="595"/>
      <c r="C65" s="595"/>
      <c r="D65" s="595"/>
      <c r="E65" s="577"/>
      <c r="J65" s="580"/>
      <c r="K65" s="580"/>
      <c r="L65" s="580"/>
      <c r="M65" s="580"/>
      <c r="N65" s="580"/>
      <c r="O65" s="580"/>
      <c r="P65" s="580"/>
      <c r="Q65" s="580"/>
      <c r="R65" s="580"/>
      <c r="S65" s="580"/>
      <c r="T65" s="580"/>
      <c r="U65" s="580"/>
      <c r="W65" s="588"/>
    </row>
    <row r="66" spans="1:23" ht="17.25" customHeight="1">
      <c r="A66" s="562" t="s">
        <v>455</v>
      </c>
      <c r="B66" s="562"/>
      <c r="C66" s="562"/>
      <c r="D66" s="562"/>
      <c r="E66" s="577"/>
      <c r="F66" s="585">
        <f>'Key Assumptions'!F129</f>
        <v>2</v>
      </c>
      <c r="G66" s="585">
        <f>'Key Assumptions'!G129</f>
        <v>2</v>
      </c>
      <c r="H66" s="585">
        <f>'Key Assumptions'!H129</f>
        <v>2</v>
      </c>
      <c r="I66" s="585">
        <f>'Key Assumptions'!I129</f>
        <v>2</v>
      </c>
      <c r="J66" s="585">
        <f>'Key Assumptions'!J129</f>
        <v>3</v>
      </c>
      <c r="K66" s="585">
        <f>'Key Assumptions'!K129</f>
        <v>3</v>
      </c>
      <c r="L66" s="585">
        <f>'Key Assumptions'!L129</f>
        <v>3</v>
      </c>
      <c r="M66" s="585">
        <f>'Key Assumptions'!M129</f>
        <v>3</v>
      </c>
      <c r="N66" s="585">
        <f>'Key Assumptions'!N129</f>
        <v>5</v>
      </c>
      <c r="O66" s="585">
        <f>'Key Assumptions'!O129</f>
        <v>7</v>
      </c>
      <c r="P66" s="585">
        <f>'Key Assumptions'!P129</f>
        <v>7</v>
      </c>
      <c r="Q66" s="585">
        <f>'Key Assumptions'!Q129</f>
        <v>7</v>
      </c>
      <c r="R66" s="585">
        <f>'Key Assumptions'!R129</f>
        <v>7</v>
      </c>
      <c r="S66" s="585">
        <f>'Key Assumptions'!S129</f>
        <v>7</v>
      </c>
      <c r="T66" s="585">
        <f>'Key Assumptions'!T129</f>
        <v>7</v>
      </c>
      <c r="U66" s="585">
        <f>'Key Assumptions'!U129</f>
        <v>7</v>
      </c>
      <c r="W66" s="588"/>
    </row>
    <row r="67" spans="1:23" ht="17.25" customHeight="1">
      <c r="A67" s="562" t="s">
        <v>421</v>
      </c>
      <c r="B67" s="562"/>
      <c r="C67" s="562"/>
      <c r="D67" s="562"/>
      <c r="F67" s="585">
        <f>'Key Assumptions'!F48</f>
        <v>1.5</v>
      </c>
      <c r="G67" s="585">
        <f>'Key Assumptions'!G48</f>
        <v>1.5</v>
      </c>
      <c r="H67" s="585">
        <f>'Key Assumptions'!H48</f>
        <v>1.5</v>
      </c>
      <c r="I67" s="585">
        <f>'Key Assumptions'!I48</f>
        <v>1.5</v>
      </c>
      <c r="J67" s="585">
        <f>'Key Assumptions'!J48</f>
        <v>1.5</v>
      </c>
      <c r="K67" s="585">
        <f>'Key Assumptions'!K48</f>
        <v>1.5</v>
      </c>
      <c r="L67" s="585">
        <f>'Key Assumptions'!L48</f>
        <v>1.5</v>
      </c>
      <c r="M67" s="585">
        <f>'Key Assumptions'!M48</f>
        <v>1.5</v>
      </c>
      <c r="N67" s="585">
        <f>'Key Assumptions'!N48</f>
        <v>6</v>
      </c>
      <c r="O67" s="585">
        <f>'Key Assumptions'!O48</f>
        <v>6</v>
      </c>
      <c r="P67" s="585">
        <f>'Key Assumptions'!P48</f>
        <v>6</v>
      </c>
      <c r="Q67" s="585">
        <f>'Key Assumptions'!Q48</f>
        <v>6</v>
      </c>
      <c r="R67" s="585">
        <f>'Key Assumptions'!R48</f>
        <v>6</v>
      </c>
      <c r="S67" s="585">
        <f>'Key Assumptions'!S48</f>
        <v>6</v>
      </c>
      <c r="T67" s="585">
        <f>'Key Assumptions'!T48</f>
        <v>6</v>
      </c>
      <c r="U67" s="585">
        <f>'Key Assumptions'!U48</f>
        <v>6</v>
      </c>
      <c r="W67" s="588"/>
    </row>
    <row r="68" spans="1:23" ht="17.25" customHeight="1">
      <c r="A68" s="562" t="s">
        <v>411</v>
      </c>
      <c r="B68" s="562"/>
      <c r="C68" s="562"/>
      <c r="D68" s="562"/>
      <c r="F68" s="585">
        <f>'Key Assumptions'!F49</f>
        <v>1</v>
      </c>
      <c r="G68" s="585">
        <f>'Key Assumptions'!G49</f>
        <v>1</v>
      </c>
      <c r="H68" s="585">
        <f>'Key Assumptions'!H49</f>
        <v>1</v>
      </c>
      <c r="I68" s="585">
        <f>'Key Assumptions'!I49</f>
        <v>1</v>
      </c>
      <c r="J68" s="585">
        <f>'Key Assumptions'!J49</f>
        <v>1</v>
      </c>
      <c r="K68" s="585">
        <f>'Key Assumptions'!K49</f>
        <v>1</v>
      </c>
      <c r="L68" s="585">
        <f>'Key Assumptions'!L49</f>
        <v>1</v>
      </c>
      <c r="M68" s="585">
        <f>'Key Assumptions'!M49</f>
        <v>1</v>
      </c>
      <c r="N68" s="585">
        <f>'Key Assumptions'!N49</f>
        <v>1</v>
      </c>
      <c r="O68" s="585">
        <f>'Key Assumptions'!O49</f>
        <v>1</v>
      </c>
      <c r="P68" s="585">
        <f>'Key Assumptions'!P49</f>
        <v>1</v>
      </c>
      <c r="Q68" s="585">
        <f>'Key Assumptions'!Q49</f>
        <v>1</v>
      </c>
      <c r="R68" s="585">
        <f>'Key Assumptions'!R49</f>
        <v>1</v>
      </c>
      <c r="S68" s="585">
        <f>'Key Assumptions'!S49</f>
        <v>1</v>
      </c>
      <c r="T68" s="585">
        <f>'Key Assumptions'!T49</f>
        <v>1</v>
      </c>
      <c r="U68" s="585">
        <f>'Key Assumptions'!U49</f>
        <v>1</v>
      </c>
      <c r="W68" s="588"/>
    </row>
    <row r="69" spans="1:23" ht="17.25" customHeight="1">
      <c r="A69" s="562" t="s">
        <v>422</v>
      </c>
      <c r="B69" s="562"/>
      <c r="C69" s="562"/>
      <c r="D69" s="562"/>
      <c r="F69" s="585">
        <f>F67*F68</f>
        <v>1.5</v>
      </c>
      <c r="G69" s="585">
        <f t="shared" ref="G69:U69" si="21">G67*G68</f>
        <v>1.5</v>
      </c>
      <c r="H69" s="585">
        <f t="shared" si="21"/>
        <v>1.5</v>
      </c>
      <c r="I69" s="585">
        <f t="shared" si="21"/>
        <v>1.5</v>
      </c>
      <c r="J69" s="585">
        <f t="shared" si="21"/>
        <v>1.5</v>
      </c>
      <c r="K69" s="585">
        <f t="shared" si="21"/>
        <v>1.5</v>
      </c>
      <c r="L69" s="585">
        <f t="shared" si="21"/>
        <v>1.5</v>
      </c>
      <c r="M69" s="585">
        <f t="shared" si="21"/>
        <v>1.5</v>
      </c>
      <c r="N69" s="585">
        <f t="shared" si="21"/>
        <v>6</v>
      </c>
      <c r="O69" s="585">
        <f t="shared" si="21"/>
        <v>6</v>
      </c>
      <c r="P69" s="585">
        <f t="shared" si="21"/>
        <v>6</v>
      </c>
      <c r="Q69" s="585">
        <f t="shared" si="21"/>
        <v>6</v>
      </c>
      <c r="R69" s="585">
        <f t="shared" si="21"/>
        <v>6</v>
      </c>
      <c r="S69" s="585">
        <f t="shared" si="21"/>
        <v>6</v>
      </c>
      <c r="T69" s="585">
        <f t="shared" si="21"/>
        <v>6</v>
      </c>
      <c r="U69" s="585">
        <f t="shared" si="21"/>
        <v>6</v>
      </c>
      <c r="W69" s="588"/>
    </row>
    <row r="70" spans="1:23" ht="17.25" customHeight="1">
      <c r="A70" s="562" t="s">
        <v>320</v>
      </c>
      <c r="B70" s="562"/>
      <c r="C70" s="562"/>
      <c r="D70" s="562"/>
      <c r="F70" s="585">
        <f>'Key Assumptions'!F47</f>
        <v>15</v>
      </c>
      <c r="G70" s="585">
        <f>'Key Assumptions'!G47</f>
        <v>15</v>
      </c>
      <c r="H70" s="585">
        <f>'Key Assumptions'!H47</f>
        <v>15</v>
      </c>
      <c r="I70" s="585">
        <f>'Key Assumptions'!I47</f>
        <v>15</v>
      </c>
      <c r="J70" s="585">
        <f>'Key Assumptions'!J47</f>
        <v>15</v>
      </c>
      <c r="K70" s="585">
        <f>'Key Assumptions'!K47</f>
        <v>15</v>
      </c>
      <c r="L70" s="585">
        <f>'Key Assumptions'!L47</f>
        <v>15</v>
      </c>
      <c r="M70" s="585">
        <f>'Key Assumptions'!M47</f>
        <v>15</v>
      </c>
      <c r="N70" s="585">
        <f>'Key Assumptions'!N47</f>
        <v>15</v>
      </c>
      <c r="O70" s="585">
        <f>'Key Assumptions'!O47</f>
        <v>25</v>
      </c>
      <c r="P70" s="585">
        <f>'Key Assumptions'!P47</f>
        <v>25</v>
      </c>
      <c r="Q70" s="585">
        <f>'Key Assumptions'!Q47</f>
        <v>25</v>
      </c>
      <c r="R70" s="585">
        <f>'Key Assumptions'!R47</f>
        <v>25</v>
      </c>
      <c r="S70" s="585">
        <f>'Key Assumptions'!S47</f>
        <v>25</v>
      </c>
      <c r="T70" s="585">
        <f>'Key Assumptions'!T47</f>
        <v>25</v>
      </c>
      <c r="U70" s="585">
        <f>'Key Assumptions'!U47</f>
        <v>25</v>
      </c>
      <c r="W70" s="588"/>
    </row>
    <row r="71" spans="1:23" ht="17.25" customHeight="1">
      <c r="A71" s="586" t="s">
        <v>321</v>
      </c>
      <c r="B71" s="586"/>
      <c r="C71" s="586"/>
      <c r="D71" s="586"/>
      <c r="E71" s="562"/>
      <c r="F71" s="573">
        <f>F66*F69*F70</f>
        <v>45</v>
      </c>
      <c r="G71" s="573">
        <f t="shared" ref="G71:U71" si="22">G66*G69*G70</f>
        <v>45</v>
      </c>
      <c r="H71" s="573">
        <f t="shared" si="22"/>
        <v>45</v>
      </c>
      <c r="I71" s="573">
        <f t="shared" si="22"/>
        <v>45</v>
      </c>
      <c r="J71" s="573">
        <f t="shared" si="22"/>
        <v>67.5</v>
      </c>
      <c r="K71" s="573">
        <f t="shared" si="22"/>
        <v>67.5</v>
      </c>
      <c r="L71" s="573">
        <f t="shared" si="22"/>
        <v>67.5</v>
      </c>
      <c r="M71" s="573">
        <f t="shared" si="22"/>
        <v>67.5</v>
      </c>
      <c r="N71" s="573">
        <f t="shared" si="22"/>
        <v>450</v>
      </c>
      <c r="O71" s="573">
        <f t="shared" si="22"/>
        <v>1050</v>
      </c>
      <c r="P71" s="573">
        <f t="shared" si="22"/>
        <v>1050</v>
      </c>
      <c r="Q71" s="573">
        <f t="shared" si="22"/>
        <v>1050</v>
      </c>
      <c r="R71" s="573">
        <f t="shared" si="22"/>
        <v>1050</v>
      </c>
      <c r="S71" s="573">
        <f t="shared" si="22"/>
        <v>1050</v>
      </c>
      <c r="T71" s="573">
        <f t="shared" si="22"/>
        <v>1050</v>
      </c>
      <c r="U71" s="573">
        <f t="shared" si="22"/>
        <v>1050</v>
      </c>
      <c r="V71" s="573">
        <f>F71+G71+H71+I71+J71+K71+L71+M71+N71+O71+P71+Q71+R71+S71+T71+U71</f>
        <v>8250</v>
      </c>
      <c r="W71" s="588"/>
    </row>
    <row r="72" spans="1:23" ht="17.25" customHeight="1">
      <c r="A72" s="562" t="s">
        <v>591</v>
      </c>
      <c r="B72" s="562"/>
      <c r="C72" s="562"/>
      <c r="D72" s="562"/>
      <c r="F72" s="580">
        <f>F71/F66</f>
        <v>22.5</v>
      </c>
      <c r="G72" s="580">
        <f t="shared" ref="G72:U72" si="23">G71/G66</f>
        <v>22.5</v>
      </c>
      <c r="H72" s="580">
        <f t="shared" si="23"/>
        <v>22.5</v>
      </c>
      <c r="I72" s="580">
        <f t="shared" si="23"/>
        <v>22.5</v>
      </c>
      <c r="J72" s="580">
        <f t="shared" si="23"/>
        <v>22.5</v>
      </c>
      <c r="K72" s="580">
        <f t="shared" si="23"/>
        <v>22.5</v>
      </c>
      <c r="L72" s="580">
        <f t="shared" si="23"/>
        <v>22.5</v>
      </c>
      <c r="M72" s="580">
        <f t="shared" si="23"/>
        <v>22.5</v>
      </c>
      <c r="N72" s="580">
        <f t="shared" si="23"/>
        <v>90</v>
      </c>
      <c r="O72" s="580">
        <f t="shared" si="23"/>
        <v>150</v>
      </c>
      <c r="P72" s="580">
        <f t="shared" si="23"/>
        <v>150</v>
      </c>
      <c r="Q72" s="580">
        <f t="shared" si="23"/>
        <v>150</v>
      </c>
      <c r="R72" s="580">
        <f t="shared" si="23"/>
        <v>150</v>
      </c>
      <c r="S72" s="580">
        <f t="shared" si="23"/>
        <v>150</v>
      </c>
      <c r="T72" s="580">
        <f t="shared" si="23"/>
        <v>150</v>
      </c>
      <c r="U72" s="580">
        <f t="shared" si="23"/>
        <v>150</v>
      </c>
      <c r="W72" s="588"/>
    </row>
    <row r="73" spans="1:23" ht="17.25" customHeight="1">
      <c r="A73" s="595" t="str">
        <f>'Key Assumptions'!B51</f>
        <v>Health Care : Home Health Aide (40 Days, 180 hrs)</v>
      </c>
      <c r="B73" s="595"/>
      <c r="C73" s="595"/>
      <c r="D73" s="595"/>
      <c r="E73" s="577"/>
      <c r="J73" s="580"/>
      <c r="K73" s="580"/>
      <c r="L73" s="580"/>
      <c r="M73" s="580"/>
      <c r="N73" s="580"/>
      <c r="O73" s="580"/>
      <c r="P73" s="580"/>
      <c r="Q73" s="580"/>
      <c r="R73" s="580"/>
      <c r="S73" s="580"/>
      <c r="T73" s="580"/>
      <c r="U73" s="580"/>
      <c r="W73" s="588"/>
    </row>
    <row r="74" spans="1:23" ht="17.25" customHeight="1">
      <c r="A74" s="562" t="s">
        <v>455</v>
      </c>
      <c r="B74" s="562"/>
      <c r="C74" s="562"/>
      <c r="D74" s="562"/>
      <c r="E74" s="577"/>
      <c r="F74" s="585">
        <f>'Key Assumptions'!F132</f>
        <v>2</v>
      </c>
      <c r="G74" s="585">
        <f>'Key Assumptions'!G132</f>
        <v>2</v>
      </c>
      <c r="H74" s="585">
        <f>'Key Assumptions'!H132</f>
        <v>2</v>
      </c>
      <c r="I74" s="585">
        <f>'Key Assumptions'!I132</f>
        <v>2</v>
      </c>
      <c r="J74" s="585">
        <f>'Key Assumptions'!J132</f>
        <v>3</v>
      </c>
      <c r="K74" s="585">
        <f>'Key Assumptions'!K132</f>
        <v>3</v>
      </c>
      <c r="L74" s="585">
        <f>'Key Assumptions'!L132</f>
        <v>3</v>
      </c>
      <c r="M74" s="585">
        <f>'Key Assumptions'!M132</f>
        <v>3</v>
      </c>
      <c r="N74" s="585">
        <f>'Key Assumptions'!N132</f>
        <v>5</v>
      </c>
      <c r="O74" s="585">
        <f>'Key Assumptions'!O132</f>
        <v>7</v>
      </c>
      <c r="P74" s="585">
        <f>'Key Assumptions'!P132</f>
        <v>7</v>
      </c>
      <c r="Q74" s="585">
        <f>'Key Assumptions'!Q132</f>
        <v>7</v>
      </c>
      <c r="R74" s="585">
        <f>'Key Assumptions'!R132</f>
        <v>7</v>
      </c>
      <c r="S74" s="585">
        <f>'Key Assumptions'!S132</f>
        <v>7</v>
      </c>
      <c r="T74" s="585">
        <f>'Key Assumptions'!T132</f>
        <v>7</v>
      </c>
      <c r="U74" s="585">
        <f>'Key Assumptions'!U132</f>
        <v>7</v>
      </c>
      <c r="W74" s="588"/>
    </row>
    <row r="75" spans="1:23" ht="17.25" customHeight="1">
      <c r="A75" s="562" t="s">
        <v>421</v>
      </c>
      <c r="B75" s="562"/>
      <c r="C75" s="562"/>
      <c r="D75" s="562"/>
      <c r="F75" s="585">
        <f>'Key Assumptions'!F53</f>
        <v>1.5</v>
      </c>
      <c r="G75" s="585">
        <f>'Key Assumptions'!G53</f>
        <v>1.5</v>
      </c>
      <c r="H75" s="585">
        <f>'Key Assumptions'!H53</f>
        <v>1.5</v>
      </c>
      <c r="I75" s="585">
        <f>'Key Assumptions'!I53</f>
        <v>1.5</v>
      </c>
      <c r="J75" s="585">
        <f>'Key Assumptions'!J53</f>
        <v>1.5</v>
      </c>
      <c r="K75" s="585">
        <f>'Key Assumptions'!K53</f>
        <v>1.5</v>
      </c>
      <c r="L75" s="585">
        <f>'Key Assumptions'!L53</f>
        <v>1.5</v>
      </c>
      <c r="M75" s="585">
        <f>'Key Assumptions'!M53</f>
        <v>1.5</v>
      </c>
      <c r="N75" s="585">
        <f>'Key Assumptions'!N53</f>
        <v>6</v>
      </c>
      <c r="O75" s="585">
        <f>'Key Assumptions'!O53</f>
        <v>6</v>
      </c>
      <c r="P75" s="585">
        <f>'Key Assumptions'!P53</f>
        <v>6</v>
      </c>
      <c r="Q75" s="585">
        <f>'Key Assumptions'!Q53</f>
        <v>6</v>
      </c>
      <c r="R75" s="585">
        <f>'Key Assumptions'!R53</f>
        <v>6</v>
      </c>
      <c r="S75" s="585">
        <f>'Key Assumptions'!S53</f>
        <v>6</v>
      </c>
      <c r="T75" s="585">
        <f>'Key Assumptions'!T53</f>
        <v>6</v>
      </c>
      <c r="U75" s="585">
        <f>'Key Assumptions'!U53</f>
        <v>6</v>
      </c>
      <c r="W75" s="588"/>
    </row>
    <row r="76" spans="1:23" ht="17.25" customHeight="1">
      <c r="A76" s="562" t="s">
        <v>411</v>
      </c>
      <c r="B76" s="562"/>
      <c r="C76" s="562"/>
      <c r="D76" s="562"/>
      <c r="F76" s="585">
        <f>'Key Assumptions'!F54</f>
        <v>1</v>
      </c>
      <c r="G76" s="585">
        <f>'Key Assumptions'!G54</f>
        <v>1</v>
      </c>
      <c r="H76" s="585">
        <f>'Key Assumptions'!H54</f>
        <v>1</v>
      </c>
      <c r="I76" s="585">
        <f>'Key Assumptions'!I54</f>
        <v>1</v>
      </c>
      <c r="J76" s="585">
        <f>'Key Assumptions'!J54</f>
        <v>1</v>
      </c>
      <c r="K76" s="585">
        <f>'Key Assumptions'!K54</f>
        <v>1</v>
      </c>
      <c r="L76" s="585">
        <f>'Key Assumptions'!L54</f>
        <v>1</v>
      </c>
      <c r="M76" s="585">
        <f>'Key Assumptions'!M54</f>
        <v>1</v>
      </c>
      <c r="N76" s="585">
        <f>'Key Assumptions'!N54</f>
        <v>1</v>
      </c>
      <c r="O76" s="585">
        <f>'Key Assumptions'!O54</f>
        <v>1</v>
      </c>
      <c r="P76" s="585">
        <f>'Key Assumptions'!P54</f>
        <v>1</v>
      </c>
      <c r="Q76" s="585">
        <f>'Key Assumptions'!Q54</f>
        <v>1</v>
      </c>
      <c r="R76" s="585">
        <f>'Key Assumptions'!R54</f>
        <v>1</v>
      </c>
      <c r="S76" s="585">
        <f>'Key Assumptions'!S54</f>
        <v>1</v>
      </c>
      <c r="T76" s="585">
        <f>'Key Assumptions'!T54</f>
        <v>1</v>
      </c>
      <c r="U76" s="585">
        <f>'Key Assumptions'!U54</f>
        <v>1</v>
      </c>
      <c r="W76" s="588"/>
    </row>
    <row r="77" spans="1:23" ht="17.25" customHeight="1">
      <c r="A77" s="562" t="s">
        <v>422</v>
      </c>
      <c r="B77" s="562"/>
      <c r="C77" s="562"/>
      <c r="D77" s="562"/>
      <c r="F77" s="585">
        <f>F75*F76</f>
        <v>1.5</v>
      </c>
      <c r="G77" s="585">
        <f t="shared" ref="G77:U77" si="24">G75*G76</f>
        <v>1.5</v>
      </c>
      <c r="H77" s="585">
        <f t="shared" si="24"/>
        <v>1.5</v>
      </c>
      <c r="I77" s="585">
        <f t="shared" si="24"/>
        <v>1.5</v>
      </c>
      <c r="J77" s="585">
        <f t="shared" si="24"/>
        <v>1.5</v>
      </c>
      <c r="K77" s="585">
        <f t="shared" si="24"/>
        <v>1.5</v>
      </c>
      <c r="L77" s="585">
        <f t="shared" si="24"/>
        <v>1.5</v>
      </c>
      <c r="M77" s="585">
        <f t="shared" si="24"/>
        <v>1.5</v>
      </c>
      <c r="N77" s="585">
        <f t="shared" si="24"/>
        <v>6</v>
      </c>
      <c r="O77" s="585">
        <f t="shared" si="24"/>
        <v>6</v>
      </c>
      <c r="P77" s="585">
        <f t="shared" si="24"/>
        <v>6</v>
      </c>
      <c r="Q77" s="585">
        <f t="shared" si="24"/>
        <v>6</v>
      </c>
      <c r="R77" s="585">
        <f t="shared" si="24"/>
        <v>6</v>
      </c>
      <c r="S77" s="585">
        <f t="shared" si="24"/>
        <v>6</v>
      </c>
      <c r="T77" s="585">
        <f t="shared" si="24"/>
        <v>6</v>
      </c>
      <c r="U77" s="585">
        <f t="shared" si="24"/>
        <v>6</v>
      </c>
      <c r="W77" s="588"/>
    </row>
    <row r="78" spans="1:23" ht="17.25" customHeight="1">
      <c r="A78" s="562" t="s">
        <v>320</v>
      </c>
      <c r="B78" s="562"/>
      <c r="C78" s="562"/>
      <c r="D78" s="562"/>
      <c r="F78" s="585">
        <f>'Key Assumptions'!F52</f>
        <v>15</v>
      </c>
      <c r="G78" s="585">
        <f>'Key Assumptions'!G52</f>
        <v>15</v>
      </c>
      <c r="H78" s="585">
        <f>'Key Assumptions'!H52</f>
        <v>15</v>
      </c>
      <c r="I78" s="585">
        <f>'Key Assumptions'!I52</f>
        <v>15</v>
      </c>
      <c r="J78" s="585">
        <f>'Key Assumptions'!J52</f>
        <v>15</v>
      </c>
      <c r="K78" s="585">
        <f>'Key Assumptions'!K52</f>
        <v>15</v>
      </c>
      <c r="L78" s="585">
        <f>'Key Assumptions'!L52</f>
        <v>15</v>
      </c>
      <c r="M78" s="585">
        <f>'Key Assumptions'!M52</f>
        <v>15</v>
      </c>
      <c r="N78" s="585">
        <f>'Key Assumptions'!N52</f>
        <v>15</v>
      </c>
      <c r="O78" s="585">
        <f>'Key Assumptions'!O52</f>
        <v>25</v>
      </c>
      <c r="P78" s="585">
        <f>'Key Assumptions'!P52</f>
        <v>25</v>
      </c>
      <c r="Q78" s="585">
        <f>'Key Assumptions'!Q52</f>
        <v>25</v>
      </c>
      <c r="R78" s="585">
        <f>'Key Assumptions'!R52</f>
        <v>25</v>
      </c>
      <c r="S78" s="585">
        <f>'Key Assumptions'!S52</f>
        <v>25</v>
      </c>
      <c r="T78" s="585">
        <f>'Key Assumptions'!T52</f>
        <v>25</v>
      </c>
      <c r="U78" s="585">
        <f>'Key Assumptions'!U52</f>
        <v>25</v>
      </c>
      <c r="W78" s="588"/>
    </row>
    <row r="79" spans="1:23" ht="17.25" customHeight="1">
      <c r="A79" s="586" t="s">
        <v>321</v>
      </c>
      <c r="B79" s="586"/>
      <c r="C79" s="586"/>
      <c r="D79" s="586"/>
      <c r="E79" s="562"/>
      <c r="F79" s="573">
        <f>F74*F77*F78</f>
        <v>45</v>
      </c>
      <c r="G79" s="573">
        <f t="shared" ref="G79:U79" si="25">G74*G77*G78</f>
        <v>45</v>
      </c>
      <c r="H79" s="573">
        <f t="shared" si="25"/>
        <v>45</v>
      </c>
      <c r="I79" s="573">
        <f t="shared" si="25"/>
        <v>45</v>
      </c>
      <c r="J79" s="573">
        <f t="shared" si="25"/>
        <v>67.5</v>
      </c>
      <c r="K79" s="573">
        <f t="shared" si="25"/>
        <v>67.5</v>
      </c>
      <c r="L79" s="573">
        <f t="shared" si="25"/>
        <v>67.5</v>
      </c>
      <c r="M79" s="573">
        <f t="shared" si="25"/>
        <v>67.5</v>
      </c>
      <c r="N79" s="573">
        <f t="shared" si="25"/>
        <v>450</v>
      </c>
      <c r="O79" s="573">
        <f t="shared" si="25"/>
        <v>1050</v>
      </c>
      <c r="P79" s="573">
        <f t="shared" si="25"/>
        <v>1050</v>
      </c>
      <c r="Q79" s="573">
        <f t="shared" si="25"/>
        <v>1050</v>
      </c>
      <c r="R79" s="573">
        <f t="shared" si="25"/>
        <v>1050</v>
      </c>
      <c r="S79" s="573">
        <f t="shared" si="25"/>
        <v>1050</v>
      </c>
      <c r="T79" s="573">
        <f t="shared" si="25"/>
        <v>1050</v>
      </c>
      <c r="U79" s="573">
        <f t="shared" si="25"/>
        <v>1050</v>
      </c>
      <c r="V79" s="573">
        <f>F79+G79+H79+I79+J79+K79+L79+M79+N79+O79+P79+Q79+R79+S79+T79+U79</f>
        <v>8250</v>
      </c>
      <c r="W79" s="588"/>
    </row>
    <row r="80" spans="1:23" ht="17.25" customHeight="1">
      <c r="A80" s="562" t="s">
        <v>591</v>
      </c>
      <c r="B80" s="562"/>
      <c r="C80" s="562"/>
      <c r="D80" s="562"/>
      <c r="F80" s="580">
        <f>F79/F74</f>
        <v>22.5</v>
      </c>
      <c r="G80" s="580">
        <f t="shared" ref="G80:U80" si="26">G79/G74</f>
        <v>22.5</v>
      </c>
      <c r="H80" s="580">
        <f t="shared" si="26"/>
        <v>22.5</v>
      </c>
      <c r="I80" s="580">
        <f t="shared" si="26"/>
        <v>22.5</v>
      </c>
      <c r="J80" s="580">
        <f t="shared" si="26"/>
        <v>22.5</v>
      </c>
      <c r="K80" s="580">
        <f t="shared" si="26"/>
        <v>22.5</v>
      </c>
      <c r="L80" s="580">
        <f t="shared" si="26"/>
        <v>22.5</v>
      </c>
      <c r="M80" s="580">
        <f t="shared" si="26"/>
        <v>22.5</v>
      </c>
      <c r="N80" s="580">
        <f t="shared" si="26"/>
        <v>90</v>
      </c>
      <c r="O80" s="580">
        <f t="shared" si="26"/>
        <v>150</v>
      </c>
      <c r="P80" s="580">
        <f t="shared" si="26"/>
        <v>150</v>
      </c>
      <c r="Q80" s="580">
        <f t="shared" si="26"/>
        <v>150</v>
      </c>
      <c r="R80" s="580">
        <f t="shared" si="26"/>
        <v>150</v>
      </c>
      <c r="S80" s="580">
        <f t="shared" si="26"/>
        <v>150</v>
      </c>
      <c r="T80" s="580">
        <f t="shared" si="26"/>
        <v>150</v>
      </c>
      <c r="U80" s="580">
        <f t="shared" si="26"/>
        <v>150</v>
      </c>
      <c r="W80" s="588"/>
    </row>
    <row r="81" spans="1:23" ht="17.25" customHeight="1">
      <c r="A81" s="595" t="str">
        <f>'Key Assumptions'!B56</f>
        <v>Retail : Cashier (40 Days, 180 hrs)</v>
      </c>
      <c r="B81" s="595"/>
      <c r="C81" s="595"/>
      <c r="D81" s="595"/>
      <c r="E81" s="577"/>
      <c r="J81" s="580"/>
      <c r="K81" s="580"/>
      <c r="L81" s="580"/>
      <c r="M81" s="580"/>
      <c r="N81" s="580"/>
      <c r="O81" s="580"/>
      <c r="P81" s="580"/>
      <c r="Q81" s="580"/>
      <c r="R81" s="580"/>
      <c r="S81" s="580"/>
      <c r="T81" s="580"/>
      <c r="U81" s="580"/>
      <c r="W81" s="588"/>
    </row>
    <row r="82" spans="1:23" ht="17.25" customHeight="1">
      <c r="A82" s="562" t="s">
        <v>455</v>
      </c>
      <c r="B82" s="562"/>
      <c r="C82" s="562"/>
      <c r="D82" s="562"/>
      <c r="E82" s="577"/>
      <c r="F82" s="585">
        <f>'Key Assumptions'!F135</f>
        <v>1</v>
      </c>
      <c r="G82" s="585">
        <f>'Key Assumptions'!G135</f>
        <v>1</v>
      </c>
      <c r="H82" s="585">
        <f>'Key Assumptions'!H135</f>
        <v>1</v>
      </c>
      <c r="I82" s="585">
        <f>'Key Assumptions'!I135</f>
        <v>1</v>
      </c>
      <c r="J82" s="585">
        <f>'Key Assumptions'!J135</f>
        <v>2</v>
      </c>
      <c r="K82" s="585">
        <f>'Key Assumptions'!K135</f>
        <v>2</v>
      </c>
      <c r="L82" s="585">
        <f>'Key Assumptions'!L135</f>
        <v>2</v>
      </c>
      <c r="M82" s="585">
        <f>'Key Assumptions'!M135</f>
        <v>2</v>
      </c>
      <c r="N82" s="585">
        <f>'Key Assumptions'!N135</f>
        <v>2</v>
      </c>
      <c r="O82" s="585">
        <f>'Key Assumptions'!O135</f>
        <v>2</v>
      </c>
      <c r="P82" s="585">
        <f>'Key Assumptions'!P135</f>
        <v>2</v>
      </c>
      <c r="Q82" s="585">
        <f>'Key Assumptions'!Q135</f>
        <v>2</v>
      </c>
      <c r="R82" s="585">
        <f>'Key Assumptions'!R135</f>
        <v>2</v>
      </c>
      <c r="S82" s="585">
        <f>'Key Assumptions'!S135</f>
        <v>2</v>
      </c>
      <c r="T82" s="585">
        <f>'Key Assumptions'!T135</f>
        <v>2</v>
      </c>
      <c r="U82" s="585">
        <f>'Key Assumptions'!U135</f>
        <v>2</v>
      </c>
      <c r="W82" s="588"/>
    </row>
    <row r="83" spans="1:23" ht="17.25" customHeight="1">
      <c r="A83" s="562" t="s">
        <v>421</v>
      </c>
      <c r="B83" s="562"/>
      <c r="C83" s="562"/>
      <c r="D83" s="562"/>
      <c r="F83" s="585">
        <f>'Key Assumptions'!F58</f>
        <v>1.5</v>
      </c>
      <c r="G83" s="585">
        <f>'Key Assumptions'!G58</f>
        <v>1.5</v>
      </c>
      <c r="H83" s="585">
        <f>'Key Assumptions'!H58</f>
        <v>1.5</v>
      </c>
      <c r="I83" s="585">
        <f>'Key Assumptions'!I58</f>
        <v>1.5</v>
      </c>
      <c r="J83" s="585">
        <f>'Key Assumptions'!J58</f>
        <v>1.5</v>
      </c>
      <c r="K83" s="585">
        <f>'Key Assumptions'!K58</f>
        <v>1.5</v>
      </c>
      <c r="L83" s="585">
        <f>'Key Assumptions'!L58</f>
        <v>1.5</v>
      </c>
      <c r="M83" s="585">
        <f>'Key Assumptions'!M58</f>
        <v>1.5</v>
      </c>
      <c r="N83" s="585">
        <f>'Key Assumptions'!N58</f>
        <v>6</v>
      </c>
      <c r="O83" s="585">
        <f>'Key Assumptions'!O58</f>
        <v>6</v>
      </c>
      <c r="P83" s="585">
        <f>'Key Assumptions'!P58</f>
        <v>6</v>
      </c>
      <c r="Q83" s="585">
        <f>'Key Assumptions'!Q58</f>
        <v>6</v>
      </c>
      <c r="R83" s="585">
        <f>'Key Assumptions'!R58</f>
        <v>6</v>
      </c>
      <c r="S83" s="585">
        <f>'Key Assumptions'!S58</f>
        <v>6</v>
      </c>
      <c r="T83" s="585">
        <f>'Key Assumptions'!T58</f>
        <v>6</v>
      </c>
      <c r="U83" s="585">
        <f>'Key Assumptions'!U58</f>
        <v>6</v>
      </c>
      <c r="W83" s="588"/>
    </row>
    <row r="84" spans="1:23" ht="17.25" customHeight="1">
      <c r="A84" s="562" t="s">
        <v>411</v>
      </c>
      <c r="B84" s="562"/>
      <c r="C84" s="562"/>
      <c r="D84" s="562"/>
      <c r="F84" s="585">
        <f>'Key Assumptions'!F59</f>
        <v>1</v>
      </c>
      <c r="G84" s="585">
        <f>'Key Assumptions'!G59</f>
        <v>1</v>
      </c>
      <c r="H84" s="585">
        <f>'Key Assumptions'!H59</f>
        <v>1</v>
      </c>
      <c r="I84" s="585">
        <f>'Key Assumptions'!I59</f>
        <v>1</v>
      </c>
      <c r="J84" s="585">
        <f>'Key Assumptions'!J59</f>
        <v>1</v>
      </c>
      <c r="K84" s="585">
        <f>'Key Assumptions'!K59</f>
        <v>1</v>
      </c>
      <c r="L84" s="585">
        <f>'Key Assumptions'!L59</f>
        <v>1</v>
      </c>
      <c r="M84" s="585">
        <f>'Key Assumptions'!M59</f>
        <v>1</v>
      </c>
      <c r="N84" s="585">
        <f>'Key Assumptions'!N59</f>
        <v>1</v>
      </c>
      <c r="O84" s="585">
        <f>'Key Assumptions'!O59</f>
        <v>1</v>
      </c>
      <c r="P84" s="585">
        <f>'Key Assumptions'!P59</f>
        <v>1</v>
      </c>
      <c r="Q84" s="585">
        <f>'Key Assumptions'!Q59</f>
        <v>1</v>
      </c>
      <c r="R84" s="585">
        <f>'Key Assumptions'!R59</f>
        <v>1</v>
      </c>
      <c r="S84" s="585">
        <f>'Key Assumptions'!S59</f>
        <v>1</v>
      </c>
      <c r="T84" s="585">
        <f>'Key Assumptions'!T59</f>
        <v>1</v>
      </c>
      <c r="U84" s="585">
        <f>'Key Assumptions'!U59</f>
        <v>1</v>
      </c>
      <c r="W84" s="588"/>
    </row>
    <row r="85" spans="1:23" ht="17.25" customHeight="1">
      <c r="A85" s="562" t="s">
        <v>422</v>
      </c>
      <c r="B85" s="562"/>
      <c r="C85" s="562"/>
      <c r="D85" s="562"/>
      <c r="F85" s="585">
        <f>F83*F84</f>
        <v>1.5</v>
      </c>
      <c r="G85" s="585">
        <f t="shared" ref="G85:U85" si="27">G83*G84</f>
        <v>1.5</v>
      </c>
      <c r="H85" s="585">
        <f t="shared" si="27"/>
        <v>1.5</v>
      </c>
      <c r="I85" s="585">
        <f t="shared" si="27"/>
        <v>1.5</v>
      </c>
      <c r="J85" s="585">
        <f t="shared" si="27"/>
        <v>1.5</v>
      </c>
      <c r="K85" s="585">
        <f t="shared" si="27"/>
        <v>1.5</v>
      </c>
      <c r="L85" s="585">
        <f t="shared" si="27"/>
        <v>1.5</v>
      </c>
      <c r="M85" s="585">
        <f t="shared" si="27"/>
        <v>1.5</v>
      </c>
      <c r="N85" s="585">
        <f t="shared" si="27"/>
        <v>6</v>
      </c>
      <c r="O85" s="585">
        <f t="shared" si="27"/>
        <v>6</v>
      </c>
      <c r="P85" s="585">
        <f t="shared" si="27"/>
        <v>6</v>
      </c>
      <c r="Q85" s="585">
        <f t="shared" si="27"/>
        <v>6</v>
      </c>
      <c r="R85" s="585">
        <f t="shared" si="27"/>
        <v>6</v>
      </c>
      <c r="S85" s="585">
        <f t="shared" si="27"/>
        <v>6</v>
      </c>
      <c r="T85" s="585">
        <f t="shared" si="27"/>
        <v>6</v>
      </c>
      <c r="U85" s="585">
        <f t="shared" si="27"/>
        <v>6</v>
      </c>
      <c r="W85" s="588"/>
    </row>
    <row r="86" spans="1:23" ht="17.25" customHeight="1">
      <c r="A86" s="562" t="s">
        <v>320</v>
      </c>
      <c r="B86" s="562"/>
      <c r="C86" s="562"/>
      <c r="D86" s="562"/>
      <c r="F86" s="585">
        <f>'Key Assumptions'!F57</f>
        <v>15</v>
      </c>
      <c r="G86" s="585">
        <f>'Key Assumptions'!G57</f>
        <v>15</v>
      </c>
      <c r="H86" s="585">
        <f>'Key Assumptions'!H57</f>
        <v>15</v>
      </c>
      <c r="I86" s="585">
        <f>'Key Assumptions'!I57</f>
        <v>15</v>
      </c>
      <c r="J86" s="585">
        <f>'Key Assumptions'!J57</f>
        <v>15</v>
      </c>
      <c r="K86" s="585">
        <f>'Key Assumptions'!K57</f>
        <v>15</v>
      </c>
      <c r="L86" s="585">
        <f>'Key Assumptions'!L57</f>
        <v>15</v>
      </c>
      <c r="M86" s="585">
        <f>'Key Assumptions'!M57</f>
        <v>15</v>
      </c>
      <c r="N86" s="585">
        <f>'Key Assumptions'!N57</f>
        <v>15</v>
      </c>
      <c r="O86" s="585">
        <f>'Key Assumptions'!O57</f>
        <v>25</v>
      </c>
      <c r="P86" s="585">
        <f>'Key Assumptions'!P57</f>
        <v>25</v>
      </c>
      <c r="Q86" s="585">
        <f>'Key Assumptions'!Q57</f>
        <v>25</v>
      </c>
      <c r="R86" s="585">
        <f>'Key Assumptions'!R57</f>
        <v>25</v>
      </c>
      <c r="S86" s="585">
        <f>'Key Assumptions'!S57</f>
        <v>25</v>
      </c>
      <c r="T86" s="585">
        <f>'Key Assumptions'!T57</f>
        <v>25</v>
      </c>
      <c r="U86" s="585">
        <f>'Key Assumptions'!U57</f>
        <v>25</v>
      </c>
      <c r="W86" s="588"/>
    </row>
    <row r="87" spans="1:23" ht="17.25" customHeight="1">
      <c r="A87" s="586" t="s">
        <v>321</v>
      </c>
      <c r="B87" s="586"/>
      <c r="C87" s="586"/>
      <c r="D87" s="586"/>
      <c r="E87" s="562"/>
      <c r="F87" s="573">
        <f>F82*F85*F86</f>
        <v>22.5</v>
      </c>
      <c r="G87" s="573">
        <f t="shared" ref="G87:U87" si="28">G82*G85*G86</f>
        <v>22.5</v>
      </c>
      <c r="H87" s="573">
        <f t="shared" si="28"/>
        <v>22.5</v>
      </c>
      <c r="I87" s="573">
        <f t="shared" si="28"/>
        <v>22.5</v>
      </c>
      <c r="J87" s="573">
        <f t="shared" si="28"/>
        <v>45</v>
      </c>
      <c r="K87" s="573">
        <f t="shared" si="28"/>
        <v>45</v>
      </c>
      <c r="L87" s="573">
        <f t="shared" si="28"/>
        <v>45</v>
      </c>
      <c r="M87" s="573">
        <f t="shared" si="28"/>
        <v>45</v>
      </c>
      <c r="N87" s="573">
        <f t="shared" si="28"/>
        <v>180</v>
      </c>
      <c r="O87" s="573">
        <f t="shared" si="28"/>
        <v>300</v>
      </c>
      <c r="P87" s="573">
        <f t="shared" si="28"/>
        <v>300</v>
      </c>
      <c r="Q87" s="573">
        <f t="shared" si="28"/>
        <v>300</v>
      </c>
      <c r="R87" s="573">
        <f t="shared" si="28"/>
        <v>300</v>
      </c>
      <c r="S87" s="573">
        <f t="shared" si="28"/>
        <v>300</v>
      </c>
      <c r="T87" s="573">
        <f t="shared" si="28"/>
        <v>300</v>
      </c>
      <c r="U87" s="573">
        <f t="shared" si="28"/>
        <v>300</v>
      </c>
      <c r="V87" s="573">
        <f>F87+G87+H87+I87+J87+K87+L87+M87+N87+O87+P87+Q87+R87+S87+T87+U87</f>
        <v>2550</v>
      </c>
      <c r="W87" s="588"/>
    </row>
    <row r="88" spans="1:23" ht="17.25" customHeight="1">
      <c r="A88" s="562" t="s">
        <v>591</v>
      </c>
      <c r="B88" s="562"/>
      <c r="C88" s="562"/>
      <c r="D88" s="562"/>
      <c r="F88" s="580">
        <f>F87/F82</f>
        <v>22.5</v>
      </c>
      <c r="G88" s="580">
        <f t="shared" ref="G88:U88" si="29">G87/G82</f>
        <v>22.5</v>
      </c>
      <c r="H88" s="580">
        <f t="shared" si="29"/>
        <v>22.5</v>
      </c>
      <c r="I88" s="580">
        <f t="shared" si="29"/>
        <v>22.5</v>
      </c>
      <c r="J88" s="580">
        <f t="shared" si="29"/>
        <v>22.5</v>
      </c>
      <c r="K88" s="580">
        <f t="shared" si="29"/>
        <v>22.5</v>
      </c>
      <c r="L88" s="580">
        <f t="shared" si="29"/>
        <v>22.5</v>
      </c>
      <c r="M88" s="580">
        <f t="shared" si="29"/>
        <v>22.5</v>
      </c>
      <c r="N88" s="580">
        <f t="shared" si="29"/>
        <v>90</v>
      </c>
      <c r="O88" s="580">
        <f t="shared" si="29"/>
        <v>150</v>
      </c>
      <c r="P88" s="580">
        <f t="shared" si="29"/>
        <v>150</v>
      </c>
      <c r="Q88" s="580">
        <f t="shared" si="29"/>
        <v>150</v>
      </c>
      <c r="R88" s="580">
        <f t="shared" si="29"/>
        <v>150</v>
      </c>
      <c r="S88" s="580">
        <f t="shared" si="29"/>
        <v>150</v>
      </c>
      <c r="T88" s="580">
        <f t="shared" si="29"/>
        <v>150</v>
      </c>
      <c r="U88" s="580">
        <f t="shared" si="29"/>
        <v>150</v>
      </c>
      <c r="W88" s="588"/>
    </row>
    <row r="89" spans="1:23" ht="17.25" customHeight="1">
      <c r="A89" s="595" t="str">
        <f>'Key Assumptions'!B61</f>
        <v>Retail : Assistant (40 Days, 180 hrs)</v>
      </c>
      <c r="B89" s="595"/>
      <c r="C89" s="595"/>
      <c r="D89" s="595"/>
      <c r="E89" s="577"/>
      <c r="J89" s="580"/>
      <c r="K89" s="580"/>
      <c r="L89" s="580"/>
      <c r="M89" s="580"/>
      <c r="N89" s="580"/>
      <c r="O89" s="580"/>
      <c r="P89" s="580"/>
      <c r="Q89" s="580"/>
      <c r="R89" s="580"/>
      <c r="S89" s="580"/>
      <c r="T89" s="580"/>
      <c r="U89" s="580"/>
      <c r="W89" s="588"/>
    </row>
    <row r="90" spans="1:23" ht="17.25" customHeight="1">
      <c r="A90" s="562" t="s">
        <v>455</v>
      </c>
      <c r="B90" s="562"/>
      <c r="C90" s="562"/>
      <c r="D90" s="562"/>
      <c r="E90" s="577"/>
      <c r="F90" s="585">
        <f>'Key Assumptions'!F138</f>
        <v>3</v>
      </c>
      <c r="G90" s="585">
        <f>'Key Assumptions'!G138</f>
        <v>3</v>
      </c>
      <c r="H90" s="585">
        <f>'Key Assumptions'!H138</f>
        <v>3</v>
      </c>
      <c r="I90" s="585">
        <f>'Key Assumptions'!I138</f>
        <v>3</v>
      </c>
      <c r="J90" s="585">
        <f>'Key Assumptions'!J138</f>
        <v>4</v>
      </c>
      <c r="K90" s="585">
        <f>'Key Assumptions'!K138</f>
        <v>4</v>
      </c>
      <c r="L90" s="585">
        <f>'Key Assumptions'!L138</f>
        <v>4</v>
      </c>
      <c r="M90" s="585">
        <f>'Key Assumptions'!M138</f>
        <v>4</v>
      </c>
      <c r="N90" s="585">
        <f>'Key Assumptions'!N138</f>
        <v>4</v>
      </c>
      <c r="O90" s="585">
        <f>'Key Assumptions'!O138</f>
        <v>4</v>
      </c>
      <c r="P90" s="585">
        <f>'Key Assumptions'!P138</f>
        <v>4</v>
      </c>
      <c r="Q90" s="585">
        <f>'Key Assumptions'!Q138</f>
        <v>4</v>
      </c>
      <c r="R90" s="585">
        <f>'Key Assumptions'!R138</f>
        <v>4</v>
      </c>
      <c r="S90" s="585">
        <f>'Key Assumptions'!S138</f>
        <v>4</v>
      </c>
      <c r="T90" s="585">
        <f>'Key Assumptions'!T138</f>
        <v>4</v>
      </c>
      <c r="U90" s="585">
        <f>'Key Assumptions'!U138</f>
        <v>4</v>
      </c>
      <c r="W90" s="588"/>
    </row>
    <row r="91" spans="1:23" ht="17.25" customHeight="1">
      <c r="A91" s="562" t="s">
        <v>421</v>
      </c>
      <c r="B91" s="562"/>
      <c r="C91" s="562"/>
      <c r="D91" s="562"/>
      <c r="F91" s="585">
        <f>'Key Assumptions'!F63</f>
        <v>1.5</v>
      </c>
      <c r="G91" s="585">
        <f>'Key Assumptions'!G63</f>
        <v>1.5</v>
      </c>
      <c r="H91" s="585">
        <f>'Key Assumptions'!H63</f>
        <v>1.5</v>
      </c>
      <c r="I91" s="585">
        <f>'Key Assumptions'!I63</f>
        <v>1.5</v>
      </c>
      <c r="J91" s="585">
        <f>'Key Assumptions'!J63</f>
        <v>1.5</v>
      </c>
      <c r="K91" s="585">
        <f>'Key Assumptions'!K63</f>
        <v>1.5</v>
      </c>
      <c r="L91" s="585">
        <f>'Key Assumptions'!L63</f>
        <v>1.5</v>
      </c>
      <c r="M91" s="585">
        <f>'Key Assumptions'!M63</f>
        <v>1.5</v>
      </c>
      <c r="N91" s="585">
        <f>'Key Assumptions'!N63</f>
        <v>6</v>
      </c>
      <c r="O91" s="585">
        <f>'Key Assumptions'!O63</f>
        <v>6</v>
      </c>
      <c r="P91" s="585">
        <f>'Key Assumptions'!P63</f>
        <v>6</v>
      </c>
      <c r="Q91" s="585">
        <f>'Key Assumptions'!Q63</f>
        <v>6</v>
      </c>
      <c r="R91" s="585">
        <f>'Key Assumptions'!R63</f>
        <v>6</v>
      </c>
      <c r="S91" s="585">
        <f>'Key Assumptions'!S63</f>
        <v>6</v>
      </c>
      <c r="T91" s="585">
        <f>'Key Assumptions'!T63</f>
        <v>6</v>
      </c>
      <c r="U91" s="585">
        <f>'Key Assumptions'!U63</f>
        <v>6</v>
      </c>
      <c r="W91" s="588"/>
    </row>
    <row r="92" spans="1:23" ht="17.25" customHeight="1">
      <c r="A92" s="562" t="s">
        <v>411</v>
      </c>
      <c r="B92" s="562"/>
      <c r="C92" s="562"/>
      <c r="D92" s="562"/>
      <c r="F92" s="585">
        <f>'Key Assumptions'!F64</f>
        <v>1</v>
      </c>
      <c r="G92" s="585">
        <f>'Key Assumptions'!G64</f>
        <v>1</v>
      </c>
      <c r="H92" s="585">
        <f>'Key Assumptions'!H64</f>
        <v>1</v>
      </c>
      <c r="I92" s="585">
        <f>'Key Assumptions'!I64</f>
        <v>1</v>
      </c>
      <c r="J92" s="585">
        <f>'Key Assumptions'!J64</f>
        <v>1</v>
      </c>
      <c r="K92" s="585">
        <f>'Key Assumptions'!K64</f>
        <v>1</v>
      </c>
      <c r="L92" s="585">
        <f>'Key Assumptions'!L64</f>
        <v>1</v>
      </c>
      <c r="M92" s="585">
        <f>'Key Assumptions'!M64</f>
        <v>1</v>
      </c>
      <c r="N92" s="585">
        <f>'Key Assumptions'!N64</f>
        <v>1</v>
      </c>
      <c r="O92" s="585">
        <f>'Key Assumptions'!O64</f>
        <v>1</v>
      </c>
      <c r="P92" s="585">
        <f>'Key Assumptions'!P64</f>
        <v>1</v>
      </c>
      <c r="Q92" s="585">
        <f>'Key Assumptions'!Q64</f>
        <v>1</v>
      </c>
      <c r="R92" s="585">
        <f>'Key Assumptions'!R64</f>
        <v>1</v>
      </c>
      <c r="S92" s="585">
        <f>'Key Assumptions'!S64</f>
        <v>1</v>
      </c>
      <c r="T92" s="585">
        <f>'Key Assumptions'!T64</f>
        <v>1</v>
      </c>
      <c r="U92" s="585">
        <f>'Key Assumptions'!U64</f>
        <v>1</v>
      </c>
      <c r="W92" s="588"/>
    </row>
    <row r="93" spans="1:23" ht="17.25" customHeight="1">
      <c r="A93" s="562" t="s">
        <v>422</v>
      </c>
      <c r="B93" s="562"/>
      <c r="C93" s="562"/>
      <c r="D93" s="562"/>
      <c r="F93" s="585">
        <f>F91*F92</f>
        <v>1.5</v>
      </c>
      <c r="G93" s="585">
        <f t="shared" ref="G93:U93" si="30">G91*G92</f>
        <v>1.5</v>
      </c>
      <c r="H93" s="585">
        <f t="shared" si="30"/>
        <v>1.5</v>
      </c>
      <c r="I93" s="585">
        <f t="shared" si="30"/>
        <v>1.5</v>
      </c>
      <c r="J93" s="585">
        <f t="shared" si="30"/>
        <v>1.5</v>
      </c>
      <c r="K93" s="585">
        <f t="shared" si="30"/>
        <v>1.5</v>
      </c>
      <c r="L93" s="585">
        <f t="shared" si="30"/>
        <v>1.5</v>
      </c>
      <c r="M93" s="585">
        <f t="shared" si="30"/>
        <v>1.5</v>
      </c>
      <c r="N93" s="585">
        <f t="shared" si="30"/>
        <v>6</v>
      </c>
      <c r="O93" s="585">
        <f t="shared" si="30"/>
        <v>6</v>
      </c>
      <c r="P93" s="585">
        <f t="shared" si="30"/>
        <v>6</v>
      </c>
      <c r="Q93" s="585">
        <f t="shared" si="30"/>
        <v>6</v>
      </c>
      <c r="R93" s="585">
        <f t="shared" si="30"/>
        <v>6</v>
      </c>
      <c r="S93" s="585">
        <f t="shared" si="30"/>
        <v>6</v>
      </c>
      <c r="T93" s="585">
        <f t="shared" si="30"/>
        <v>6</v>
      </c>
      <c r="U93" s="585">
        <f t="shared" si="30"/>
        <v>6</v>
      </c>
      <c r="W93" s="588"/>
    </row>
    <row r="94" spans="1:23" ht="17.25" customHeight="1">
      <c r="A94" s="562" t="s">
        <v>320</v>
      </c>
      <c r="B94" s="562"/>
      <c r="C94" s="562"/>
      <c r="D94" s="562"/>
      <c r="F94" s="585">
        <f>'Key Assumptions'!F62</f>
        <v>15</v>
      </c>
      <c r="G94" s="585">
        <f>'Key Assumptions'!G62</f>
        <v>15</v>
      </c>
      <c r="H94" s="585">
        <f>'Key Assumptions'!H62</f>
        <v>15</v>
      </c>
      <c r="I94" s="585">
        <f>'Key Assumptions'!I62</f>
        <v>15</v>
      </c>
      <c r="J94" s="585">
        <f>'Key Assumptions'!J62</f>
        <v>15</v>
      </c>
      <c r="K94" s="585">
        <f>'Key Assumptions'!K62</f>
        <v>15</v>
      </c>
      <c r="L94" s="585">
        <f>'Key Assumptions'!L62</f>
        <v>15</v>
      </c>
      <c r="M94" s="585">
        <f>'Key Assumptions'!M62</f>
        <v>15</v>
      </c>
      <c r="N94" s="585">
        <f>'Key Assumptions'!N62</f>
        <v>15</v>
      </c>
      <c r="O94" s="585">
        <f>'Key Assumptions'!O62</f>
        <v>25</v>
      </c>
      <c r="P94" s="585">
        <f>'Key Assumptions'!P62</f>
        <v>25</v>
      </c>
      <c r="Q94" s="585">
        <f>'Key Assumptions'!Q62</f>
        <v>25</v>
      </c>
      <c r="R94" s="585">
        <f>'Key Assumptions'!R62</f>
        <v>25</v>
      </c>
      <c r="S94" s="585">
        <f>'Key Assumptions'!S62</f>
        <v>25</v>
      </c>
      <c r="T94" s="585">
        <f>'Key Assumptions'!T62</f>
        <v>25</v>
      </c>
      <c r="U94" s="585">
        <f>'Key Assumptions'!U62</f>
        <v>25</v>
      </c>
      <c r="W94" s="588"/>
    </row>
    <row r="95" spans="1:23" ht="17.25" customHeight="1">
      <c r="A95" s="586" t="s">
        <v>321</v>
      </c>
      <c r="B95" s="586"/>
      <c r="C95" s="586"/>
      <c r="D95" s="586"/>
      <c r="E95" s="562"/>
      <c r="F95" s="573">
        <f>F90*F93*F94</f>
        <v>67.5</v>
      </c>
      <c r="G95" s="573">
        <f t="shared" ref="G95:U95" si="31">G90*G93*G94</f>
        <v>67.5</v>
      </c>
      <c r="H95" s="573">
        <f t="shared" si="31"/>
        <v>67.5</v>
      </c>
      <c r="I95" s="573">
        <f t="shared" si="31"/>
        <v>67.5</v>
      </c>
      <c r="J95" s="573">
        <f t="shared" si="31"/>
        <v>90</v>
      </c>
      <c r="K95" s="573">
        <f t="shared" si="31"/>
        <v>90</v>
      </c>
      <c r="L95" s="573">
        <f t="shared" si="31"/>
        <v>90</v>
      </c>
      <c r="M95" s="573">
        <f t="shared" si="31"/>
        <v>90</v>
      </c>
      <c r="N95" s="573">
        <f t="shared" si="31"/>
        <v>360</v>
      </c>
      <c r="O95" s="573">
        <f t="shared" si="31"/>
        <v>600</v>
      </c>
      <c r="P95" s="573">
        <f t="shared" si="31"/>
        <v>600</v>
      </c>
      <c r="Q95" s="573">
        <f t="shared" si="31"/>
        <v>600</v>
      </c>
      <c r="R95" s="573">
        <f t="shared" si="31"/>
        <v>600</v>
      </c>
      <c r="S95" s="573">
        <f t="shared" si="31"/>
        <v>600</v>
      </c>
      <c r="T95" s="573">
        <f t="shared" si="31"/>
        <v>600</v>
      </c>
      <c r="U95" s="573">
        <f t="shared" si="31"/>
        <v>600</v>
      </c>
      <c r="V95" s="573">
        <f>F95+G95+H95+I95+J95+K95+L95+M95+N95+O95+P95+Q95+R95+S95+T95+U95</f>
        <v>5190</v>
      </c>
      <c r="W95" s="588"/>
    </row>
    <row r="96" spans="1:23" ht="17.25" customHeight="1">
      <c r="A96" s="562" t="s">
        <v>591</v>
      </c>
      <c r="B96" s="562"/>
      <c r="C96" s="562"/>
      <c r="D96" s="562"/>
      <c r="F96" s="580">
        <f>F95/F90</f>
        <v>22.5</v>
      </c>
      <c r="G96" s="580">
        <f t="shared" ref="G96:U96" si="32">G95/G90</f>
        <v>22.5</v>
      </c>
      <c r="H96" s="580">
        <f t="shared" si="32"/>
        <v>22.5</v>
      </c>
      <c r="I96" s="580">
        <f t="shared" si="32"/>
        <v>22.5</v>
      </c>
      <c r="J96" s="580">
        <f t="shared" si="32"/>
        <v>22.5</v>
      </c>
      <c r="K96" s="580">
        <f t="shared" si="32"/>
        <v>22.5</v>
      </c>
      <c r="L96" s="580">
        <f t="shared" si="32"/>
        <v>22.5</v>
      </c>
      <c r="M96" s="580">
        <f t="shared" si="32"/>
        <v>22.5</v>
      </c>
      <c r="N96" s="580">
        <f t="shared" si="32"/>
        <v>90</v>
      </c>
      <c r="O96" s="580">
        <f t="shared" si="32"/>
        <v>150</v>
      </c>
      <c r="P96" s="580">
        <f t="shared" si="32"/>
        <v>150</v>
      </c>
      <c r="Q96" s="580">
        <f t="shared" si="32"/>
        <v>150</v>
      </c>
      <c r="R96" s="580">
        <f t="shared" si="32"/>
        <v>150</v>
      </c>
      <c r="S96" s="580">
        <f t="shared" si="32"/>
        <v>150</v>
      </c>
      <c r="T96" s="580">
        <f t="shared" si="32"/>
        <v>150</v>
      </c>
      <c r="U96" s="580">
        <f t="shared" si="32"/>
        <v>150</v>
      </c>
      <c r="W96" s="588"/>
    </row>
    <row r="97" spans="1:23" ht="17.25" customHeight="1">
      <c r="A97" s="595" t="str">
        <f>'Key Assumptions'!B66</f>
        <v>Agriculture : Apiculture (16 Days, 48 hrs)</v>
      </c>
      <c r="B97" s="595"/>
      <c r="C97" s="595"/>
      <c r="D97" s="595"/>
      <c r="E97" s="577"/>
      <c r="J97" s="580"/>
      <c r="K97" s="580"/>
      <c r="L97" s="580"/>
      <c r="M97" s="580"/>
      <c r="N97" s="580"/>
      <c r="O97" s="580"/>
      <c r="P97" s="580"/>
      <c r="Q97" s="580"/>
      <c r="R97" s="580"/>
      <c r="S97" s="580"/>
      <c r="T97" s="580"/>
      <c r="U97" s="580"/>
      <c r="W97" s="588"/>
    </row>
    <row r="98" spans="1:23" ht="17.25" customHeight="1">
      <c r="A98" s="562" t="s">
        <v>455</v>
      </c>
      <c r="B98" s="562"/>
      <c r="C98" s="562"/>
      <c r="D98" s="562"/>
      <c r="E98" s="577"/>
      <c r="F98" s="585">
        <f>'Key Assumptions'!F141</f>
        <v>1</v>
      </c>
      <c r="G98" s="585">
        <f>'Key Assumptions'!G141</f>
        <v>1</v>
      </c>
      <c r="H98" s="585">
        <f>'Key Assumptions'!H141</f>
        <v>1</v>
      </c>
      <c r="I98" s="585">
        <f>'Key Assumptions'!I141</f>
        <v>1</v>
      </c>
      <c r="J98" s="585">
        <f>'Key Assumptions'!J141</f>
        <v>2</v>
      </c>
      <c r="K98" s="585">
        <f>'Key Assumptions'!K141</f>
        <v>2</v>
      </c>
      <c r="L98" s="585">
        <f>'Key Assumptions'!L141</f>
        <v>2</v>
      </c>
      <c r="M98" s="585">
        <f>'Key Assumptions'!M141</f>
        <v>2</v>
      </c>
      <c r="N98" s="585">
        <f>'Key Assumptions'!N141</f>
        <v>3</v>
      </c>
      <c r="O98" s="585">
        <f>'Key Assumptions'!O141</f>
        <v>4</v>
      </c>
      <c r="P98" s="585">
        <f>'Key Assumptions'!P141</f>
        <v>4</v>
      </c>
      <c r="Q98" s="585">
        <f>'Key Assumptions'!Q141</f>
        <v>4</v>
      </c>
      <c r="R98" s="585">
        <f>'Key Assumptions'!R141</f>
        <v>4</v>
      </c>
      <c r="S98" s="585">
        <f>'Key Assumptions'!S141</f>
        <v>4</v>
      </c>
      <c r="T98" s="585">
        <f>'Key Assumptions'!T141</f>
        <v>4</v>
      </c>
      <c r="U98" s="585">
        <f>'Key Assumptions'!U141</f>
        <v>4</v>
      </c>
      <c r="W98" s="588"/>
    </row>
    <row r="99" spans="1:23" ht="17.25" customHeight="1">
      <c r="A99" s="562" t="s">
        <v>421</v>
      </c>
      <c r="B99" s="562"/>
      <c r="C99" s="562"/>
      <c r="D99" s="562"/>
      <c r="F99" s="585">
        <f>'Key Assumptions'!F68</f>
        <v>2.5</v>
      </c>
      <c r="G99" s="585">
        <f>'Key Assumptions'!G68</f>
        <v>2.5</v>
      </c>
      <c r="H99" s="585">
        <f>'Key Assumptions'!H68</f>
        <v>2.5</v>
      </c>
      <c r="I99" s="585">
        <f>'Key Assumptions'!I68</f>
        <v>2.5</v>
      </c>
      <c r="J99" s="585">
        <f>'Key Assumptions'!J68</f>
        <v>2.5</v>
      </c>
      <c r="K99" s="585">
        <f>'Key Assumptions'!K68</f>
        <v>2.5</v>
      </c>
      <c r="L99" s="585">
        <f>'Key Assumptions'!L68</f>
        <v>2.5</v>
      </c>
      <c r="M99" s="585">
        <f>'Key Assumptions'!M68</f>
        <v>2.5</v>
      </c>
      <c r="N99" s="585">
        <f>'Key Assumptions'!N68</f>
        <v>10</v>
      </c>
      <c r="O99" s="585">
        <f>'Key Assumptions'!O68</f>
        <v>10</v>
      </c>
      <c r="P99" s="585">
        <f>'Key Assumptions'!P68</f>
        <v>10</v>
      </c>
      <c r="Q99" s="585">
        <f>'Key Assumptions'!Q68</f>
        <v>10</v>
      </c>
      <c r="R99" s="585">
        <f>'Key Assumptions'!R68</f>
        <v>10</v>
      </c>
      <c r="S99" s="585">
        <f>'Key Assumptions'!S68</f>
        <v>10</v>
      </c>
      <c r="T99" s="585">
        <f>'Key Assumptions'!T68</f>
        <v>10</v>
      </c>
      <c r="U99" s="585">
        <f>'Key Assumptions'!U68</f>
        <v>10</v>
      </c>
      <c r="W99" s="588"/>
    </row>
    <row r="100" spans="1:23" ht="17.25" customHeight="1">
      <c r="A100" s="562" t="s">
        <v>411</v>
      </c>
      <c r="B100" s="562"/>
      <c r="C100" s="562"/>
      <c r="D100" s="562"/>
      <c r="F100" s="585">
        <f>'Key Assumptions'!F69</f>
        <v>1</v>
      </c>
      <c r="G100" s="585">
        <f>'Key Assumptions'!G69</f>
        <v>1</v>
      </c>
      <c r="H100" s="585">
        <f>'Key Assumptions'!H69</f>
        <v>1</v>
      </c>
      <c r="I100" s="585">
        <f>'Key Assumptions'!I69</f>
        <v>1</v>
      </c>
      <c r="J100" s="585">
        <f>'Key Assumptions'!J69</f>
        <v>1</v>
      </c>
      <c r="K100" s="585">
        <f>'Key Assumptions'!K69</f>
        <v>1</v>
      </c>
      <c r="L100" s="585">
        <f>'Key Assumptions'!L69</f>
        <v>1</v>
      </c>
      <c r="M100" s="585">
        <f>'Key Assumptions'!M69</f>
        <v>1</v>
      </c>
      <c r="N100" s="585">
        <f>'Key Assumptions'!N69</f>
        <v>1</v>
      </c>
      <c r="O100" s="585">
        <f>'Key Assumptions'!O69</f>
        <v>1</v>
      </c>
      <c r="P100" s="585">
        <f>'Key Assumptions'!P69</f>
        <v>1</v>
      </c>
      <c r="Q100" s="585">
        <f>'Key Assumptions'!Q69</f>
        <v>1</v>
      </c>
      <c r="R100" s="585">
        <f>'Key Assumptions'!R69</f>
        <v>1</v>
      </c>
      <c r="S100" s="585">
        <f>'Key Assumptions'!S69</f>
        <v>1</v>
      </c>
      <c r="T100" s="585">
        <f>'Key Assumptions'!T69</f>
        <v>1</v>
      </c>
      <c r="U100" s="585">
        <f>'Key Assumptions'!U69</f>
        <v>1</v>
      </c>
      <c r="W100" s="588"/>
    </row>
    <row r="101" spans="1:23" ht="17.25" customHeight="1">
      <c r="A101" s="562" t="s">
        <v>422</v>
      </c>
      <c r="B101" s="562"/>
      <c r="C101" s="562"/>
      <c r="D101" s="562"/>
      <c r="F101" s="585">
        <f>F99*F100</f>
        <v>2.5</v>
      </c>
      <c r="G101" s="585">
        <f t="shared" ref="G101:U101" si="33">G99*G100</f>
        <v>2.5</v>
      </c>
      <c r="H101" s="585">
        <f t="shared" si="33"/>
        <v>2.5</v>
      </c>
      <c r="I101" s="585">
        <f t="shared" si="33"/>
        <v>2.5</v>
      </c>
      <c r="J101" s="585">
        <f t="shared" si="33"/>
        <v>2.5</v>
      </c>
      <c r="K101" s="585">
        <f t="shared" si="33"/>
        <v>2.5</v>
      </c>
      <c r="L101" s="585">
        <f t="shared" si="33"/>
        <v>2.5</v>
      </c>
      <c r="M101" s="585">
        <f t="shared" si="33"/>
        <v>2.5</v>
      </c>
      <c r="N101" s="585">
        <f t="shared" si="33"/>
        <v>10</v>
      </c>
      <c r="O101" s="585">
        <f t="shared" si="33"/>
        <v>10</v>
      </c>
      <c r="P101" s="585">
        <f t="shared" si="33"/>
        <v>10</v>
      </c>
      <c r="Q101" s="585">
        <f t="shared" si="33"/>
        <v>10</v>
      </c>
      <c r="R101" s="585">
        <f t="shared" si="33"/>
        <v>10</v>
      </c>
      <c r="S101" s="585">
        <f t="shared" si="33"/>
        <v>10</v>
      </c>
      <c r="T101" s="585">
        <f t="shared" si="33"/>
        <v>10</v>
      </c>
      <c r="U101" s="585">
        <f t="shared" si="33"/>
        <v>10</v>
      </c>
      <c r="W101" s="588"/>
    </row>
    <row r="102" spans="1:23" ht="17.25" customHeight="1">
      <c r="A102" s="562" t="s">
        <v>320</v>
      </c>
      <c r="B102" s="562"/>
      <c r="C102" s="562"/>
      <c r="D102" s="562"/>
      <c r="F102" s="585">
        <f>'Key Assumptions'!F67</f>
        <v>15</v>
      </c>
      <c r="G102" s="585">
        <f>'Key Assumptions'!G67</f>
        <v>15</v>
      </c>
      <c r="H102" s="585">
        <f>'Key Assumptions'!H67</f>
        <v>15</v>
      </c>
      <c r="I102" s="585">
        <f>'Key Assumptions'!I67</f>
        <v>15</v>
      </c>
      <c r="J102" s="585">
        <f>'Key Assumptions'!J67</f>
        <v>15</v>
      </c>
      <c r="K102" s="585">
        <f>'Key Assumptions'!K67</f>
        <v>15</v>
      </c>
      <c r="L102" s="585">
        <f>'Key Assumptions'!L67</f>
        <v>15</v>
      </c>
      <c r="M102" s="585">
        <f>'Key Assumptions'!M67</f>
        <v>15</v>
      </c>
      <c r="N102" s="585">
        <f>'Key Assumptions'!N67</f>
        <v>15</v>
      </c>
      <c r="O102" s="585">
        <f>'Key Assumptions'!O67</f>
        <v>25</v>
      </c>
      <c r="P102" s="585">
        <f>'Key Assumptions'!P67</f>
        <v>25</v>
      </c>
      <c r="Q102" s="585">
        <f>'Key Assumptions'!Q67</f>
        <v>25</v>
      </c>
      <c r="R102" s="585">
        <f>'Key Assumptions'!R67</f>
        <v>25</v>
      </c>
      <c r="S102" s="585">
        <f>'Key Assumptions'!S67</f>
        <v>25</v>
      </c>
      <c r="T102" s="585">
        <f>'Key Assumptions'!T67</f>
        <v>25</v>
      </c>
      <c r="U102" s="585">
        <f>'Key Assumptions'!U67</f>
        <v>25</v>
      </c>
      <c r="W102" s="588"/>
    </row>
    <row r="103" spans="1:23" ht="17.25" customHeight="1">
      <c r="A103" s="586" t="s">
        <v>321</v>
      </c>
      <c r="B103" s="586"/>
      <c r="C103" s="586"/>
      <c r="D103" s="586"/>
      <c r="E103" s="562"/>
      <c r="F103" s="573">
        <f>F98*F101*F102</f>
        <v>37.5</v>
      </c>
      <c r="G103" s="573">
        <f t="shared" ref="G103:U103" si="34">G98*G101*G102</f>
        <v>37.5</v>
      </c>
      <c r="H103" s="573">
        <f t="shared" si="34"/>
        <v>37.5</v>
      </c>
      <c r="I103" s="573">
        <f t="shared" si="34"/>
        <v>37.5</v>
      </c>
      <c r="J103" s="573">
        <f t="shared" si="34"/>
        <v>75</v>
      </c>
      <c r="K103" s="573">
        <f t="shared" si="34"/>
        <v>75</v>
      </c>
      <c r="L103" s="573">
        <f t="shared" si="34"/>
        <v>75</v>
      </c>
      <c r="M103" s="573">
        <f t="shared" si="34"/>
        <v>75</v>
      </c>
      <c r="N103" s="573">
        <f t="shared" si="34"/>
        <v>450</v>
      </c>
      <c r="O103" s="573">
        <f t="shared" si="34"/>
        <v>1000</v>
      </c>
      <c r="P103" s="573">
        <f t="shared" si="34"/>
        <v>1000</v>
      </c>
      <c r="Q103" s="573">
        <f t="shared" si="34"/>
        <v>1000</v>
      </c>
      <c r="R103" s="573">
        <f t="shared" si="34"/>
        <v>1000</v>
      </c>
      <c r="S103" s="573">
        <f t="shared" si="34"/>
        <v>1000</v>
      </c>
      <c r="T103" s="573">
        <f t="shared" si="34"/>
        <v>1000</v>
      </c>
      <c r="U103" s="573">
        <f t="shared" si="34"/>
        <v>1000</v>
      </c>
      <c r="V103" s="573">
        <f>F103+G103+H103+I103+J103+K103+L103+M103+N103+O103+P103+Q103+R103+S103+T103+U103</f>
        <v>7900</v>
      </c>
      <c r="W103" s="588"/>
    </row>
    <row r="104" spans="1:23" ht="17.25" customHeight="1">
      <c r="A104" s="562" t="s">
        <v>591</v>
      </c>
      <c r="B104" s="562"/>
      <c r="C104" s="562"/>
      <c r="D104" s="562"/>
      <c r="F104" s="580">
        <f>F103/F98</f>
        <v>37.5</v>
      </c>
      <c r="G104" s="580">
        <f t="shared" ref="G104:U104" si="35">G103/G98</f>
        <v>37.5</v>
      </c>
      <c r="H104" s="580">
        <f t="shared" si="35"/>
        <v>37.5</v>
      </c>
      <c r="I104" s="580">
        <f t="shared" si="35"/>
        <v>37.5</v>
      </c>
      <c r="J104" s="580">
        <f t="shared" si="35"/>
        <v>37.5</v>
      </c>
      <c r="K104" s="580">
        <f t="shared" si="35"/>
        <v>37.5</v>
      </c>
      <c r="L104" s="580">
        <f t="shared" si="35"/>
        <v>37.5</v>
      </c>
      <c r="M104" s="580">
        <f t="shared" si="35"/>
        <v>37.5</v>
      </c>
      <c r="N104" s="580">
        <f t="shared" si="35"/>
        <v>150</v>
      </c>
      <c r="O104" s="580">
        <f t="shared" si="35"/>
        <v>250</v>
      </c>
      <c r="P104" s="580">
        <f t="shared" si="35"/>
        <v>250</v>
      </c>
      <c r="Q104" s="580">
        <f t="shared" si="35"/>
        <v>250</v>
      </c>
      <c r="R104" s="580">
        <f t="shared" si="35"/>
        <v>250</v>
      </c>
      <c r="S104" s="580">
        <f t="shared" si="35"/>
        <v>250</v>
      </c>
      <c r="T104" s="580">
        <f t="shared" si="35"/>
        <v>250</v>
      </c>
      <c r="U104" s="580">
        <f t="shared" si="35"/>
        <v>250</v>
      </c>
      <c r="W104" s="588"/>
    </row>
    <row r="105" spans="1:23" ht="17.25" customHeight="1">
      <c r="A105" s="595" t="str">
        <f>'Key Assumptions'!B71</f>
        <v>Agriculture : Mushroom farming  (16 Days, 48 hrs)</v>
      </c>
      <c r="B105" s="595"/>
      <c r="C105" s="595"/>
      <c r="D105" s="595"/>
      <c r="E105" s="577"/>
      <c r="J105" s="580"/>
      <c r="K105" s="580"/>
      <c r="L105" s="580"/>
      <c r="M105" s="580"/>
      <c r="N105" s="580"/>
      <c r="O105" s="580"/>
      <c r="P105" s="580"/>
      <c r="Q105" s="580"/>
      <c r="R105" s="580"/>
      <c r="S105" s="580"/>
      <c r="T105" s="580"/>
      <c r="U105" s="580"/>
      <c r="W105" s="588"/>
    </row>
    <row r="106" spans="1:23" ht="17.25" customHeight="1">
      <c r="A106" s="562" t="s">
        <v>455</v>
      </c>
      <c r="B106" s="562"/>
      <c r="C106" s="562"/>
      <c r="D106" s="562"/>
      <c r="E106" s="577"/>
      <c r="F106" s="585">
        <f>'Key Assumptions'!F144</f>
        <v>1</v>
      </c>
      <c r="G106" s="585">
        <f>'Key Assumptions'!G144</f>
        <v>1</v>
      </c>
      <c r="H106" s="585">
        <f>'Key Assumptions'!H144</f>
        <v>1</v>
      </c>
      <c r="I106" s="585">
        <f>'Key Assumptions'!I144</f>
        <v>1</v>
      </c>
      <c r="J106" s="585">
        <f>'Key Assumptions'!J144</f>
        <v>2</v>
      </c>
      <c r="K106" s="585">
        <f>'Key Assumptions'!K144</f>
        <v>2</v>
      </c>
      <c r="L106" s="585">
        <f>'Key Assumptions'!L144</f>
        <v>2</v>
      </c>
      <c r="M106" s="585">
        <f>'Key Assumptions'!M144</f>
        <v>2</v>
      </c>
      <c r="N106" s="585">
        <f>'Key Assumptions'!N144</f>
        <v>3</v>
      </c>
      <c r="O106" s="585">
        <f>'Key Assumptions'!O144</f>
        <v>4</v>
      </c>
      <c r="P106" s="585">
        <f>'Key Assumptions'!P144</f>
        <v>4</v>
      </c>
      <c r="Q106" s="585">
        <f>'Key Assumptions'!Q144</f>
        <v>4</v>
      </c>
      <c r="R106" s="585">
        <f>'Key Assumptions'!R144</f>
        <v>4</v>
      </c>
      <c r="S106" s="585">
        <f>'Key Assumptions'!S144</f>
        <v>4</v>
      </c>
      <c r="T106" s="585">
        <f>'Key Assumptions'!T144</f>
        <v>4</v>
      </c>
      <c r="U106" s="585">
        <f>'Key Assumptions'!U144</f>
        <v>4</v>
      </c>
      <c r="W106" s="588"/>
    </row>
    <row r="107" spans="1:23" ht="17.25" customHeight="1">
      <c r="A107" s="562" t="s">
        <v>421</v>
      </c>
      <c r="B107" s="562"/>
      <c r="C107" s="562"/>
      <c r="D107" s="562"/>
      <c r="F107" s="585">
        <f>'Key Assumptions'!F73</f>
        <v>2.5</v>
      </c>
      <c r="G107" s="585">
        <f>'Key Assumptions'!G73</f>
        <v>2.5</v>
      </c>
      <c r="H107" s="585">
        <f>'Key Assumptions'!H73</f>
        <v>2.5</v>
      </c>
      <c r="I107" s="585">
        <f>'Key Assumptions'!I73</f>
        <v>2.5</v>
      </c>
      <c r="J107" s="585">
        <f>'Key Assumptions'!J73</f>
        <v>2.5</v>
      </c>
      <c r="K107" s="585">
        <f>'Key Assumptions'!K73</f>
        <v>2.5</v>
      </c>
      <c r="L107" s="585">
        <f>'Key Assumptions'!L73</f>
        <v>2.5</v>
      </c>
      <c r="M107" s="585">
        <f>'Key Assumptions'!M73</f>
        <v>2.5</v>
      </c>
      <c r="N107" s="585">
        <f>'Key Assumptions'!N73</f>
        <v>10</v>
      </c>
      <c r="O107" s="585">
        <f>'Key Assumptions'!O73</f>
        <v>10</v>
      </c>
      <c r="P107" s="585">
        <f>'Key Assumptions'!P73</f>
        <v>10</v>
      </c>
      <c r="Q107" s="585">
        <f>'Key Assumptions'!Q73</f>
        <v>10</v>
      </c>
      <c r="R107" s="585">
        <f>'Key Assumptions'!R73</f>
        <v>10</v>
      </c>
      <c r="S107" s="585">
        <f>'Key Assumptions'!S73</f>
        <v>10</v>
      </c>
      <c r="T107" s="585">
        <f>'Key Assumptions'!T73</f>
        <v>10</v>
      </c>
      <c r="U107" s="585">
        <f>'Key Assumptions'!U73</f>
        <v>10</v>
      </c>
      <c r="W107" s="588"/>
    </row>
    <row r="108" spans="1:23" ht="17.25" customHeight="1">
      <c r="A108" s="562" t="s">
        <v>411</v>
      </c>
      <c r="B108" s="562"/>
      <c r="C108" s="562"/>
      <c r="D108" s="562"/>
      <c r="F108" s="585">
        <f>'Key Assumptions'!F74</f>
        <v>1</v>
      </c>
      <c r="G108" s="585">
        <f>'Key Assumptions'!G74</f>
        <v>1</v>
      </c>
      <c r="H108" s="585">
        <f>'Key Assumptions'!H74</f>
        <v>1</v>
      </c>
      <c r="I108" s="585">
        <f>'Key Assumptions'!I74</f>
        <v>1</v>
      </c>
      <c r="J108" s="585">
        <f>'Key Assumptions'!J74</f>
        <v>1</v>
      </c>
      <c r="K108" s="585">
        <f>'Key Assumptions'!K74</f>
        <v>1</v>
      </c>
      <c r="L108" s="585">
        <f>'Key Assumptions'!L74</f>
        <v>1</v>
      </c>
      <c r="M108" s="585">
        <f>'Key Assumptions'!M74</f>
        <v>1</v>
      </c>
      <c r="N108" s="585">
        <f>'Key Assumptions'!N74</f>
        <v>1</v>
      </c>
      <c r="O108" s="585">
        <f>'Key Assumptions'!O74</f>
        <v>1</v>
      </c>
      <c r="P108" s="585">
        <f>'Key Assumptions'!P74</f>
        <v>1</v>
      </c>
      <c r="Q108" s="585">
        <f>'Key Assumptions'!Q74</f>
        <v>1</v>
      </c>
      <c r="R108" s="585">
        <f>'Key Assumptions'!R74</f>
        <v>1</v>
      </c>
      <c r="S108" s="585">
        <f>'Key Assumptions'!S74</f>
        <v>1</v>
      </c>
      <c r="T108" s="585">
        <f>'Key Assumptions'!T74</f>
        <v>1</v>
      </c>
      <c r="U108" s="585">
        <f>'Key Assumptions'!U74</f>
        <v>1</v>
      </c>
      <c r="W108" s="588"/>
    </row>
    <row r="109" spans="1:23" ht="17.25" customHeight="1">
      <c r="A109" s="562" t="s">
        <v>422</v>
      </c>
      <c r="B109" s="562"/>
      <c r="C109" s="562"/>
      <c r="D109" s="562"/>
      <c r="F109" s="585">
        <f>F107*F108</f>
        <v>2.5</v>
      </c>
      <c r="G109" s="585">
        <f t="shared" ref="G109:U109" si="36">G107*G108</f>
        <v>2.5</v>
      </c>
      <c r="H109" s="585">
        <f t="shared" si="36"/>
        <v>2.5</v>
      </c>
      <c r="I109" s="585">
        <f t="shared" si="36"/>
        <v>2.5</v>
      </c>
      <c r="J109" s="585">
        <f t="shared" si="36"/>
        <v>2.5</v>
      </c>
      <c r="K109" s="585">
        <f t="shared" si="36"/>
        <v>2.5</v>
      </c>
      <c r="L109" s="585">
        <f t="shared" si="36"/>
        <v>2.5</v>
      </c>
      <c r="M109" s="585">
        <f t="shared" si="36"/>
        <v>2.5</v>
      </c>
      <c r="N109" s="585">
        <f t="shared" si="36"/>
        <v>10</v>
      </c>
      <c r="O109" s="585">
        <f t="shared" si="36"/>
        <v>10</v>
      </c>
      <c r="P109" s="585">
        <f t="shared" si="36"/>
        <v>10</v>
      </c>
      <c r="Q109" s="585">
        <f t="shared" si="36"/>
        <v>10</v>
      </c>
      <c r="R109" s="585">
        <f t="shared" si="36"/>
        <v>10</v>
      </c>
      <c r="S109" s="585">
        <f t="shared" si="36"/>
        <v>10</v>
      </c>
      <c r="T109" s="585">
        <f t="shared" si="36"/>
        <v>10</v>
      </c>
      <c r="U109" s="585">
        <f t="shared" si="36"/>
        <v>10</v>
      </c>
      <c r="W109" s="588"/>
    </row>
    <row r="110" spans="1:23" ht="17.25" customHeight="1">
      <c r="A110" s="562" t="s">
        <v>320</v>
      </c>
      <c r="B110" s="562"/>
      <c r="C110" s="562"/>
      <c r="D110" s="562"/>
      <c r="F110" s="585">
        <f>'Key Assumptions'!F72</f>
        <v>15</v>
      </c>
      <c r="G110" s="585">
        <f>'Key Assumptions'!G72</f>
        <v>15</v>
      </c>
      <c r="H110" s="585">
        <f>'Key Assumptions'!H72</f>
        <v>15</v>
      </c>
      <c r="I110" s="585">
        <f>'Key Assumptions'!I72</f>
        <v>15</v>
      </c>
      <c r="J110" s="585">
        <f>'Key Assumptions'!J72</f>
        <v>15</v>
      </c>
      <c r="K110" s="585">
        <f>'Key Assumptions'!K72</f>
        <v>15</v>
      </c>
      <c r="L110" s="585">
        <f>'Key Assumptions'!L72</f>
        <v>15</v>
      </c>
      <c r="M110" s="585">
        <f>'Key Assumptions'!M72</f>
        <v>15</v>
      </c>
      <c r="N110" s="585">
        <f>'Key Assumptions'!N72</f>
        <v>15</v>
      </c>
      <c r="O110" s="585">
        <f>'Key Assumptions'!O72</f>
        <v>25</v>
      </c>
      <c r="P110" s="585">
        <f>'Key Assumptions'!P72</f>
        <v>25</v>
      </c>
      <c r="Q110" s="585">
        <f>'Key Assumptions'!Q72</f>
        <v>25</v>
      </c>
      <c r="R110" s="585">
        <f>'Key Assumptions'!R72</f>
        <v>25</v>
      </c>
      <c r="S110" s="585">
        <f>'Key Assumptions'!S72</f>
        <v>25</v>
      </c>
      <c r="T110" s="585">
        <f>'Key Assumptions'!T72</f>
        <v>25</v>
      </c>
      <c r="U110" s="585">
        <f>'Key Assumptions'!U72</f>
        <v>25</v>
      </c>
      <c r="W110" s="588"/>
    </row>
    <row r="111" spans="1:23" ht="17.25" customHeight="1">
      <c r="A111" s="586" t="s">
        <v>321</v>
      </c>
      <c r="B111" s="586"/>
      <c r="C111" s="586"/>
      <c r="D111" s="586"/>
      <c r="E111" s="562"/>
      <c r="F111" s="573">
        <f>F106*F109*F110</f>
        <v>37.5</v>
      </c>
      <c r="G111" s="573">
        <f t="shared" ref="G111:U111" si="37">G106*G109*G110</f>
        <v>37.5</v>
      </c>
      <c r="H111" s="573">
        <f t="shared" si="37"/>
        <v>37.5</v>
      </c>
      <c r="I111" s="573">
        <f t="shared" si="37"/>
        <v>37.5</v>
      </c>
      <c r="J111" s="573">
        <f t="shared" si="37"/>
        <v>75</v>
      </c>
      <c r="K111" s="573">
        <f t="shared" si="37"/>
        <v>75</v>
      </c>
      <c r="L111" s="573">
        <f t="shared" si="37"/>
        <v>75</v>
      </c>
      <c r="M111" s="573">
        <f t="shared" si="37"/>
        <v>75</v>
      </c>
      <c r="N111" s="573">
        <f t="shared" si="37"/>
        <v>450</v>
      </c>
      <c r="O111" s="573">
        <f t="shared" si="37"/>
        <v>1000</v>
      </c>
      <c r="P111" s="573">
        <f t="shared" si="37"/>
        <v>1000</v>
      </c>
      <c r="Q111" s="573">
        <f t="shared" si="37"/>
        <v>1000</v>
      </c>
      <c r="R111" s="573">
        <f t="shared" si="37"/>
        <v>1000</v>
      </c>
      <c r="S111" s="573">
        <f t="shared" si="37"/>
        <v>1000</v>
      </c>
      <c r="T111" s="573">
        <f t="shared" si="37"/>
        <v>1000</v>
      </c>
      <c r="U111" s="573">
        <f t="shared" si="37"/>
        <v>1000</v>
      </c>
      <c r="V111" s="573">
        <f>F111+G111+H111+I111+J111+K111+L111+M111+N111+O111+P111+Q111+R111+S111+T111+U111</f>
        <v>7900</v>
      </c>
      <c r="W111" s="588"/>
    </row>
    <row r="112" spans="1:23" ht="17.25" customHeight="1">
      <c r="A112" s="562" t="s">
        <v>591</v>
      </c>
      <c r="B112" s="562"/>
      <c r="C112" s="562"/>
      <c r="D112" s="562"/>
      <c r="F112" s="580">
        <f>F111/F106</f>
        <v>37.5</v>
      </c>
      <c r="G112" s="580">
        <f t="shared" ref="G112:U112" si="38">G111/G106</f>
        <v>37.5</v>
      </c>
      <c r="H112" s="580">
        <f t="shared" si="38"/>
        <v>37.5</v>
      </c>
      <c r="I112" s="580">
        <f t="shared" si="38"/>
        <v>37.5</v>
      </c>
      <c r="J112" s="580">
        <f t="shared" si="38"/>
        <v>37.5</v>
      </c>
      <c r="K112" s="580">
        <f t="shared" si="38"/>
        <v>37.5</v>
      </c>
      <c r="L112" s="580">
        <f t="shared" si="38"/>
        <v>37.5</v>
      </c>
      <c r="M112" s="580">
        <f t="shared" si="38"/>
        <v>37.5</v>
      </c>
      <c r="N112" s="580">
        <f t="shared" si="38"/>
        <v>150</v>
      </c>
      <c r="O112" s="580">
        <f t="shared" si="38"/>
        <v>250</v>
      </c>
      <c r="P112" s="580">
        <f t="shared" si="38"/>
        <v>250</v>
      </c>
      <c r="Q112" s="580">
        <f t="shared" si="38"/>
        <v>250</v>
      </c>
      <c r="R112" s="580">
        <f t="shared" si="38"/>
        <v>250</v>
      </c>
      <c r="S112" s="580">
        <f t="shared" si="38"/>
        <v>250</v>
      </c>
      <c r="T112" s="580">
        <f t="shared" si="38"/>
        <v>250</v>
      </c>
      <c r="U112" s="580">
        <f t="shared" si="38"/>
        <v>250</v>
      </c>
      <c r="W112" s="588"/>
    </row>
    <row r="113" spans="1:23" ht="17.25" customHeight="1">
      <c r="A113" s="595" t="str">
        <f>'Key Assumptions'!B76</f>
        <v>Agriculture : Floriculture  (16 Days, 48 hrs)</v>
      </c>
      <c r="B113" s="595"/>
      <c r="C113" s="595"/>
      <c r="D113" s="595"/>
      <c r="E113" s="577"/>
      <c r="J113" s="580"/>
      <c r="K113" s="580"/>
      <c r="L113" s="580"/>
      <c r="M113" s="580"/>
      <c r="N113" s="580"/>
      <c r="O113" s="580"/>
      <c r="P113" s="580"/>
      <c r="Q113" s="580"/>
      <c r="R113" s="580"/>
      <c r="S113" s="580"/>
      <c r="T113" s="580"/>
      <c r="U113" s="580"/>
      <c r="W113" s="588"/>
    </row>
    <row r="114" spans="1:23" ht="17.25" customHeight="1">
      <c r="A114" s="562" t="s">
        <v>455</v>
      </c>
      <c r="B114" s="562"/>
      <c r="C114" s="562"/>
      <c r="D114" s="562"/>
      <c r="E114" s="577"/>
      <c r="F114" s="585">
        <f>'Key Assumptions'!F147</f>
        <v>1</v>
      </c>
      <c r="G114" s="585">
        <f>'Key Assumptions'!G147</f>
        <v>1</v>
      </c>
      <c r="H114" s="585">
        <f>'Key Assumptions'!H147</f>
        <v>1</v>
      </c>
      <c r="I114" s="585">
        <f>'Key Assumptions'!I147</f>
        <v>1</v>
      </c>
      <c r="J114" s="585">
        <f>'Key Assumptions'!J147</f>
        <v>2</v>
      </c>
      <c r="K114" s="585">
        <f>'Key Assumptions'!K147</f>
        <v>2</v>
      </c>
      <c r="L114" s="585">
        <f>'Key Assumptions'!L147</f>
        <v>2</v>
      </c>
      <c r="M114" s="585">
        <f>'Key Assumptions'!M147</f>
        <v>2</v>
      </c>
      <c r="N114" s="585">
        <f>'Key Assumptions'!N147</f>
        <v>3</v>
      </c>
      <c r="O114" s="585">
        <f>'Key Assumptions'!O147</f>
        <v>4</v>
      </c>
      <c r="P114" s="585">
        <f>'Key Assumptions'!P147</f>
        <v>4</v>
      </c>
      <c r="Q114" s="585">
        <f>'Key Assumptions'!Q147</f>
        <v>4</v>
      </c>
      <c r="R114" s="585">
        <f>'Key Assumptions'!R147</f>
        <v>4</v>
      </c>
      <c r="S114" s="585">
        <f>'Key Assumptions'!S147</f>
        <v>4</v>
      </c>
      <c r="T114" s="585">
        <f>'Key Assumptions'!T147</f>
        <v>4</v>
      </c>
      <c r="U114" s="585">
        <f>'Key Assumptions'!U147</f>
        <v>4</v>
      </c>
      <c r="W114" s="588"/>
    </row>
    <row r="115" spans="1:23" ht="17.25" customHeight="1">
      <c r="A115" s="562" t="s">
        <v>421</v>
      </c>
      <c r="B115" s="562"/>
      <c r="C115" s="562"/>
      <c r="D115" s="562"/>
      <c r="F115" s="585">
        <f>'Key Assumptions'!F78</f>
        <v>2.5</v>
      </c>
      <c r="G115" s="585">
        <f>'Key Assumptions'!G78</f>
        <v>2.5</v>
      </c>
      <c r="H115" s="585">
        <f>'Key Assumptions'!H78</f>
        <v>2.5</v>
      </c>
      <c r="I115" s="585">
        <f>'Key Assumptions'!I78</f>
        <v>2.5</v>
      </c>
      <c r="J115" s="585">
        <f>'Key Assumptions'!J78</f>
        <v>2.5</v>
      </c>
      <c r="K115" s="585">
        <f>'Key Assumptions'!K78</f>
        <v>2.5</v>
      </c>
      <c r="L115" s="585">
        <f>'Key Assumptions'!L78</f>
        <v>2.5</v>
      </c>
      <c r="M115" s="585">
        <f>'Key Assumptions'!M78</f>
        <v>2.5</v>
      </c>
      <c r="N115" s="585">
        <f>'Key Assumptions'!N78</f>
        <v>10</v>
      </c>
      <c r="O115" s="585">
        <f>'Key Assumptions'!O78</f>
        <v>10</v>
      </c>
      <c r="P115" s="585">
        <f>'Key Assumptions'!P78</f>
        <v>10</v>
      </c>
      <c r="Q115" s="585">
        <f>'Key Assumptions'!Q78</f>
        <v>10</v>
      </c>
      <c r="R115" s="585">
        <f>'Key Assumptions'!R78</f>
        <v>10</v>
      </c>
      <c r="S115" s="585">
        <f>'Key Assumptions'!S78</f>
        <v>10</v>
      </c>
      <c r="T115" s="585">
        <f>'Key Assumptions'!T78</f>
        <v>10</v>
      </c>
      <c r="U115" s="585">
        <f>'Key Assumptions'!U78</f>
        <v>10</v>
      </c>
      <c r="W115" s="588"/>
    </row>
    <row r="116" spans="1:23" ht="17.25" customHeight="1">
      <c r="A116" s="562" t="s">
        <v>411</v>
      </c>
      <c r="B116" s="562"/>
      <c r="C116" s="562"/>
      <c r="D116" s="562"/>
      <c r="F116" s="585">
        <f>'Key Assumptions'!F79</f>
        <v>1</v>
      </c>
      <c r="G116" s="585">
        <f>'Key Assumptions'!G79</f>
        <v>1</v>
      </c>
      <c r="H116" s="585">
        <f>'Key Assumptions'!H79</f>
        <v>1</v>
      </c>
      <c r="I116" s="585">
        <f>'Key Assumptions'!I79</f>
        <v>1</v>
      </c>
      <c r="J116" s="585">
        <f>'Key Assumptions'!J79</f>
        <v>1</v>
      </c>
      <c r="K116" s="585">
        <f>'Key Assumptions'!K79</f>
        <v>1</v>
      </c>
      <c r="L116" s="585">
        <f>'Key Assumptions'!L79</f>
        <v>1</v>
      </c>
      <c r="M116" s="585">
        <f>'Key Assumptions'!M79</f>
        <v>1</v>
      </c>
      <c r="N116" s="585">
        <f>'Key Assumptions'!N79</f>
        <v>1</v>
      </c>
      <c r="O116" s="585">
        <f>'Key Assumptions'!O79</f>
        <v>1</v>
      </c>
      <c r="P116" s="585">
        <f>'Key Assumptions'!P79</f>
        <v>1</v>
      </c>
      <c r="Q116" s="585">
        <f>'Key Assumptions'!Q79</f>
        <v>1</v>
      </c>
      <c r="R116" s="585">
        <f>'Key Assumptions'!R79</f>
        <v>1</v>
      </c>
      <c r="S116" s="585">
        <f>'Key Assumptions'!S79</f>
        <v>1</v>
      </c>
      <c r="T116" s="585">
        <f>'Key Assumptions'!T79</f>
        <v>1</v>
      </c>
      <c r="U116" s="585">
        <f>'Key Assumptions'!U79</f>
        <v>1</v>
      </c>
      <c r="W116" s="588"/>
    </row>
    <row r="117" spans="1:23" ht="17.25" customHeight="1">
      <c r="A117" s="562" t="s">
        <v>422</v>
      </c>
      <c r="B117" s="562"/>
      <c r="C117" s="562"/>
      <c r="D117" s="562"/>
      <c r="F117" s="585">
        <f>F115*F116</f>
        <v>2.5</v>
      </c>
      <c r="G117" s="585">
        <f t="shared" ref="G117:U117" si="39">G115*G116</f>
        <v>2.5</v>
      </c>
      <c r="H117" s="585">
        <f t="shared" si="39"/>
        <v>2.5</v>
      </c>
      <c r="I117" s="585">
        <f t="shared" si="39"/>
        <v>2.5</v>
      </c>
      <c r="J117" s="585">
        <f t="shared" si="39"/>
        <v>2.5</v>
      </c>
      <c r="K117" s="585">
        <f t="shared" si="39"/>
        <v>2.5</v>
      </c>
      <c r="L117" s="585">
        <f t="shared" si="39"/>
        <v>2.5</v>
      </c>
      <c r="M117" s="585">
        <f t="shared" si="39"/>
        <v>2.5</v>
      </c>
      <c r="N117" s="585">
        <f t="shared" si="39"/>
        <v>10</v>
      </c>
      <c r="O117" s="585">
        <f t="shared" si="39"/>
        <v>10</v>
      </c>
      <c r="P117" s="585">
        <f t="shared" si="39"/>
        <v>10</v>
      </c>
      <c r="Q117" s="585">
        <f t="shared" si="39"/>
        <v>10</v>
      </c>
      <c r="R117" s="585">
        <f t="shared" si="39"/>
        <v>10</v>
      </c>
      <c r="S117" s="585">
        <f t="shared" si="39"/>
        <v>10</v>
      </c>
      <c r="T117" s="585">
        <f t="shared" si="39"/>
        <v>10</v>
      </c>
      <c r="U117" s="585">
        <f t="shared" si="39"/>
        <v>10</v>
      </c>
      <c r="W117" s="588"/>
    </row>
    <row r="118" spans="1:23" ht="17.25" customHeight="1">
      <c r="A118" s="562" t="s">
        <v>320</v>
      </c>
      <c r="B118" s="562"/>
      <c r="C118" s="562"/>
      <c r="D118" s="562"/>
      <c r="F118" s="585">
        <f>'Key Assumptions'!F77</f>
        <v>15</v>
      </c>
      <c r="G118" s="585">
        <f>'Key Assumptions'!G77</f>
        <v>15</v>
      </c>
      <c r="H118" s="585">
        <f>'Key Assumptions'!H77</f>
        <v>15</v>
      </c>
      <c r="I118" s="585">
        <f>'Key Assumptions'!I77</f>
        <v>15</v>
      </c>
      <c r="J118" s="585">
        <f>'Key Assumptions'!J77</f>
        <v>15</v>
      </c>
      <c r="K118" s="585">
        <f>'Key Assumptions'!K77</f>
        <v>15</v>
      </c>
      <c r="L118" s="585">
        <f>'Key Assumptions'!L77</f>
        <v>15</v>
      </c>
      <c r="M118" s="585">
        <f>'Key Assumptions'!M77</f>
        <v>15</v>
      </c>
      <c r="N118" s="585">
        <f>'Key Assumptions'!N77</f>
        <v>15</v>
      </c>
      <c r="O118" s="585">
        <f>'Key Assumptions'!O77</f>
        <v>25</v>
      </c>
      <c r="P118" s="585">
        <f>'Key Assumptions'!P77</f>
        <v>25</v>
      </c>
      <c r="Q118" s="585">
        <f>'Key Assumptions'!Q77</f>
        <v>25</v>
      </c>
      <c r="R118" s="585">
        <f>'Key Assumptions'!R77</f>
        <v>25</v>
      </c>
      <c r="S118" s="585">
        <f>'Key Assumptions'!S77</f>
        <v>25</v>
      </c>
      <c r="T118" s="585">
        <f>'Key Assumptions'!T77</f>
        <v>25</v>
      </c>
      <c r="U118" s="585">
        <f>'Key Assumptions'!U77</f>
        <v>25</v>
      </c>
      <c r="W118" s="588"/>
    </row>
    <row r="119" spans="1:23" ht="17.25" customHeight="1">
      <c r="A119" s="586" t="s">
        <v>321</v>
      </c>
      <c r="B119" s="586"/>
      <c r="C119" s="586"/>
      <c r="D119" s="586"/>
      <c r="E119" s="562"/>
      <c r="F119" s="573">
        <f>F114*F117*F118</f>
        <v>37.5</v>
      </c>
      <c r="G119" s="573">
        <f t="shared" ref="G119:U119" si="40">G114*G117*G118</f>
        <v>37.5</v>
      </c>
      <c r="H119" s="573">
        <f t="shared" si="40"/>
        <v>37.5</v>
      </c>
      <c r="I119" s="573">
        <f t="shared" si="40"/>
        <v>37.5</v>
      </c>
      <c r="J119" s="573">
        <f t="shared" si="40"/>
        <v>75</v>
      </c>
      <c r="K119" s="573">
        <f t="shared" si="40"/>
        <v>75</v>
      </c>
      <c r="L119" s="573">
        <f t="shared" si="40"/>
        <v>75</v>
      </c>
      <c r="M119" s="573">
        <f t="shared" si="40"/>
        <v>75</v>
      </c>
      <c r="N119" s="573">
        <f t="shared" si="40"/>
        <v>450</v>
      </c>
      <c r="O119" s="573">
        <f t="shared" si="40"/>
        <v>1000</v>
      </c>
      <c r="P119" s="573">
        <f t="shared" si="40"/>
        <v>1000</v>
      </c>
      <c r="Q119" s="573">
        <f t="shared" si="40"/>
        <v>1000</v>
      </c>
      <c r="R119" s="573">
        <f t="shared" si="40"/>
        <v>1000</v>
      </c>
      <c r="S119" s="573">
        <f t="shared" si="40"/>
        <v>1000</v>
      </c>
      <c r="T119" s="573">
        <f t="shared" si="40"/>
        <v>1000</v>
      </c>
      <c r="U119" s="573">
        <f t="shared" si="40"/>
        <v>1000</v>
      </c>
      <c r="V119" s="573">
        <f>F119+G119+H119+I119+J119+K119+L119+M119+N119+O119+P119+Q119+R119+S119+T119+U119</f>
        <v>7900</v>
      </c>
      <c r="W119" s="588"/>
    </row>
    <row r="120" spans="1:23" ht="17.25" customHeight="1">
      <c r="A120" s="562" t="s">
        <v>591</v>
      </c>
      <c r="B120" s="562"/>
      <c r="C120" s="562"/>
      <c r="D120" s="562"/>
      <c r="F120" s="580">
        <f>F119/F114</f>
        <v>37.5</v>
      </c>
      <c r="G120" s="580">
        <f t="shared" ref="G120:U120" si="41">G119/G114</f>
        <v>37.5</v>
      </c>
      <c r="H120" s="580">
        <f t="shared" si="41"/>
        <v>37.5</v>
      </c>
      <c r="I120" s="580">
        <f t="shared" si="41"/>
        <v>37.5</v>
      </c>
      <c r="J120" s="580">
        <f t="shared" si="41"/>
        <v>37.5</v>
      </c>
      <c r="K120" s="580">
        <f t="shared" si="41"/>
        <v>37.5</v>
      </c>
      <c r="L120" s="580">
        <f t="shared" si="41"/>
        <v>37.5</v>
      </c>
      <c r="M120" s="580">
        <f t="shared" si="41"/>
        <v>37.5</v>
      </c>
      <c r="N120" s="580">
        <f t="shared" si="41"/>
        <v>150</v>
      </c>
      <c r="O120" s="580">
        <f t="shared" si="41"/>
        <v>250</v>
      </c>
      <c r="P120" s="580">
        <f t="shared" si="41"/>
        <v>250</v>
      </c>
      <c r="Q120" s="580">
        <f t="shared" si="41"/>
        <v>250</v>
      </c>
      <c r="R120" s="580">
        <f t="shared" si="41"/>
        <v>250</v>
      </c>
      <c r="S120" s="580">
        <f t="shared" si="41"/>
        <v>250</v>
      </c>
      <c r="T120" s="580">
        <f t="shared" si="41"/>
        <v>250</v>
      </c>
      <c r="U120" s="580">
        <f t="shared" si="41"/>
        <v>250</v>
      </c>
      <c r="W120" s="588"/>
    </row>
    <row r="121" spans="1:23" ht="17.25" customHeight="1">
      <c r="A121" s="595" t="str">
        <f>'Key Assumptions'!B81</f>
        <v>Food Processing  (16 Days, 60 hrs)</v>
      </c>
      <c r="B121" s="595"/>
      <c r="C121" s="595"/>
      <c r="D121" s="595"/>
      <c r="E121" s="577"/>
      <c r="J121" s="580"/>
      <c r="K121" s="580"/>
      <c r="L121" s="580"/>
      <c r="M121" s="580"/>
      <c r="N121" s="580"/>
      <c r="O121" s="580"/>
      <c r="P121" s="580"/>
      <c r="Q121" s="580"/>
      <c r="R121" s="580"/>
      <c r="S121" s="580"/>
      <c r="T121" s="580"/>
      <c r="U121" s="580"/>
      <c r="W121" s="588"/>
    </row>
    <row r="122" spans="1:23" ht="17.25" customHeight="1">
      <c r="A122" s="562" t="s">
        <v>455</v>
      </c>
      <c r="B122" s="562"/>
      <c r="C122" s="562"/>
      <c r="D122" s="562"/>
      <c r="E122" s="577"/>
      <c r="F122" s="585">
        <f>'Key Assumptions'!F150</f>
        <v>1</v>
      </c>
      <c r="G122" s="585">
        <f>'Key Assumptions'!G150</f>
        <v>1</v>
      </c>
      <c r="H122" s="585">
        <f>'Key Assumptions'!H150</f>
        <v>1</v>
      </c>
      <c r="I122" s="585">
        <f>'Key Assumptions'!I150</f>
        <v>1</v>
      </c>
      <c r="J122" s="585">
        <f>'Key Assumptions'!J150</f>
        <v>2</v>
      </c>
      <c r="K122" s="585">
        <f>'Key Assumptions'!K150</f>
        <v>2</v>
      </c>
      <c r="L122" s="585">
        <f>'Key Assumptions'!L150</f>
        <v>2</v>
      </c>
      <c r="M122" s="585">
        <f>'Key Assumptions'!M150</f>
        <v>2</v>
      </c>
      <c r="N122" s="585">
        <f>'Key Assumptions'!N150</f>
        <v>3</v>
      </c>
      <c r="O122" s="585">
        <f>'Key Assumptions'!O150</f>
        <v>4</v>
      </c>
      <c r="P122" s="585">
        <f>'Key Assumptions'!P150</f>
        <v>4</v>
      </c>
      <c r="Q122" s="585">
        <f>'Key Assumptions'!Q150</f>
        <v>4</v>
      </c>
      <c r="R122" s="585">
        <f>'Key Assumptions'!R150</f>
        <v>4</v>
      </c>
      <c r="S122" s="585">
        <f>'Key Assumptions'!S150</f>
        <v>4</v>
      </c>
      <c r="T122" s="585">
        <f>'Key Assumptions'!T150</f>
        <v>4</v>
      </c>
      <c r="U122" s="585">
        <f>'Key Assumptions'!U150</f>
        <v>4</v>
      </c>
      <c r="W122" s="588"/>
    </row>
    <row r="123" spans="1:23" ht="17.25" customHeight="1">
      <c r="A123" s="562" t="s">
        <v>421</v>
      </c>
      <c r="B123" s="562"/>
      <c r="C123" s="562"/>
      <c r="D123" s="562"/>
      <c r="F123" s="585">
        <f>'Key Assumptions'!F83</f>
        <v>2.5</v>
      </c>
      <c r="G123" s="585">
        <f>'Key Assumptions'!G83</f>
        <v>2.5</v>
      </c>
      <c r="H123" s="585">
        <f>'Key Assumptions'!H83</f>
        <v>2.5</v>
      </c>
      <c r="I123" s="585">
        <f>'Key Assumptions'!I83</f>
        <v>2.5</v>
      </c>
      <c r="J123" s="585">
        <f>'Key Assumptions'!J83</f>
        <v>2.5</v>
      </c>
      <c r="K123" s="585">
        <f>'Key Assumptions'!K83</f>
        <v>2.5</v>
      </c>
      <c r="L123" s="585">
        <f>'Key Assumptions'!L83</f>
        <v>2.5</v>
      </c>
      <c r="M123" s="585">
        <f>'Key Assumptions'!M83</f>
        <v>2.5</v>
      </c>
      <c r="N123" s="585">
        <f>'Key Assumptions'!N83</f>
        <v>10</v>
      </c>
      <c r="O123" s="585">
        <f>'Key Assumptions'!O83</f>
        <v>10</v>
      </c>
      <c r="P123" s="585">
        <f>'Key Assumptions'!P83</f>
        <v>10</v>
      </c>
      <c r="Q123" s="585">
        <f>'Key Assumptions'!Q83</f>
        <v>10</v>
      </c>
      <c r="R123" s="585">
        <f>'Key Assumptions'!R83</f>
        <v>10</v>
      </c>
      <c r="S123" s="585">
        <f>'Key Assumptions'!S83</f>
        <v>10</v>
      </c>
      <c r="T123" s="585">
        <f>'Key Assumptions'!T83</f>
        <v>10</v>
      </c>
      <c r="U123" s="585">
        <f>'Key Assumptions'!U83</f>
        <v>10</v>
      </c>
      <c r="W123" s="588"/>
    </row>
    <row r="124" spans="1:23" ht="17.25" customHeight="1">
      <c r="A124" s="562" t="s">
        <v>411</v>
      </c>
      <c r="B124" s="562"/>
      <c r="C124" s="562"/>
      <c r="D124" s="562"/>
      <c r="F124" s="585">
        <f>'Key Assumptions'!F84</f>
        <v>1</v>
      </c>
      <c r="G124" s="585">
        <f>'Key Assumptions'!G84</f>
        <v>1</v>
      </c>
      <c r="H124" s="585">
        <f>'Key Assumptions'!H84</f>
        <v>1</v>
      </c>
      <c r="I124" s="585">
        <f>'Key Assumptions'!I84</f>
        <v>1</v>
      </c>
      <c r="J124" s="585">
        <f>'Key Assumptions'!J84</f>
        <v>1</v>
      </c>
      <c r="K124" s="585">
        <f>'Key Assumptions'!K84</f>
        <v>1</v>
      </c>
      <c r="L124" s="585">
        <f>'Key Assumptions'!L84</f>
        <v>1</v>
      </c>
      <c r="M124" s="585">
        <f>'Key Assumptions'!M84</f>
        <v>1</v>
      </c>
      <c r="N124" s="585">
        <f>'Key Assumptions'!N84</f>
        <v>1</v>
      </c>
      <c r="O124" s="585">
        <f>'Key Assumptions'!O84</f>
        <v>1</v>
      </c>
      <c r="P124" s="585">
        <f>'Key Assumptions'!P84</f>
        <v>1</v>
      </c>
      <c r="Q124" s="585">
        <f>'Key Assumptions'!Q84</f>
        <v>1</v>
      </c>
      <c r="R124" s="585">
        <f>'Key Assumptions'!R84</f>
        <v>1</v>
      </c>
      <c r="S124" s="585">
        <f>'Key Assumptions'!S84</f>
        <v>1</v>
      </c>
      <c r="T124" s="585">
        <f>'Key Assumptions'!T84</f>
        <v>1</v>
      </c>
      <c r="U124" s="585">
        <f>'Key Assumptions'!U84</f>
        <v>1</v>
      </c>
      <c r="W124" s="588"/>
    </row>
    <row r="125" spans="1:23" ht="17.25" customHeight="1">
      <c r="A125" s="562" t="s">
        <v>422</v>
      </c>
      <c r="B125" s="562"/>
      <c r="C125" s="562"/>
      <c r="D125" s="562"/>
      <c r="F125" s="585">
        <f>F123*F124</f>
        <v>2.5</v>
      </c>
      <c r="G125" s="585">
        <f t="shared" ref="G125:U125" si="42">G123*G124</f>
        <v>2.5</v>
      </c>
      <c r="H125" s="585">
        <f t="shared" si="42"/>
        <v>2.5</v>
      </c>
      <c r="I125" s="585">
        <f t="shared" si="42"/>
        <v>2.5</v>
      </c>
      <c r="J125" s="585">
        <f t="shared" si="42"/>
        <v>2.5</v>
      </c>
      <c r="K125" s="585">
        <f t="shared" si="42"/>
        <v>2.5</v>
      </c>
      <c r="L125" s="585">
        <f t="shared" si="42"/>
        <v>2.5</v>
      </c>
      <c r="M125" s="585">
        <f t="shared" si="42"/>
        <v>2.5</v>
      </c>
      <c r="N125" s="585">
        <f t="shared" si="42"/>
        <v>10</v>
      </c>
      <c r="O125" s="585">
        <f t="shared" si="42"/>
        <v>10</v>
      </c>
      <c r="P125" s="585">
        <f t="shared" si="42"/>
        <v>10</v>
      </c>
      <c r="Q125" s="585">
        <f t="shared" si="42"/>
        <v>10</v>
      </c>
      <c r="R125" s="585">
        <f t="shared" si="42"/>
        <v>10</v>
      </c>
      <c r="S125" s="585">
        <f t="shared" si="42"/>
        <v>10</v>
      </c>
      <c r="T125" s="585">
        <f t="shared" si="42"/>
        <v>10</v>
      </c>
      <c r="U125" s="585">
        <f t="shared" si="42"/>
        <v>10</v>
      </c>
      <c r="W125" s="588"/>
    </row>
    <row r="126" spans="1:23" ht="17.25" customHeight="1">
      <c r="A126" s="562" t="s">
        <v>320</v>
      </c>
      <c r="B126" s="562"/>
      <c r="C126" s="562"/>
      <c r="D126" s="562"/>
      <c r="F126" s="585">
        <f>'Key Assumptions'!F82</f>
        <v>15</v>
      </c>
      <c r="G126" s="585">
        <f>'Key Assumptions'!G82</f>
        <v>15</v>
      </c>
      <c r="H126" s="585">
        <f>'Key Assumptions'!H82</f>
        <v>15</v>
      </c>
      <c r="I126" s="585">
        <f>'Key Assumptions'!I82</f>
        <v>15</v>
      </c>
      <c r="J126" s="585">
        <f>'Key Assumptions'!J82</f>
        <v>15</v>
      </c>
      <c r="K126" s="585">
        <f>'Key Assumptions'!K82</f>
        <v>15</v>
      </c>
      <c r="L126" s="585">
        <f>'Key Assumptions'!L82</f>
        <v>15</v>
      </c>
      <c r="M126" s="585">
        <f>'Key Assumptions'!M82</f>
        <v>15</v>
      </c>
      <c r="N126" s="585">
        <f>'Key Assumptions'!N82</f>
        <v>15</v>
      </c>
      <c r="O126" s="585">
        <f>'Key Assumptions'!O82</f>
        <v>25</v>
      </c>
      <c r="P126" s="585">
        <f>'Key Assumptions'!P82</f>
        <v>25</v>
      </c>
      <c r="Q126" s="585">
        <f>'Key Assumptions'!Q82</f>
        <v>25</v>
      </c>
      <c r="R126" s="585">
        <f>'Key Assumptions'!R82</f>
        <v>25</v>
      </c>
      <c r="S126" s="585">
        <f>'Key Assumptions'!S82</f>
        <v>25</v>
      </c>
      <c r="T126" s="585">
        <f>'Key Assumptions'!T82</f>
        <v>25</v>
      </c>
      <c r="U126" s="585">
        <f>'Key Assumptions'!U82</f>
        <v>25</v>
      </c>
      <c r="W126" s="588"/>
    </row>
    <row r="127" spans="1:23" ht="17.25" customHeight="1">
      <c r="A127" s="586" t="s">
        <v>321</v>
      </c>
      <c r="B127" s="586"/>
      <c r="C127" s="586"/>
      <c r="D127" s="586"/>
      <c r="E127" s="562"/>
      <c r="F127" s="573">
        <f>F122*F125*F126</f>
        <v>37.5</v>
      </c>
      <c r="G127" s="573">
        <f t="shared" ref="G127:U127" si="43">G122*G125*G126</f>
        <v>37.5</v>
      </c>
      <c r="H127" s="573">
        <f t="shared" si="43"/>
        <v>37.5</v>
      </c>
      <c r="I127" s="573">
        <f t="shared" si="43"/>
        <v>37.5</v>
      </c>
      <c r="J127" s="573">
        <f t="shared" si="43"/>
        <v>75</v>
      </c>
      <c r="K127" s="573">
        <f t="shared" si="43"/>
        <v>75</v>
      </c>
      <c r="L127" s="573">
        <f t="shared" si="43"/>
        <v>75</v>
      </c>
      <c r="M127" s="573">
        <f t="shared" si="43"/>
        <v>75</v>
      </c>
      <c r="N127" s="573">
        <f t="shared" si="43"/>
        <v>450</v>
      </c>
      <c r="O127" s="573">
        <f t="shared" si="43"/>
        <v>1000</v>
      </c>
      <c r="P127" s="573">
        <f t="shared" si="43"/>
        <v>1000</v>
      </c>
      <c r="Q127" s="573">
        <f t="shared" si="43"/>
        <v>1000</v>
      </c>
      <c r="R127" s="573">
        <f t="shared" si="43"/>
        <v>1000</v>
      </c>
      <c r="S127" s="573">
        <f t="shared" si="43"/>
        <v>1000</v>
      </c>
      <c r="T127" s="573">
        <f t="shared" si="43"/>
        <v>1000</v>
      </c>
      <c r="U127" s="573">
        <f t="shared" si="43"/>
        <v>1000</v>
      </c>
      <c r="V127" s="573">
        <f>F127+G127+H127+I127+J127+K127+L127+M127+N127+O127+P127+Q127+R127+S127+T127+U127</f>
        <v>7900</v>
      </c>
      <c r="W127" s="588"/>
    </row>
    <row r="128" spans="1:23" ht="17.25" customHeight="1">
      <c r="A128" s="562" t="s">
        <v>591</v>
      </c>
      <c r="B128" s="562"/>
      <c r="C128" s="562"/>
      <c r="D128" s="562"/>
      <c r="E128" s="577"/>
      <c r="F128" s="580">
        <f>F127/F122</f>
        <v>37.5</v>
      </c>
      <c r="G128" s="580">
        <f t="shared" ref="G128:U128" si="44">G127/G122</f>
        <v>37.5</v>
      </c>
      <c r="H128" s="580">
        <f t="shared" si="44"/>
        <v>37.5</v>
      </c>
      <c r="I128" s="580">
        <f t="shared" si="44"/>
        <v>37.5</v>
      </c>
      <c r="J128" s="580">
        <f t="shared" si="44"/>
        <v>37.5</v>
      </c>
      <c r="K128" s="580">
        <f t="shared" si="44"/>
        <v>37.5</v>
      </c>
      <c r="L128" s="580">
        <f t="shared" si="44"/>
        <v>37.5</v>
      </c>
      <c r="M128" s="580">
        <f t="shared" si="44"/>
        <v>37.5</v>
      </c>
      <c r="N128" s="580">
        <f t="shared" si="44"/>
        <v>150</v>
      </c>
      <c r="O128" s="580">
        <f t="shared" si="44"/>
        <v>250</v>
      </c>
      <c r="P128" s="580">
        <f t="shared" si="44"/>
        <v>250</v>
      </c>
      <c r="Q128" s="580">
        <f t="shared" si="44"/>
        <v>250</v>
      </c>
      <c r="R128" s="580">
        <f t="shared" si="44"/>
        <v>250</v>
      </c>
      <c r="S128" s="580">
        <f t="shared" si="44"/>
        <v>250</v>
      </c>
      <c r="T128" s="580">
        <f t="shared" si="44"/>
        <v>250</v>
      </c>
      <c r="U128" s="580">
        <f t="shared" si="44"/>
        <v>250</v>
      </c>
      <c r="W128" s="588"/>
    </row>
    <row r="129" spans="1:24" ht="17.25" customHeight="1">
      <c r="A129" s="590"/>
      <c r="B129" s="590"/>
      <c r="C129" s="590"/>
      <c r="D129" s="590"/>
      <c r="F129" s="589"/>
      <c r="G129" s="589"/>
      <c r="H129" s="589"/>
      <c r="I129" s="589"/>
      <c r="J129" s="589"/>
      <c r="K129" s="589"/>
      <c r="L129" s="589"/>
      <c r="M129" s="589"/>
      <c r="N129" s="589"/>
      <c r="O129" s="589"/>
      <c r="P129" s="589"/>
      <c r="Q129" s="589"/>
      <c r="R129" s="589"/>
      <c r="S129" s="589"/>
      <c r="T129" s="589"/>
      <c r="U129" s="589"/>
      <c r="V129" s="576"/>
    </row>
    <row r="130" spans="1:24" ht="17.25" customHeight="1">
      <c r="A130" s="562" t="s">
        <v>492</v>
      </c>
      <c r="B130" s="562"/>
      <c r="C130" s="562"/>
      <c r="D130" s="562"/>
      <c r="E130" s="562"/>
      <c r="F130" s="563">
        <f>F15+F23+F31+F39+F47+F55+F63+F71+F79+F87+F95+F103+F111+F119+F127</f>
        <v>757.5</v>
      </c>
      <c r="G130" s="563">
        <f t="shared" ref="G130:U130" si="45">G15+G23+G31+G39+G47+G55+G63+G71+G79+G87+G95+G103+G111+G119+G127</f>
        <v>757.5</v>
      </c>
      <c r="H130" s="563">
        <f t="shared" si="45"/>
        <v>757.5</v>
      </c>
      <c r="I130" s="563">
        <f t="shared" si="45"/>
        <v>757.5</v>
      </c>
      <c r="J130" s="563">
        <f t="shared" si="45"/>
        <v>1282.5</v>
      </c>
      <c r="K130" s="563">
        <f t="shared" si="45"/>
        <v>1282.5</v>
      </c>
      <c r="L130" s="563">
        <f t="shared" si="45"/>
        <v>1282.5</v>
      </c>
      <c r="M130" s="563">
        <f t="shared" si="45"/>
        <v>1282.5</v>
      </c>
      <c r="N130" s="563">
        <f t="shared" si="45"/>
        <v>7530</v>
      </c>
      <c r="O130" s="563">
        <f t="shared" si="45"/>
        <v>15950</v>
      </c>
      <c r="P130" s="563">
        <f t="shared" si="45"/>
        <v>15950</v>
      </c>
      <c r="Q130" s="563">
        <f t="shared" si="45"/>
        <v>15950</v>
      </c>
      <c r="R130" s="563">
        <f t="shared" si="45"/>
        <v>15950</v>
      </c>
      <c r="S130" s="563">
        <f t="shared" si="45"/>
        <v>15950</v>
      </c>
      <c r="T130" s="563">
        <f t="shared" si="45"/>
        <v>15950</v>
      </c>
      <c r="U130" s="563">
        <f t="shared" si="45"/>
        <v>15950</v>
      </c>
      <c r="V130" s="573">
        <f>F130+G130+H130+I130+J130+K130+L130+M130+N130+O130+P130+Q130+R130+S130+T130+U130</f>
        <v>127340</v>
      </c>
      <c r="W130" s="582"/>
    </row>
    <row r="131" spans="1:24" ht="17.25" customHeight="1">
      <c r="A131" s="562" t="s">
        <v>426</v>
      </c>
      <c r="B131" s="562"/>
      <c r="C131" s="562"/>
      <c r="D131" s="562"/>
      <c r="E131" s="562"/>
      <c r="F131" s="563"/>
      <c r="G131" s="563">
        <f>G130+F130</f>
        <v>1515</v>
      </c>
      <c r="H131" s="563">
        <f>G131+H130</f>
        <v>2272.5</v>
      </c>
      <c r="I131" s="563">
        <f t="shared" ref="I131:U131" si="46">H131+I130</f>
        <v>3030</v>
      </c>
      <c r="J131" s="563">
        <f t="shared" si="46"/>
        <v>4312.5</v>
      </c>
      <c r="K131" s="563">
        <f t="shared" si="46"/>
        <v>5595</v>
      </c>
      <c r="L131" s="563">
        <f t="shared" si="46"/>
        <v>6877.5</v>
      </c>
      <c r="M131" s="563">
        <f t="shared" si="46"/>
        <v>8160</v>
      </c>
      <c r="N131" s="563">
        <f t="shared" si="46"/>
        <v>15690</v>
      </c>
      <c r="O131" s="563">
        <f t="shared" si="46"/>
        <v>31640</v>
      </c>
      <c r="P131" s="563">
        <f t="shared" si="46"/>
        <v>47590</v>
      </c>
      <c r="Q131" s="563">
        <f t="shared" si="46"/>
        <v>63540</v>
      </c>
      <c r="R131" s="563">
        <f t="shared" si="46"/>
        <v>79490</v>
      </c>
      <c r="S131" s="563">
        <f t="shared" si="46"/>
        <v>95440</v>
      </c>
      <c r="T131" s="563">
        <f t="shared" si="46"/>
        <v>111390</v>
      </c>
      <c r="U131" s="563">
        <f t="shared" si="46"/>
        <v>127340</v>
      </c>
      <c r="V131" s="573"/>
      <c r="W131" s="582"/>
      <c r="X131" s="591"/>
    </row>
    <row r="132" spans="1:24" ht="17.25" customHeight="1">
      <c r="A132" s="562"/>
      <c r="B132" s="562"/>
      <c r="C132" s="562"/>
      <c r="D132" s="562"/>
      <c r="E132" s="562"/>
      <c r="F132" s="563"/>
      <c r="G132" s="563"/>
      <c r="H132" s="563"/>
      <c r="I132" s="563"/>
      <c r="J132" s="563"/>
      <c r="K132" s="563"/>
      <c r="L132" s="563"/>
      <c r="M132" s="563"/>
      <c r="N132" s="563"/>
      <c r="O132" s="563"/>
      <c r="P132" s="563"/>
      <c r="Q132" s="563"/>
      <c r="R132" s="563"/>
      <c r="S132" s="563"/>
      <c r="T132" s="563"/>
      <c r="U132" s="563"/>
      <c r="V132" s="573"/>
      <c r="W132" s="582"/>
      <c r="X132" s="591"/>
    </row>
    <row r="133" spans="1:24" ht="17.25" customHeight="1">
      <c r="A133" s="562" t="str">
        <f>'Key Assumptions'!C5</f>
        <v>Inflation Index</v>
      </c>
      <c r="B133" s="562"/>
      <c r="C133" s="562"/>
      <c r="D133" s="562"/>
      <c r="E133" s="562"/>
      <c r="F133" s="711">
        <f>'Key Assumptions'!F5</f>
        <v>1</v>
      </c>
      <c r="G133" s="711">
        <f>'Key Assumptions'!G5</f>
        <v>1</v>
      </c>
      <c r="H133" s="711">
        <f>'Key Assumptions'!H5</f>
        <v>1</v>
      </c>
      <c r="I133" s="711">
        <f>'Key Assumptions'!I5</f>
        <v>1</v>
      </c>
      <c r="J133" s="711">
        <f>'Key Assumptions'!J5</f>
        <v>1.1000000000000001</v>
      </c>
      <c r="K133" s="711">
        <f>'Key Assumptions'!K5</f>
        <v>1.1000000000000001</v>
      </c>
      <c r="L133" s="711">
        <f>'Key Assumptions'!L5</f>
        <v>1.1000000000000001</v>
      </c>
      <c r="M133" s="711">
        <f>'Key Assumptions'!M5</f>
        <v>1.1000000000000001</v>
      </c>
      <c r="N133" s="711">
        <f>'Key Assumptions'!N5</f>
        <v>1.2100000000000002</v>
      </c>
      <c r="O133" s="711">
        <f>'Key Assumptions'!O5</f>
        <v>1.3310000000000002</v>
      </c>
      <c r="P133" s="711">
        <f>'Key Assumptions'!P5</f>
        <v>1.4641000000000002</v>
      </c>
      <c r="Q133" s="711">
        <f>'Key Assumptions'!Q5</f>
        <v>1.6105100000000001</v>
      </c>
      <c r="R133" s="711">
        <f>'Key Assumptions'!R5</f>
        <v>1.7715610000000002</v>
      </c>
      <c r="S133" s="711">
        <f>'Key Assumptions'!S5</f>
        <v>1.9487171000000001</v>
      </c>
      <c r="T133" s="711">
        <f>'Key Assumptions'!T5</f>
        <v>2.1435888100000002</v>
      </c>
      <c r="U133" s="711">
        <f>'Key Assumptions'!U5</f>
        <v>2.3579476910000001</v>
      </c>
      <c r="V133" s="573"/>
      <c r="W133" s="582"/>
      <c r="X133" s="591"/>
    </row>
    <row r="134" spans="1:24" ht="17.25" customHeight="1">
      <c r="A134" s="562"/>
      <c r="B134" s="562"/>
      <c r="C134" s="562"/>
      <c r="D134" s="562"/>
      <c r="E134" s="562"/>
      <c r="F134" s="711"/>
      <c r="G134" s="711"/>
      <c r="H134" s="711"/>
      <c r="I134" s="711"/>
      <c r="J134" s="711"/>
      <c r="K134" s="711"/>
      <c r="L134" s="711"/>
      <c r="M134" s="711"/>
      <c r="N134" s="711"/>
      <c r="O134" s="711"/>
      <c r="P134" s="711"/>
      <c r="Q134" s="711"/>
      <c r="R134" s="711"/>
      <c r="S134" s="711"/>
      <c r="T134" s="711"/>
      <c r="U134" s="711"/>
      <c r="V134" s="573"/>
      <c r="W134" s="582"/>
      <c r="X134" s="591"/>
    </row>
    <row r="135" spans="1:24" ht="17.25" customHeight="1">
      <c r="A135" s="562" t="s">
        <v>545</v>
      </c>
      <c r="B135" s="562"/>
      <c r="C135" s="562"/>
      <c r="D135" s="562"/>
      <c r="E135" s="562"/>
      <c r="F135" s="711"/>
      <c r="G135" s="711"/>
      <c r="H135" s="711"/>
      <c r="I135" s="711"/>
      <c r="J135" s="711"/>
      <c r="K135" s="711"/>
      <c r="L135" s="711"/>
      <c r="M135" s="711"/>
      <c r="N135" s="711"/>
      <c r="O135" s="711"/>
      <c r="P135" s="711"/>
      <c r="Q135" s="711"/>
      <c r="R135" s="711"/>
      <c r="S135" s="711"/>
      <c r="T135" s="711"/>
      <c r="U135" s="711"/>
      <c r="V135" s="573"/>
      <c r="W135" s="582"/>
      <c r="X135" s="591"/>
    </row>
    <row r="136" spans="1:24" ht="17.25" customHeight="1">
      <c r="A136" s="562"/>
      <c r="B136" s="562"/>
      <c r="C136" s="562"/>
      <c r="D136" s="562"/>
      <c r="E136" s="562"/>
      <c r="F136" s="711"/>
      <c r="G136" s="711"/>
      <c r="H136" s="711"/>
      <c r="I136" s="711"/>
      <c r="J136" s="711"/>
      <c r="K136" s="711"/>
      <c r="L136" s="711"/>
      <c r="M136" s="711"/>
      <c r="N136" s="711"/>
      <c r="O136" s="711"/>
      <c r="P136" s="711"/>
      <c r="Q136" s="711"/>
      <c r="R136" s="711"/>
      <c r="S136" s="711"/>
      <c r="T136" s="711"/>
      <c r="U136" s="711"/>
      <c r="V136" s="576"/>
      <c r="W136" s="582"/>
      <c r="X136" s="591"/>
    </row>
    <row r="137" spans="1:24" ht="17.25" customHeight="1">
      <c r="A137" s="572" t="str">
        <f>'Key Assumptions'!B89</f>
        <v>Hospitality course : House keeping (60 Days, 240 hrs)</v>
      </c>
      <c r="B137" s="562"/>
      <c r="C137" s="562"/>
      <c r="D137" s="562"/>
      <c r="E137" s="671">
        <v>100</v>
      </c>
      <c r="F137" s="939">
        <f>$E$137*F15/10^5*F133</f>
        <v>0.06</v>
      </c>
      <c r="G137" s="939">
        <f t="shared" ref="G137:U137" si="47">$E$137*G15/10^5*G133</f>
        <v>0.06</v>
      </c>
      <c r="H137" s="939">
        <f t="shared" si="47"/>
        <v>0.06</v>
      </c>
      <c r="I137" s="939">
        <f t="shared" si="47"/>
        <v>0.06</v>
      </c>
      <c r="J137" s="939">
        <f t="shared" si="47"/>
        <v>0.11550000000000001</v>
      </c>
      <c r="K137" s="939">
        <f t="shared" si="47"/>
        <v>0.11550000000000001</v>
      </c>
      <c r="L137" s="939">
        <f t="shared" si="47"/>
        <v>0.11550000000000001</v>
      </c>
      <c r="M137" s="939">
        <f t="shared" si="47"/>
        <v>0.11550000000000001</v>
      </c>
      <c r="N137" s="939">
        <f t="shared" si="47"/>
        <v>0.72600000000000009</v>
      </c>
      <c r="O137" s="939">
        <f t="shared" si="47"/>
        <v>1.5972000000000002</v>
      </c>
      <c r="P137" s="939">
        <f t="shared" si="47"/>
        <v>1.7569200000000003</v>
      </c>
      <c r="Q137" s="939">
        <f t="shared" si="47"/>
        <v>1.932612</v>
      </c>
      <c r="R137" s="939">
        <f t="shared" si="47"/>
        <v>2.1258732</v>
      </c>
      <c r="S137" s="939">
        <f t="shared" si="47"/>
        <v>2.3384605199999999</v>
      </c>
      <c r="T137" s="939">
        <f t="shared" si="47"/>
        <v>2.572306572</v>
      </c>
      <c r="U137" s="939">
        <f t="shared" si="47"/>
        <v>2.8295372292000001</v>
      </c>
      <c r="V137" s="645">
        <f>SUM(F137:U137)</f>
        <v>16.580909521200002</v>
      </c>
      <c r="W137" s="582"/>
      <c r="X137" s="591"/>
    </row>
    <row r="138" spans="1:24" ht="17.25" customHeight="1">
      <c r="A138" s="572" t="str">
        <f>'Key Assumptions'!B90</f>
        <v>Hospitality course : Front Office Management (40Days, 180 hrs)</v>
      </c>
      <c r="B138" s="562"/>
      <c r="C138" s="562"/>
      <c r="D138" s="562"/>
      <c r="E138" s="671">
        <v>100</v>
      </c>
      <c r="F138" s="939">
        <f>$E$138*F23/10^5*F133</f>
        <v>0.09</v>
      </c>
      <c r="G138" s="939">
        <f t="shared" ref="G138:U138" si="48">$E$138*G23/10^5*G133</f>
        <v>0.09</v>
      </c>
      <c r="H138" s="939">
        <f t="shared" si="48"/>
        <v>0.09</v>
      </c>
      <c r="I138" s="939">
        <f t="shared" si="48"/>
        <v>0.09</v>
      </c>
      <c r="J138" s="939">
        <f t="shared" si="48"/>
        <v>0.17325000000000002</v>
      </c>
      <c r="K138" s="939">
        <f t="shared" si="48"/>
        <v>0.17325000000000002</v>
      </c>
      <c r="L138" s="939">
        <f t="shared" si="48"/>
        <v>0.17325000000000002</v>
      </c>
      <c r="M138" s="939">
        <f t="shared" si="48"/>
        <v>0.17325000000000002</v>
      </c>
      <c r="N138" s="939">
        <f t="shared" si="48"/>
        <v>1.0890000000000002</v>
      </c>
      <c r="O138" s="939">
        <f t="shared" si="48"/>
        <v>2.3958000000000004</v>
      </c>
      <c r="P138" s="939">
        <f t="shared" si="48"/>
        <v>2.6353800000000005</v>
      </c>
      <c r="Q138" s="939">
        <f t="shared" si="48"/>
        <v>2.8989180000000001</v>
      </c>
      <c r="R138" s="939">
        <f t="shared" si="48"/>
        <v>3.1888098000000005</v>
      </c>
      <c r="S138" s="939">
        <f t="shared" si="48"/>
        <v>3.5076907800000003</v>
      </c>
      <c r="T138" s="939">
        <f t="shared" si="48"/>
        <v>3.8584598580000007</v>
      </c>
      <c r="U138" s="939">
        <f t="shared" si="48"/>
        <v>4.2443058438000003</v>
      </c>
      <c r="V138" s="645">
        <f t="shared" ref="V138:V151" si="49">SUM(F138:U138)</f>
        <v>24.871364281800002</v>
      </c>
      <c r="W138" s="582"/>
      <c r="X138" s="591"/>
    </row>
    <row r="139" spans="1:24" ht="17.25" customHeight="1">
      <c r="A139" s="572" t="str">
        <f>'Key Assumptions'!B91</f>
        <v>Hospitality course : Food &amp; Beverages (40 Days, 180 hrs)</v>
      </c>
      <c r="B139" s="562"/>
      <c r="C139" s="562"/>
      <c r="D139" s="562"/>
      <c r="E139" s="671">
        <v>100</v>
      </c>
      <c r="F139" s="939">
        <f>$E$139*F31/10^5*F133</f>
        <v>4.4999999999999998E-2</v>
      </c>
      <c r="G139" s="939">
        <f t="shared" ref="G139:U139" si="50">$E$139*G31/10^5*G133</f>
        <v>4.4999999999999998E-2</v>
      </c>
      <c r="H139" s="939">
        <f t="shared" si="50"/>
        <v>4.4999999999999998E-2</v>
      </c>
      <c r="I139" s="939">
        <f t="shared" si="50"/>
        <v>4.4999999999999998E-2</v>
      </c>
      <c r="J139" s="939">
        <f t="shared" si="50"/>
        <v>0.12375000000000001</v>
      </c>
      <c r="K139" s="939">
        <f t="shared" si="50"/>
        <v>0.12375000000000001</v>
      </c>
      <c r="L139" s="939">
        <f t="shared" si="50"/>
        <v>0.12375000000000001</v>
      </c>
      <c r="M139" s="939">
        <f t="shared" si="50"/>
        <v>0.12375000000000001</v>
      </c>
      <c r="N139" s="939">
        <f t="shared" si="50"/>
        <v>0.87120000000000009</v>
      </c>
      <c r="O139" s="939">
        <f t="shared" si="50"/>
        <v>1.9965000000000002</v>
      </c>
      <c r="P139" s="939">
        <f t="shared" si="50"/>
        <v>2.1961500000000003</v>
      </c>
      <c r="Q139" s="939">
        <f t="shared" si="50"/>
        <v>2.4157650000000004</v>
      </c>
      <c r="R139" s="939">
        <f t="shared" si="50"/>
        <v>2.6573415000000002</v>
      </c>
      <c r="S139" s="939">
        <f t="shared" si="50"/>
        <v>2.9230756500000004</v>
      </c>
      <c r="T139" s="939">
        <f t="shared" si="50"/>
        <v>3.2153832150000001</v>
      </c>
      <c r="U139" s="939">
        <f t="shared" si="50"/>
        <v>3.5369215365000004</v>
      </c>
      <c r="V139" s="645">
        <f t="shared" si="49"/>
        <v>20.487336901500001</v>
      </c>
      <c r="W139" s="582"/>
      <c r="X139" s="591"/>
    </row>
    <row r="140" spans="1:24" ht="17.25" customHeight="1">
      <c r="A140" s="572" t="str">
        <f>'Key Assumptions'!B92</f>
        <v>IT/ITES : BPO Voice (60 Days, 180 hrs)</v>
      </c>
      <c r="B140" s="562"/>
      <c r="C140" s="562"/>
      <c r="D140" s="562"/>
      <c r="E140" s="671">
        <v>100</v>
      </c>
      <c r="F140" s="939">
        <f>$E$140*F39/10^5*F133</f>
        <v>0.06</v>
      </c>
      <c r="G140" s="939">
        <f t="shared" ref="G140:U140" si="51">$E$140*G39/10^5*G133</f>
        <v>0.06</v>
      </c>
      <c r="H140" s="939">
        <f t="shared" si="51"/>
        <v>0.06</v>
      </c>
      <c r="I140" s="939">
        <f t="shared" si="51"/>
        <v>0.06</v>
      </c>
      <c r="J140" s="939">
        <f t="shared" si="51"/>
        <v>9.9000000000000005E-2</v>
      </c>
      <c r="K140" s="939">
        <f t="shared" si="51"/>
        <v>9.9000000000000005E-2</v>
      </c>
      <c r="L140" s="939">
        <f t="shared" si="51"/>
        <v>9.9000000000000005E-2</v>
      </c>
      <c r="M140" s="939">
        <f t="shared" si="51"/>
        <v>9.9000000000000005E-2</v>
      </c>
      <c r="N140" s="939">
        <f t="shared" si="51"/>
        <v>0.65340000000000009</v>
      </c>
      <c r="O140" s="939">
        <f t="shared" si="51"/>
        <v>1.4641000000000004</v>
      </c>
      <c r="P140" s="939">
        <f t="shared" si="51"/>
        <v>1.6105100000000003</v>
      </c>
      <c r="Q140" s="939">
        <f t="shared" si="51"/>
        <v>1.7715610000000002</v>
      </c>
      <c r="R140" s="939">
        <f t="shared" si="51"/>
        <v>1.9487171000000003</v>
      </c>
      <c r="S140" s="939">
        <f t="shared" si="51"/>
        <v>2.1435888100000002</v>
      </c>
      <c r="T140" s="939">
        <f t="shared" si="51"/>
        <v>2.3579476910000006</v>
      </c>
      <c r="U140" s="939">
        <f t="shared" si="51"/>
        <v>2.5937424601000005</v>
      </c>
      <c r="V140" s="645">
        <f t="shared" si="49"/>
        <v>15.179567061100002</v>
      </c>
      <c r="W140" s="582"/>
      <c r="X140" s="591"/>
    </row>
    <row r="141" spans="1:24" ht="17.25" customHeight="1">
      <c r="A141" s="572" t="str">
        <f>'Key Assumptions'!B93</f>
        <v>IT/ITES : BPO Non Voice (60 Days, 180 hrs)</v>
      </c>
      <c r="B141" s="562"/>
      <c r="C141" s="562"/>
      <c r="D141" s="562"/>
      <c r="E141" s="671">
        <v>100</v>
      </c>
      <c r="F141" s="939">
        <f>$E$141*F47/10^5*F133</f>
        <v>0.06</v>
      </c>
      <c r="G141" s="939">
        <f t="shared" ref="G141:U141" si="52">$E$141*G47/10^5*G133</f>
        <v>0.06</v>
      </c>
      <c r="H141" s="939">
        <f t="shared" si="52"/>
        <v>0.06</v>
      </c>
      <c r="I141" s="939">
        <f t="shared" si="52"/>
        <v>0.06</v>
      </c>
      <c r="J141" s="939">
        <f t="shared" si="52"/>
        <v>9.9000000000000005E-2</v>
      </c>
      <c r="K141" s="939">
        <f t="shared" si="52"/>
        <v>9.9000000000000005E-2</v>
      </c>
      <c r="L141" s="939">
        <f t="shared" si="52"/>
        <v>9.9000000000000005E-2</v>
      </c>
      <c r="M141" s="939">
        <f t="shared" si="52"/>
        <v>9.9000000000000005E-2</v>
      </c>
      <c r="N141" s="939">
        <f t="shared" si="52"/>
        <v>0.65340000000000009</v>
      </c>
      <c r="O141" s="939">
        <f t="shared" si="52"/>
        <v>1.4641000000000004</v>
      </c>
      <c r="P141" s="939">
        <f t="shared" si="52"/>
        <v>1.6105100000000003</v>
      </c>
      <c r="Q141" s="939">
        <f t="shared" si="52"/>
        <v>1.7715610000000002</v>
      </c>
      <c r="R141" s="939">
        <f t="shared" si="52"/>
        <v>1.9487171000000003</v>
      </c>
      <c r="S141" s="939">
        <f t="shared" si="52"/>
        <v>2.1435888100000002</v>
      </c>
      <c r="T141" s="939">
        <f t="shared" si="52"/>
        <v>2.3579476910000006</v>
      </c>
      <c r="U141" s="939">
        <f t="shared" si="52"/>
        <v>2.5937424601000005</v>
      </c>
      <c r="V141" s="645">
        <f t="shared" si="49"/>
        <v>15.179567061100002</v>
      </c>
      <c r="W141" s="582"/>
      <c r="X141" s="591"/>
    </row>
    <row r="142" spans="1:24" ht="17.25" customHeight="1">
      <c r="A142" s="572" t="str">
        <f>'Key Assumptions'!B94</f>
        <v>IT/ITES : Hardware &amp; networking (40 Days, 180 hrs)</v>
      </c>
      <c r="B142" s="562"/>
      <c r="C142" s="562"/>
      <c r="D142" s="562"/>
      <c r="E142" s="671">
        <v>100</v>
      </c>
      <c r="F142" s="939">
        <f>$E$142*F55/10^5*F133</f>
        <v>6.7500000000000004E-2</v>
      </c>
      <c r="G142" s="939">
        <f t="shared" ref="G142:U142" si="53">$E$142*G55/10^5*G133</f>
        <v>6.7500000000000004E-2</v>
      </c>
      <c r="H142" s="939">
        <f t="shared" si="53"/>
        <v>6.7500000000000004E-2</v>
      </c>
      <c r="I142" s="939">
        <f t="shared" si="53"/>
        <v>6.7500000000000004E-2</v>
      </c>
      <c r="J142" s="939">
        <f t="shared" si="53"/>
        <v>9.9000000000000005E-2</v>
      </c>
      <c r="K142" s="939">
        <f t="shared" si="53"/>
        <v>9.9000000000000005E-2</v>
      </c>
      <c r="L142" s="939">
        <f t="shared" si="53"/>
        <v>9.9000000000000005E-2</v>
      </c>
      <c r="M142" s="939">
        <f t="shared" si="53"/>
        <v>9.9000000000000005E-2</v>
      </c>
      <c r="N142" s="939">
        <f t="shared" si="53"/>
        <v>0.65340000000000009</v>
      </c>
      <c r="O142" s="939">
        <f t="shared" si="53"/>
        <v>1.5972000000000002</v>
      </c>
      <c r="P142" s="939">
        <f t="shared" si="53"/>
        <v>1.7569200000000003</v>
      </c>
      <c r="Q142" s="939">
        <f t="shared" si="53"/>
        <v>1.932612</v>
      </c>
      <c r="R142" s="939">
        <f t="shared" si="53"/>
        <v>2.1258732</v>
      </c>
      <c r="S142" s="939">
        <f t="shared" si="53"/>
        <v>2.3384605199999999</v>
      </c>
      <c r="T142" s="939">
        <f t="shared" si="53"/>
        <v>2.572306572</v>
      </c>
      <c r="U142" s="939">
        <f t="shared" si="53"/>
        <v>2.8295372292000001</v>
      </c>
      <c r="V142" s="645">
        <f t="shared" si="49"/>
        <v>16.4723095212</v>
      </c>
      <c r="W142" s="582"/>
      <c r="X142" s="591"/>
    </row>
    <row r="143" spans="1:24" ht="17.25" customHeight="1">
      <c r="A143" s="572" t="str">
        <f>'Key Assumptions'!B95</f>
        <v>Health Care : General Duty Attendant (40 Days, 180 hrs)</v>
      </c>
      <c r="B143" s="562"/>
      <c r="C143" s="562"/>
      <c r="D143" s="562"/>
      <c r="E143" s="671">
        <v>100</v>
      </c>
      <c r="F143" s="939">
        <f>$E$143*F63/10^5*F133</f>
        <v>4.4999999999999998E-2</v>
      </c>
      <c r="G143" s="939">
        <f t="shared" ref="G143:U143" si="54">$E$143*G63/10^5*G133</f>
        <v>4.4999999999999998E-2</v>
      </c>
      <c r="H143" s="939">
        <f t="shared" si="54"/>
        <v>4.4999999999999998E-2</v>
      </c>
      <c r="I143" s="939">
        <f t="shared" si="54"/>
        <v>4.4999999999999998E-2</v>
      </c>
      <c r="J143" s="939">
        <f t="shared" si="54"/>
        <v>7.425000000000001E-2</v>
      </c>
      <c r="K143" s="939">
        <f t="shared" si="54"/>
        <v>7.425000000000001E-2</v>
      </c>
      <c r="L143" s="939">
        <f t="shared" si="54"/>
        <v>7.425000000000001E-2</v>
      </c>
      <c r="M143" s="939">
        <f t="shared" si="54"/>
        <v>7.425000000000001E-2</v>
      </c>
      <c r="N143" s="939">
        <f t="shared" si="54"/>
        <v>0.5445000000000001</v>
      </c>
      <c r="O143" s="939">
        <f t="shared" si="54"/>
        <v>1.3975500000000003</v>
      </c>
      <c r="P143" s="939">
        <f t="shared" si="54"/>
        <v>1.5373050000000001</v>
      </c>
      <c r="Q143" s="939">
        <f t="shared" si="54"/>
        <v>1.6910355000000001</v>
      </c>
      <c r="R143" s="939">
        <f t="shared" si="54"/>
        <v>1.8601390500000003</v>
      </c>
      <c r="S143" s="939">
        <f t="shared" si="54"/>
        <v>2.0461529550000002</v>
      </c>
      <c r="T143" s="939">
        <f t="shared" si="54"/>
        <v>2.2507682505000002</v>
      </c>
      <c r="U143" s="939">
        <f t="shared" si="54"/>
        <v>2.4758450755500001</v>
      </c>
      <c r="V143" s="645">
        <f t="shared" si="49"/>
        <v>14.280295831050001</v>
      </c>
      <c r="W143" s="582"/>
      <c r="X143" s="591"/>
    </row>
    <row r="144" spans="1:24" ht="17.25" customHeight="1">
      <c r="A144" s="572" t="str">
        <f>'Key Assumptions'!B96</f>
        <v>Health Care : Asha (Health workers) (40 Days, 180 hrs)</v>
      </c>
      <c r="B144" s="562"/>
      <c r="C144" s="562"/>
      <c r="D144" s="562"/>
      <c r="E144" s="671">
        <v>100</v>
      </c>
      <c r="F144" s="939">
        <f>$E$144*F71/10^5*F133</f>
        <v>4.4999999999999998E-2</v>
      </c>
      <c r="G144" s="939">
        <f t="shared" ref="G144:U144" si="55">$E$144*G71/10^5*G133</f>
        <v>4.4999999999999998E-2</v>
      </c>
      <c r="H144" s="939">
        <f t="shared" si="55"/>
        <v>4.4999999999999998E-2</v>
      </c>
      <c r="I144" s="939">
        <f t="shared" si="55"/>
        <v>4.4999999999999998E-2</v>
      </c>
      <c r="J144" s="939">
        <f t="shared" si="55"/>
        <v>7.425000000000001E-2</v>
      </c>
      <c r="K144" s="939">
        <f t="shared" si="55"/>
        <v>7.425000000000001E-2</v>
      </c>
      <c r="L144" s="939">
        <f t="shared" si="55"/>
        <v>7.425000000000001E-2</v>
      </c>
      <c r="M144" s="939">
        <f t="shared" si="55"/>
        <v>7.425000000000001E-2</v>
      </c>
      <c r="N144" s="939">
        <f t="shared" si="55"/>
        <v>0.5445000000000001</v>
      </c>
      <c r="O144" s="939">
        <f t="shared" si="55"/>
        <v>1.3975500000000003</v>
      </c>
      <c r="P144" s="939">
        <f t="shared" si="55"/>
        <v>1.5373050000000001</v>
      </c>
      <c r="Q144" s="939">
        <f t="shared" si="55"/>
        <v>1.6910355000000001</v>
      </c>
      <c r="R144" s="939">
        <f t="shared" si="55"/>
        <v>1.8601390500000003</v>
      </c>
      <c r="S144" s="939">
        <f t="shared" si="55"/>
        <v>2.0461529550000002</v>
      </c>
      <c r="T144" s="939">
        <f t="shared" si="55"/>
        <v>2.2507682505000002</v>
      </c>
      <c r="U144" s="939">
        <f t="shared" si="55"/>
        <v>2.4758450755500001</v>
      </c>
      <c r="V144" s="645">
        <f t="shared" si="49"/>
        <v>14.280295831050001</v>
      </c>
      <c r="W144" s="582"/>
      <c r="X144" s="591"/>
    </row>
    <row r="145" spans="1:38" ht="17.25" customHeight="1">
      <c r="A145" s="572" t="str">
        <f>'Key Assumptions'!B97</f>
        <v>Health Care : Home Health Aide (40 Days, 180 hrs)</v>
      </c>
      <c r="B145" s="562"/>
      <c r="C145" s="562"/>
      <c r="D145" s="562"/>
      <c r="E145" s="671">
        <v>100</v>
      </c>
      <c r="F145" s="939">
        <f>$E$145*F79/10^5*F133</f>
        <v>4.4999999999999998E-2</v>
      </c>
      <c r="G145" s="939">
        <f t="shared" ref="G145:U145" si="56">$E$145*G79/10^5*G133</f>
        <v>4.4999999999999998E-2</v>
      </c>
      <c r="H145" s="939">
        <f t="shared" si="56"/>
        <v>4.4999999999999998E-2</v>
      </c>
      <c r="I145" s="939">
        <f t="shared" si="56"/>
        <v>4.4999999999999998E-2</v>
      </c>
      <c r="J145" s="939">
        <f t="shared" si="56"/>
        <v>7.425000000000001E-2</v>
      </c>
      <c r="K145" s="939">
        <f t="shared" si="56"/>
        <v>7.425000000000001E-2</v>
      </c>
      <c r="L145" s="939">
        <f t="shared" si="56"/>
        <v>7.425000000000001E-2</v>
      </c>
      <c r="M145" s="939">
        <f t="shared" si="56"/>
        <v>7.425000000000001E-2</v>
      </c>
      <c r="N145" s="939">
        <f t="shared" si="56"/>
        <v>0.5445000000000001</v>
      </c>
      <c r="O145" s="939">
        <f t="shared" si="56"/>
        <v>1.3975500000000003</v>
      </c>
      <c r="P145" s="939">
        <f t="shared" si="56"/>
        <v>1.5373050000000001</v>
      </c>
      <c r="Q145" s="939">
        <f t="shared" si="56"/>
        <v>1.6910355000000001</v>
      </c>
      <c r="R145" s="939">
        <f t="shared" si="56"/>
        <v>1.8601390500000003</v>
      </c>
      <c r="S145" s="939">
        <f t="shared" si="56"/>
        <v>2.0461529550000002</v>
      </c>
      <c r="T145" s="939">
        <f t="shared" si="56"/>
        <v>2.2507682505000002</v>
      </c>
      <c r="U145" s="939">
        <f t="shared" si="56"/>
        <v>2.4758450755500001</v>
      </c>
      <c r="V145" s="645">
        <f t="shared" si="49"/>
        <v>14.280295831050001</v>
      </c>
      <c r="W145" s="582"/>
      <c r="X145" s="591"/>
    </row>
    <row r="146" spans="1:38" ht="17.25" customHeight="1">
      <c r="A146" s="572" t="str">
        <f>'Key Assumptions'!B98</f>
        <v>Retail : Cashier (40 Days, 180 hrs)</v>
      </c>
      <c r="B146" s="562"/>
      <c r="C146" s="562"/>
      <c r="D146" s="562"/>
      <c r="E146" s="671">
        <v>100</v>
      </c>
      <c r="F146" s="939">
        <f>$E$146*F87/10^5*F133</f>
        <v>2.2499999999999999E-2</v>
      </c>
      <c r="G146" s="939">
        <f t="shared" ref="G146:U146" si="57">$E$146*G87/10^5*G133</f>
        <v>2.2499999999999999E-2</v>
      </c>
      <c r="H146" s="939">
        <f t="shared" si="57"/>
        <v>2.2499999999999999E-2</v>
      </c>
      <c r="I146" s="939">
        <f t="shared" si="57"/>
        <v>2.2499999999999999E-2</v>
      </c>
      <c r="J146" s="939">
        <f t="shared" si="57"/>
        <v>4.9500000000000002E-2</v>
      </c>
      <c r="K146" s="939">
        <f t="shared" si="57"/>
        <v>4.9500000000000002E-2</v>
      </c>
      <c r="L146" s="939">
        <f t="shared" si="57"/>
        <v>4.9500000000000002E-2</v>
      </c>
      <c r="M146" s="939">
        <f t="shared" si="57"/>
        <v>4.9500000000000002E-2</v>
      </c>
      <c r="N146" s="939">
        <f t="shared" si="57"/>
        <v>0.21780000000000002</v>
      </c>
      <c r="O146" s="939">
        <f t="shared" si="57"/>
        <v>0.39930000000000004</v>
      </c>
      <c r="P146" s="939">
        <f t="shared" si="57"/>
        <v>0.43923000000000006</v>
      </c>
      <c r="Q146" s="939">
        <f t="shared" si="57"/>
        <v>0.483153</v>
      </c>
      <c r="R146" s="939">
        <f t="shared" si="57"/>
        <v>0.5314683</v>
      </c>
      <c r="S146" s="939">
        <f t="shared" si="57"/>
        <v>0.58461512999999998</v>
      </c>
      <c r="T146" s="939">
        <f t="shared" si="57"/>
        <v>0.643076643</v>
      </c>
      <c r="U146" s="939">
        <f t="shared" si="57"/>
        <v>0.70738430730000001</v>
      </c>
      <c r="V146" s="645">
        <f t="shared" si="49"/>
        <v>4.2940273803000002</v>
      </c>
      <c r="W146" s="582"/>
      <c r="X146" s="591"/>
    </row>
    <row r="147" spans="1:38" ht="17.25" customHeight="1">
      <c r="A147" s="572" t="str">
        <f>'Key Assumptions'!B99</f>
        <v>Retail : Assistant (40 Days, 180 hrs)</v>
      </c>
      <c r="B147" s="562"/>
      <c r="C147" s="562"/>
      <c r="D147" s="562"/>
      <c r="E147" s="671">
        <v>100</v>
      </c>
      <c r="F147" s="939">
        <f>$E$147*F95/10^5*F133</f>
        <v>6.7500000000000004E-2</v>
      </c>
      <c r="G147" s="939">
        <f t="shared" ref="G147:U147" si="58">$E$147*G95/10^5*G133</f>
        <v>6.7500000000000004E-2</v>
      </c>
      <c r="H147" s="939">
        <f t="shared" si="58"/>
        <v>6.7500000000000004E-2</v>
      </c>
      <c r="I147" s="939">
        <f t="shared" si="58"/>
        <v>6.7500000000000004E-2</v>
      </c>
      <c r="J147" s="939">
        <f t="shared" si="58"/>
        <v>9.9000000000000005E-2</v>
      </c>
      <c r="K147" s="939">
        <f t="shared" si="58"/>
        <v>9.9000000000000005E-2</v>
      </c>
      <c r="L147" s="939">
        <f t="shared" si="58"/>
        <v>9.9000000000000005E-2</v>
      </c>
      <c r="M147" s="939">
        <f t="shared" si="58"/>
        <v>9.9000000000000005E-2</v>
      </c>
      <c r="N147" s="939">
        <f t="shared" si="58"/>
        <v>0.43560000000000004</v>
      </c>
      <c r="O147" s="939">
        <f t="shared" si="58"/>
        <v>0.79860000000000009</v>
      </c>
      <c r="P147" s="939">
        <f t="shared" si="58"/>
        <v>0.87846000000000013</v>
      </c>
      <c r="Q147" s="939">
        <f t="shared" si="58"/>
        <v>0.966306</v>
      </c>
      <c r="R147" s="939">
        <f t="shared" si="58"/>
        <v>1.0629366</v>
      </c>
      <c r="S147" s="939">
        <f t="shared" si="58"/>
        <v>1.16923026</v>
      </c>
      <c r="T147" s="939">
        <f t="shared" si="58"/>
        <v>1.286153286</v>
      </c>
      <c r="U147" s="939">
        <f t="shared" si="58"/>
        <v>1.4147686146</v>
      </c>
      <c r="V147" s="645">
        <f t="shared" si="49"/>
        <v>8.6780547606000003</v>
      </c>
      <c r="W147" s="582"/>
      <c r="X147" s="591"/>
    </row>
    <row r="148" spans="1:38" ht="17.25" customHeight="1">
      <c r="A148" s="572" t="str">
        <f>'Key Assumptions'!B100</f>
        <v>Agriculture : Apiculture (16 Days, 48 hrs)</v>
      </c>
      <c r="B148" s="562"/>
      <c r="C148" s="562"/>
      <c r="D148" s="562"/>
      <c r="E148" s="671">
        <v>100</v>
      </c>
      <c r="F148" s="939">
        <f>$E$148*F103/10^5*F133</f>
        <v>3.7499999999999999E-2</v>
      </c>
      <c r="G148" s="939">
        <f t="shared" ref="G148:U148" si="59">$E$148*G103/10^5*G133</f>
        <v>3.7499999999999999E-2</v>
      </c>
      <c r="H148" s="939">
        <f t="shared" si="59"/>
        <v>3.7499999999999999E-2</v>
      </c>
      <c r="I148" s="939">
        <f t="shared" si="59"/>
        <v>3.7499999999999999E-2</v>
      </c>
      <c r="J148" s="939">
        <f t="shared" si="59"/>
        <v>8.2500000000000004E-2</v>
      </c>
      <c r="K148" s="939">
        <f t="shared" si="59"/>
        <v>8.2500000000000004E-2</v>
      </c>
      <c r="L148" s="939">
        <f t="shared" si="59"/>
        <v>8.2500000000000004E-2</v>
      </c>
      <c r="M148" s="939">
        <f t="shared" si="59"/>
        <v>8.2500000000000004E-2</v>
      </c>
      <c r="N148" s="939">
        <f t="shared" si="59"/>
        <v>0.5445000000000001</v>
      </c>
      <c r="O148" s="939">
        <f t="shared" si="59"/>
        <v>1.3310000000000002</v>
      </c>
      <c r="P148" s="939">
        <f t="shared" si="59"/>
        <v>1.4641000000000002</v>
      </c>
      <c r="Q148" s="939">
        <f t="shared" si="59"/>
        <v>1.6105100000000001</v>
      </c>
      <c r="R148" s="939">
        <f t="shared" si="59"/>
        <v>1.7715610000000002</v>
      </c>
      <c r="S148" s="939">
        <f t="shared" si="59"/>
        <v>1.9487171000000001</v>
      </c>
      <c r="T148" s="939">
        <f t="shared" si="59"/>
        <v>2.1435888100000002</v>
      </c>
      <c r="U148" s="939">
        <f t="shared" si="59"/>
        <v>2.3579476910000001</v>
      </c>
      <c r="V148" s="645">
        <f t="shared" si="49"/>
        <v>13.651924601000001</v>
      </c>
      <c r="W148" s="582"/>
      <c r="X148" s="591"/>
    </row>
    <row r="149" spans="1:38" ht="17.25" customHeight="1">
      <c r="A149" s="572" t="str">
        <f>'Key Assumptions'!B101</f>
        <v>Agriculture : Mushroom farming  (16 Days, 48 hrs)</v>
      </c>
      <c r="B149" s="562"/>
      <c r="C149" s="562"/>
      <c r="D149" s="562"/>
      <c r="E149" s="671">
        <v>100</v>
      </c>
      <c r="F149" s="939">
        <f>$E$149*F111/10^5*F133</f>
        <v>3.7499999999999999E-2</v>
      </c>
      <c r="G149" s="939">
        <f t="shared" ref="G149:U149" si="60">$E$149*G111/10^5*G133</f>
        <v>3.7499999999999999E-2</v>
      </c>
      <c r="H149" s="939">
        <f t="shared" si="60"/>
        <v>3.7499999999999999E-2</v>
      </c>
      <c r="I149" s="939">
        <f t="shared" si="60"/>
        <v>3.7499999999999999E-2</v>
      </c>
      <c r="J149" s="939">
        <f t="shared" si="60"/>
        <v>8.2500000000000004E-2</v>
      </c>
      <c r="K149" s="939">
        <f t="shared" si="60"/>
        <v>8.2500000000000004E-2</v>
      </c>
      <c r="L149" s="939">
        <f t="shared" si="60"/>
        <v>8.2500000000000004E-2</v>
      </c>
      <c r="M149" s="939">
        <f t="shared" si="60"/>
        <v>8.2500000000000004E-2</v>
      </c>
      <c r="N149" s="939">
        <f t="shared" si="60"/>
        <v>0.5445000000000001</v>
      </c>
      <c r="O149" s="939">
        <f t="shared" si="60"/>
        <v>1.3310000000000002</v>
      </c>
      <c r="P149" s="939">
        <f t="shared" si="60"/>
        <v>1.4641000000000002</v>
      </c>
      <c r="Q149" s="939">
        <f t="shared" si="60"/>
        <v>1.6105100000000001</v>
      </c>
      <c r="R149" s="939">
        <f t="shared" si="60"/>
        <v>1.7715610000000002</v>
      </c>
      <c r="S149" s="939">
        <f t="shared" si="60"/>
        <v>1.9487171000000001</v>
      </c>
      <c r="T149" s="939">
        <f t="shared" si="60"/>
        <v>2.1435888100000002</v>
      </c>
      <c r="U149" s="939">
        <f t="shared" si="60"/>
        <v>2.3579476910000001</v>
      </c>
      <c r="V149" s="645">
        <f t="shared" si="49"/>
        <v>13.651924601000001</v>
      </c>
      <c r="W149" s="582"/>
      <c r="X149" s="591"/>
    </row>
    <row r="150" spans="1:38" ht="17.25" customHeight="1">
      <c r="A150" s="572" t="str">
        <f>'Key Assumptions'!B102</f>
        <v>Agriculture : Floriculture  (16 Days, 48 hrs)</v>
      </c>
      <c r="B150" s="562"/>
      <c r="C150" s="562"/>
      <c r="D150" s="562"/>
      <c r="E150" s="671">
        <v>100</v>
      </c>
      <c r="F150" s="939">
        <f>$E$150*F119/10^5*F133</f>
        <v>3.7499999999999999E-2</v>
      </c>
      <c r="G150" s="939">
        <f t="shared" ref="G150:U150" si="61">$E$150*G119/10^5*G133</f>
        <v>3.7499999999999999E-2</v>
      </c>
      <c r="H150" s="939">
        <f t="shared" si="61"/>
        <v>3.7499999999999999E-2</v>
      </c>
      <c r="I150" s="939">
        <f t="shared" si="61"/>
        <v>3.7499999999999999E-2</v>
      </c>
      <c r="J150" s="939">
        <f t="shared" si="61"/>
        <v>8.2500000000000004E-2</v>
      </c>
      <c r="K150" s="939">
        <f t="shared" si="61"/>
        <v>8.2500000000000004E-2</v>
      </c>
      <c r="L150" s="939">
        <f t="shared" si="61"/>
        <v>8.2500000000000004E-2</v>
      </c>
      <c r="M150" s="939">
        <f t="shared" si="61"/>
        <v>8.2500000000000004E-2</v>
      </c>
      <c r="N150" s="939">
        <f t="shared" si="61"/>
        <v>0.5445000000000001</v>
      </c>
      <c r="O150" s="939">
        <f t="shared" si="61"/>
        <v>1.3310000000000002</v>
      </c>
      <c r="P150" s="939">
        <f t="shared" si="61"/>
        <v>1.4641000000000002</v>
      </c>
      <c r="Q150" s="939">
        <f t="shared" si="61"/>
        <v>1.6105100000000001</v>
      </c>
      <c r="R150" s="939">
        <f t="shared" si="61"/>
        <v>1.7715610000000002</v>
      </c>
      <c r="S150" s="939">
        <f t="shared" si="61"/>
        <v>1.9487171000000001</v>
      </c>
      <c r="T150" s="939">
        <f t="shared" si="61"/>
        <v>2.1435888100000002</v>
      </c>
      <c r="U150" s="939">
        <f t="shared" si="61"/>
        <v>2.3579476910000001</v>
      </c>
      <c r="V150" s="645">
        <f t="shared" si="49"/>
        <v>13.651924601000001</v>
      </c>
      <c r="W150" s="582"/>
      <c r="X150" s="591"/>
    </row>
    <row r="151" spans="1:38" ht="17.25" customHeight="1">
      <c r="A151" s="572" t="str">
        <f>'Key Assumptions'!B103</f>
        <v>Food Processing  (16 Days, 60 hrs)</v>
      </c>
      <c r="B151" s="562"/>
      <c r="C151" s="562"/>
      <c r="D151" s="562"/>
      <c r="E151" s="671">
        <v>100</v>
      </c>
      <c r="F151" s="939">
        <f>$E$151*F127/10^5*F133</f>
        <v>3.7499999999999999E-2</v>
      </c>
      <c r="G151" s="939">
        <f t="shared" ref="G151:U151" si="62">$E$151*G127/10^5*G133</f>
        <v>3.7499999999999999E-2</v>
      </c>
      <c r="H151" s="939">
        <f t="shared" si="62"/>
        <v>3.7499999999999999E-2</v>
      </c>
      <c r="I151" s="939">
        <f t="shared" si="62"/>
        <v>3.7499999999999999E-2</v>
      </c>
      <c r="J151" s="939">
        <f t="shared" si="62"/>
        <v>8.2500000000000004E-2</v>
      </c>
      <c r="K151" s="939">
        <f t="shared" si="62"/>
        <v>8.2500000000000004E-2</v>
      </c>
      <c r="L151" s="939">
        <f t="shared" si="62"/>
        <v>8.2500000000000004E-2</v>
      </c>
      <c r="M151" s="939">
        <f t="shared" si="62"/>
        <v>8.2500000000000004E-2</v>
      </c>
      <c r="N151" s="939">
        <f t="shared" si="62"/>
        <v>0.5445000000000001</v>
      </c>
      <c r="O151" s="939">
        <f t="shared" si="62"/>
        <v>1.3310000000000002</v>
      </c>
      <c r="P151" s="939">
        <f t="shared" si="62"/>
        <v>1.4641000000000002</v>
      </c>
      <c r="Q151" s="939">
        <f t="shared" si="62"/>
        <v>1.6105100000000001</v>
      </c>
      <c r="R151" s="939">
        <f t="shared" si="62"/>
        <v>1.7715610000000002</v>
      </c>
      <c r="S151" s="939">
        <f t="shared" si="62"/>
        <v>1.9487171000000001</v>
      </c>
      <c r="T151" s="939">
        <f t="shared" si="62"/>
        <v>2.1435888100000002</v>
      </c>
      <c r="U151" s="939">
        <f t="shared" si="62"/>
        <v>2.3579476910000001</v>
      </c>
      <c r="V151" s="645">
        <f t="shared" si="49"/>
        <v>13.651924601000001</v>
      </c>
      <c r="W151" s="582"/>
      <c r="X151" s="591"/>
    </row>
    <row r="152" spans="1:38" ht="17.25" customHeight="1">
      <c r="A152" s="562"/>
      <c r="B152" s="562"/>
      <c r="C152" s="562"/>
      <c r="D152" s="562"/>
      <c r="E152" s="562"/>
      <c r="F152" s="582"/>
      <c r="G152" s="582"/>
      <c r="H152" s="582"/>
      <c r="I152" s="582"/>
      <c r="J152" s="582"/>
      <c r="K152" s="582"/>
      <c r="L152" s="582"/>
      <c r="M152" s="582"/>
      <c r="N152" s="582"/>
      <c r="O152" s="582"/>
      <c r="P152" s="582"/>
      <c r="Q152" s="582"/>
      <c r="R152" s="582"/>
      <c r="S152" s="582"/>
      <c r="T152" s="582"/>
      <c r="U152" s="582"/>
      <c r="V152" s="576"/>
      <c r="W152" s="582"/>
      <c r="X152" s="591"/>
    </row>
    <row r="153" spans="1:38" ht="17.25" customHeight="1">
      <c r="A153" s="584" t="s">
        <v>1</v>
      </c>
      <c r="B153" s="562"/>
      <c r="C153" s="562"/>
      <c r="D153" s="562"/>
      <c r="E153" s="671">
        <v>100</v>
      </c>
      <c r="F153" s="940">
        <f>SUM(F137:F151)</f>
        <v>0.75749999999999984</v>
      </c>
      <c r="G153" s="940">
        <f t="shared" ref="G153:U153" si="63">SUM(G137:G151)</f>
        <v>0.75749999999999984</v>
      </c>
      <c r="H153" s="940">
        <f t="shared" si="63"/>
        <v>0.75749999999999984</v>
      </c>
      <c r="I153" s="940">
        <f t="shared" si="63"/>
        <v>0.75749999999999984</v>
      </c>
      <c r="J153" s="940">
        <f t="shared" si="63"/>
        <v>1.4107500000000002</v>
      </c>
      <c r="K153" s="940">
        <f t="shared" si="63"/>
        <v>1.4107500000000002</v>
      </c>
      <c r="L153" s="940">
        <f t="shared" si="63"/>
        <v>1.4107500000000002</v>
      </c>
      <c r="M153" s="940">
        <f t="shared" si="63"/>
        <v>1.4107500000000002</v>
      </c>
      <c r="N153" s="940">
        <f t="shared" si="63"/>
        <v>9.1113</v>
      </c>
      <c r="O153" s="940">
        <f t="shared" si="63"/>
        <v>21.229450000000003</v>
      </c>
      <c r="P153" s="940">
        <f t="shared" si="63"/>
        <v>23.352395000000008</v>
      </c>
      <c r="Q153" s="940">
        <f t="shared" si="63"/>
        <v>25.687634500000009</v>
      </c>
      <c r="R153" s="940">
        <f t="shared" si="63"/>
        <v>28.25639795</v>
      </c>
      <c r="S153" s="940">
        <f t="shared" si="63"/>
        <v>31.082037744999997</v>
      </c>
      <c r="T153" s="940">
        <f t="shared" si="63"/>
        <v>34.190241519499999</v>
      </c>
      <c r="U153" s="940">
        <f t="shared" si="63"/>
        <v>37.609265671450004</v>
      </c>
      <c r="V153" s="941">
        <f>SUM(F153:U153)</f>
        <v>219.19172238595004</v>
      </c>
      <c r="W153" s="582"/>
      <c r="X153" s="591"/>
    </row>
    <row r="154" spans="1:38" ht="17.25" customHeight="1">
      <c r="A154" s="562"/>
      <c r="B154" s="562"/>
      <c r="C154" s="562"/>
      <c r="D154" s="562"/>
      <c r="E154" s="562"/>
      <c r="F154" s="563"/>
      <c r="G154" s="563"/>
      <c r="H154" s="563"/>
      <c r="I154" s="563"/>
      <c r="J154" s="563"/>
      <c r="K154" s="563"/>
      <c r="L154" s="563"/>
      <c r="M154" s="563"/>
      <c r="N154" s="563"/>
      <c r="O154" s="563"/>
      <c r="P154" s="563"/>
      <c r="Q154" s="563"/>
      <c r="R154" s="563"/>
      <c r="S154" s="563"/>
      <c r="T154" s="563"/>
      <c r="U154" s="563"/>
      <c r="V154" s="573"/>
      <c r="W154" s="582"/>
      <c r="X154" s="591"/>
    </row>
    <row r="156" spans="1:38" s="595" customFormat="1" ht="20.25">
      <c r="A156" s="597"/>
      <c r="B156" s="597"/>
      <c r="C156" s="597"/>
      <c r="D156" s="597"/>
      <c r="E156" s="598"/>
      <c r="F156" s="990"/>
      <c r="G156" s="990"/>
      <c r="H156" s="990"/>
      <c r="I156" s="990"/>
      <c r="J156" s="995" t="s">
        <v>529</v>
      </c>
      <c r="K156" s="995"/>
      <c r="L156" s="995"/>
      <c r="M156" s="995"/>
      <c r="N156" s="599"/>
      <c r="O156" s="599"/>
      <c r="P156" s="599"/>
      <c r="Q156" s="599"/>
      <c r="R156" s="599"/>
      <c r="S156" s="599"/>
      <c r="T156" s="599"/>
      <c r="U156" s="599"/>
      <c r="V156" s="599"/>
      <c r="W156" s="600"/>
      <c r="X156" s="601"/>
      <c r="Y156" s="600"/>
      <c r="Z156" s="600"/>
      <c r="AA156" s="600"/>
      <c r="AB156" s="600"/>
      <c r="AC156" s="600"/>
      <c r="AD156" s="600"/>
      <c r="AE156" s="600"/>
      <c r="AF156" s="600"/>
      <c r="AG156" s="600"/>
      <c r="AH156" s="600"/>
      <c r="AI156" s="600"/>
      <c r="AJ156" s="600"/>
      <c r="AK156" s="600"/>
      <c r="AL156" s="600"/>
    </row>
    <row r="157" spans="1:38">
      <c r="A157" s="562"/>
      <c r="B157" s="562"/>
      <c r="C157" s="562"/>
      <c r="D157" s="562"/>
      <c r="E157" s="592"/>
      <c r="F157" s="584"/>
      <c r="G157" s="584"/>
      <c r="H157" s="584"/>
      <c r="I157" s="584"/>
      <c r="J157" s="584"/>
      <c r="K157" s="584"/>
      <c r="L157" s="584"/>
      <c r="M157" s="584"/>
      <c r="N157" s="593"/>
      <c r="O157" s="593"/>
      <c r="P157" s="593"/>
      <c r="Q157" s="593"/>
      <c r="R157" s="593"/>
      <c r="S157" s="593"/>
      <c r="T157" s="593"/>
      <c r="U157" s="593"/>
      <c r="V157" s="593"/>
    </row>
    <row r="158" spans="1:38" ht="16.5" customHeight="1">
      <c r="A158" s="572" t="str">
        <f>'Key Assumptions'!B89</f>
        <v>Hospitality course : House keeping (60 Days, 240 hrs)</v>
      </c>
      <c r="E158" s="589">
        <f>'Key Assumptions'!D89</f>
        <v>5000</v>
      </c>
      <c r="F158" s="585">
        <f>'Key Assumptions'!F89</f>
        <v>5000</v>
      </c>
      <c r="G158" s="585">
        <f>'Key Assumptions'!G89</f>
        <v>5000</v>
      </c>
      <c r="H158" s="585">
        <f>'Key Assumptions'!H89</f>
        <v>5000</v>
      </c>
      <c r="I158" s="585">
        <f>'Key Assumptions'!I89</f>
        <v>5000</v>
      </c>
      <c r="J158" s="585">
        <f>'Key Assumptions'!J89</f>
        <v>5500</v>
      </c>
      <c r="K158" s="585">
        <f>'Key Assumptions'!K89</f>
        <v>5500</v>
      </c>
      <c r="L158" s="585">
        <f>'Key Assumptions'!L89</f>
        <v>5500</v>
      </c>
      <c r="M158" s="585">
        <f>'Key Assumptions'!M89</f>
        <v>5500</v>
      </c>
      <c r="N158" s="585">
        <f>'Key Assumptions'!N89</f>
        <v>6050.0000000000009</v>
      </c>
      <c r="O158" s="585">
        <f>'Key Assumptions'!O89</f>
        <v>6655.0000000000009</v>
      </c>
      <c r="P158" s="585">
        <f>'Key Assumptions'!P89</f>
        <v>7320.5000000000009</v>
      </c>
      <c r="Q158" s="585">
        <f>'Key Assumptions'!Q89</f>
        <v>8052.55</v>
      </c>
      <c r="R158" s="585">
        <f>'Key Assumptions'!R89</f>
        <v>8857.8050000000003</v>
      </c>
      <c r="S158" s="585">
        <f>'Key Assumptions'!S89</f>
        <v>9743.585500000001</v>
      </c>
      <c r="T158" s="585">
        <f>'Key Assumptions'!T89</f>
        <v>10717.944050000002</v>
      </c>
      <c r="U158" s="585">
        <f>'Key Assumptions'!U89</f>
        <v>11789.738455000001</v>
      </c>
      <c r="V158" s="563">
        <f>SUM(F158:U158)</f>
        <v>111187.12300500002</v>
      </c>
      <c r="W158" s="582"/>
    </row>
    <row r="159" spans="1:38" ht="16.5" customHeight="1">
      <c r="E159" s="589"/>
      <c r="F159" s="585">
        <f t="shared" ref="F159:U159" si="64">F15*F158/10^5</f>
        <v>3</v>
      </c>
      <c r="G159" s="585">
        <f t="shared" si="64"/>
        <v>3</v>
      </c>
      <c r="H159" s="585">
        <f t="shared" si="64"/>
        <v>3</v>
      </c>
      <c r="I159" s="585">
        <f t="shared" si="64"/>
        <v>3</v>
      </c>
      <c r="J159" s="585">
        <f t="shared" si="64"/>
        <v>5.7750000000000004</v>
      </c>
      <c r="K159" s="585">
        <f t="shared" si="64"/>
        <v>5.7750000000000004</v>
      </c>
      <c r="L159" s="585">
        <f t="shared" si="64"/>
        <v>5.7750000000000004</v>
      </c>
      <c r="M159" s="585">
        <f t="shared" si="64"/>
        <v>5.7750000000000004</v>
      </c>
      <c r="N159" s="585">
        <f t="shared" si="64"/>
        <v>36.300000000000004</v>
      </c>
      <c r="O159" s="585">
        <f t="shared" si="64"/>
        <v>79.860000000000014</v>
      </c>
      <c r="P159" s="585">
        <f t="shared" si="64"/>
        <v>87.846000000000018</v>
      </c>
      <c r="Q159" s="585">
        <f t="shared" si="64"/>
        <v>96.630600000000001</v>
      </c>
      <c r="R159" s="585">
        <f t="shared" si="64"/>
        <v>106.29366</v>
      </c>
      <c r="S159" s="585">
        <f t="shared" si="64"/>
        <v>116.92302600000002</v>
      </c>
      <c r="T159" s="585">
        <f t="shared" si="64"/>
        <v>128.61532860000003</v>
      </c>
      <c r="U159" s="585">
        <f t="shared" si="64"/>
        <v>141.47686146000001</v>
      </c>
      <c r="V159" s="563">
        <f>SUM(F159:U159)</f>
        <v>829.04547606000006</v>
      </c>
      <c r="W159" s="582"/>
    </row>
    <row r="160" spans="1:38" ht="16.5" customHeight="1">
      <c r="E160" s="589"/>
      <c r="F160" s="585"/>
      <c r="G160" s="585"/>
      <c r="H160" s="585"/>
      <c r="I160" s="585"/>
      <c r="J160" s="585"/>
      <c r="K160" s="585"/>
      <c r="L160" s="585"/>
      <c r="M160" s="585"/>
      <c r="N160" s="585"/>
      <c r="O160" s="585"/>
      <c r="P160" s="585"/>
      <c r="Q160" s="585"/>
      <c r="R160" s="585"/>
      <c r="S160" s="585"/>
      <c r="T160" s="585"/>
      <c r="U160" s="585"/>
      <c r="V160" s="563"/>
      <c r="W160" s="582"/>
    </row>
    <row r="161" spans="1:23" ht="16.5" customHeight="1">
      <c r="A161" s="572" t="str">
        <f>'Key Assumptions'!B90</f>
        <v>Hospitality course : Front Office Management (40Days, 180 hrs)</v>
      </c>
      <c r="E161" s="589">
        <f>'Key Assumptions'!D90</f>
        <v>7000</v>
      </c>
      <c r="F161" s="585">
        <f>'Key Assumptions'!F90</f>
        <v>7000</v>
      </c>
      <c r="G161" s="585">
        <f>'Key Assumptions'!G90</f>
        <v>7000</v>
      </c>
      <c r="H161" s="585">
        <f>'Key Assumptions'!H90</f>
        <v>7000</v>
      </c>
      <c r="I161" s="585">
        <f>'Key Assumptions'!I90</f>
        <v>7000</v>
      </c>
      <c r="J161" s="585">
        <f>'Key Assumptions'!J90</f>
        <v>7700.0000000000009</v>
      </c>
      <c r="K161" s="585">
        <f>'Key Assumptions'!K90</f>
        <v>7700.0000000000009</v>
      </c>
      <c r="L161" s="585">
        <f>'Key Assumptions'!L90</f>
        <v>7700.0000000000009</v>
      </c>
      <c r="M161" s="585">
        <f>'Key Assumptions'!M90</f>
        <v>7700.0000000000009</v>
      </c>
      <c r="N161" s="585">
        <f>'Key Assumptions'!N90</f>
        <v>8470.0000000000018</v>
      </c>
      <c r="O161" s="585">
        <f>'Key Assumptions'!O90</f>
        <v>9317.0000000000018</v>
      </c>
      <c r="P161" s="585">
        <f>'Key Assumptions'!P90</f>
        <v>10248.700000000001</v>
      </c>
      <c r="Q161" s="585">
        <f>'Key Assumptions'!Q90</f>
        <v>11273.570000000002</v>
      </c>
      <c r="R161" s="585">
        <f>'Key Assumptions'!R90</f>
        <v>12400.927000000001</v>
      </c>
      <c r="S161" s="585">
        <f>'Key Assumptions'!S90</f>
        <v>13641.019700000001</v>
      </c>
      <c r="T161" s="585">
        <f>'Key Assumptions'!T90</f>
        <v>15005.121670000002</v>
      </c>
      <c r="U161" s="585">
        <f>'Key Assumptions'!U90</f>
        <v>16505.633837000001</v>
      </c>
      <c r="V161" s="563">
        <f>SUM(F161:U161)</f>
        <v>155661.97220700001</v>
      </c>
    </row>
    <row r="162" spans="1:23" ht="16.5" customHeight="1">
      <c r="E162" s="589"/>
      <c r="F162" s="585">
        <f t="shared" ref="F162:U162" si="65">F23*F161/10^5</f>
        <v>6.3</v>
      </c>
      <c r="G162" s="585">
        <f t="shared" si="65"/>
        <v>6.3</v>
      </c>
      <c r="H162" s="585">
        <f t="shared" si="65"/>
        <v>6.3</v>
      </c>
      <c r="I162" s="585">
        <f t="shared" si="65"/>
        <v>6.3</v>
      </c>
      <c r="J162" s="585">
        <f t="shared" si="65"/>
        <v>12.127500000000003</v>
      </c>
      <c r="K162" s="585">
        <f t="shared" si="65"/>
        <v>12.127500000000003</v>
      </c>
      <c r="L162" s="585">
        <f t="shared" si="65"/>
        <v>12.127500000000003</v>
      </c>
      <c r="M162" s="585">
        <f t="shared" si="65"/>
        <v>12.127500000000003</v>
      </c>
      <c r="N162" s="585">
        <f t="shared" si="65"/>
        <v>76.230000000000018</v>
      </c>
      <c r="O162" s="585">
        <f t="shared" si="65"/>
        <v>167.70600000000005</v>
      </c>
      <c r="P162" s="585">
        <f t="shared" si="65"/>
        <v>184.47659999999999</v>
      </c>
      <c r="Q162" s="585">
        <f t="shared" si="65"/>
        <v>202.92426000000003</v>
      </c>
      <c r="R162" s="585">
        <f t="shared" si="65"/>
        <v>223.21668600000001</v>
      </c>
      <c r="S162" s="585">
        <f t="shared" si="65"/>
        <v>245.53835460000002</v>
      </c>
      <c r="T162" s="585">
        <f t="shared" si="65"/>
        <v>270.09219006000006</v>
      </c>
      <c r="U162" s="585">
        <f t="shared" si="65"/>
        <v>297.10140906600003</v>
      </c>
      <c r="V162" s="563">
        <f>SUM(F162:U162)</f>
        <v>1740.9954997260002</v>
      </c>
    </row>
    <row r="163" spans="1:23" ht="16.5" customHeight="1">
      <c r="E163" s="589"/>
      <c r="F163" s="585"/>
      <c r="G163" s="585"/>
      <c r="H163" s="585"/>
      <c r="I163" s="585"/>
      <c r="J163" s="585"/>
      <c r="K163" s="585"/>
      <c r="L163" s="585"/>
      <c r="M163" s="585"/>
      <c r="N163" s="585"/>
      <c r="O163" s="585"/>
      <c r="P163" s="585"/>
      <c r="Q163" s="585"/>
      <c r="R163" s="585"/>
      <c r="S163" s="585"/>
      <c r="T163" s="585"/>
      <c r="U163" s="585"/>
      <c r="V163" s="573"/>
    </row>
    <row r="164" spans="1:23" ht="16.5" customHeight="1">
      <c r="A164" s="572" t="str">
        <f>'Key Assumptions'!B91</f>
        <v>Hospitality course : Food &amp; Beverages (40 Days, 180 hrs)</v>
      </c>
      <c r="E164" s="589">
        <f>'Key Assumptions'!D91</f>
        <v>5000</v>
      </c>
      <c r="F164" s="585">
        <f>'Key Assumptions'!F91</f>
        <v>5000</v>
      </c>
      <c r="G164" s="585">
        <f>'Key Assumptions'!G91</f>
        <v>5000</v>
      </c>
      <c r="H164" s="585">
        <f>'Key Assumptions'!H91</f>
        <v>5000</v>
      </c>
      <c r="I164" s="585">
        <f>'Key Assumptions'!I91</f>
        <v>5000</v>
      </c>
      <c r="J164" s="585">
        <f>'Key Assumptions'!J91</f>
        <v>5500</v>
      </c>
      <c r="K164" s="585">
        <f>'Key Assumptions'!K91</f>
        <v>5500</v>
      </c>
      <c r="L164" s="585">
        <f>'Key Assumptions'!L91</f>
        <v>5500</v>
      </c>
      <c r="M164" s="585">
        <f>'Key Assumptions'!M91</f>
        <v>5500</v>
      </c>
      <c r="N164" s="585">
        <f>'Key Assumptions'!N91</f>
        <v>6050.0000000000009</v>
      </c>
      <c r="O164" s="585">
        <f>'Key Assumptions'!O91</f>
        <v>6655.0000000000009</v>
      </c>
      <c r="P164" s="585">
        <f>'Key Assumptions'!P91</f>
        <v>7320.5000000000009</v>
      </c>
      <c r="Q164" s="585">
        <f>'Key Assumptions'!Q91</f>
        <v>8052.55</v>
      </c>
      <c r="R164" s="585">
        <f>'Key Assumptions'!R91</f>
        <v>8857.8050000000003</v>
      </c>
      <c r="S164" s="585">
        <f>'Key Assumptions'!S91</f>
        <v>9743.585500000001</v>
      </c>
      <c r="T164" s="585">
        <f>'Key Assumptions'!T91</f>
        <v>10717.944050000002</v>
      </c>
      <c r="U164" s="585">
        <f>'Key Assumptions'!U91</f>
        <v>11789.738455000001</v>
      </c>
      <c r="V164" s="563">
        <f>SUM(F164:U164)</f>
        <v>111187.12300500002</v>
      </c>
    </row>
    <row r="165" spans="1:23" ht="16.5" customHeight="1">
      <c r="E165" s="589"/>
      <c r="F165" s="589">
        <f t="shared" ref="F165:U165" si="66">F31*F164/10^5</f>
        <v>2.25</v>
      </c>
      <c r="G165" s="589">
        <f t="shared" si="66"/>
        <v>2.25</v>
      </c>
      <c r="H165" s="589">
        <f t="shared" si="66"/>
        <v>2.25</v>
      </c>
      <c r="I165" s="589">
        <f t="shared" si="66"/>
        <v>2.25</v>
      </c>
      <c r="J165" s="589">
        <f t="shared" si="66"/>
        <v>6.1875</v>
      </c>
      <c r="K165" s="589">
        <f t="shared" si="66"/>
        <v>6.1875</v>
      </c>
      <c r="L165" s="589">
        <f t="shared" si="66"/>
        <v>6.1875</v>
      </c>
      <c r="M165" s="589">
        <f t="shared" si="66"/>
        <v>6.1875</v>
      </c>
      <c r="N165" s="589">
        <f t="shared" si="66"/>
        <v>43.560000000000009</v>
      </c>
      <c r="O165" s="589">
        <f t="shared" si="66"/>
        <v>99.825000000000017</v>
      </c>
      <c r="P165" s="589">
        <f t="shared" si="66"/>
        <v>109.80750000000002</v>
      </c>
      <c r="Q165" s="589">
        <f t="shared" si="66"/>
        <v>120.78825000000001</v>
      </c>
      <c r="R165" s="589">
        <f t="shared" si="66"/>
        <v>132.867075</v>
      </c>
      <c r="S165" s="589">
        <f t="shared" si="66"/>
        <v>146.15378250000001</v>
      </c>
      <c r="T165" s="589">
        <f t="shared" si="66"/>
        <v>160.76916075000003</v>
      </c>
      <c r="U165" s="589">
        <f t="shared" si="66"/>
        <v>176.84607682500001</v>
      </c>
      <c r="V165" s="563">
        <f>SUM(F165:U165)</f>
        <v>1024.3668450750001</v>
      </c>
    </row>
    <row r="166" spans="1:23" ht="16.5" customHeight="1">
      <c r="E166" s="589"/>
      <c r="V166" s="563"/>
    </row>
    <row r="167" spans="1:23" ht="16.5" customHeight="1">
      <c r="A167" s="572" t="str">
        <f>'Key Assumptions'!B92</f>
        <v>IT/ITES : BPO Voice (60 Days, 180 hrs)</v>
      </c>
      <c r="E167" s="589">
        <f>'Key Assumptions'!D92</f>
        <v>7000</v>
      </c>
      <c r="F167" s="585">
        <f>'Key Assumptions'!F92</f>
        <v>7000</v>
      </c>
      <c r="G167" s="585">
        <f>'Key Assumptions'!G92</f>
        <v>7000</v>
      </c>
      <c r="H167" s="585">
        <f>'Key Assumptions'!H92</f>
        <v>7000</v>
      </c>
      <c r="I167" s="585">
        <f>'Key Assumptions'!I92</f>
        <v>7000</v>
      </c>
      <c r="J167" s="585">
        <f>'Key Assumptions'!J92</f>
        <v>7700.0000000000009</v>
      </c>
      <c r="K167" s="585">
        <f>'Key Assumptions'!K92</f>
        <v>7700.0000000000009</v>
      </c>
      <c r="L167" s="585">
        <f>'Key Assumptions'!L92</f>
        <v>7700.0000000000009</v>
      </c>
      <c r="M167" s="585">
        <f>'Key Assumptions'!M92</f>
        <v>7700.0000000000009</v>
      </c>
      <c r="N167" s="585">
        <f>'Key Assumptions'!N92</f>
        <v>8470.0000000000018</v>
      </c>
      <c r="O167" s="585">
        <f>'Key Assumptions'!O92</f>
        <v>9317.0000000000018</v>
      </c>
      <c r="P167" s="585">
        <f>'Key Assumptions'!P92</f>
        <v>10248.700000000001</v>
      </c>
      <c r="Q167" s="585">
        <f>'Key Assumptions'!Q92</f>
        <v>11273.570000000002</v>
      </c>
      <c r="R167" s="585">
        <f>'Key Assumptions'!R92</f>
        <v>12400.927000000001</v>
      </c>
      <c r="S167" s="585">
        <f>'Key Assumptions'!S92</f>
        <v>13641.019700000001</v>
      </c>
      <c r="T167" s="585">
        <f>'Key Assumptions'!T92</f>
        <v>15005.121670000002</v>
      </c>
      <c r="U167" s="585">
        <f>'Key Assumptions'!U92</f>
        <v>16505.633837000001</v>
      </c>
      <c r="V167" s="563">
        <f>SUM(F167:U167)</f>
        <v>155661.97220700001</v>
      </c>
    </row>
    <row r="168" spans="1:23" ht="16.5" customHeight="1">
      <c r="E168" s="589"/>
      <c r="F168" s="585">
        <f t="shared" ref="F168:U168" si="67">F39*F167/10^5</f>
        <v>4.2</v>
      </c>
      <c r="G168" s="585">
        <f t="shared" si="67"/>
        <v>4.2</v>
      </c>
      <c r="H168" s="585">
        <f t="shared" si="67"/>
        <v>4.2</v>
      </c>
      <c r="I168" s="585">
        <f t="shared" si="67"/>
        <v>4.2</v>
      </c>
      <c r="J168" s="585">
        <f t="shared" si="67"/>
        <v>6.9300000000000015</v>
      </c>
      <c r="K168" s="585">
        <f t="shared" si="67"/>
        <v>6.9300000000000015</v>
      </c>
      <c r="L168" s="585">
        <f t="shared" si="67"/>
        <v>6.9300000000000015</v>
      </c>
      <c r="M168" s="585">
        <f t="shared" si="67"/>
        <v>6.9300000000000015</v>
      </c>
      <c r="N168" s="585">
        <f t="shared" si="67"/>
        <v>45.738000000000007</v>
      </c>
      <c r="O168" s="585">
        <f t="shared" si="67"/>
        <v>102.48700000000002</v>
      </c>
      <c r="P168" s="585">
        <f t="shared" si="67"/>
        <v>112.73569999999999</v>
      </c>
      <c r="Q168" s="585">
        <f t="shared" si="67"/>
        <v>124.00927000000001</v>
      </c>
      <c r="R168" s="585">
        <f t="shared" si="67"/>
        <v>136.41019700000001</v>
      </c>
      <c r="S168" s="585">
        <f t="shared" si="67"/>
        <v>150.0512167</v>
      </c>
      <c r="T168" s="585">
        <f t="shared" si="67"/>
        <v>165.05633837000002</v>
      </c>
      <c r="U168" s="585">
        <f t="shared" si="67"/>
        <v>181.56197220700003</v>
      </c>
      <c r="V168" s="563">
        <f>SUM(F168:U168)</f>
        <v>1062.5696942770001</v>
      </c>
    </row>
    <row r="169" spans="1:23" ht="16.5" customHeight="1">
      <c r="E169" s="589"/>
      <c r="F169" s="585"/>
      <c r="G169" s="585"/>
      <c r="H169" s="585"/>
      <c r="I169" s="585"/>
      <c r="J169" s="585"/>
      <c r="K169" s="585"/>
      <c r="L169" s="585"/>
      <c r="M169" s="585"/>
      <c r="N169" s="585"/>
      <c r="O169" s="585"/>
      <c r="P169" s="585"/>
      <c r="Q169" s="585"/>
      <c r="R169" s="585"/>
      <c r="S169" s="585"/>
      <c r="T169" s="585"/>
      <c r="U169" s="585"/>
      <c r="V169" s="563"/>
    </row>
    <row r="170" spans="1:23" ht="16.5" customHeight="1">
      <c r="A170" s="572" t="str">
        <f>'Key Assumptions'!B93</f>
        <v>IT/ITES : BPO Non Voice (60 Days, 180 hrs)</v>
      </c>
      <c r="E170" s="589">
        <f>'Key Assumptions'!D93</f>
        <v>7000</v>
      </c>
      <c r="F170" s="585">
        <f>'Key Assumptions'!F93</f>
        <v>7000</v>
      </c>
      <c r="G170" s="585">
        <f>'Key Assumptions'!G93</f>
        <v>7000</v>
      </c>
      <c r="H170" s="585">
        <f>'Key Assumptions'!H93</f>
        <v>7000</v>
      </c>
      <c r="I170" s="585">
        <f>'Key Assumptions'!I93</f>
        <v>7000</v>
      </c>
      <c r="J170" s="585">
        <f>'Key Assumptions'!J93</f>
        <v>7700.0000000000009</v>
      </c>
      <c r="K170" s="585">
        <f>'Key Assumptions'!K93</f>
        <v>7700.0000000000009</v>
      </c>
      <c r="L170" s="585">
        <f>'Key Assumptions'!L93</f>
        <v>7700.0000000000009</v>
      </c>
      <c r="M170" s="585">
        <f>'Key Assumptions'!M93</f>
        <v>7700.0000000000009</v>
      </c>
      <c r="N170" s="585">
        <f>'Key Assumptions'!N93</f>
        <v>8470.0000000000018</v>
      </c>
      <c r="O170" s="585">
        <f>'Key Assumptions'!O93</f>
        <v>9317.0000000000018</v>
      </c>
      <c r="P170" s="585">
        <f>'Key Assumptions'!P93</f>
        <v>10248.700000000001</v>
      </c>
      <c r="Q170" s="585">
        <f>'Key Assumptions'!Q93</f>
        <v>11273.570000000002</v>
      </c>
      <c r="R170" s="585">
        <f>'Key Assumptions'!R93</f>
        <v>12400.927000000001</v>
      </c>
      <c r="S170" s="585">
        <f>'Key Assumptions'!S93</f>
        <v>13641.019700000001</v>
      </c>
      <c r="T170" s="585">
        <f>'Key Assumptions'!T93</f>
        <v>15005.121670000002</v>
      </c>
      <c r="U170" s="585">
        <f>'Key Assumptions'!U93</f>
        <v>16505.633837000001</v>
      </c>
      <c r="V170" s="563">
        <f>SUM(F170:U170)</f>
        <v>155661.97220700001</v>
      </c>
    </row>
    <row r="171" spans="1:23" ht="16.5" customHeight="1">
      <c r="E171" s="589"/>
      <c r="F171" s="585">
        <f t="shared" ref="F171:U171" si="68">F47*F170/10^5</f>
        <v>4.2</v>
      </c>
      <c r="G171" s="585">
        <f t="shared" si="68"/>
        <v>4.2</v>
      </c>
      <c r="H171" s="585">
        <f t="shared" si="68"/>
        <v>4.2</v>
      </c>
      <c r="I171" s="585">
        <f t="shared" si="68"/>
        <v>4.2</v>
      </c>
      <c r="J171" s="585">
        <f t="shared" si="68"/>
        <v>6.9300000000000015</v>
      </c>
      <c r="K171" s="585">
        <f t="shared" si="68"/>
        <v>6.9300000000000015</v>
      </c>
      <c r="L171" s="585">
        <f t="shared" si="68"/>
        <v>6.9300000000000015</v>
      </c>
      <c r="M171" s="585">
        <f t="shared" si="68"/>
        <v>6.9300000000000015</v>
      </c>
      <c r="N171" s="585">
        <f t="shared" si="68"/>
        <v>45.738000000000007</v>
      </c>
      <c r="O171" s="585">
        <f t="shared" si="68"/>
        <v>102.48700000000002</v>
      </c>
      <c r="P171" s="585">
        <f t="shared" si="68"/>
        <v>112.73569999999999</v>
      </c>
      <c r="Q171" s="585">
        <f t="shared" si="68"/>
        <v>124.00927000000001</v>
      </c>
      <c r="R171" s="585">
        <f t="shared" si="68"/>
        <v>136.41019700000001</v>
      </c>
      <c r="S171" s="585">
        <f t="shared" si="68"/>
        <v>150.0512167</v>
      </c>
      <c r="T171" s="585">
        <f t="shared" si="68"/>
        <v>165.05633837000002</v>
      </c>
      <c r="U171" s="585">
        <f t="shared" si="68"/>
        <v>181.56197220700003</v>
      </c>
      <c r="V171" s="563">
        <f>SUM(F171:U171)</f>
        <v>1062.5696942770001</v>
      </c>
      <c r="W171" s="602"/>
    </row>
    <row r="172" spans="1:23" ht="16.5" customHeight="1">
      <c r="E172" s="589"/>
      <c r="F172" s="585"/>
      <c r="G172" s="585"/>
      <c r="H172" s="585"/>
      <c r="I172" s="585"/>
      <c r="J172" s="585"/>
      <c r="K172" s="585"/>
      <c r="L172" s="585"/>
      <c r="M172" s="585"/>
      <c r="N172" s="585"/>
      <c r="O172" s="585"/>
      <c r="P172" s="585"/>
      <c r="Q172" s="585"/>
      <c r="R172" s="585"/>
      <c r="S172" s="585"/>
      <c r="T172" s="585"/>
      <c r="U172" s="585"/>
      <c r="V172" s="573"/>
    </row>
    <row r="173" spans="1:23" ht="16.5" customHeight="1">
      <c r="A173" s="572" t="str">
        <f>'Key Assumptions'!B94</f>
        <v>IT/ITES : Hardware &amp; networking (40 Days, 180 hrs)</v>
      </c>
      <c r="E173" s="589">
        <f>'Key Assumptions'!D94</f>
        <v>8000</v>
      </c>
      <c r="F173" s="585">
        <f>'Key Assumptions'!F94</f>
        <v>8000</v>
      </c>
      <c r="G173" s="585">
        <f>'Key Assumptions'!G94</f>
        <v>8000</v>
      </c>
      <c r="H173" s="585">
        <f>'Key Assumptions'!H94</f>
        <v>8000</v>
      </c>
      <c r="I173" s="585">
        <f>'Key Assumptions'!I94</f>
        <v>8000</v>
      </c>
      <c r="J173" s="585">
        <f>'Key Assumptions'!J94</f>
        <v>8800</v>
      </c>
      <c r="K173" s="585">
        <f>'Key Assumptions'!K94</f>
        <v>8800</v>
      </c>
      <c r="L173" s="585">
        <f>'Key Assumptions'!L94</f>
        <v>8800</v>
      </c>
      <c r="M173" s="585">
        <f>'Key Assumptions'!M94</f>
        <v>8800</v>
      </c>
      <c r="N173" s="585">
        <f>'Key Assumptions'!N94</f>
        <v>9680.0000000000018</v>
      </c>
      <c r="O173" s="585">
        <f>'Key Assumptions'!O94</f>
        <v>10648.000000000002</v>
      </c>
      <c r="P173" s="585">
        <f>'Key Assumptions'!P94</f>
        <v>11712.800000000001</v>
      </c>
      <c r="Q173" s="585">
        <f>'Key Assumptions'!Q94</f>
        <v>12884.080000000002</v>
      </c>
      <c r="R173" s="585">
        <f>'Key Assumptions'!R94</f>
        <v>14172.488000000001</v>
      </c>
      <c r="S173" s="585">
        <f>'Key Assumptions'!S94</f>
        <v>15589.736800000001</v>
      </c>
      <c r="T173" s="585">
        <f>'Key Assumptions'!T94</f>
        <v>17148.710480000002</v>
      </c>
      <c r="U173" s="585">
        <f>'Key Assumptions'!U94</f>
        <v>18863.581528000002</v>
      </c>
      <c r="V173" s="563">
        <f>SUM(F173:U173)</f>
        <v>177899.39680800002</v>
      </c>
    </row>
    <row r="174" spans="1:23" ht="16.5" customHeight="1">
      <c r="E174" s="589"/>
      <c r="F174" s="589">
        <f t="shared" ref="F174:U174" si="69">F55*F173/10^5</f>
        <v>5.4</v>
      </c>
      <c r="G174" s="589">
        <f t="shared" si="69"/>
        <v>5.4</v>
      </c>
      <c r="H174" s="589">
        <f t="shared" si="69"/>
        <v>5.4</v>
      </c>
      <c r="I174" s="589">
        <f t="shared" si="69"/>
        <v>5.4</v>
      </c>
      <c r="J174" s="589">
        <f t="shared" si="69"/>
        <v>7.92</v>
      </c>
      <c r="K174" s="589">
        <f t="shared" si="69"/>
        <v>7.92</v>
      </c>
      <c r="L174" s="589">
        <f t="shared" si="69"/>
        <v>7.92</v>
      </c>
      <c r="M174" s="589">
        <f t="shared" si="69"/>
        <v>7.92</v>
      </c>
      <c r="N174" s="589">
        <f t="shared" si="69"/>
        <v>52.272000000000013</v>
      </c>
      <c r="O174" s="589">
        <f t="shared" si="69"/>
        <v>127.77600000000002</v>
      </c>
      <c r="P174" s="589">
        <f t="shared" si="69"/>
        <v>140.55360000000002</v>
      </c>
      <c r="Q174" s="589">
        <f t="shared" si="69"/>
        <v>154.60896000000002</v>
      </c>
      <c r="R174" s="589">
        <f t="shared" si="69"/>
        <v>170.06985600000002</v>
      </c>
      <c r="S174" s="589">
        <f t="shared" si="69"/>
        <v>187.07684159999999</v>
      </c>
      <c r="T174" s="589">
        <f t="shared" si="69"/>
        <v>205.78452576000001</v>
      </c>
      <c r="U174" s="589">
        <f t="shared" si="69"/>
        <v>226.36297833600003</v>
      </c>
      <c r="V174" s="563">
        <f>SUM(F174:U174)</f>
        <v>1317.784761696</v>
      </c>
    </row>
    <row r="175" spans="1:23" ht="16.5" customHeight="1">
      <c r="E175" s="589"/>
      <c r="V175" s="563"/>
    </row>
    <row r="176" spans="1:23" ht="16.5" customHeight="1">
      <c r="A176" s="572" t="str">
        <f>'Key Assumptions'!B95</f>
        <v>Health Care : General Duty Attendant (40 Days, 180 hrs)</v>
      </c>
      <c r="E176" s="589">
        <f>'Key Assumptions'!D95</f>
        <v>5000</v>
      </c>
      <c r="F176" s="585">
        <f>'Key Assumptions'!F95</f>
        <v>5000</v>
      </c>
      <c r="G176" s="585">
        <f>'Key Assumptions'!G95</f>
        <v>5000</v>
      </c>
      <c r="H176" s="585">
        <f>'Key Assumptions'!H95</f>
        <v>5000</v>
      </c>
      <c r="I176" s="585">
        <f>'Key Assumptions'!I95</f>
        <v>5000</v>
      </c>
      <c r="J176" s="585">
        <f>'Key Assumptions'!J95</f>
        <v>5500</v>
      </c>
      <c r="K176" s="585">
        <f>'Key Assumptions'!K95</f>
        <v>5500</v>
      </c>
      <c r="L176" s="585">
        <f>'Key Assumptions'!L95</f>
        <v>5500</v>
      </c>
      <c r="M176" s="585">
        <f>'Key Assumptions'!M95</f>
        <v>5500</v>
      </c>
      <c r="N176" s="585">
        <f>'Key Assumptions'!N95</f>
        <v>6050.0000000000009</v>
      </c>
      <c r="O176" s="585">
        <f>'Key Assumptions'!O95</f>
        <v>6655.0000000000009</v>
      </c>
      <c r="P176" s="585">
        <f>'Key Assumptions'!P95</f>
        <v>7320.5000000000009</v>
      </c>
      <c r="Q176" s="585">
        <f>'Key Assumptions'!Q95</f>
        <v>8052.55</v>
      </c>
      <c r="R176" s="585">
        <f>'Key Assumptions'!R95</f>
        <v>8857.8050000000003</v>
      </c>
      <c r="S176" s="585">
        <f>'Key Assumptions'!S95</f>
        <v>9743.585500000001</v>
      </c>
      <c r="T176" s="585">
        <f>'Key Assumptions'!T95</f>
        <v>10717.944050000002</v>
      </c>
      <c r="U176" s="585">
        <f>'Key Assumptions'!U95</f>
        <v>11789.738455000001</v>
      </c>
      <c r="V176" s="563">
        <f>SUM(F176:U176)</f>
        <v>111187.12300500002</v>
      </c>
    </row>
    <row r="177" spans="1:22" ht="16.5" customHeight="1">
      <c r="E177" s="589"/>
      <c r="F177" s="585">
        <f t="shared" ref="F177:U177" si="70">F63*F176/10^5</f>
        <v>2.25</v>
      </c>
      <c r="G177" s="585">
        <f t="shared" si="70"/>
        <v>2.25</v>
      </c>
      <c r="H177" s="585">
        <f t="shared" si="70"/>
        <v>2.25</v>
      </c>
      <c r="I177" s="585">
        <f t="shared" si="70"/>
        <v>2.25</v>
      </c>
      <c r="J177" s="585">
        <f t="shared" si="70"/>
        <v>3.7124999999999999</v>
      </c>
      <c r="K177" s="585">
        <f t="shared" si="70"/>
        <v>3.7124999999999999</v>
      </c>
      <c r="L177" s="585">
        <f t="shared" si="70"/>
        <v>3.7124999999999999</v>
      </c>
      <c r="M177" s="585">
        <f t="shared" si="70"/>
        <v>3.7124999999999999</v>
      </c>
      <c r="N177" s="585">
        <f t="shared" si="70"/>
        <v>27.225000000000005</v>
      </c>
      <c r="O177" s="585">
        <f t="shared" si="70"/>
        <v>69.877500000000012</v>
      </c>
      <c r="P177" s="585">
        <f t="shared" si="70"/>
        <v>76.865250000000003</v>
      </c>
      <c r="Q177" s="585">
        <f t="shared" si="70"/>
        <v>84.551775000000006</v>
      </c>
      <c r="R177" s="585">
        <f t="shared" si="70"/>
        <v>93.006952499999997</v>
      </c>
      <c r="S177" s="585">
        <f t="shared" si="70"/>
        <v>102.30764775</v>
      </c>
      <c r="T177" s="585">
        <f t="shared" si="70"/>
        <v>112.53841252500001</v>
      </c>
      <c r="U177" s="585">
        <f t="shared" si="70"/>
        <v>123.79225377749999</v>
      </c>
      <c r="V177" s="563">
        <f>SUM(F177:U177)</f>
        <v>714.01479155250013</v>
      </c>
    </row>
    <row r="178" spans="1:22" ht="16.5" customHeight="1">
      <c r="E178" s="589"/>
      <c r="F178" s="585"/>
      <c r="G178" s="585"/>
      <c r="H178" s="585"/>
      <c r="I178" s="585"/>
      <c r="J178" s="585"/>
      <c r="K178" s="585"/>
      <c r="L178" s="585"/>
      <c r="M178" s="585"/>
      <c r="N178" s="585"/>
      <c r="O178" s="585"/>
      <c r="P178" s="585"/>
      <c r="Q178" s="585"/>
      <c r="R178" s="585"/>
      <c r="S178" s="585"/>
      <c r="T178" s="585"/>
      <c r="U178" s="585"/>
      <c r="V178" s="563"/>
    </row>
    <row r="179" spans="1:22" ht="16.5" customHeight="1">
      <c r="A179" s="572" t="str">
        <f>'Key Assumptions'!B96</f>
        <v>Health Care : Asha (Health workers) (40 Days, 180 hrs)</v>
      </c>
      <c r="E179" s="589">
        <f>'Key Assumptions'!D96</f>
        <v>4000</v>
      </c>
      <c r="F179" s="585">
        <f>'Key Assumptions'!F96</f>
        <v>4000</v>
      </c>
      <c r="G179" s="585">
        <f>'Key Assumptions'!G96</f>
        <v>4000</v>
      </c>
      <c r="H179" s="585">
        <f>'Key Assumptions'!H96</f>
        <v>4000</v>
      </c>
      <c r="I179" s="585">
        <f>'Key Assumptions'!I96</f>
        <v>4000</v>
      </c>
      <c r="J179" s="585">
        <f>'Key Assumptions'!J96</f>
        <v>4400</v>
      </c>
      <c r="K179" s="585">
        <f>'Key Assumptions'!K96</f>
        <v>4400</v>
      </c>
      <c r="L179" s="585">
        <f>'Key Assumptions'!L96</f>
        <v>4400</v>
      </c>
      <c r="M179" s="585">
        <f>'Key Assumptions'!M96</f>
        <v>4400</v>
      </c>
      <c r="N179" s="585">
        <f>'Key Assumptions'!N96</f>
        <v>4840.0000000000009</v>
      </c>
      <c r="O179" s="585">
        <f>'Key Assumptions'!O96</f>
        <v>5324.0000000000009</v>
      </c>
      <c r="P179" s="585">
        <f>'Key Assumptions'!P96</f>
        <v>5856.4000000000005</v>
      </c>
      <c r="Q179" s="585">
        <f>'Key Assumptions'!Q96</f>
        <v>6442.0400000000009</v>
      </c>
      <c r="R179" s="585">
        <f>'Key Assumptions'!R96</f>
        <v>7086.2440000000006</v>
      </c>
      <c r="S179" s="585">
        <f>'Key Assumptions'!S96</f>
        <v>7794.8684000000003</v>
      </c>
      <c r="T179" s="585">
        <f>'Key Assumptions'!T96</f>
        <v>8574.3552400000008</v>
      </c>
      <c r="U179" s="585">
        <f>'Key Assumptions'!U96</f>
        <v>9431.7907640000012</v>
      </c>
      <c r="V179" s="563">
        <f>SUM(F179:U179)</f>
        <v>88949.69840400001</v>
      </c>
    </row>
    <row r="180" spans="1:22" ht="16.5" customHeight="1">
      <c r="E180" s="589"/>
      <c r="F180" s="585">
        <f t="shared" ref="F180:U180" si="71">F71*F179/10^5</f>
        <v>1.8</v>
      </c>
      <c r="G180" s="585">
        <f t="shared" si="71"/>
        <v>1.8</v>
      </c>
      <c r="H180" s="585">
        <f t="shared" si="71"/>
        <v>1.8</v>
      </c>
      <c r="I180" s="585">
        <f t="shared" si="71"/>
        <v>1.8</v>
      </c>
      <c r="J180" s="585">
        <f t="shared" si="71"/>
        <v>2.97</v>
      </c>
      <c r="K180" s="585">
        <f t="shared" si="71"/>
        <v>2.97</v>
      </c>
      <c r="L180" s="585">
        <f t="shared" si="71"/>
        <v>2.97</v>
      </c>
      <c r="M180" s="585">
        <f t="shared" si="71"/>
        <v>2.97</v>
      </c>
      <c r="N180" s="585">
        <f t="shared" si="71"/>
        <v>21.780000000000005</v>
      </c>
      <c r="O180" s="585">
        <f t="shared" si="71"/>
        <v>55.902000000000008</v>
      </c>
      <c r="P180" s="585">
        <f t="shared" si="71"/>
        <v>61.492200000000011</v>
      </c>
      <c r="Q180" s="585">
        <f t="shared" si="71"/>
        <v>67.641420000000011</v>
      </c>
      <c r="R180" s="585">
        <f t="shared" si="71"/>
        <v>74.405562000000003</v>
      </c>
      <c r="S180" s="585">
        <f t="shared" si="71"/>
        <v>81.846118200000006</v>
      </c>
      <c r="T180" s="585">
        <f t="shared" si="71"/>
        <v>90.030730020000007</v>
      </c>
      <c r="U180" s="585">
        <f t="shared" si="71"/>
        <v>99.033803022000001</v>
      </c>
      <c r="V180" s="563">
        <f>SUM(F180:U180)</f>
        <v>571.21183324200001</v>
      </c>
    </row>
    <row r="181" spans="1:22" ht="16.5" customHeight="1">
      <c r="E181" s="589"/>
      <c r="F181" s="585"/>
      <c r="G181" s="585"/>
      <c r="H181" s="585"/>
      <c r="I181" s="585"/>
      <c r="J181" s="585"/>
      <c r="K181" s="585"/>
      <c r="L181" s="585"/>
      <c r="M181" s="585"/>
      <c r="N181" s="585"/>
      <c r="O181" s="585"/>
      <c r="P181" s="585"/>
      <c r="Q181" s="585"/>
      <c r="R181" s="585"/>
      <c r="S181" s="585"/>
      <c r="T181" s="585"/>
      <c r="U181" s="585"/>
      <c r="V181" s="573"/>
    </row>
    <row r="182" spans="1:22" ht="16.5" customHeight="1">
      <c r="A182" s="572" t="str">
        <f>'Key Assumptions'!B97</f>
        <v>Health Care : Home Health Aide (40 Days, 180 hrs)</v>
      </c>
      <c r="E182" s="589">
        <f>'Key Assumptions'!D97</f>
        <v>4000</v>
      </c>
      <c r="F182" s="585">
        <f>'Key Assumptions'!F97</f>
        <v>4000</v>
      </c>
      <c r="G182" s="585">
        <f>'Key Assumptions'!G97</f>
        <v>4000</v>
      </c>
      <c r="H182" s="585">
        <f>'Key Assumptions'!H97</f>
        <v>4000</v>
      </c>
      <c r="I182" s="585">
        <f>'Key Assumptions'!I97</f>
        <v>4000</v>
      </c>
      <c r="J182" s="585">
        <f>'Key Assumptions'!J97</f>
        <v>4400</v>
      </c>
      <c r="K182" s="585">
        <f>'Key Assumptions'!K97</f>
        <v>4400</v>
      </c>
      <c r="L182" s="585">
        <f>'Key Assumptions'!L97</f>
        <v>4400</v>
      </c>
      <c r="M182" s="585">
        <f>'Key Assumptions'!M97</f>
        <v>4400</v>
      </c>
      <c r="N182" s="585">
        <f>'Key Assumptions'!N97</f>
        <v>4840.0000000000009</v>
      </c>
      <c r="O182" s="585">
        <f>'Key Assumptions'!O97</f>
        <v>5324.0000000000009</v>
      </c>
      <c r="P182" s="585">
        <f>'Key Assumptions'!P97</f>
        <v>5856.4000000000005</v>
      </c>
      <c r="Q182" s="585">
        <f>'Key Assumptions'!Q97</f>
        <v>6442.0400000000009</v>
      </c>
      <c r="R182" s="585">
        <f>'Key Assumptions'!R97</f>
        <v>7086.2440000000006</v>
      </c>
      <c r="S182" s="585">
        <f>'Key Assumptions'!S97</f>
        <v>7794.8684000000003</v>
      </c>
      <c r="T182" s="585">
        <f>'Key Assumptions'!T97</f>
        <v>8574.3552400000008</v>
      </c>
      <c r="U182" s="585">
        <f>'Key Assumptions'!U97</f>
        <v>9431.7907640000012</v>
      </c>
      <c r="V182" s="563">
        <f>SUM(F182:U182)</f>
        <v>88949.69840400001</v>
      </c>
    </row>
    <row r="183" spans="1:22" ht="16.5" customHeight="1">
      <c r="E183" s="589"/>
      <c r="F183" s="585">
        <f t="shared" ref="F183:U183" si="72">F79*F182/10^5</f>
        <v>1.8</v>
      </c>
      <c r="G183" s="585">
        <f t="shared" si="72"/>
        <v>1.8</v>
      </c>
      <c r="H183" s="585">
        <f t="shared" si="72"/>
        <v>1.8</v>
      </c>
      <c r="I183" s="585">
        <f t="shared" si="72"/>
        <v>1.8</v>
      </c>
      <c r="J183" s="585">
        <f t="shared" si="72"/>
        <v>2.97</v>
      </c>
      <c r="K183" s="585">
        <f t="shared" si="72"/>
        <v>2.97</v>
      </c>
      <c r="L183" s="585">
        <f t="shared" si="72"/>
        <v>2.97</v>
      </c>
      <c r="M183" s="585">
        <f t="shared" si="72"/>
        <v>2.97</v>
      </c>
      <c r="N183" s="585">
        <f t="shared" si="72"/>
        <v>21.780000000000005</v>
      </c>
      <c r="O183" s="585">
        <f t="shared" si="72"/>
        <v>55.902000000000008</v>
      </c>
      <c r="P183" s="585">
        <f t="shared" si="72"/>
        <v>61.492200000000011</v>
      </c>
      <c r="Q183" s="585">
        <f t="shared" si="72"/>
        <v>67.641420000000011</v>
      </c>
      <c r="R183" s="585">
        <f t="shared" si="72"/>
        <v>74.405562000000003</v>
      </c>
      <c r="S183" s="585">
        <f t="shared" si="72"/>
        <v>81.846118200000006</v>
      </c>
      <c r="T183" s="585">
        <f t="shared" si="72"/>
        <v>90.030730020000007</v>
      </c>
      <c r="U183" s="585">
        <f t="shared" si="72"/>
        <v>99.033803022000001</v>
      </c>
      <c r="V183" s="563">
        <f>SUM(F183:U183)</f>
        <v>571.21183324200001</v>
      </c>
    </row>
    <row r="184" spans="1:22" ht="16.5" customHeight="1">
      <c r="E184" s="589"/>
      <c r="F184" s="585"/>
      <c r="G184" s="585"/>
      <c r="H184" s="585"/>
      <c r="I184" s="585"/>
      <c r="J184" s="585"/>
      <c r="K184" s="585"/>
      <c r="L184" s="585"/>
      <c r="M184" s="585"/>
      <c r="N184" s="585"/>
      <c r="O184" s="585"/>
      <c r="P184" s="585"/>
      <c r="Q184" s="585"/>
      <c r="R184" s="585"/>
      <c r="S184" s="585"/>
      <c r="T184" s="585"/>
      <c r="U184" s="585"/>
      <c r="V184" s="573"/>
    </row>
    <row r="185" spans="1:22" ht="16.5" customHeight="1">
      <c r="A185" s="572" t="str">
        <f>'Key Assumptions'!B98</f>
        <v>Retail : Cashier (40 Days, 180 hrs)</v>
      </c>
      <c r="E185" s="589">
        <f>'Key Assumptions'!D98</f>
        <v>5000</v>
      </c>
      <c r="F185" s="585">
        <f>'Key Assumptions'!F98</f>
        <v>5000</v>
      </c>
      <c r="G185" s="585">
        <f>'Key Assumptions'!G98</f>
        <v>5000</v>
      </c>
      <c r="H185" s="585">
        <f>'Key Assumptions'!H98</f>
        <v>5000</v>
      </c>
      <c r="I185" s="585">
        <f>'Key Assumptions'!I98</f>
        <v>5000</v>
      </c>
      <c r="J185" s="585">
        <f>'Key Assumptions'!J98</f>
        <v>5500</v>
      </c>
      <c r="K185" s="585">
        <f>'Key Assumptions'!K98</f>
        <v>5500</v>
      </c>
      <c r="L185" s="585">
        <f>'Key Assumptions'!L98</f>
        <v>5500</v>
      </c>
      <c r="M185" s="585">
        <f>'Key Assumptions'!M98</f>
        <v>5500</v>
      </c>
      <c r="N185" s="585">
        <f>'Key Assumptions'!N98</f>
        <v>6050.0000000000009</v>
      </c>
      <c r="O185" s="585">
        <f>'Key Assumptions'!O98</f>
        <v>6655.0000000000009</v>
      </c>
      <c r="P185" s="585">
        <f>'Key Assumptions'!P98</f>
        <v>7320.5000000000009</v>
      </c>
      <c r="Q185" s="585">
        <f>'Key Assumptions'!Q98</f>
        <v>8052.55</v>
      </c>
      <c r="R185" s="585">
        <f>'Key Assumptions'!R98</f>
        <v>8857.8050000000003</v>
      </c>
      <c r="S185" s="585">
        <f>'Key Assumptions'!S98</f>
        <v>9743.585500000001</v>
      </c>
      <c r="T185" s="585">
        <f>'Key Assumptions'!T98</f>
        <v>10717.944050000002</v>
      </c>
      <c r="U185" s="585">
        <f>'Key Assumptions'!U98</f>
        <v>11789.738455000001</v>
      </c>
      <c r="V185" s="563">
        <f>SUM(F185:U185)</f>
        <v>111187.12300500002</v>
      </c>
    </row>
    <row r="186" spans="1:22" ht="16.5" customHeight="1">
      <c r="E186" s="589"/>
      <c r="F186" s="585">
        <f t="shared" ref="F186:U186" si="73">F87*F185/10^5</f>
        <v>1.125</v>
      </c>
      <c r="G186" s="585">
        <f t="shared" si="73"/>
        <v>1.125</v>
      </c>
      <c r="H186" s="585">
        <f t="shared" si="73"/>
        <v>1.125</v>
      </c>
      <c r="I186" s="585">
        <f t="shared" si="73"/>
        <v>1.125</v>
      </c>
      <c r="J186" s="585">
        <f t="shared" si="73"/>
        <v>2.4750000000000001</v>
      </c>
      <c r="K186" s="585">
        <f t="shared" si="73"/>
        <v>2.4750000000000001</v>
      </c>
      <c r="L186" s="585">
        <f t="shared" si="73"/>
        <v>2.4750000000000001</v>
      </c>
      <c r="M186" s="585">
        <f t="shared" si="73"/>
        <v>2.4750000000000001</v>
      </c>
      <c r="N186" s="585">
        <f t="shared" si="73"/>
        <v>10.890000000000002</v>
      </c>
      <c r="O186" s="585">
        <f t="shared" si="73"/>
        <v>19.965000000000003</v>
      </c>
      <c r="P186" s="585">
        <f t="shared" si="73"/>
        <v>21.961500000000004</v>
      </c>
      <c r="Q186" s="585">
        <f t="shared" si="73"/>
        <v>24.15765</v>
      </c>
      <c r="R186" s="585">
        <f t="shared" si="73"/>
        <v>26.573415000000001</v>
      </c>
      <c r="S186" s="585">
        <f t="shared" si="73"/>
        <v>29.230756500000005</v>
      </c>
      <c r="T186" s="585">
        <f t="shared" si="73"/>
        <v>32.153832150000007</v>
      </c>
      <c r="U186" s="585">
        <f t="shared" si="73"/>
        <v>35.369215365000002</v>
      </c>
      <c r="V186" s="563">
        <f>SUM(F186:U186)</f>
        <v>214.70136901500001</v>
      </c>
    </row>
    <row r="187" spans="1:22" ht="16.5" customHeight="1">
      <c r="E187" s="589"/>
      <c r="F187" s="585"/>
      <c r="G187" s="585"/>
      <c r="H187" s="585"/>
      <c r="I187" s="585"/>
      <c r="J187" s="585"/>
      <c r="K187" s="585"/>
      <c r="L187" s="585"/>
      <c r="M187" s="585"/>
      <c r="N187" s="585"/>
      <c r="O187" s="585"/>
      <c r="P187" s="585"/>
      <c r="Q187" s="585"/>
      <c r="R187" s="585"/>
      <c r="S187" s="585"/>
      <c r="T187" s="585"/>
      <c r="U187" s="585"/>
      <c r="V187" s="573"/>
    </row>
    <row r="188" spans="1:22" ht="16.5" customHeight="1">
      <c r="A188" s="572" t="str">
        <f>'Key Assumptions'!B99</f>
        <v>Retail : Assistant (40 Days, 180 hrs)</v>
      </c>
      <c r="E188" s="589">
        <f>'Key Assumptions'!D99</f>
        <v>5000</v>
      </c>
      <c r="F188" s="585">
        <f>'Key Assumptions'!F99</f>
        <v>5000</v>
      </c>
      <c r="G188" s="585">
        <f>'Key Assumptions'!G99</f>
        <v>5000</v>
      </c>
      <c r="H188" s="585">
        <f>'Key Assumptions'!H99</f>
        <v>5000</v>
      </c>
      <c r="I188" s="585">
        <f>'Key Assumptions'!I99</f>
        <v>5000</v>
      </c>
      <c r="J188" s="585">
        <f>'Key Assumptions'!J99</f>
        <v>5500</v>
      </c>
      <c r="K188" s="585">
        <f>'Key Assumptions'!K99</f>
        <v>5500</v>
      </c>
      <c r="L188" s="585">
        <f>'Key Assumptions'!L99</f>
        <v>5500</v>
      </c>
      <c r="M188" s="585">
        <f>'Key Assumptions'!M99</f>
        <v>5500</v>
      </c>
      <c r="N188" s="585">
        <f>'Key Assumptions'!N99</f>
        <v>6050.0000000000009</v>
      </c>
      <c r="O188" s="585">
        <f>'Key Assumptions'!O99</f>
        <v>6655.0000000000009</v>
      </c>
      <c r="P188" s="585">
        <f>'Key Assumptions'!P99</f>
        <v>7320.5000000000009</v>
      </c>
      <c r="Q188" s="585">
        <f>'Key Assumptions'!Q99</f>
        <v>8052.55</v>
      </c>
      <c r="R188" s="585">
        <f>'Key Assumptions'!R99</f>
        <v>8857.8050000000003</v>
      </c>
      <c r="S188" s="585">
        <f>'Key Assumptions'!S99</f>
        <v>9743.585500000001</v>
      </c>
      <c r="T188" s="585">
        <f>'Key Assumptions'!T99</f>
        <v>10717.944050000002</v>
      </c>
      <c r="U188" s="585">
        <f>'Key Assumptions'!U99</f>
        <v>11789.738455000001</v>
      </c>
      <c r="V188" s="563">
        <f>SUM(F188:U188)</f>
        <v>111187.12300500002</v>
      </c>
    </row>
    <row r="189" spans="1:22" ht="16.5" customHeight="1">
      <c r="E189" s="589"/>
      <c r="F189" s="585">
        <f t="shared" ref="F189:U189" si="74">F95*F188/10^5</f>
        <v>3.375</v>
      </c>
      <c r="G189" s="585">
        <f t="shared" si="74"/>
        <v>3.375</v>
      </c>
      <c r="H189" s="585">
        <f t="shared" si="74"/>
        <v>3.375</v>
      </c>
      <c r="I189" s="585">
        <f t="shared" si="74"/>
        <v>3.375</v>
      </c>
      <c r="J189" s="585">
        <f t="shared" si="74"/>
        <v>4.95</v>
      </c>
      <c r="K189" s="585">
        <f t="shared" si="74"/>
        <v>4.95</v>
      </c>
      <c r="L189" s="585">
        <f t="shared" si="74"/>
        <v>4.95</v>
      </c>
      <c r="M189" s="585">
        <f t="shared" si="74"/>
        <v>4.95</v>
      </c>
      <c r="N189" s="585">
        <f t="shared" si="74"/>
        <v>21.780000000000005</v>
      </c>
      <c r="O189" s="585">
        <f t="shared" si="74"/>
        <v>39.930000000000007</v>
      </c>
      <c r="P189" s="585">
        <f t="shared" si="74"/>
        <v>43.923000000000009</v>
      </c>
      <c r="Q189" s="585">
        <f t="shared" si="74"/>
        <v>48.315300000000001</v>
      </c>
      <c r="R189" s="585">
        <f t="shared" si="74"/>
        <v>53.146830000000001</v>
      </c>
      <c r="S189" s="585">
        <f t="shared" si="74"/>
        <v>58.461513000000011</v>
      </c>
      <c r="T189" s="585">
        <f t="shared" si="74"/>
        <v>64.307664300000013</v>
      </c>
      <c r="U189" s="585">
        <f t="shared" si="74"/>
        <v>70.738430730000005</v>
      </c>
      <c r="V189" s="563">
        <f>SUM(F189:U189)</f>
        <v>433.90273803000002</v>
      </c>
    </row>
    <row r="190" spans="1:22" ht="16.5" customHeight="1">
      <c r="E190" s="589"/>
      <c r="F190" s="585"/>
      <c r="G190" s="585"/>
      <c r="H190" s="585"/>
      <c r="I190" s="585"/>
      <c r="J190" s="585"/>
      <c r="K190" s="585"/>
      <c r="L190" s="585"/>
      <c r="M190" s="585"/>
      <c r="N190" s="585"/>
      <c r="O190" s="585"/>
      <c r="P190" s="585"/>
      <c r="Q190" s="585"/>
      <c r="R190" s="585"/>
      <c r="S190" s="585"/>
      <c r="T190" s="585"/>
      <c r="U190" s="585"/>
      <c r="V190" s="573"/>
    </row>
    <row r="191" spans="1:22" ht="16.5" customHeight="1">
      <c r="A191" s="572" t="str">
        <f>'Key Assumptions'!B100</f>
        <v>Agriculture : Apiculture (16 Days, 48 hrs)</v>
      </c>
      <c r="E191" s="589">
        <f>'Key Assumptions'!D100</f>
        <v>800</v>
      </c>
      <c r="F191" s="585">
        <f>'Key Assumptions'!F100</f>
        <v>800</v>
      </c>
      <c r="G191" s="585">
        <f>'Key Assumptions'!G100</f>
        <v>800</v>
      </c>
      <c r="H191" s="585">
        <f>'Key Assumptions'!H100</f>
        <v>800</v>
      </c>
      <c r="I191" s="585">
        <f>'Key Assumptions'!I100</f>
        <v>800</v>
      </c>
      <c r="J191" s="585">
        <f>'Key Assumptions'!J100</f>
        <v>880.00000000000011</v>
      </c>
      <c r="K191" s="585">
        <f>'Key Assumptions'!K100</f>
        <v>880.00000000000011</v>
      </c>
      <c r="L191" s="585">
        <f>'Key Assumptions'!L100</f>
        <v>880.00000000000011</v>
      </c>
      <c r="M191" s="585">
        <f>'Key Assumptions'!M100</f>
        <v>880.00000000000011</v>
      </c>
      <c r="N191" s="585">
        <f>'Key Assumptions'!N100</f>
        <v>968.00000000000011</v>
      </c>
      <c r="O191" s="585">
        <f>'Key Assumptions'!O100</f>
        <v>1064.8000000000002</v>
      </c>
      <c r="P191" s="585">
        <f>'Key Assumptions'!P100</f>
        <v>1171.2800000000002</v>
      </c>
      <c r="Q191" s="585">
        <f>'Key Assumptions'!Q100</f>
        <v>1288.4080000000001</v>
      </c>
      <c r="R191" s="585">
        <f>'Key Assumptions'!R100</f>
        <v>1417.2488000000001</v>
      </c>
      <c r="S191" s="585">
        <f>'Key Assumptions'!S100</f>
        <v>1558.9736800000001</v>
      </c>
      <c r="T191" s="585">
        <f>'Key Assumptions'!T100</f>
        <v>1714.8710480000002</v>
      </c>
      <c r="U191" s="585">
        <f>'Key Assumptions'!U100</f>
        <v>1886.3581528000002</v>
      </c>
      <c r="V191" s="563">
        <f>SUM(F191:U191)</f>
        <v>17789.939680799998</v>
      </c>
    </row>
    <row r="192" spans="1:22" ht="16.5" customHeight="1">
      <c r="E192" s="589"/>
      <c r="F192" s="585">
        <f t="shared" ref="F192:U192" si="75">F103*F191/10^5</f>
        <v>0.3</v>
      </c>
      <c r="G192" s="585">
        <f t="shared" si="75"/>
        <v>0.3</v>
      </c>
      <c r="H192" s="585">
        <f t="shared" si="75"/>
        <v>0.3</v>
      </c>
      <c r="I192" s="585">
        <f t="shared" si="75"/>
        <v>0.3</v>
      </c>
      <c r="J192" s="585">
        <f t="shared" si="75"/>
        <v>0.66000000000000014</v>
      </c>
      <c r="K192" s="585">
        <f t="shared" si="75"/>
        <v>0.66000000000000014</v>
      </c>
      <c r="L192" s="585">
        <f t="shared" si="75"/>
        <v>0.66000000000000014</v>
      </c>
      <c r="M192" s="585">
        <f t="shared" si="75"/>
        <v>0.66000000000000014</v>
      </c>
      <c r="N192" s="585">
        <f t="shared" si="75"/>
        <v>4.3560000000000008</v>
      </c>
      <c r="O192" s="585">
        <f t="shared" si="75"/>
        <v>10.648000000000001</v>
      </c>
      <c r="P192" s="585">
        <f t="shared" si="75"/>
        <v>11.712800000000003</v>
      </c>
      <c r="Q192" s="585">
        <f t="shared" si="75"/>
        <v>12.884080000000003</v>
      </c>
      <c r="R192" s="585">
        <f t="shared" si="75"/>
        <v>14.172488000000001</v>
      </c>
      <c r="S192" s="585">
        <f t="shared" si="75"/>
        <v>15.589736800000003</v>
      </c>
      <c r="T192" s="585">
        <f t="shared" si="75"/>
        <v>17.148710480000002</v>
      </c>
      <c r="U192" s="585">
        <f t="shared" si="75"/>
        <v>18.863581528000001</v>
      </c>
      <c r="V192" s="563">
        <f>SUM(F192:U192)</f>
        <v>109.21539680800001</v>
      </c>
    </row>
    <row r="193" spans="1:38" ht="16.5" customHeight="1">
      <c r="E193" s="589"/>
      <c r="F193" s="585"/>
      <c r="G193" s="585"/>
      <c r="H193" s="585"/>
      <c r="I193" s="585"/>
      <c r="J193" s="585"/>
      <c r="K193" s="585"/>
      <c r="L193" s="585"/>
      <c r="M193" s="585"/>
      <c r="N193" s="585"/>
      <c r="O193" s="585"/>
      <c r="P193" s="585"/>
      <c r="Q193" s="585"/>
      <c r="R193" s="585"/>
      <c r="S193" s="585"/>
      <c r="T193" s="585"/>
      <c r="U193" s="585"/>
      <c r="V193" s="573"/>
    </row>
    <row r="194" spans="1:38" ht="16.5" customHeight="1">
      <c r="A194" s="572" t="str">
        <f>'Key Assumptions'!B101</f>
        <v>Agriculture : Mushroom farming  (16 Days, 48 hrs)</v>
      </c>
      <c r="E194" s="589">
        <f>'Key Assumptions'!D101</f>
        <v>800</v>
      </c>
      <c r="F194" s="585">
        <f>'Key Assumptions'!F101</f>
        <v>800</v>
      </c>
      <c r="G194" s="585">
        <f>'Key Assumptions'!G101</f>
        <v>800</v>
      </c>
      <c r="H194" s="585">
        <f>'Key Assumptions'!H101</f>
        <v>800</v>
      </c>
      <c r="I194" s="585">
        <f>'Key Assumptions'!I101</f>
        <v>800</v>
      </c>
      <c r="J194" s="585">
        <f>'Key Assumptions'!J101</f>
        <v>880.00000000000011</v>
      </c>
      <c r="K194" s="585">
        <f>'Key Assumptions'!K101</f>
        <v>880.00000000000011</v>
      </c>
      <c r="L194" s="585">
        <f>'Key Assumptions'!L101</f>
        <v>880.00000000000011</v>
      </c>
      <c r="M194" s="585">
        <f>'Key Assumptions'!M101</f>
        <v>880.00000000000011</v>
      </c>
      <c r="N194" s="585">
        <f>'Key Assumptions'!N101</f>
        <v>968.00000000000011</v>
      </c>
      <c r="O194" s="585">
        <f>'Key Assumptions'!O101</f>
        <v>1064.8000000000002</v>
      </c>
      <c r="P194" s="585">
        <f>'Key Assumptions'!P101</f>
        <v>1171.2800000000002</v>
      </c>
      <c r="Q194" s="585">
        <f>'Key Assumptions'!Q101</f>
        <v>1288.4080000000001</v>
      </c>
      <c r="R194" s="585">
        <f>'Key Assumptions'!R101</f>
        <v>1417.2488000000001</v>
      </c>
      <c r="S194" s="585">
        <f>'Key Assumptions'!S101</f>
        <v>1558.9736800000001</v>
      </c>
      <c r="T194" s="585">
        <f>'Key Assumptions'!T101</f>
        <v>1714.8710480000002</v>
      </c>
      <c r="U194" s="585">
        <f>'Key Assumptions'!U101</f>
        <v>1886.3581528000002</v>
      </c>
      <c r="V194" s="563">
        <f>SUM(F194:U194)</f>
        <v>17789.939680799998</v>
      </c>
    </row>
    <row r="195" spans="1:38" ht="16.5" customHeight="1">
      <c r="E195" s="589"/>
      <c r="F195" s="585">
        <f t="shared" ref="F195:U195" si="76">F111*F194/10^5</f>
        <v>0.3</v>
      </c>
      <c r="G195" s="585">
        <f t="shared" si="76"/>
        <v>0.3</v>
      </c>
      <c r="H195" s="585">
        <f t="shared" si="76"/>
        <v>0.3</v>
      </c>
      <c r="I195" s="585">
        <f t="shared" si="76"/>
        <v>0.3</v>
      </c>
      <c r="J195" s="585">
        <f t="shared" si="76"/>
        <v>0.66000000000000014</v>
      </c>
      <c r="K195" s="585">
        <f t="shared" si="76"/>
        <v>0.66000000000000014</v>
      </c>
      <c r="L195" s="585">
        <f t="shared" si="76"/>
        <v>0.66000000000000014</v>
      </c>
      <c r="M195" s="585">
        <f t="shared" si="76"/>
        <v>0.66000000000000014</v>
      </c>
      <c r="N195" s="585">
        <f t="shared" si="76"/>
        <v>4.3560000000000008</v>
      </c>
      <c r="O195" s="585">
        <f t="shared" si="76"/>
        <v>10.648000000000001</v>
      </c>
      <c r="P195" s="585">
        <f t="shared" si="76"/>
        <v>11.712800000000003</v>
      </c>
      <c r="Q195" s="585">
        <f t="shared" si="76"/>
        <v>12.884080000000003</v>
      </c>
      <c r="R195" s="585">
        <f t="shared" si="76"/>
        <v>14.172488000000001</v>
      </c>
      <c r="S195" s="585">
        <f t="shared" si="76"/>
        <v>15.589736800000003</v>
      </c>
      <c r="T195" s="585">
        <f t="shared" si="76"/>
        <v>17.148710480000002</v>
      </c>
      <c r="U195" s="585">
        <f t="shared" si="76"/>
        <v>18.863581528000001</v>
      </c>
      <c r="V195" s="563">
        <f>SUM(F195:U195)</f>
        <v>109.21539680800001</v>
      </c>
    </row>
    <row r="196" spans="1:38" ht="16.5" customHeight="1">
      <c r="E196" s="589"/>
      <c r="F196" s="585"/>
      <c r="G196" s="585"/>
      <c r="H196" s="585"/>
      <c r="I196" s="585"/>
      <c r="J196" s="585"/>
      <c r="K196" s="585"/>
      <c r="L196" s="585"/>
      <c r="M196" s="585"/>
      <c r="N196" s="585"/>
      <c r="O196" s="585"/>
      <c r="P196" s="585"/>
      <c r="Q196" s="585"/>
      <c r="R196" s="585"/>
      <c r="S196" s="585"/>
      <c r="T196" s="585"/>
      <c r="U196" s="585"/>
      <c r="V196" s="573"/>
    </row>
    <row r="197" spans="1:38" ht="16.5" customHeight="1">
      <c r="A197" s="572" t="str">
        <f>'Key Assumptions'!B102</f>
        <v>Agriculture : Floriculture  (16 Days, 48 hrs)</v>
      </c>
      <c r="E197" s="589">
        <f>'Key Assumptions'!D102</f>
        <v>800</v>
      </c>
      <c r="F197" s="585">
        <f>'Key Assumptions'!F102</f>
        <v>800</v>
      </c>
      <c r="G197" s="585">
        <f>'Key Assumptions'!G102</f>
        <v>800</v>
      </c>
      <c r="H197" s="585">
        <f>'Key Assumptions'!H102</f>
        <v>800</v>
      </c>
      <c r="I197" s="585">
        <f>'Key Assumptions'!I102</f>
        <v>800</v>
      </c>
      <c r="J197" s="585">
        <f>'Key Assumptions'!J102</f>
        <v>880.00000000000011</v>
      </c>
      <c r="K197" s="585">
        <f>'Key Assumptions'!K102</f>
        <v>880.00000000000011</v>
      </c>
      <c r="L197" s="585">
        <f>'Key Assumptions'!L102</f>
        <v>880.00000000000011</v>
      </c>
      <c r="M197" s="585">
        <f>'Key Assumptions'!M102</f>
        <v>880.00000000000011</v>
      </c>
      <c r="N197" s="585">
        <f>'Key Assumptions'!N102</f>
        <v>968.00000000000011</v>
      </c>
      <c r="O197" s="585">
        <f>'Key Assumptions'!O102</f>
        <v>1064.8000000000002</v>
      </c>
      <c r="P197" s="585">
        <f>'Key Assumptions'!P102</f>
        <v>1171.2800000000002</v>
      </c>
      <c r="Q197" s="585">
        <f>'Key Assumptions'!Q102</f>
        <v>1288.4080000000001</v>
      </c>
      <c r="R197" s="585">
        <f>'Key Assumptions'!R102</f>
        <v>1417.2488000000001</v>
      </c>
      <c r="S197" s="585">
        <f>'Key Assumptions'!S102</f>
        <v>1558.9736800000001</v>
      </c>
      <c r="T197" s="585">
        <f>'Key Assumptions'!T102</f>
        <v>1714.8710480000002</v>
      </c>
      <c r="U197" s="585">
        <f>'Key Assumptions'!U102</f>
        <v>1886.3581528000002</v>
      </c>
      <c r="V197" s="563">
        <f>SUM(F197:U197)</f>
        <v>17789.939680799998</v>
      </c>
    </row>
    <row r="198" spans="1:38" ht="16.5" customHeight="1">
      <c r="E198" s="589"/>
      <c r="F198" s="585">
        <f t="shared" ref="F198:U198" si="77">F119*F197/10^5</f>
        <v>0.3</v>
      </c>
      <c r="G198" s="585">
        <f t="shared" si="77"/>
        <v>0.3</v>
      </c>
      <c r="H198" s="585">
        <f t="shared" si="77"/>
        <v>0.3</v>
      </c>
      <c r="I198" s="585">
        <f t="shared" si="77"/>
        <v>0.3</v>
      </c>
      <c r="J198" s="585">
        <f t="shared" si="77"/>
        <v>0.66000000000000014</v>
      </c>
      <c r="K198" s="585">
        <f t="shared" si="77"/>
        <v>0.66000000000000014</v>
      </c>
      <c r="L198" s="585">
        <f t="shared" si="77"/>
        <v>0.66000000000000014</v>
      </c>
      <c r="M198" s="585">
        <f t="shared" si="77"/>
        <v>0.66000000000000014</v>
      </c>
      <c r="N198" s="585">
        <f t="shared" si="77"/>
        <v>4.3560000000000008</v>
      </c>
      <c r="O198" s="585">
        <f t="shared" si="77"/>
        <v>10.648000000000001</v>
      </c>
      <c r="P198" s="585">
        <f t="shared" si="77"/>
        <v>11.712800000000003</v>
      </c>
      <c r="Q198" s="585">
        <f t="shared" si="77"/>
        <v>12.884080000000003</v>
      </c>
      <c r="R198" s="585">
        <f t="shared" si="77"/>
        <v>14.172488000000001</v>
      </c>
      <c r="S198" s="585">
        <f t="shared" si="77"/>
        <v>15.589736800000003</v>
      </c>
      <c r="T198" s="585">
        <f t="shared" si="77"/>
        <v>17.148710480000002</v>
      </c>
      <c r="U198" s="585">
        <f t="shared" si="77"/>
        <v>18.863581528000001</v>
      </c>
      <c r="V198" s="563">
        <f>SUM(F198:U198)</f>
        <v>109.21539680800001</v>
      </c>
    </row>
    <row r="199" spans="1:38" ht="16.5" customHeight="1">
      <c r="E199" s="589"/>
      <c r="F199" s="585"/>
      <c r="G199" s="585"/>
      <c r="H199" s="585"/>
      <c r="I199" s="585"/>
      <c r="J199" s="585"/>
      <c r="K199" s="585"/>
      <c r="L199" s="585"/>
      <c r="M199" s="585"/>
      <c r="N199" s="585"/>
      <c r="O199" s="585"/>
      <c r="P199" s="585"/>
      <c r="Q199" s="585"/>
      <c r="R199" s="585"/>
      <c r="S199" s="585"/>
      <c r="T199" s="585"/>
      <c r="U199" s="585"/>
      <c r="V199" s="573"/>
    </row>
    <row r="200" spans="1:38" ht="16.5" customHeight="1">
      <c r="A200" s="572" t="str">
        <f>'Key Assumptions'!B103</f>
        <v>Food Processing  (16 Days, 60 hrs)</v>
      </c>
      <c r="E200" s="589">
        <f>'Key Assumptions'!D103</f>
        <v>1000</v>
      </c>
      <c r="F200" s="585">
        <f>'Key Assumptions'!F103</f>
        <v>1000</v>
      </c>
      <c r="G200" s="585">
        <f>'Key Assumptions'!G103</f>
        <v>1000</v>
      </c>
      <c r="H200" s="585">
        <f>'Key Assumptions'!H103</f>
        <v>1000</v>
      </c>
      <c r="I200" s="585">
        <f>'Key Assumptions'!I103</f>
        <v>1000</v>
      </c>
      <c r="J200" s="585">
        <f>'Key Assumptions'!J103</f>
        <v>1100</v>
      </c>
      <c r="K200" s="585">
        <f>'Key Assumptions'!K103</f>
        <v>1100</v>
      </c>
      <c r="L200" s="585">
        <f>'Key Assumptions'!L103</f>
        <v>1100</v>
      </c>
      <c r="M200" s="585">
        <f>'Key Assumptions'!M103</f>
        <v>1100</v>
      </c>
      <c r="N200" s="585">
        <f>'Key Assumptions'!N103</f>
        <v>1210.0000000000002</v>
      </c>
      <c r="O200" s="585">
        <f>'Key Assumptions'!O103</f>
        <v>1331.0000000000002</v>
      </c>
      <c r="P200" s="585">
        <f>'Key Assumptions'!P103</f>
        <v>1464.1000000000001</v>
      </c>
      <c r="Q200" s="585">
        <f>'Key Assumptions'!Q103</f>
        <v>1610.5100000000002</v>
      </c>
      <c r="R200" s="585">
        <f>'Key Assumptions'!R103</f>
        <v>1771.5610000000001</v>
      </c>
      <c r="S200" s="585">
        <f>'Key Assumptions'!S103</f>
        <v>1948.7171000000001</v>
      </c>
      <c r="T200" s="585">
        <f>'Key Assumptions'!T103</f>
        <v>2143.5888100000002</v>
      </c>
      <c r="U200" s="585">
        <f>'Key Assumptions'!U103</f>
        <v>2357.9476910000003</v>
      </c>
      <c r="V200" s="563">
        <f>SUM(F200:U200)</f>
        <v>22237.424601000002</v>
      </c>
    </row>
    <row r="201" spans="1:38" ht="16.5" customHeight="1">
      <c r="E201" s="589"/>
      <c r="F201" s="585">
        <f t="shared" ref="F201:U201" si="78">F127*F200/10^5</f>
        <v>0.375</v>
      </c>
      <c r="G201" s="585">
        <f t="shared" si="78"/>
        <v>0.375</v>
      </c>
      <c r="H201" s="585">
        <f t="shared" si="78"/>
        <v>0.375</v>
      </c>
      <c r="I201" s="585">
        <f t="shared" si="78"/>
        <v>0.375</v>
      </c>
      <c r="J201" s="585">
        <f t="shared" si="78"/>
        <v>0.82499999999999996</v>
      </c>
      <c r="K201" s="585">
        <f t="shared" si="78"/>
        <v>0.82499999999999996</v>
      </c>
      <c r="L201" s="585">
        <f t="shared" si="78"/>
        <v>0.82499999999999996</v>
      </c>
      <c r="M201" s="585">
        <f t="shared" si="78"/>
        <v>0.82499999999999996</v>
      </c>
      <c r="N201" s="585">
        <f t="shared" si="78"/>
        <v>5.4450000000000012</v>
      </c>
      <c r="O201" s="585">
        <f t="shared" si="78"/>
        <v>13.310000000000002</v>
      </c>
      <c r="P201" s="585">
        <f t="shared" si="78"/>
        <v>14.641000000000002</v>
      </c>
      <c r="Q201" s="585">
        <f t="shared" si="78"/>
        <v>16.105100000000004</v>
      </c>
      <c r="R201" s="585">
        <f t="shared" si="78"/>
        <v>17.715610000000002</v>
      </c>
      <c r="S201" s="585">
        <f t="shared" si="78"/>
        <v>19.487171</v>
      </c>
      <c r="T201" s="585">
        <f t="shared" si="78"/>
        <v>21.4358881</v>
      </c>
      <c r="U201" s="585">
        <f t="shared" si="78"/>
        <v>23.57947691</v>
      </c>
      <c r="V201" s="563">
        <f>SUM(F201:U201)</f>
        <v>136.51924601000002</v>
      </c>
    </row>
    <row r="202" spans="1:38" ht="16.5" customHeight="1">
      <c r="E202" s="589"/>
      <c r="F202" s="585"/>
      <c r="G202" s="585"/>
      <c r="H202" s="585"/>
      <c r="I202" s="585"/>
      <c r="J202" s="585"/>
      <c r="K202" s="585"/>
      <c r="L202" s="585"/>
      <c r="M202" s="585"/>
      <c r="N202" s="585"/>
      <c r="O202" s="585"/>
      <c r="P202" s="585"/>
      <c r="Q202" s="585"/>
      <c r="R202" s="585"/>
      <c r="S202" s="585"/>
      <c r="T202" s="585"/>
      <c r="U202" s="585"/>
      <c r="V202" s="573"/>
    </row>
    <row r="203" spans="1:38" s="595" customFormat="1" ht="16.5" customHeight="1">
      <c r="A203" s="597" t="s">
        <v>530</v>
      </c>
      <c r="B203" s="597"/>
      <c r="C203" s="597"/>
      <c r="D203" s="597"/>
      <c r="E203" s="597"/>
      <c r="F203" s="603">
        <f>F159+F162+F165+F168+F171+F174+F177+F180+F183+F186+F189+F192+F195+F198+F201</f>
        <v>36.974999999999994</v>
      </c>
      <c r="G203" s="603">
        <f t="shared" ref="G203:U203" si="79">G159+G162+G165+G168+G171+G174+G177+G180+G183+G186+G189+G192+G195+G198+G201</f>
        <v>36.974999999999994</v>
      </c>
      <c r="H203" s="603">
        <f t="shared" si="79"/>
        <v>36.974999999999994</v>
      </c>
      <c r="I203" s="603">
        <f t="shared" si="79"/>
        <v>36.974999999999994</v>
      </c>
      <c r="J203" s="603">
        <f t="shared" si="79"/>
        <v>65.752499999999998</v>
      </c>
      <c r="K203" s="603">
        <f t="shared" si="79"/>
        <v>65.752499999999998</v>
      </c>
      <c r="L203" s="603">
        <f t="shared" si="79"/>
        <v>65.752499999999998</v>
      </c>
      <c r="M203" s="603">
        <f t="shared" si="79"/>
        <v>65.752499999999998</v>
      </c>
      <c r="N203" s="603">
        <f t="shared" si="79"/>
        <v>421.8060000000001</v>
      </c>
      <c r="O203" s="603">
        <f t="shared" si="79"/>
        <v>966.97150000000056</v>
      </c>
      <c r="P203" s="603">
        <f t="shared" si="79"/>
        <v>1063.6686500000001</v>
      </c>
      <c r="Q203" s="603">
        <f t="shared" si="79"/>
        <v>1170.0355150000003</v>
      </c>
      <c r="R203" s="603">
        <f t="shared" si="79"/>
        <v>1287.0390664999998</v>
      </c>
      <c r="S203" s="603">
        <f t="shared" si="79"/>
        <v>1415.7429731500004</v>
      </c>
      <c r="T203" s="603">
        <f t="shared" si="79"/>
        <v>1557.3172704650003</v>
      </c>
      <c r="U203" s="603">
        <f t="shared" si="79"/>
        <v>1713.0489975114999</v>
      </c>
      <c r="V203" s="603">
        <f>SUM(F203:U203)</f>
        <v>10006.5399726265</v>
      </c>
      <c r="W203" s="600"/>
      <c r="X203" s="601"/>
      <c r="Y203" s="600"/>
      <c r="Z203" s="600"/>
      <c r="AA203" s="600"/>
      <c r="AB203" s="600"/>
      <c r="AC203" s="600"/>
      <c r="AD203" s="600"/>
      <c r="AE203" s="600"/>
      <c r="AF203" s="600"/>
      <c r="AG203" s="600"/>
      <c r="AH203" s="600"/>
      <c r="AI203" s="600"/>
      <c r="AJ203" s="600"/>
      <c r="AK203" s="600"/>
      <c r="AL203" s="600"/>
    </row>
    <row r="204" spans="1:38">
      <c r="W204" s="574"/>
    </row>
    <row r="205" spans="1:38">
      <c r="A205" s="562" t="s">
        <v>325</v>
      </c>
      <c r="B205" s="562"/>
      <c r="C205" s="562"/>
      <c r="D205" s="562"/>
      <c r="E205" s="562"/>
      <c r="F205" s="563">
        <f>F203</f>
        <v>36.974999999999994</v>
      </c>
      <c r="G205" s="563">
        <f t="shared" ref="G205:V205" si="80">G203</f>
        <v>36.974999999999994</v>
      </c>
      <c r="H205" s="563">
        <f t="shared" si="80"/>
        <v>36.974999999999994</v>
      </c>
      <c r="I205" s="563">
        <f t="shared" si="80"/>
        <v>36.974999999999994</v>
      </c>
      <c r="J205" s="563">
        <f t="shared" si="80"/>
        <v>65.752499999999998</v>
      </c>
      <c r="K205" s="563">
        <f t="shared" si="80"/>
        <v>65.752499999999998</v>
      </c>
      <c r="L205" s="563">
        <f t="shared" si="80"/>
        <v>65.752499999999998</v>
      </c>
      <c r="M205" s="563">
        <f t="shared" si="80"/>
        <v>65.752499999999998</v>
      </c>
      <c r="N205" s="563">
        <f t="shared" si="80"/>
        <v>421.8060000000001</v>
      </c>
      <c r="O205" s="563">
        <f t="shared" si="80"/>
        <v>966.97150000000056</v>
      </c>
      <c r="P205" s="563">
        <f t="shared" si="80"/>
        <v>1063.6686500000001</v>
      </c>
      <c r="Q205" s="563">
        <f t="shared" si="80"/>
        <v>1170.0355150000003</v>
      </c>
      <c r="R205" s="563">
        <f t="shared" si="80"/>
        <v>1287.0390664999998</v>
      </c>
      <c r="S205" s="563">
        <f t="shared" si="80"/>
        <v>1415.7429731500004</v>
      </c>
      <c r="T205" s="563">
        <f t="shared" si="80"/>
        <v>1557.3172704650003</v>
      </c>
      <c r="U205" s="563">
        <f t="shared" si="80"/>
        <v>1713.0489975114999</v>
      </c>
      <c r="V205" s="563">
        <f t="shared" si="80"/>
        <v>10006.5399726265</v>
      </c>
      <c r="W205" s="594"/>
    </row>
    <row r="206" spans="1:38" ht="18" customHeight="1">
      <c r="W206" s="574"/>
    </row>
    <row r="208" spans="1:38">
      <c r="E208" s="589"/>
      <c r="F208" s="585"/>
      <c r="G208" s="585"/>
      <c r="H208" s="585"/>
      <c r="I208" s="585"/>
      <c r="J208" s="585"/>
      <c r="K208" s="585"/>
      <c r="L208" s="585"/>
      <c r="M208" s="585"/>
      <c r="N208" s="585"/>
      <c r="O208" s="585"/>
      <c r="P208" s="585"/>
      <c r="Q208" s="585"/>
      <c r="R208" s="585"/>
      <c r="S208" s="585"/>
      <c r="T208" s="585"/>
      <c r="U208" s="585"/>
      <c r="V208" s="585"/>
    </row>
    <row r="209" spans="5:22">
      <c r="J209" s="562"/>
      <c r="K209" s="562"/>
      <c r="L209" s="562"/>
      <c r="M209" s="562"/>
      <c r="N209" s="562"/>
      <c r="O209" s="562"/>
      <c r="P209" s="562"/>
      <c r="Q209" s="562"/>
      <c r="R209" s="562"/>
      <c r="S209" s="562"/>
      <c r="T209" s="562"/>
      <c r="U209" s="562"/>
      <c r="V209" s="562"/>
    </row>
    <row r="211" spans="5:22" ht="22.5" customHeight="1">
      <c r="E211" s="589"/>
      <c r="F211" s="589"/>
      <c r="G211" s="589"/>
      <c r="H211" s="589"/>
      <c r="I211" s="589"/>
      <c r="J211" s="589"/>
      <c r="K211" s="589"/>
      <c r="L211" s="589"/>
      <c r="M211" s="589"/>
      <c r="N211" s="589"/>
      <c r="O211" s="589"/>
      <c r="P211" s="589"/>
      <c r="Q211" s="589"/>
      <c r="R211" s="589"/>
      <c r="S211" s="589"/>
      <c r="T211" s="589"/>
      <c r="U211" s="589"/>
      <c r="V211" s="589"/>
    </row>
    <row r="212" spans="5:22">
      <c r="E212" s="589"/>
      <c r="F212" s="589"/>
      <c r="G212" s="589"/>
      <c r="H212" s="589"/>
      <c r="I212" s="589"/>
      <c r="J212" s="589"/>
      <c r="K212" s="589"/>
      <c r="L212" s="589"/>
      <c r="M212" s="589"/>
      <c r="N212" s="589"/>
      <c r="O212" s="589"/>
      <c r="P212" s="589"/>
      <c r="Q212" s="589"/>
      <c r="R212" s="589"/>
      <c r="S212" s="589"/>
      <c r="T212" s="589"/>
      <c r="U212" s="589"/>
      <c r="V212" s="589"/>
    </row>
    <row r="213" spans="5:22">
      <c r="E213" s="589"/>
      <c r="F213" s="589"/>
      <c r="G213" s="589"/>
      <c r="H213" s="589"/>
      <c r="I213" s="589"/>
      <c r="J213" s="589"/>
      <c r="K213" s="589"/>
      <c r="L213" s="589"/>
      <c r="M213" s="589"/>
      <c r="N213" s="589"/>
      <c r="O213" s="589"/>
      <c r="P213" s="589"/>
      <c r="Q213" s="589"/>
      <c r="R213" s="589"/>
      <c r="S213" s="589"/>
      <c r="T213" s="589"/>
      <c r="U213" s="589"/>
      <c r="V213" s="589"/>
    </row>
  </sheetData>
  <mergeCells count="5">
    <mergeCell ref="A1:V1"/>
    <mergeCell ref="F156:I156"/>
    <mergeCell ref="J156:M156"/>
    <mergeCell ref="F3:I3"/>
    <mergeCell ref="J3:M3"/>
  </mergeCells>
  <pageMargins left="0.39" right="0.37" top="0.56999999999999995" bottom="0.75" header="0.3" footer="0.3"/>
  <pageSetup scale="55" orientation="landscape" horizontalDpi="1200" verticalDpi="12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2:M50"/>
  <sheetViews>
    <sheetView zoomScale="90" zoomScaleNormal="90" workbookViewId="0">
      <selection activeCell="I3" sqref="I3"/>
    </sheetView>
  </sheetViews>
  <sheetFormatPr defaultRowHeight="12.75"/>
  <cols>
    <col min="1" max="1" width="55.28515625" bestFit="1" customWidth="1"/>
    <col min="2" max="2" width="15" style="376" bestFit="1" customWidth="1"/>
    <col min="3" max="3" width="12.140625" bestFit="1" customWidth="1"/>
    <col min="4" max="4" width="13.42578125" bestFit="1" customWidth="1"/>
    <col min="5" max="5" width="11.140625" bestFit="1" customWidth="1"/>
    <col min="6" max="6" width="13.140625" bestFit="1" customWidth="1"/>
    <col min="7" max="7" width="17.28515625" bestFit="1" customWidth="1"/>
    <col min="8" max="8" width="11.7109375" bestFit="1" customWidth="1"/>
    <col min="11" max="11" width="13.28515625" bestFit="1" customWidth="1"/>
    <col min="13" max="13" width="15" bestFit="1" customWidth="1"/>
  </cols>
  <sheetData>
    <row r="2" spans="1:13">
      <c r="A2" s="935" t="s">
        <v>608</v>
      </c>
      <c r="B2" s="942" t="s">
        <v>588</v>
      </c>
      <c r="C2" t="s">
        <v>592</v>
      </c>
      <c r="D2" t="s">
        <v>593</v>
      </c>
      <c r="E2" t="s">
        <v>594</v>
      </c>
      <c r="F2" t="s">
        <v>605</v>
      </c>
      <c r="G2" t="s">
        <v>607</v>
      </c>
      <c r="H2" t="s">
        <v>97</v>
      </c>
    </row>
    <row r="4" spans="1:13">
      <c r="A4" t="str">
        <f>'Fin Smmry'!A8</f>
        <v>Hospitality course : House keeping (60 Days, 240 hrs)</v>
      </c>
      <c r="B4" s="376">
        <f>'No. of people trained '!V159*100000</f>
        <v>82904547.606000006</v>
      </c>
      <c r="C4" s="376">
        <f>'No. of people trained '!V137*100000</f>
        <v>1658090.9521200003</v>
      </c>
      <c r="D4" s="376"/>
      <c r="E4" s="376"/>
      <c r="F4" s="376">
        <f>'Opex  Assumptions'!V78*100000</f>
        <v>31559237.138159994</v>
      </c>
      <c r="G4" s="376"/>
      <c r="H4" s="376">
        <v>500000</v>
      </c>
      <c r="I4" s="376"/>
      <c r="J4" s="376"/>
      <c r="K4" s="376"/>
      <c r="L4" s="376"/>
      <c r="M4" s="950"/>
    </row>
    <row r="5" spans="1:13">
      <c r="A5" t="str">
        <f>'Fin Smmry'!A9</f>
        <v>Hospitality course : Front Office Management (40Days, 180 hrs)</v>
      </c>
      <c r="B5" s="376">
        <f>'No. of people trained '!V162*100000</f>
        <v>174099549.97260001</v>
      </c>
      <c r="C5" s="376">
        <f>'No. of people trained '!V138*100000</f>
        <v>2487136.4281800003</v>
      </c>
      <c r="D5" s="376"/>
      <c r="E5" s="376"/>
      <c r="F5" s="376">
        <f>'Opex  Assumptions'!V84*100000</f>
        <v>31559237.138159994</v>
      </c>
      <c r="G5" s="376"/>
      <c r="H5" s="376">
        <v>500000</v>
      </c>
      <c r="I5" s="376"/>
      <c r="J5" s="376"/>
      <c r="K5" s="376"/>
      <c r="L5" s="376"/>
      <c r="M5" s="950"/>
    </row>
    <row r="6" spans="1:13">
      <c r="A6" t="str">
        <f>'Fin Smmry'!A10</f>
        <v>Hospitality course : Food &amp; Beverages (40 Days, 180 hrs)</v>
      </c>
      <c r="B6" s="376">
        <f>'No. of people trained '!V165*100000</f>
        <v>102436684.50750001</v>
      </c>
      <c r="C6" s="376">
        <f>'No. of people trained '!V139*100000</f>
        <v>2048733.6901500002</v>
      </c>
      <c r="D6" s="376"/>
      <c r="E6" s="376"/>
      <c r="F6" s="376">
        <f>'Opex  Assumptions'!V90*100000</f>
        <v>25821764.281800006</v>
      </c>
      <c r="G6" s="376"/>
      <c r="H6" s="376">
        <v>500000</v>
      </c>
      <c r="I6" s="376"/>
      <c r="J6" s="376"/>
      <c r="K6" s="376"/>
      <c r="L6" s="376"/>
      <c r="M6" s="950"/>
    </row>
    <row r="7" spans="1:13" s="384" customFormat="1">
      <c r="B7" s="390">
        <f>SUM(B4:B6)</f>
        <v>359440782.08610004</v>
      </c>
      <c r="C7" s="390">
        <f t="shared" ref="C7" si="0">SUM(C4:C6)</f>
        <v>6193961.0704500005</v>
      </c>
      <c r="D7" s="390">
        <f>('Opex  Assumptions'!V19)*'Check Sheet Crs Wise'!B7/'Check Sheet Crs Wise'!$B$31*100000</f>
        <v>20609338.855681449</v>
      </c>
      <c r="E7" s="390">
        <f>('Opex  Assumptions'!V49)*'Check Sheet Crs Wise'!B7/'Check Sheet Crs Wise'!$B$31*100000</f>
        <v>7458382.8458868237</v>
      </c>
      <c r="F7" s="390">
        <f t="shared" ref="F7" si="1">SUM(F4:F6)</f>
        <v>88940238.558119997</v>
      </c>
      <c r="G7" s="390">
        <f t="shared" ref="G7:J7" si="2">SUM(G4:G6)</f>
        <v>0</v>
      </c>
      <c r="H7" s="390">
        <f t="shared" si="2"/>
        <v>1500000</v>
      </c>
      <c r="I7" s="390">
        <f t="shared" si="2"/>
        <v>0</v>
      </c>
      <c r="J7" s="390">
        <f t="shared" si="2"/>
        <v>0</v>
      </c>
      <c r="K7" s="390">
        <f>B7-C7-D7-E7-F7-G7-H7-I7</f>
        <v>234738860.75596178</v>
      </c>
      <c r="L7" s="390"/>
      <c r="M7" s="950"/>
    </row>
    <row r="8" spans="1:13"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950"/>
    </row>
    <row r="9" spans="1:13">
      <c r="A9" t="str">
        <f>'Fin Smmry'!A11</f>
        <v>IT/ITES : BPO Voice (60 Days, 180 hrs)</v>
      </c>
      <c r="B9" s="376">
        <f>'No. of people trained '!V168*100000</f>
        <v>106256969.4277</v>
      </c>
      <c r="C9" s="376">
        <f>'No. of people trained '!V140*100000</f>
        <v>1517956.7061100001</v>
      </c>
      <c r="D9" s="376"/>
      <c r="E9" s="376"/>
      <c r="F9" s="376">
        <f>'Opex  Assumptions'!V96*100000</f>
        <v>28870500.70998</v>
      </c>
      <c r="G9" s="376"/>
      <c r="H9" s="376">
        <v>500000</v>
      </c>
      <c r="I9" s="376"/>
      <c r="J9" s="376"/>
      <c r="K9" s="376"/>
      <c r="L9" s="376"/>
      <c r="M9" s="950"/>
    </row>
    <row r="10" spans="1:13">
      <c r="A10" t="str">
        <f>'Fin Smmry'!A12</f>
        <v>IT/ITES : BPO Non Voice (60 Days, 180 hrs)</v>
      </c>
      <c r="B10" s="376">
        <f>'No. of people trained '!V171*100000</f>
        <v>106256969.4277</v>
      </c>
      <c r="C10" s="376">
        <f>'No. of people trained '!V141*100000</f>
        <v>1517956.7061100001</v>
      </c>
      <c r="D10" s="376"/>
      <c r="E10" s="376"/>
      <c r="F10" s="376">
        <f>'Opex  Assumptions'!V102*100000</f>
        <v>28870500.70998</v>
      </c>
      <c r="G10" s="376"/>
      <c r="H10" s="376">
        <v>500000</v>
      </c>
      <c r="I10" s="376"/>
      <c r="J10" s="376"/>
      <c r="K10" s="376"/>
      <c r="L10" s="376"/>
      <c r="M10" s="950"/>
    </row>
    <row r="11" spans="1:13">
      <c r="A11" t="str">
        <f>'Fin Smmry'!A13</f>
        <v>IT/ITES : Hardware &amp; networking (40 Days, 180 hrs)</v>
      </c>
      <c r="B11" s="376">
        <f>'No. of people trained '!V174*100000</f>
        <v>131778476.16960001</v>
      </c>
      <c r="C11" s="376">
        <f>'No. of people trained '!V142*100000</f>
        <v>1647230.95212</v>
      </c>
      <c r="D11" s="376"/>
      <c r="E11" s="376"/>
      <c r="F11" s="376">
        <f>'Opex  Assumptions'!V108*100000</f>
        <v>20822291.425439999</v>
      </c>
      <c r="G11" s="376"/>
      <c r="H11" s="376">
        <v>500000</v>
      </c>
      <c r="I11" s="376"/>
      <c r="J11" s="376"/>
      <c r="K11" s="376"/>
      <c r="L11" s="376"/>
      <c r="M11" s="950"/>
    </row>
    <row r="12" spans="1:13" s="384" customFormat="1">
      <c r="B12" s="390">
        <f>SUM(B9:B11)</f>
        <v>344292415.02499998</v>
      </c>
      <c r="C12" s="390">
        <f>SUM(C9:C11)</f>
        <v>4683144.3643399999</v>
      </c>
      <c r="D12" s="390">
        <f>('Opex  Assumptions'!V19)*'Check Sheet Crs Wise'!B12/'Check Sheet Crs Wise'!$B$31*100000</f>
        <v>19740773.446768913</v>
      </c>
      <c r="E12" s="390">
        <f>('Opex  Assumptions'!V49)*'Check Sheet Crs Wise'!B12/'Check Sheet Crs Wise'!$B$31*100000</f>
        <v>7144054.7933603814</v>
      </c>
      <c r="F12" s="390">
        <f t="shared" ref="F12:J12" si="3">SUM(F9:F11)</f>
        <v>78563292.845400006</v>
      </c>
      <c r="G12" s="390">
        <f t="shared" si="3"/>
        <v>0</v>
      </c>
      <c r="H12" s="390">
        <f t="shared" si="3"/>
        <v>1500000</v>
      </c>
      <c r="I12" s="390">
        <f t="shared" si="3"/>
        <v>0</v>
      </c>
      <c r="J12" s="390">
        <f t="shared" si="3"/>
        <v>0</v>
      </c>
      <c r="K12" s="390">
        <f>B12-C12-D12-E12-F12-G12-H12-I12</f>
        <v>232661149.57513067</v>
      </c>
      <c r="L12" s="390"/>
      <c r="M12" s="950"/>
    </row>
    <row r="13" spans="1:13"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950"/>
    </row>
    <row r="14" spans="1:13">
      <c r="A14" t="str">
        <f>'Fin Smmry'!A14</f>
        <v>Health Care : General Duty Attendant (40 Days, 180 hrs)</v>
      </c>
      <c r="B14" s="376">
        <f>'No. of people trained '!V177*100000</f>
        <v>71401479.155250013</v>
      </c>
      <c r="C14" s="376">
        <f>'No. of people trained '!V143*100000</f>
        <v>1428029.5831050002</v>
      </c>
      <c r="D14" s="376"/>
      <c r="E14" s="376"/>
      <c r="F14" s="376">
        <f>'Opex  Assumptions'!V114*100000</f>
        <v>17953554.997260001</v>
      </c>
      <c r="G14" s="376"/>
      <c r="H14" s="376">
        <v>500000</v>
      </c>
      <c r="I14" s="376"/>
      <c r="J14" s="376"/>
      <c r="K14" s="376"/>
      <c r="L14" s="376"/>
      <c r="M14" s="950"/>
    </row>
    <row r="15" spans="1:13">
      <c r="A15" t="str">
        <f>'Fin Smmry'!A15</f>
        <v>Health Care : Asha (Health workers) (40 Days, 180 hrs)</v>
      </c>
      <c r="B15" s="376">
        <f>'No. of people trained '!V180*100000</f>
        <v>57121183.324200004</v>
      </c>
      <c r="C15" s="376">
        <f>'No. of people trained '!V144*100000</f>
        <v>1428029.5831050002</v>
      </c>
      <c r="D15" s="376"/>
      <c r="E15" s="376"/>
      <c r="F15" s="376">
        <f>'Opex  Assumptions'!V120*100000</f>
        <v>17953554.997260001</v>
      </c>
      <c r="G15" s="376"/>
      <c r="H15" s="376">
        <v>500000</v>
      </c>
      <c r="I15" s="376"/>
      <c r="J15" s="376"/>
      <c r="K15" s="376"/>
      <c r="L15" s="376"/>
      <c r="M15" s="950"/>
    </row>
    <row r="16" spans="1:13">
      <c r="A16" t="str">
        <f>'Fin Smmry'!A16</f>
        <v>Health Care : Home Health Aide (40 Days, 180 hrs)</v>
      </c>
      <c r="B16" s="376">
        <f>'No. of people trained '!V183*100000</f>
        <v>57121183.324200004</v>
      </c>
      <c r="C16" s="376">
        <f>'No. of people trained '!V145*100000</f>
        <v>1428029.5831050002</v>
      </c>
      <c r="D16" s="376"/>
      <c r="E16" s="376"/>
      <c r="F16" s="376">
        <f>'Opex  Assumptions'!V126*100000</f>
        <v>17953554.997260001</v>
      </c>
      <c r="G16" s="376"/>
      <c r="H16" s="376">
        <v>500000</v>
      </c>
      <c r="I16" s="376"/>
      <c r="J16" s="376"/>
      <c r="K16" s="376"/>
      <c r="L16" s="376"/>
      <c r="M16" s="950"/>
    </row>
    <row r="17" spans="1:13" s="384" customFormat="1">
      <c r="B17" s="390">
        <f>SUM(B14:B16)</f>
        <v>185643845.80365002</v>
      </c>
      <c r="C17" s="390">
        <f>SUM(C14:C16)</f>
        <v>4284088.7493150011</v>
      </c>
      <c r="D17" s="390">
        <f>('Opex  Assumptions'!V19)*'Check Sheet Crs Wise'!B17/'Check Sheet Crs Wise'!$B$31*100000</f>
        <v>10644303.916862791</v>
      </c>
      <c r="E17" s="390">
        <f>('Opex  Assumptions'!V49)*'Check Sheet Crs Wise'!B17/'Check Sheet Crs Wise'!$B$31*100000</f>
        <v>3852102.8886887291</v>
      </c>
      <c r="F17" s="390">
        <f t="shared" ref="F17:J17" si="4">SUM(F14:F16)</f>
        <v>53860664.991779998</v>
      </c>
      <c r="G17" s="390">
        <f t="shared" si="4"/>
        <v>0</v>
      </c>
      <c r="H17" s="390">
        <f t="shared" si="4"/>
        <v>1500000</v>
      </c>
      <c r="I17" s="390">
        <f t="shared" si="4"/>
        <v>0</v>
      </c>
      <c r="J17" s="390">
        <f t="shared" si="4"/>
        <v>0</v>
      </c>
      <c r="K17" s="390">
        <f>B17-C17-D17-E17-F17-G17-H17-I17</f>
        <v>111502685.2570035</v>
      </c>
      <c r="L17" s="390"/>
      <c r="M17" s="950"/>
    </row>
    <row r="18" spans="1:13"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950"/>
    </row>
    <row r="19" spans="1:13">
      <c r="A19" t="str">
        <f>'Fin Smmry'!A17</f>
        <v>Retail : Cashier (40 Days, 180 hrs)</v>
      </c>
      <c r="B19" s="376">
        <f>'No. of people trained '!V186*100000</f>
        <v>21470136.901500002</v>
      </c>
      <c r="C19" s="376">
        <f>'No. of people trained '!V146*100000</f>
        <v>429402.73803000001</v>
      </c>
      <c r="D19" s="376"/>
      <c r="E19" s="376"/>
      <c r="F19" s="376">
        <f>'Opex  Assumptions'!V132*100000</f>
        <v>5557472.8563600006</v>
      </c>
      <c r="G19" s="376"/>
      <c r="H19" s="376">
        <v>500000</v>
      </c>
      <c r="I19" s="376"/>
      <c r="J19" s="376"/>
      <c r="K19" s="376"/>
      <c r="L19" s="376"/>
    </row>
    <row r="20" spans="1:13">
      <c r="A20" t="str">
        <f>'Fin Smmry'!A18</f>
        <v>Retail : Assistant (40 Days, 180 hrs)</v>
      </c>
      <c r="B20" s="376">
        <f>'No. of people trained '!V189*100000</f>
        <v>43390273.803000003</v>
      </c>
      <c r="C20" s="376">
        <f>'No. of people trained '!V147*100000</f>
        <v>867805.47606000002</v>
      </c>
      <c r="D20" s="376"/>
      <c r="E20" s="376"/>
      <c r="F20" s="376">
        <f>'Opex  Assumptions'!V138*100000</f>
        <v>11294945.712720001</v>
      </c>
      <c r="G20" s="376"/>
      <c r="H20" s="376">
        <v>500000</v>
      </c>
      <c r="I20" s="376"/>
      <c r="J20" s="376"/>
      <c r="K20" s="376"/>
      <c r="L20" s="376"/>
      <c r="M20" s="371"/>
    </row>
    <row r="21" spans="1:13" s="384" customFormat="1">
      <c r="B21" s="390">
        <f>SUM(B19:B20)</f>
        <v>64860410.704500005</v>
      </c>
      <c r="C21" s="390">
        <f>SUM(C19:C20)</f>
        <v>1297208.2140899999</v>
      </c>
      <c r="D21" s="390">
        <f>('Opex  Assumptions'!V19)*'Check Sheet Crs Wise'!B21/'Check Sheet Crs Wise'!$B$31*100000</f>
        <v>3718916.2976156389</v>
      </c>
      <c r="E21" s="390">
        <f>('Opex  Assumptions'!V49)*'Check Sheet Crs Wise'!B21/'Check Sheet Crs Wise'!$B$31*100000</f>
        <v>1345851.1072895986</v>
      </c>
      <c r="F21" s="390">
        <f t="shared" ref="F21:J21" si="5">SUM(F18:F20)</f>
        <v>16852418.569080003</v>
      </c>
      <c r="G21" s="390">
        <f t="shared" si="5"/>
        <v>0</v>
      </c>
      <c r="H21" s="390">
        <f t="shared" si="5"/>
        <v>1000000</v>
      </c>
      <c r="I21" s="390">
        <f t="shared" si="5"/>
        <v>0</v>
      </c>
      <c r="J21" s="390">
        <f t="shared" si="5"/>
        <v>0</v>
      </c>
      <c r="K21" s="390">
        <f>B21-C21-D21-E21-F21-G21-H21-I21</f>
        <v>40646016.516424768</v>
      </c>
      <c r="L21" s="390"/>
    </row>
    <row r="22" spans="1:13">
      <c r="C22" s="376"/>
      <c r="D22" s="376"/>
      <c r="E22" s="376"/>
      <c r="F22" s="376"/>
      <c r="G22" s="376"/>
      <c r="H22" s="376"/>
      <c r="I22" s="376"/>
      <c r="J22" s="376"/>
      <c r="K22" s="376"/>
      <c r="L22" s="376"/>
    </row>
    <row r="23" spans="1:13">
      <c r="A23" t="str">
        <f>'Fin Smmry'!A19</f>
        <v>Agriculture : Apiculture (16 Days, 48 hrs)</v>
      </c>
      <c r="B23" s="376">
        <f>'No. of people trained '!V192*100000</f>
        <v>10921539.6808</v>
      </c>
      <c r="C23" s="376">
        <f>'No. of people trained '!V148*100000</f>
        <v>1365192.4601</v>
      </c>
      <c r="D23" s="376"/>
      <c r="E23" s="376"/>
      <c r="F23" s="376">
        <f>'Opex  Assumptions'!V144*100000</f>
        <v>10321145.712720001</v>
      </c>
      <c r="G23" s="376"/>
      <c r="H23" s="376">
        <v>500000</v>
      </c>
      <c r="I23" s="376"/>
      <c r="J23" s="376"/>
      <c r="K23" s="376"/>
      <c r="L23" s="376"/>
    </row>
    <row r="24" spans="1:13">
      <c r="A24" t="str">
        <f>'Fin Smmry'!A20</f>
        <v>Agriculture : Mushroom farming  (16 Days, 48 hrs)</v>
      </c>
      <c r="B24" s="376">
        <f>'No. of people trained '!V195*100000</f>
        <v>10921539.6808</v>
      </c>
      <c r="C24" s="376">
        <f>'No. of people trained '!V149*100000</f>
        <v>1365192.4601</v>
      </c>
      <c r="D24" s="376"/>
      <c r="E24" s="376"/>
      <c r="F24" s="376">
        <f>'Opex  Assumptions'!V150*100000</f>
        <v>10321145.712720001</v>
      </c>
      <c r="G24" s="376"/>
      <c r="H24" s="376">
        <v>500000</v>
      </c>
      <c r="I24" s="376"/>
      <c r="J24" s="376"/>
      <c r="K24" s="376"/>
      <c r="L24" s="376"/>
      <c r="M24" s="371"/>
    </row>
    <row r="25" spans="1:13">
      <c r="A25" t="str">
        <f>'Fin Smmry'!A21</f>
        <v>Agriculture : Floriculture  (16 Days, 48 hrs)</v>
      </c>
      <c r="B25" s="376">
        <f>'No. of people trained '!V198*100000</f>
        <v>10921539.6808</v>
      </c>
      <c r="C25" s="376">
        <f>'No. of people trained '!V150*100000</f>
        <v>1365192.4601</v>
      </c>
      <c r="D25" s="376"/>
      <c r="E25" s="376"/>
      <c r="F25" s="376">
        <f>'Opex  Assumptions'!V156*100000</f>
        <v>10321145.712720001</v>
      </c>
      <c r="G25" s="376"/>
      <c r="H25" s="376">
        <v>500000</v>
      </c>
      <c r="I25" s="376"/>
      <c r="J25" s="376"/>
      <c r="K25" s="376"/>
      <c r="L25" s="376"/>
    </row>
    <row r="26" spans="1:13" s="384" customFormat="1">
      <c r="B26" s="390">
        <f>SUM(B23:B25)</f>
        <v>32764619.042400002</v>
      </c>
      <c r="C26" s="390">
        <f>SUM(C23:C25)</f>
        <v>4095577.3803000003</v>
      </c>
      <c r="D26" s="390">
        <f>('Opex  Assumptions'!V19)*'Check Sheet Crs Wise'!B26/'Check Sheet Crs Wise'!$B$31*100000</f>
        <v>1878632.5035326243</v>
      </c>
      <c r="E26" s="390">
        <f>('Opex  Assumptions'!V49)*'Check Sheet Crs Wise'!B26/'Check Sheet Crs Wise'!$B$31*100000</f>
        <v>679864.6252647998</v>
      </c>
      <c r="F26" s="390">
        <f t="shared" ref="F26:J26" si="6">SUM(F23:F25)</f>
        <v>30963437.138160005</v>
      </c>
      <c r="G26" s="390">
        <f t="shared" si="6"/>
        <v>0</v>
      </c>
      <c r="H26" s="390">
        <f t="shared" si="6"/>
        <v>1500000</v>
      </c>
      <c r="I26" s="390">
        <f t="shared" si="6"/>
        <v>0</v>
      </c>
      <c r="J26" s="390">
        <f t="shared" si="6"/>
        <v>0</v>
      </c>
      <c r="K26" s="390">
        <f>B26-C26-D26-E26-F26-G26-H26-I26</f>
        <v>-6352892.6048574299</v>
      </c>
      <c r="L26" s="390"/>
    </row>
    <row r="27" spans="1:13">
      <c r="C27" s="376"/>
      <c r="D27" s="376"/>
      <c r="E27" s="376"/>
      <c r="F27" s="376"/>
      <c r="G27" s="376"/>
      <c r="H27" s="376"/>
      <c r="I27" s="376"/>
      <c r="J27" s="376"/>
      <c r="K27" s="376"/>
      <c r="L27" s="376"/>
    </row>
    <row r="28" spans="1:13">
      <c r="A28" t="str">
        <f>'Fin Smmry'!A22</f>
        <v>Food Processing  (16 Days, 60 hrs)</v>
      </c>
      <c r="B28" s="376">
        <f>'No. of people trained '!V201*100000</f>
        <v>13651924.601000002</v>
      </c>
      <c r="C28" s="376">
        <f>'No. of people trained '!V151*100000</f>
        <v>1365192.4601</v>
      </c>
      <c r="D28" s="376"/>
      <c r="E28" s="376"/>
      <c r="F28" s="376">
        <f>'Opex  Assumptions'!V162*100000</f>
        <v>10321145.712720001</v>
      </c>
      <c r="G28" s="376"/>
      <c r="H28" s="376">
        <v>500000</v>
      </c>
      <c r="I28" s="376"/>
      <c r="J28" s="376"/>
      <c r="K28" s="376"/>
      <c r="L28" s="376"/>
    </row>
    <row r="29" spans="1:13" s="384" customFormat="1">
      <c r="B29" s="390">
        <f>SUM(B28)</f>
        <v>13651924.601000002</v>
      </c>
      <c r="C29" s="390">
        <f>SUM(C28)</f>
        <v>1365192.4601</v>
      </c>
      <c r="D29" s="390">
        <f>('Opex  Assumptions'!V19)*'Check Sheet Crs Wise'!B29/'Check Sheet Crs Wise'!$B$31*100000</f>
        <v>782763.54313859355</v>
      </c>
      <c r="E29" s="390">
        <f>('Opex  Assumptions'!V49)*'Check Sheet Crs Wise'!B29/'Check Sheet Crs Wise'!$B$31*100000</f>
        <v>283276.92719366663</v>
      </c>
      <c r="F29" s="390">
        <f>SUM(F28)</f>
        <v>10321145.712720001</v>
      </c>
      <c r="G29" s="390">
        <f t="shared" ref="G29:J29" si="7">SUM(G26:G28)</f>
        <v>0</v>
      </c>
      <c r="H29" s="390">
        <f>SUM(H28)</f>
        <v>500000</v>
      </c>
      <c r="I29" s="390">
        <f t="shared" si="7"/>
        <v>0</v>
      </c>
      <c r="J29" s="390">
        <f t="shared" si="7"/>
        <v>0</v>
      </c>
      <c r="K29" s="390">
        <f>B29-C29-D29-E29-F29-G29-H29-I29</f>
        <v>399545.9578477405</v>
      </c>
      <c r="L29" s="390"/>
    </row>
    <row r="31" spans="1:13">
      <c r="B31" s="390">
        <f>B7+B12+B17+B21+B26+B29</f>
        <v>1000653997.2626499</v>
      </c>
      <c r="C31" s="390">
        <f>C7+C12+C17+C21+C26+C29</f>
        <v>21919172.238595001</v>
      </c>
      <c r="D31" s="710">
        <f>SUM(D4:D30)</f>
        <v>57374728.563600011</v>
      </c>
      <c r="E31" s="710">
        <f>SUM(E4:E30)</f>
        <v>20763533.187684</v>
      </c>
      <c r="F31" s="390">
        <f>F7+F12+F17+F21+F26+F29</f>
        <v>279501197.81525993</v>
      </c>
      <c r="G31" s="390">
        <f>G7+G12+G17+G21+G26+G29</f>
        <v>0</v>
      </c>
      <c r="H31" s="390">
        <f>H7+H12+H17+H21+H26+H29</f>
        <v>7500000</v>
      </c>
    </row>
    <row r="34" spans="1:1">
      <c r="A34" s="955"/>
    </row>
    <row r="36" spans="1:1">
      <c r="A36" s="943"/>
    </row>
    <row r="37" spans="1:1">
      <c r="A37" s="943"/>
    </row>
    <row r="38" spans="1:1">
      <c r="A38" s="943"/>
    </row>
    <row r="39" spans="1:1">
      <c r="A39" s="943"/>
    </row>
    <row r="40" spans="1:1">
      <c r="A40" s="943"/>
    </row>
    <row r="41" spans="1:1">
      <c r="A41" s="943"/>
    </row>
    <row r="42" spans="1:1">
      <c r="A42" s="943"/>
    </row>
    <row r="43" spans="1:1">
      <c r="A43" s="943"/>
    </row>
    <row r="44" spans="1:1">
      <c r="A44" s="943"/>
    </row>
    <row r="45" spans="1:1">
      <c r="A45" s="944"/>
    </row>
    <row r="46" spans="1:1">
      <c r="A46" s="943"/>
    </row>
    <row r="47" spans="1:1">
      <c r="A47" s="943"/>
    </row>
    <row r="48" spans="1:1">
      <c r="A48" s="944"/>
    </row>
    <row r="49" spans="1:1">
      <c r="A49" s="943"/>
    </row>
    <row r="50" spans="1:1">
      <c r="A50" s="943"/>
    </row>
  </sheetData>
  <pageMargins left="0.7" right="0.7" top="0.75" bottom="0.75" header="0.3" footer="0.3"/>
  <pageSetup orientation="portrait" horizontalDpi="0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T39"/>
  <sheetViews>
    <sheetView zoomScale="80" zoomScaleNormal="80" workbookViewId="0">
      <selection activeCell="C21" sqref="C21"/>
    </sheetView>
  </sheetViews>
  <sheetFormatPr defaultRowHeight="15"/>
  <cols>
    <col min="1" max="1" width="30.7109375" style="36" customWidth="1"/>
    <col min="2" max="2" width="9.42578125" style="36" hidden="1" customWidth="1"/>
    <col min="3" max="6" width="9.42578125" style="36" customWidth="1"/>
    <col min="7" max="10" width="9.7109375" style="36" customWidth="1"/>
    <col min="11" max="11" width="9.28515625" style="36" customWidth="1"/>
    <col min="12" max="12" width="9.42578125" style="36" customWidth="1"/>
    <col min="13" max="13" width="9.7109375" style="36" customWidth="1"/>
    <col min="14" max="14" width="9.42578125" style="36" customWidth="1"/>
    <col min="15" max="15" width="9.7109375" style="36" customWidth="1"/>
    <col min="16" max="16" width="9.42578125" style="36" customWidth="1"/>
    <col min="17" max="17" width="10.140625" style="36" customWidth="1"/>
    <col min="18" max="18" width="9.42578125" style="36" bestFit="1" customWidth="1"/>
    <col min="19" max="16384" width="9.140625" style="36"/>
  </cols>
  <sheetData>
    <row r="1" spans="1:19">
      <c r="A1" s="997" t="s">
        <v>135</v>
      </c>
      <c r="B1" s="997"/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  <c r="N1" s="997"/>
      <c r="O1" s="997"/>
      <c r="P1" s="997"/>
      <c r="Q1" s="997"/>
      <c r="R1" s="997"/>
    </row>
    <row r="2" spans="1:19">
      <c r="A2" s="514"/>
    </row>
    <row r="3" spans="1:19">
      <c r="A3" s="515" t="s">
        <v>71</v>
      </c>
    </row>
    <row r="4" spans="1:19">
      <c r="A4" s="687" t="s">
        <v>134</v>
      </c>
    </row>
    <row r="5" spans="1:19">
      <c r="A5" s="515"/>
    </row>
    <row r="6" spans="1:19">
      <c r="A6" s="517"/>
      <c r="B6" s="518"/>
      <c r="C6" s="997" t="s">
        <v>143</v>
      </c>
      <c r="D6" s="997"/>
      <c r="E6" s="997"/>
      <c r="F6" s="997"/>
      <c r="G6" s="997" t="s">
        <v>144</v>
      </c>
      <c r="H6" s="997"/>
      <c r="I6" s="997"/>
      <c r="J6" s="997"/>
      <c r="K6" s="518" t="str">
        <f>'Operational Expenses'!K6</f>
        <v>Year 3</v>
      </c>
      <c r="L6" s="518" t="str">
        <f>'Operational Expenses'!L6</f>
        <v>Year 4</v>
      </c>
      <c r="M6" s="518" t="str">
        <f>'Operational Expenses'!M6</f>
        <v>Year 5</v>
      </c>
      <c r="N6" s="518" t="str">
        <f>'Operational Expenses'!N6</f>
        <v>Year 6</v>
      </c>
      <c r="O6" s="518" t="str">
        <f>'Operational Expenses'!O6</f>
        <v>Year 7</v>
      </c>
      <c r="P6" s="518" t="str">
        <f>'Operational Expenses'!P6</f>
        <v>Year 8</v>
      </c>
      <c r="Q6" s="518" t="str">
        <f>'Operational Expenses'!Q6</f>
        <v>Year 9</v>
      </c>
      <c r="R6" s="518" t="str">
        <f>'Operational Expenses'!R6</f>
        <v>Year 10</v>
      </c>
    </row>
    <row r="7" spans="1:19">
      <c r="C7" s="519" t="s">
        <v>407</v>
      </c>
      <c r="D7" s="519" t="s">
        <v>408</v>
      </c>
      <c r="E7" s="519" t="s">
        <v>409</v>
      </c>
      <c r="F7" s="519" t="s">
        <v>410</v>
      </c>
      <c r="G7" s="519" t="s">
        <v>407</v>
      </c>
      <c r="H7" s="519" t="s">
        <v>408</v>
      </c>
      <c r="I7" s="519" t="s">
        <v>409</v>
      </c>
      <c r="J7" s="519" t="s">
        <v>410</v>
      </c>
    </row>
    <row r="8" spans="1:19"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</row>
    <row r="9" spans="1:19">
      <c r="A9" s="690" t="str">
        <f>'CAPEX Assumption'!C66</f>
        <v>Land &amp; Building</v>
      </c>
      <c r="B9" s="104"/>
      <c r="C9" s="688">
        <f>'CAPEX Assumption'!F66</f>
        <v>44.5</v>
      </c>
      <c r="D9" s="688">
        <f>C9+Capex!D10</f>
        <v>44.5</v>
      </c>
      <c r="E9" s="688">
        <f>D9+Capex!E10</f>
        <v>44.5</v>
      </c>
      <c r="F9" s="688">
        <f>E9+Capex!F10</f>
        <v>44.5</v>
      </c>
      <c r="G9" s="688">
        <f>F9+Capex!G10</f>
        <v>64.3</v>
      </c>
      <c r="H9" s="688">
        <f>G9+Capex!H10</f>
        <v>64.3</v>
      </c>
      <c r="I9" s="688">
        <f>H9+Capex!I10</f>
        <v>64.3</v>
      </c>
      <c r="J9" s="688">
        <f>I9+Capex!J10</f>
        <v>64.3</v>
      </c>
      <c r="K9" s="688">
        <f>J9+Capex!K10</f>
        <v>86.08</v>
      </c>
      <c r="L9" s="688">
        <f>K9+Capex!L10</f>
        <v>110.03800000000001</v>
      </c>
      <c r="M9" s="688">
        <f>L9+Capex!M10</f>
        <v>110.03800000000001</v>
      </c>
      <c r="N9" s="688">
        <f>M9+Capex!N10</f>
        <v>110.03800000000001</v>
      </c>
      <c r="O9" s="688">
        <f>N9+Capex!O10</f>
        <v>110.03800000000001</v>
      </c>
      <c r="P9" s="688">
        <f>O9+Capex!P10</f>
        <v>110.03800000000001</v>
      </c>
      <c r="Q9" s="688">
        <f>P9+Capex!Q10</f>
        <v>110.03800000000001</v>
      </c>
      <c r="R9" s="688">
        <f>Q9+Capex!R10</f>
        <v>110.03800000000001</v>
      </c>
      <c r="S9" s="688"/>
    </row>
    <row r="10" spans="1:19">
      <c r="A10" s="678" t="s">
        <v>551</v>
      </c>
      <c r="B10" s="104">
        <f>Capex!B10</f>
        <v>0</v>
      </c>
      <c r="C10" s="688">
        <f>Capex!C10+Capex!C17</f>
        <v>44.5</v>
      </c>
      <c r="D10" s="688">
        <f>C13+Capex!D10</f>
        <v>42.274999999999999</v>
      </c>
      <c r="E10" s="688">
        <f>D13+Capex!E10</f>
        <v>40.161250000000003</v>
      </c>
      <c r="F10" s="688">
        <f>E13+Capex!F10</f>
        <v>38.153187500000001</v>
      </c>
      <c r="G10" s="688">
        <f>F13+Capex!G10</f>
        <v>56.045528125000004</v>
      </c>
      <c r="H10" s="688">
        <f>G13+Capex!H10</f>
        <v>53.243251718749995</v>
      </c>
      <c r="I10" s="688">
        <f>H13+Capex!I10</f>
        <v>50.581089132812494</v>
      </c>
      <c r="J10" s="688">
        <f>I13+Capex!J10</f>
        <v>48.052034676171871</v>
      </c>
      <c r="K10" s="688">
        <f>J13+Capex!K10</f>
        <v>67.429432942363277</v>
      </c>
      <c r="L10" s="688">
        <f>K13+Capex!L10</f>
        <v>88.01596129524512</v>
      </c>
      <c r="M10" s="688">
        <f>L13+Capex!M10</f>
        <v>83.615163230482864</v>
      </c>
      <c r="N10" s="688">
        <f>M13+Capex!N10</f>
        <v>79.434405068958725</v>
      </c>
      <c r="O10" s="688">
        <f>N13+Capex!O10</f>
        <v>75.462684815510784</v>
      </c>
      <c r="P10" s="688">
        <f>O13+Capex!P10</f>
        <v>71.68955057473525</v>
      </c>
      <c r="Q10" s="688">
        <f>P13+Capex!Q10</f>
        <v>68.105073045998495</v>
      </c>
      <c r="R10" s="688">
        <f>Q13+Capex!R10</f>
        <v>64.699819393698561</v>
      </c>
      <c r="S10" s="688"/>
    </row>
    <row r="11" spans="1:19">
      <c r="A11" s="36" t="s">
        <v>554</v>
      </c>
      <c r="B11" s="86" t="e">
        <f>'Fin Smmry'!#REF!</f>
        <v>#REF!</v>
      </c>
      <c r="C11" s="689">
        <f>C10*5%</f>
        <v>2.2250000000000001</v>
      </c>
      <c r="D11" s="689">
        <f t="shared" ref="D11:R11" si="0">D10*5%</f>
        <v>2.11375</v>
      </c>
      <c r="E11" s="689">
        <f t="shared" si="0"/>
        <v>2.0080625000000003</v>
      </c>
      <c r="F11" s="689">
        <f t="shared" si="0"/>
        <v>1.9076593750000002</v>
      </c>
      <c r="G11" s="689">
        <f t="shared" si="0"/>
        <v>2.8022764062500003</v>
      </c>
      <c r="H11" s="689">
        <f t="shared" si="0"/>
        <v>2.6621625859374998</v>
      </c>
      <c r="I11" s="689">
        <f t="shared" si="0"/>
        <v>2.5290544566406248</v>
      </c>
      <c r="J11" s="689">
        <f t="shared" si="0"/>
        <v>2.4026017338085937</v>
      </c>
      <c r="K11" s="689">
        <f t="shared" si="0"/>
        <v>3.3714716471181641</v>
      </c>
      <c r="L11" s="689">
        <f t="shared" si="0"/>
        <v>4.400798064762256</v>
      </c>
      <c r="M11" s="689">
        <f t="shared" si="0"/>
        <v>4.1807581615241434</v>
      </c>
      <c r="N11" s="689">
        <f t="shared" si="0"/>
        <v>3.9717202534479363</v>
      </c>
      <c r="O11" s="689">
        <f t="shared" si="0"/>
        <v>3.7731342407755393</v>
      </c>
      <c r="P11" s="689">
        <f t="shared" si="0"/>
        <v>3.5844775287367625</v>
      </c>
      <c r="Q11" s="689">
        <f t="shared" si="0"/>
        <v>3.4052536522999248</v>
      </c>
      <c r="R11" s="689">
        <f t="shared" si="0"/>
        <v>3.2349909696849282</v>
      </c>
      <c r="S11" s="688"/>
    </row>
    <row r="12" spans="1:19">
      <c r="A12" s="36" t="s">
        <v>36</v>
      </c>
      <c r="B12" s="104" t="e">
        <f>B11</f>
        <v>#REF!</v>
      </c>
      <c r="C12" s="688">
        <f>C11</f>
        <v>2.2250000000000001</v>
      </c>
      <c r="D12" s="688">
        <f>C12+D11</f>
        <v>4.3387500000000001</v>
      </c>
      <c r="E12" s="688">
        <f t="shared" ref="E12:R12" si="1">D12+E11</f>
        <v>6.3468125000000004</v>
      </c>
      <c r="F12" s="688">
        <f t="shared" si="1"/>
        <v>8.2544718750000001</v>
      </c>
      <c r="G12" s="688">
        <f t="shared" si="1"/>
        <v>11.05674828125</v>
      </c>
      <c r="H12" s="688">
        <f t="shared" si="1"/>
        <v>13.7189108671875</v>
      </c>
      <c r="I12" s="688">
        <f t="shared" si="1"/>
        <v>16.247965323828126</v>
      </c>
      <c r="J12" s="688">
        <f t="shared" si="1"/>
        <v>18.650567057636721</v>
      </c>
      <c r="K12" s="688">
        <f t="shared" si="1"/>
        <v>22.022038704754884</v>
      </c>
      <c r="L12" s="688">
        <f t="shared" si="1"/>
        <v>26.42283676951714</v>
      </c>
      <c r="M12" s="688">
        <f t="shared" si="1"/>
        <v>30.603594931041282</v>
      </c>
      <c r="N12" s="688">
        <f t="shared" si="1"/>
        <v>34.57531518448922</v>
      </c>
      <c r="O12" s="688">
        <f t="shared" si="1"/>
        <v>38.348449425264761</v>
      </c>
      <c r="P12" s="688">
        <f t="shared" si="1"/>
        <v>41.932926954001523</v>
      </c>
      <c r="Q12" s="688">
        <f t="shared" si="1"/>
        <v>45.338180606301449</v>
      </c>
      <c r="R12" s="688">
        <f t="shared" si="1"/>
        <v>48.573171575986379</v>
      </c>
      <c r="S12" s="688"/>
    </row>
    <row r="13" spans="1:19">
      <c r="A13" s="36" t="s">
        <v>552</v>
      </c>
      <c r="B13" s="104" t="e">
        <f>B10-B12</f>
        <v>#REF!</v>
      </c>
      <c r="C13" s="688">
        <f>C9-C12</f>
        <v>42.274999999999999</v>
      </c>
      <c r="D13" s="688">
        <f t="shared" ref="D13:R13" si="2">D9-D12</f>
        <v>40.161250000000003</v>
      </c>
      <c r="E13" s="688">
        <f t="shared" si="2"/>
        <v>38.153187500000001</v>
      </c>
      <c r="F13" s="688">
        <f t="shared" si="2"/>
        <v>36.245528125</v>
      </c>
      <c r="G13" s="688">
        <f t="shared" si="2"/>
        <v>53.243251718749995</v>
      </c>
      <c r="H13" s="688">
        <f t="shared" si="2"/>
        <v>50.581089132812494</v>
      </c>
      <c r="I13" s="688">
        <f t="shared" si="2"/>
        <v>48.052034676171871</v>
      </c>
      <c r="J13" s="688">
        <f t="shared" si="2"/>
        <v>45.649432942363276</v>
      </c>
      <c r="K13" s="688">
        <f t="shared" si="2"/>
        <v>64.057961295245121</v>
      </c>
      <c r="L13" s="688">
        <f t="shared" si="2"/>
        <v>83.615163230482864</v>
      </c>
      <c r="M13" s="688">
        <f t="shared" si="2"/>
        <v>79.434405068958725</v>
      </c>
      <c r="N13" s="688">
        <f t="shared" si="2"/>
        <v>75.462684815510784</v>
      </c>
      <c r="O13" s="688">
        <f t="shared" si="2"/>
        <v>71.68955057473525</v>
      </c>
      <c r="P13" s="688">
        <f t="shared" si="2"/>
        <v>68.105073045998495</v>
      </c>
      <c r="Q13" s="688">
        <f t="shared" si="2"/>
        <v>64.699819393698561</v>
      </c>
      <c r="R13" s="688">
        <f t="shared" si="2"/>
        <v>61.464828424013632</v>
      </c>
      <c r="S13" s="688"/>
    </row>
    <row r="14" spans="1:19">
      <c r="B14" s="104"/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</row>
    <row r="15" spans="1:19">
      <c r="A15" s="690" t="str">
        <f>'CAPEX Assumption'!C67</f>
        <v>Furniture &amp; Fixtures</v>
      </c>
      <c r="B15" s="105"/>
      <c r="C15" s="689">
        <f>'CAPEX Assumption'!F67</f>
        <v>16.59</v>
      </c>
      <c r="D15" s="689">
        <f>C15+Capex!D11</f>
        <v>16.59</v>
      </c>
      <c r="E15" s="689">
        <f>D15+Capex!E11</f>
        <v>16.59</v>
      </c>
      <c r="F15" s="689">
        <f>E15+Capex!F11</f>
        <v>16.59</v>
      </c>
      <c r="G15" s="689">
        <f>F15+Capex!G11</f>
        <v>25.521999999999998</v>
      </c>
      <c r="H15" s="689">
        <f>G15+Capex!H11</f>
        <v>25.521999999999998</v>
      </c>
      <c r="I15" s="689">
        <f>H15+Capex!I11</f>
        <v>25.521999999999998</v>
      </c>
      <c r="J15" s="689">
        <f>I15+Capex!J11</f>
        <v>25.521999999999998</v>
      </c>
      <c r="K15" s="689">
        <f>J15+Capex!K11</f>
        <v>34.742199999999997</v>
      </c>
      <c r="L15" s="689">
        <f>K15+Capex!L11</f>
        <v>44.218919999999997</v>
      </c>
      <c r="M15" s="689">
        <f>L15+Capex!M11</f>
        <v>44.218919999999997</v>
      </c>
      <c r="N15" s="689">
        <f>M15+Capex!N11</f>
        <v>44.218919999999997</v>
      </c>
      <c r="O15" s="689">
        <f>N15+Capex!O11</f>
        <v>44.218919999999997</v>
      </c>
      <c r="P15" s="689">
        <f>O15+Capex!P11</f>
        <v>44.218919999999997</v>
      </c>
      <c r="Q15" s="689">
        <f>P15+Capex!Q11</f>
        <v>44.218919999999997</v>
      </c>
      <c r="R15" s="689">
        <f>Q15+Capex!R11</f>
        <v>44.218919999999997</v>
      </c>
      <c r="S15" s="688"/>
    </row>
    <row r="16" spans="1:19">
      <c r="A16" s="678" t="s">
        <v>551</v>
      </c>
      <c r="B16" s="86">
        <f>Capex!B11</f>
        <v>0</v>
      </c>
      <c r="C16" s="689">
        <f>Capex!C11+Capex!C18</f>
        <v>16.59</v>
      </c>
      <c r="D16" s="688">
        <f>C19+Capex!D11</f>
        <v>13.587209999999999</v>
      </c>
      <c r="E16" s="688">
        <f>D19+Capex!E11</f>
        <v>11.12792499</v>
      </c>
      <c r="F16" s="688">
        <f>E19+Capex!F11</f>
        <v>9.1137705668099986</v>
      </c>
      <c r="G16" s="688">
        <f>F19+Capex!G11</f>
        <v>16.39617809421739</v>
      </c>
      <c r="H16" s="688">
        <f>G19+Capex!H11</f>
        <v>13.428469859164039</v>
      </c>
      <c r="I16" s="688">
        <f>H19+Capex!I11</f>
        <v>10.997916814655348</v>
      </c>
      <c r="J16" s="688">
        <f>I19+Capex!J11</f>
        <v>9.0072938712027302</v>
      </c>
      <c r="K16" s="688">
        <f>J19+Capex!K11</f>
        <v>16.597173680515034</v>
      </c>
      <c r="L16" s="688">
        <f>K19+Capex!L11</f>
        <v>23.069805244341815</v>
      </c>
      <c r="M16" s="688">
        <f>L19+Capex!M11</f>
        <v>18.894170495115944</v>
      </c>
      <c r="N16" s="688">
        <f>M19+Capex!N11</f>
        <v>15.474325635499959</v>
      </c>
      <c r="O16" s="688">
        <f>N19+Capex!O11</f>
        <v>12.673472695474466</v>
      </c>
      <c r="P16" s="688">
        <f>O19+Capex!P11</f>
        <v>10.379574137593586</v>
      </c>
      <c r="Q16" s="688">
        <f>P19+Capex!Q11</f>
        <v>8.5008712186891486</v>
      </c>
      <c r="R16" s="688">
        <f>Q19+Capex!R11</f>
        <v>6.9622135281064104</v>
      </c>
      <c r="S16" s="688"/>
    </row>
    <row r="17" spans="1:19">
      <c r="A17" s="36" t="s">
        <v>442</v>
      </c>
      <c r="B17" s="86" t="e">
        <f>'Fin Smmry'!#REF!</f>
        <v>#REF!</v>
      </c>
      <c r="C17" s="689">
        <f>C16*18.1%</f>
        <v>3.0027900000000005</v>
      </c>
      <c r="D17" s="689">
        <f t="shared" ref="D17:R17" si="3">D16*18.1%</f>
        <v>2.4592850099999999</v>
      </c>
      <c r="E17" s="689">
        <f t="shared" si="3"/>
        <v>2.0141544231900004</v>
      </c>
      <c r="F17" s="689">
        <f t="shared" si="3"/>
        <v>1.6495924725926099</v>
      </c>
      <c r="G17" s="689">
        <f t="shared" si="3"/>
        <v>2.9677082350533479</v>
      </c>
      <c r="H17" s="689">
        <f t="shared" si="3"/>
        <v>2.4305530445086916</v>
      </c>
      <c r="I17" s="689">
        <f t="shared" si="3"/>
        <v>1.9906229434526181</v>
      </c>
      <c r="J17" s="689">
        <f t="shared" si="3"/>
        <v>1.6303201906876943</v>
      </c>
      <c r="K17" s="689">
        <f t="shared" si="3"/>
        <v>3.0040884361732214</v>
      </c>
      <c r="L17" s="689">
        <f t="shared" si="3"/>
        <v>4.1756347492258694</v>
      </c>
      <c r="M17" s="689">
        <f t="shared" si="3"/>
        <v>3.4198448596159863</v>
      </c>
      <c r="N17" s="689">
        <f t="shared" si="3"/>
        <v>2.8008529400254929</v>
      </c>
      <c r="O17" s="689">
        <f t="shared" si="3"/>
        <v>2.2938985578808788</v>
      </c>
      <c r="P17" s="689">
        <f t="shared" si="3"/>
        <v>1.8787029189044393</v>
      </c>
      <c r="Q17" s="689">
        <f t="shared" si="3"/>
        <v>1.538657690582736</v>
      </c>
      <c r="R17" s="689">
        <f t="shared" si="3"/>
        <v>1.2601606485872605</v>
      </c>
      <c r="S17" s="688"/>
    </row>
    <row r="18" spans="1:19">
      <c r="A18" s="36" t="s">
        <v>36</v>
      </c>
      <c r="B18" s="86" t="e">
        <f>B17</f>
        <v>#REF!</v>
      </c>
      <c r="C18" s="689">
        <f>C17</f>
        <v>3.0027900000000005</v>
      </c>
      <c r="D18" s="689">
        <f>C18+D17</f>
        <v>5.4620750100000004</v>
      </c>
      <c r="E18" s="689">
        <f t="shared" ref="E18:R18" si="4">D18+E17</f>
        <v>7.4762294331900012</v>
      </c>
      <c r="F18" s="689">
        <f t="shared" si="4"/>
        <v>9.1258219057826118</v>
      </c>
      <c r="G18" s="689">
        <f t="shared" si="4"/>
        <v>12.093530140835959</v>
      </c>
      <c r="H18" s="689">
        <f t="shared" si="4"/>
        <v>14.524083185344651</v>
      </c>
      <c r="I18" s="689">
        <f t="shared" si="4"/>
        <v>16.514706128797268</v>
      </c>
      <c r="J18" s="689">
        <f t="shared" si="4"/>
        <v>18.145026319484963</v>
      </c>
      <c r="K18" s="689">
        <f t="shared" si="4"/>
        <v>21.149114755658182</v>
      </c>
      <c r="L18" s="689">
        <f t="shared" si="4"/>
        <v>25.324749504884053</v>
      </c>
      <c r="M18" s="689">
        <f t="shared" si="4"/>
        <v>28.744594364500038</v>
      </c>
      <c r="N18" s="689">
        <f t="shared" si="4"/>
        <v>31.545447304525531</v>
      </c>
      <c r="O18" s="689">
        <f t="shared" si="4"/>
        <v>33.839345862406411</v>
      </c>
      <c r="P18" s="689">
        <f t="shared" si="4"/>
        <v>35.718048781310848</v>
      </c>
      <c r="Q18" s="689">
        <f t="shared" si="4"/>
        <v>37.256706471893587</v>
      </c>
      <c r="R18" s="689">
        <f t="shared" si="4"/>
        <v>38.516867120480846</v>
      </c>
      <c r="S18" s="688"/>
    </row>
    <row r="19" spans="1:19">
      <c r="A19" s="36" t="s">
        <v>552</v>
      </c>
      <c r="B19" s="86" t="e">
        <f>B16-B18</f>
        <v>#REF!</v>
      </c>
      <c r="C19" s="689">
        <f>C16-C18</f>
        <v>13.587209999999999</v>
      </c>
      <c r="D19" s="689">
        <f>D15-D18</f>
        <v>11.12792499</v>
      </c>
      <c r="E19" s="689">
        <f t="shared" ref="E19:R19" si="5">E15-E18</f>
        <v>9.1137705668099986</v>
      </c>
      <c r="F19" s="689">
        <f t="shared" si="5"/>
        <v>7.4641780942173881</v>
      </c>
      <c r="G19" s="689">
        <f t="shared" si="5"/>
        <v>13.428469859164039</v>
      </c>
      <c r="H19" s="689">
        <f t="shared" si="5"/>
        <v>10.997916814655348</v>
      </c>
      <c r="I19" s="689">
        <f t="shared" si="5"/>
        <v>9.0072938712027302</v>
      </c>
      <c r="J19" s="689">
        <f t="shared" si="5"/>
        <v>7.3769736805150359</v>
      </c>
      <c r="K19" s="689">
        <f t="shared" si="5"/>
        <v>13.593085244341815</v>
      </c>
      <c r="L19" s="689">
        <f t="shared" si="5"/>
        <v>18.894170495115944</v>
      </c>
      <c r="M19" s="689">
        <f t="shared" si="5"/>
        <v>15.474325635499959</v>
      </c>
      <c r="N19" s="689">
        <f t="shared" si="5"/>
        <v>12.673472695474466</v>
      </c>
      <c r="O19" s="689">
        <f t="shared" si="5"/>
        <v>10.379574137593586</v>
      </c>
      <c r="P19" s="689">
        <f t="shared" si="5"/>
        <v>8.5008712186891486</v>
      </c>
      <c r="Q19" s="689">
        <f t="shared" si="5"/>
        <v>6.9622135281064104</v>
      </c>
      <c r="R19" s="689">
        <f t="shared" si="5"/>
        <v>5.702052879519151</v>
      </c>
      <c r="S19" s="688"/>
    </row>
    <row r="20" spans="1:19">
      <c r="B20" s="86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88"/>
    </row>
    <row r="21" spans="1:19">
      <c r="A21" s="690" t="str">
        <f>'CAPEX Assumption'!C68</f>
        <v>IT Equipments</v>
      </c>
      <c r="C21" s="688">
        <f>'CAPEX Assumption'!F68</f>
        <v>23.9</v>
      </c>
      <c r="D21" s="688">
        <f>C21+Capex!D12</f>
        <v>23.9</v>
      </c>
      <c r="E21" s="688">
        <f>D21+Capex!E12</f>
        <v>23.9</v>
      </c>
      <c r="F21" s="688">
        <f>E21+Capex!F12</f>
        <v>23.9</v>
      </c>
      <c r="G21" s="688">
        <f>F21+Capex!G12</f>
        <v>35.284999999999997</v>
      </c>
      <c r="H21" s="688">
        <f>G21+Capex!H12</f>
        <v>35.284999999999997</v>
      </c>
      <c r="I21" s="688">
        <f>H21+Capex!I12</f>
        <v>35.284999999999997</v>
      </c>
      <c r="J21" s="688">
        <f>I21+Capex!J12</f>
        <v>35.284999999999997</v>
      </c>
      <c r="K21" s="688">
        <f>J21+Capex!K12</f>
        <v>51.438499999999998</v>
      </c>
      <c r="L21" s="688">
        <f>K21+Capex!L12</f>
        <v>65.214349999999996</v>
      </c>
      <c r="M21" s="688">
        <f>L21+Capex!M12</f>
        <v>65.214349999999996</v>
      </c>
      <c r="N21" s="688">
        <f>M21+Capex!N12</f>
        <v>65.214349999999996</v>
      </c>
      <c r="O21" s="688">
        <f>N21+Capex!O12</f>
        <v>65.214349999999996</v>
      </c>
      <c r="P21" s="688">
        <f>O21+Capex!P12</f>
        <v>65.214349999999996</v>
      </c>
      <c r="Q21" s="688">
        <f>P21+Capex!Q12</f>
        <v>65.214349999999996</v>
      </c>
      <c r="R21" s="688">
        <f>Q21+Capex!R12</f>
        <v>65.214349999999996</v>
      </c>
      <c r="S21" s="688"/>
    </row>
    <row r="22" spans="1:19">
      <c r="A22" s="678" t="s">
        <v>551</v>
      </c>
      <c r="B22" s="105">
        <f>Capex!B12</f>
        <v>0</v>
      </c>
      <c r="C22" s="689">
        <f>Capex!C12+Capex!C19</f>
        <v>23.9</v>
      </c>
      <c r="D22" s="688">
        <f>C25+Capex!D12</f>
        <v>14.339999999999998</v>
      </c>
      <c r="E22" s="688">
        <f>D25+Capex!E12</f>
        <v>8.6039999999999992</v>
      </c>
      <c r="F22" s="688">
        <f>E25+Capex!F12</f>
        <v>5.1623999999999981</v>
      </c>
      <c r="G22" s="688">
        <f>F25+Capex!G12</f>
        <v>14.482439999999999</v>
      </c>
      <c r="H22" s="688">
        <f>G25+Capex!H12</f>
        <v>8.6894639999999974</v>
      </c>
      <c r="I22" s="688">
        <f>H25+Capex!I12</f>
        <v>5.2136783999999992</v>
      </c>
      <c r="J22" s="688">
        <f>I25+Capex!J12</f>
        <v>3.1282070399999995</v>
      </c>
      <c r="K22" s="688">
        <f>J25+Capex!K12</f>
        <v>18.030424224000001</v>
      </c>
      <c r="L22" s="688">
        <f>K25+Capex!L12</f>
        <v>24.5941045344</v>
      </c>
      <c r="M22" s="688">
        <f>L25+Capex!M12</f>
        <v>14.756462720639995</v>
      </c>
      <c r="N22" s="688">
        <f>M25+Capex!N12</f>
        <v>8.8538776323839983</v>
      </c>
      <c r="O22" s="688">
        <f>N25+Capex!O12</f>
        <v>5.3123265794303975</v>
      </c>
      <c r="P22" s="688">
        <f>O25+Capex!P12</f>
        <v>3.1873959476582385</v>
      </c>
      <c r="Q22" s="688">
        <f>P25+Capex!Q12</f>
        <v>1.912437568594946</v>
      </c>
      <c r="R22" s="688">
        <f>Q25+Capex!R12</f>
        <v>1.147462541156969</v>
      </c>
      <c r="S22" s="688"/>
    </row>
    <row r="23" spans="1:19">
      <c r="A23" s="36" t="s">
        <v>440</v>
      </c>
      <c r="B23" s="86" t="e">
        <f>'Fin Smmry'!#REF!</f>
        <v>#REF!</v>
      </c>
      <c r="C23" s="689">
        <f>C22*40%</f>
        <v>9.56</v>
      </c>
      <c r="D23" s="689">
        <f t="shared" ref="D23:R23" si="6">D22*40%</f>
        <v>5.7359999999999998</v>
      </c>
      <c r="E23" s="689">
        <f t="shared" si="6"/>
        <v>3.4415999999999998</v>
      </c>
      <c r="F23" s="689">
        <f t="shared" si="6"/>
        <v>2.0649599999999992</v>
      </c>
      <c r="G23" s="689">
        <f t="shared" si="6"/>
        <v>5.7929759999999995</v>
      </c>
      <c r="H23" s="689">
        <f t="shared" si="6"/>
        <v>3.4757855999999991</v>
      </c>
      <c r="I23" s="689">
        <f t="shared" si="6"/>
        <v>2.0854713599999997</v>
      </c>
      <c r="J23" s="689">
        <f t="shared" si="6"/>
        <v>1.2512828159999998</v>
      </c>
      <c r="K23" s="689">
        <f t="shared" si="6"/>
        <v>7.2121696896000005</v>
      </c>
      <c r="L23" s="689">
        <f t="shared" si="6"/>
        <v>9.8376418137600012</v>
      </c>
      <c r="M23" s="689">
        <f t="shared" si="6"/>
        <v>5.9025850882559983</v>
      </c>
      <c r="N23" s="689">
        <f t="shared" si="6"/>
        <v>3.5415510529535994</v>
      </c>
      <c r="O23" s="689">
        <f t="shared" si="6"/>
        <v>2.124930631772159</v>
      </c>
      <c r="P23" s="689">
        <f t="shared" si="6"/>
        <v>1.2749583790632955</v>
      </c>
      <c r="Q23" s="689">
        <f t="shared" si="6"/>
        <v>0.76497502743797841</v>
      </c>
      <c r="R23" s="689">
        <f t="shared" si="6"/>
        <v>0.45898501646278761</v>
      </c>
      <c r="S23" s="688"/>
    </row>
    <row r="24" spans="1:19">
      <c r="A24" s="36" t="s">
        <v>36</v>
      </c>
      <c r="B24" s="105" t="e">
        <f>B23</f>
        <v>#REF!</v>
      </c>
      <c r="C24" s="689">
        <f>C23</f>
        <v>9.56</v>
      </c>
      <c r="D24" s="689">
        <f>C24+D23</f>
        <v>15.295999999999999</v>
      </c>
      <c r="E24" s="689">
        <f t="shared" ref="E24:R24" si="7">D24+E23</f>
        <v>18.7376</v>
      </c>
      <c r="F24" s="689">
        <f t="shared" si="7"/>
        <v>20.80256</v>
      </c>
      <c r="G24" s="689">
        <f t="shared" si="7"/>
        <v>26.595535999999999</v>
      </c>
      <c r="H24" s="689">
        <f t="shared" si="7"/>
        <v>30.071321599999997</v>
      </c>
      <c r="I24" s="689">
        <f t="shared" si="7"/>
        <v>32.156792959999997</v>
      </c>
      <c r="J24" s="689">
        <f t="shared" si="7"/>
        <v>33.408075775999997</v>
      </c>
      <c r="K24" s="689">
        <f t="shared" si="7"/>
        <v>40.6202454656</v>
      </c>
      <c r="L24" s="689">
        <f t="shared" si="7"/>
        <v>50.457887279360001</v>
      </c>
      <c r="M24" s="689">
        <f t="shared" si="7"/>
        <v>56.360472367615998</v>
      </c>
      <c r="N24" s="689">
        <f t="shared" si="7"/>
        <v>59.902023420569598</v>
      </c>
      <c r="O24" s="689">
        <f t="shared" si="7"/>
        <v>62.026954052341758</v>
      </c>
      <c r="P24" s="689">
        <f t="shared" si="7"/>
        <v>63.30191243140505</v>
      </c>
      <c r="Q24" s="689">
        <f t="shared" si="7"/>
        <v>64.066887458843027</v>
      </c>
      <c r="R24" s="689">
        <f t="shared" si="7"/>
        <v>64.525872475305817</v>
      </c>
      <c r="S24" s="688"/>
    </row>
    <row r="25" spans="1:19">
      <c r="A25" s="36" t="s">
        <v>552</v>
      </c>
      <c r="B25" s="104" t="e">
        <f>B22-B24</f>
        <v>#REF!</v>
      </c>
      <c r="C25" s="688">
        <f>C22-C24</f>
        <v>14.339999999999998</v>
      </c>
      <c r="D25" s="688">
        <f>D21-D24</f>
        <v>8.6039999999999992</v>
      </c>
      <c r="E25" s="688">
        <f t="shared" ref="E25:R25" si="8">E21-E24</f>
        <v>5.1623999999999981</v>
      </c>
      <c r="F25" s="688">
        <f t="shared" si="8"/>
        <v>3.0974399999999989</v>
      </c>
      <c r="G25" s="688">
        <f t="shared" si="8"/>
        <v>8.6894639999999974</v>
      </c>
      <c r="H25" s="688">
        <f t="shared" si="8"/>
        <v>5.2136783999999992</v>
      </c>
      <c r="I25" s="688">
        <f t="shared" si="8"/>
        <v>3.1282070399999995</v>
      </c>
      <c r="J25" s="688">
        <f t="shared" si="8"/>
        <v>1.8769242239999997</v>
      </c>
      <c r="K25" s="688">
        <f t="shared" si="8"/>
        <v>10.818254534399998</v>
      </c>
      <c r="L25" s="688">
        <f t="shared" si="8"/>
        <v>14.756462720639995</v>
      </c>
      <c r="M25" s="688">
        <f t="shared" si="8"/>
        <v>8.8538776323839983</v>
      </c>
      <c r="N25" s="688">
        <f t="shared" si="8"/>
        <v>5.3123265794303975</v>
      </c>
      <c r="O25" s="688">
        <f t="shared" si="8"/>
        <v>3.1873959476582385</v>
      </c>
      <c r="P25" s="688">
        <f t="shared" si="8"/>
        <v>1.912437568594946</v>
      </c>
      <c r="Q25" s="688">
        <f t="shared" si="8"/>
        <v>1.147462541156969</v>
      </c>
      <c r="R25" s="688">
        <f t="shared" si="8"/>
        <v>0.68847752469417856</v>
      </c>
      <c r="S25" s="688"/>
    </row>
    <row r="26" spans="1:19">
      <c r="B26" s="104"/>
      <c r="C26" s="688"/>
      <c r="D26" s="688"/>
      <c r="E26" s="688"/>
      <c r="F26" s="688"/>
      <c r="G26" s="688"/>
      <c r="H26" s="688"/>
      <c r="I26" s="688"/>
      <c r="J26" s="688"/>
      <c r="K26" s="688"/>
      <c r="L26" s="688"/>
      <c r="M26" s="688"/>
      <c r="N26" s="688"/>
      <c r="O26" s="688"/>
      <c r="P26" s="688"/>
      <c r="Q26" s="688"/>
      <c r="R26" s="688"/>
      <c r="S26" s="688"/>
    </row>
    <row r="27" spans="1:19">
      <c r="A27" s="690" t="str">
        <f>'CAPEX Assumption'!C69</f>
        <v>Plant &amp; Machinery</v>
      </c>
      <c r="C27" s="688">
        <f>'CAPEX Assumption'!F69</f>
        <v>6.7</v>
      </c>
      <c r="D27" s="688">
        <f>C27+Capex!D13</f>
        <v>6.7</v>
      </c>
      <c r="E27" s="688">
        <f>D27+Capex!E13</f>
        <v>6.7</v>
      </c>
      <c r="F27" s="688">
        <f>E27+Capex!F13</f>
        <v>6.7</v>
      </c>
      <c r="G27" s="688">
        <f>F27+Capex!G13</f>
        <v>9.1750000000000007</v>
      </c>
      <c r="H27" s="688">
        <f>G27+Capex!H13</f>
        <v>9.1750000000000007</v>
      </c>
      <c r="I27" s="688">
        <f>H27+Capex!I13</f>
        <v>9.1750000000000007</v>
      </c>
      <c r="J27" s="688">
        <f>I27+Capex!J13</f>
        <v>9.1750000000000007</v>
      </c>
      <c r="K27" s="688">
        <f>J27+Capex!K13</f>
        <v>11.897500000000001</v>
      </c>
      <c r="L27" s="688">
        <f>K27+Capex!L13</f>
        <v>14.892250000000001</v>
      </c>
      <c r="M27" s="688">
        <f>L27+Capex!M13</f>
        <v>14.892250000000001</v>
      </c>
      <c r="N27" s="688">
        <f>M27+Capex!N13</f>
        <v>14.892250000000001</v>
      </c>
      <c r="O27" s="688">
        <f>N27+Capex!O13</f>
        <v>14.892250000000001</v>
      </c>
      <c r="P27" s="688">
        <f>O27+Capex!P13</f>
        <v>14.892250000000001</v>
      </c>
      <c r="Q27" s="688">
        <f>P27+Capex!Q13</f>
        <v>14.892250000000001</v>
      </c>
      <c r="R27" s="688">
        <f>Q27+Capex!R13</f>
        <v>14.892250000000001</v>
      </c>
      <c r="S27" s="688"/>
    </row>
    <row r="28" spans="1:19">
      <c r="A28" s="678" t="s">
        <v>551</v>
      </c>
      <c r="B28" s="86">
        <f>Capex!B13</f>
        <v>0</v>
      </c>
      <c r="C28" s="689">
        <f>Capex!C13+Capex!C20</f>
        <v>6.7</v>
      </c>
      <c r="D28" s="688">
        <f>C31+Capex!D13</f>
        <v>5.7680300000000004</v>
      </c>
      <c r="E28" s="688">
        <f>D31+Capex!E13</f>
        <v>4.965697027</v>
      </c>
      <c r="F28" s="688">
        <f>E31+Capex!F13</f>
        <v>4.2749685705443001</v>
      </c>
      <c r="G28" s="688">
        <f>F31+Capex!G13</f>
        <v>6.1553204423815879</v>
      </c>
      <c r="H28" s="688">
        <f>G31+Capex!H13</f>
        <v>5.2991153688463095</v>
      </c>
      <c r="I28" s="688">
        <f>H31+Capex!I13</f>
        <v>4.5620084210397875</v>
      </c>
      <c r="J28" s="688">
        <f>I31+Capex!J13</f>
        <v>3.9274330496731533</v>
      </c>
      <c r="K28" s="688">
        <f>J31+Capex!K13</f>
        <v>6.1036271124636183</v>
      </c>
      <c r="L28" s="688">
        <f>K31+Capex!L13</f>
        <v>8.2493625811199287</v>
      </c>
      <c r="M28" s="688">
        <f>L31+Capex!M13</f>
        <v>7.101876246086146</v>
      </c>
      <c r="N28" s="688">
        <f>M31+Capex!N13</f>
        <v>6.1140052602555635</v>
      </c>
      <c r="O28" s="688">
        <f>N31+Capex!O13</f>
        <v>5.2635471285540145</v>
      </c>
      <c r="P28" s="688">
        <f>O31+Capex!P13</f>
        <v>4.531387722972152</v>
      </c>
      <c r="Q28" s="688">
        <f>P31+Capex!Q13</f>
        <v>3.9010716907067255</v>
      </c>
      <c r="R28" s="688">
        <f>Q31+Capex!R13</f>
        <v>3.3584326185294202</v>
      </c>
      <c r="S28" s="689"/>
    </row>
    <row r="29" spans="1:19">
      <c r="A29" s="36" t="s">
        <v>441</v>
      </c>
      <c r="B29" s="86" t="e">
        <f>'Fin Smmry'!#REF!</f>
        <v>#REF!</v>
      </c>
      <c r="C29" s="689">
        <f>C28*13.91%</f>
        <v>0.93197000000000008</v>
      </c>
      <c r="D29" s="689">
        <f t="shared" ref="D29:R29" si="9">D28*13.91%</f>
        <v>0.80233297300000006</v>
      </c>
      <c r="E29" s="689">
        <f t="shared" si="9"/>
        <v>0.69072845645570002</v>
      </c>
      <c r="F29" s="689">
        <f t="shared" si="9"/>
        <v>0.59464812816271218</v>
      </c>
      <c r="G29" s="689">
        <f t="shared" si="9"/>
        <v>0.85620507353527886</v>
      </c>
      <c r="H29" s="689">
        <f t="shared" si="9"/>
        <v>0.73710694780652164</v>
      </c>
      <c r="I29" s="689">
        <f t="shared" si="9"/>
        <v>0.63457537136663444</v>
      </c>
      <c r="J29" s="689">
        <f t="shared" si="9"/>
        <v>0.54630593720953569</v>
      </c>
      <c r="K29" s="689">
        <f t="shared" si="9"/>
        <v>0.84901453134368932</v>
      </c>
      <c r="L29" s="689">
        <f t="shared" si="9"/>
        <v>1.1474863350337821</v>
      </c>
      <c r="M29" s="689">
        <f t="shared" si="9"/>
        <v>0.98787098583058297</v>
      </c>
      <c r="N29" s="689">
        <f t="shared" si="9"/>
        <v>0.85045813170154894</v>
      </c>
      <c r="O29" s="689">
        <f t="shared" si="9"/>
        <v>0.73215940558186343</v>
      </c>
      <c r="P29" s="689">
        <f t="shared" si="9"/>
        <v>0.63031603226542632</v>
      </c>
      <c r="Q29" s="689">
        <f t="shared" si="9"/>
        <v>0.54263907217730556</v>
      </c>
      <c r="R29" s="689">
        <f t="shared" si="9"/>
        <v>0.46715797723744235</v>
      </c>
      <c r="S29" s="689"/>
    </row>
    <row r="30" spans="1:19">
      <c r="A30" s="36" t="s">
        <v>36</v>
      </c>
      <c r="B30" s="86" t="e">
        <f>B29</f>
        <v>#REF!</v>
      </c>
      <c r="C30" s="689">
        <f>C29</f>
        <v>0.93197000000000008</v>
      </c>
      <c r="D30" s="689">
        <f>C30+D29</f>
        <v>1.7343029730000001</v>
      </c>
      <c r="E30" s="689">
        <f t="shared" ref="E30:R30" si="10">D30+E29</f>
        <v>2.4250314294557</v>
      </c>
      <c r="F30" s="689">
        <f t="shared" si="10"/>
        <v>3.0196795576184123</v>
      </c>
      <c r="G30" s="689">
        <f t="shared" si="10"/>
        <v>3.8758846311536912</v>
      </c>
      <c r="H30" s="689">
        <f t="shared" si="10"/>
        <v>4.6129915789602132</v>
      </c>
      <c r="I30" s="689">
        <f t="shared" si="10"/>
        <v>5.2475669503268474</v>
      </c>
      <c r="J30" s="689">
        <f t="shared" si="10"/>
        <v>5.7938728875363834</v>
      </c>
      <c r="K30" s="689">
        <f t="shared" si="10"/>
        <v>6.6428874188800728</v>
      </c>
      <c r="L30" s="689">
        <f t="shared" si="10"/>
        <v>7.7903737539138547</v>
      </c>
      <c r="M30" s="689">
        <f t="shared" si="10"/>
        <v>8.7782447397444372</v>
      </c>
      <c r="N30" s="689">
        <f t="shared" si="10"/>
        <v>9.6287028714459861</v>
      </c>
      <c r="O30" s="689">
        <f t="shared" si="10"/>
        <v>10.360862277027849</v>
      </c>
      <c r="P30" s="689">
        <f t="shared" si="10"/>
        <v>10.991178309293275</v>
      </c>
      <c r="Q30" s="689">
        <f t="shared" si="10"/>
        <v>11.53381738147058</v>
      </c>
      <c r="R30" s="689">
        <f t="shared" si="10"/>
        <v>12.000975358708022</v>
      </c>
      <c r="S30" s="689"/>
    </row>
    <row r="31" spans="1:19">
      <c r="A31" s="36" t="s">
        <v>552</v>
      </c>
      <c r="B31" s="86" t="e">
        <f>B28-B30</f>
        <v>#REF!</v>
      </c>
      <c r="C31" s="689">
        <f>C28-C30</f>
        <v>5.7680300000000004</v>
      </c>
      <c r="D31" s="689">
        <f>D27-D30</f>
        <v>4.965697027</v>
      </c>
      <c r="E31" s="689">
        <f t="shared" ref="E31:R31" si="11">E27-E30</f>
        <v>4.2749685705443001</v>
      </c>
      <c r="F31" s="689">
        <f t="shared" si="11"/>
        <v>3.6803204423815878</v>
      </c>
      <c r="G31" s="689">
        <f t="shared" si="11"/>
        <v>5.2991153688463095</v>
      </c>
      <c r="H31" s="689">
        <f t="shared" si="11"/>
        <v>4.5620084210397875</v>
      </c>
      <c r="I31" s="689">
        <f t="shared" si="11"/>
        <v>3.9274330496731533</v>
      </c>
      <c r="J31" s="689">
        <f t="shared" si="11"/>
        <v>3.3811271124636173</v>
      </c>
      <c r="K31" s="689">
        <f t="shared" si="11"/>
        <v>5.254612581119928</v>
      </c>
      <c r="L31" s="689">
        <f t="shared" si="11"/>
        <v>7.101876246086146</v>
      </c>
      <c r="M31" s="689">
        <f t="shared" si="11"/>
        <v>6.1140052602555635</v>
      </c>
      <c r="N31" s="689">
        <f t="shared" si="11"/>
        <v>5.2635471285540145</v>
      </c>
      <c r="O31" s="689">
        <f t="shared" si="11"/>
        <v>4.531387722972152</v>
      </c>
      <c r="P31" s="689">
        <f t="shared" si="11"/>
        <v>3.9010716907067255</v>
      </c>
      <c r="Q31" s="689">
        <f t="shared" si="11"/>
        <v>3.3584326185294202</v>
      </c>
      <c r="R31" s="689">
        <f t="shared" si="11"/>
        <v>2.8912746412919788</v>
      </c>
      <c r="S31" s="689"/>
    </row>
    <row r="32" spans="1:19">
      <c r="B32" s="86"/>
      <c r="C32" s="689"/>
      <c r="D32" s="689"/>
      <c r="E32" s="689"/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</row>
    <row r="33" spans="1:20" s="690" customFormat="1">
      <c r="A33" s="690" t="s">
        <v>443</v>
      </c>
      <c r="B33" s="691" t="e">
        <f>B10+B16+B22+B28+#REF!</f>
        <v>#REF!</v>
      </c>
      <c r="C33" s="692">
        <f>C9+C15+C21+C27</f>
        <v>91.690000000000012</v>
      </c>
      <c r="D33" s="692">
        <f t="shared" ref="D33:R33" si="12">D9+D15+D21+D27</f>
        <v>91.690000000000012</v>
      </c>
      <c r="E33" s="692">
        <f t="shared" si="12"/>
        <v>91.690000000000012</v>
      </c>
      <c r="F33" s="692">
        <f t="shared" si="12"/>
        <v>91.690000000000012</v>
      </c>
      <c r="G33" s="692">
        <f t="shared" si="12"/>
        <v>134.28200000000001</v>
      </c>
      <c r="H33" s="692">
        <f t="shared" si="12"/>
        <v>134.28200000000001</v>
      </c>
      <c r="I33" s="692">
        <f t="shared" si="12"/>
        <v>134.28200000000001</v>
      </c>
      <c r="J33" s="692">
        <f t="shared" si="12"/>
        <v>134.28200000000001</v>
      </c>
      <c r="K33" s="692">
        <f t="shared" si="12"/>
        <v>184.15819999999999</v>
      </c>
      <c r="L33" s="692">
        <f t="shared" si="12"/>
        <v>234.36351999999999</v>
      </c>
      <c r="M33" s="692">
        <f t="shared" si="12"/>
        <v>234.36351999999999</v>
      </c>
      <c r="N33" s="692">
        <f t="shared" si="12"/>
        <v>234.36351999999999</v>
      </c>
      <c r="O33" s="692">
        <f t="shared" si="12"/>
        <v>234.36351999999999</v>
      </c>
      <c r="P33" s="692">
        <f t="shared" si="12"/>
        <v>234.36351999999999</v>
      </c>
      <c r="Q33" s="692">
        <f t="shared" si="12"/>
        <v>234.36351999999999</v>
      </c>
      <c r="R33" s="692">
        <f t="shared" si="12"/>
        <v>234.36351999999999</v>
      </c>
      <c r="S33" s="693"/>
      <c r="T33" s="694"/>
    </row>
    <row r="34" spans="1:20" s="690" customFormat="1">
      <c r="A34" s="690" t="s">
        <v>133</v>
      </c>
      <c r="B34" s="695" t="e">
        <f>B23+B11+#REF!+B29+B17</f>
        <v>#REF!</v>
      </c>
      <c r="C34" s="693">
        <f>C11+C17+C23+C29</f>
        <v>15.719760000000001</v>
      </c>
      <c r="D34" s="693">
        <f t="shared" ref="D34:R34" si="13">D11+D17+D23+D29</f>
        <v>11.111367982999999</v>
      </c>
      <c r="E34" s="693">
        <f t="shared" si="13"/>
        <v>8.1545453796457004</v>
      </c>
      <c r="F34" s="693">
        <f t="shared" si="13"/>
        <v>6.2168599757553213</v>
      </c>
      <c r="G34" s="693">
        <f t="shared" si="13"/>
        <v>12.419165714838627</v>
      </c>
      <c r="H34" s="693">
        <f t="shared" si="13"/>
        <v>9.3056081782527134</v>
      </c>
      <c r="I34" s="693">
        <f t="shared" si="13"/>
        <v>7.2397241314598766</v>
      </c>
      <c r="J34" s="693">
        <f t="shared" si="13"/>
        <v>5.8305106777058233</v>
      </c>
      <c r="K34" s="693">
        <f t="shared" si="13"/>
        <v>14.436744304235075</v>
      </c>
      <c r="L34" s="693">
        <f t="shared" si="13"/>
        <v>19.561560962781911</v>
      </c>
      <c r="M34" s="693">
        <f t="shared" si="13"/>
        <v>14.49105909522671</v>
      </c>
      <c r="N34" s="693">
        <f t="shared" si="13"/>
        <v>11.164582378128577</v>
      </c>
      <c r="O34" s="693">
        <f t="shared" si="13"/>
        <v>8.9241228360104401</v>
      </c>
      <c r="P34" s="693">
        <f t="shared" si="13"/>
        <v>7.3684548589699235</v>
      </c>
      <c r="Q34" s="693">
        <f t="shared" si="13"/>
        <v>6.251525442497945</v>
      </c>
      <c r="R34" s="693">
        <f t="shared" si="13"/>
        <v>5.421294611972419</v>
      </c>
      <c r="S34" s="692">
        <f>SUM(C34:R34)</f>
        <v>163.61688653048108</v>
      </c>
    </row>
    <row r="35" spans="1:20" s="690" customFormat="1">
      <c r="A35" s="690" t="s">
        <v>36</v>
      </c>
      <c r="B35" s="695" t="e">
        <f>B34</f>
        <v>#REF!</v>
      </c>
      <c r="C35" s="693">
        <f>C34</f>
        <v>15.719760000000001</v>
      </c>
      <c r="D35" s="693">
        <f>C35+D34</f>
        <v>26.831127983000002</v>
      </c>
      <c r="E35" s="693">
        <f t="shared" ref="E35:R35" si="14">D35+E34</f>
        <v>34.985673362645699</v>
      </c>
      <c r="F35" s="693">
        <f t="shared" si="14"/>
        <v>41.202533338401018</v>
      </c>
      <c r="G35" s="693">
        <f t="shared" si="14"/>
        <v>53.621699053239645</v>
      </c>
      <c r="H35" s="693">
        <f t="shared" si="14"/>
        <v>62.927307231492357</v>
      </c>
      <c r="I35" s="693">
        <f t="shared" si="14"/>
        <v>70.16703136295223</v>
      </c>
      <c r="J35" s="693">
        <f t="shared" si="14"/>
        <v>75.997542040658047</v>
      </c>
      <c r="K35" s="693">
        <f t="shared" si="14"/>
        <v>90.434286344893124</v>
      </c>
      <c r="L35" s="693">
        <f t="shared" si="14"/>
        <v>109.99584730767504</v>
      </c>
      <c r="M35" s="693">
        <f t="shared" si="14"/>
        <v>124.48690640290175</v>
      </c>
      <c r="N35" s="693">
        <f t="shared" si="14"/>
        <v>135.65148878103034</v>
      </c>
      <c r="O35" s="693">
        <f t="shared" si="14"/>
        <v>144.57561161704078</v>
      </c>
      <c r="P35" s="693">
        <f t="shared" si="14"/>
        <v>151.9440664760107</v>
      </c>
      <c r="Q35" s="693">
        <f t="shared" si="14"/>
        <v>158.19559191850865</v>
      </c>
      <c r="R35" s="693">
        <f t="shared" si="14"/>
        <v>163.61688653048108</v>
      </c>
      <c r="S35" s="693"/>
    </row>
    <row r="36" spans="1:20" s="690" customFormat="1">
      <c r="A36" s="690" t="s">
        <v>444</v>
      </c>
      <c r="C36" s="693">
        <f>C13+C19+C25+C31</f>
        <v>75.97023999999999</v>
      </c>
      <c r="D36" s="693">
        <f t="shared" ref="D36:R36" si="15">D13+D19+D25+D31</f>
        <v>64.85887201700001</v>
      </c>
      <c r="E36" s="693">
        <f t="shared" si="15"/>
        <v>56.704326637354299</v>
      </c>
      <c r="F36" s="693">
        <f t="shared" si="15"/>
        <v>50.487466661598972</v>
      </c>
      <c r="G36" s="693">
        <f t="shared" si="15"/>
        <v>80.660300946760358</v>
      </c>
      <c r="H36" s="693">
        <f t="shared" si="15"/>
        <v>71.354692768507633</v>
      </c>
      <c r="I36" s="693">
        <f t="shared" si="15"/>
        <v>64.114968637047753</v>
      </c>
      <c r="J36" s="693">
        <f t="shared" si="15"/>
        <v>58.284457959341928</v>
      </c>
      <c r="K36" s="693">
        <f t="shared" si="15"/>
        <v>93.723913655106855</v>
      </c>
      <c r="L36" s="693">
        <f t="shared" si="15"/>
        <v>124.36767269232494</v>
      </c>
      <c r="M36" s="693">
        <f t="shared" si="15"/>
        <v>109.87661359709826</v>
      </c>
      <c r="N36" s="693">
        <f t="shared" si="15"/>
        <v>98.712031218969642</v>
      </c>
      <c r="O36" s="693">
        <f t="shared" si="15"/>
        <v>89.78790838295923</v>
      </c>
      <c r="P36" s="693">
        <f t="shared" si="15"/>
        <v>82.419453523989333</v>
      </c>
      <c r="Q36" s="693">
        <f t="shared" si="15"/>
        <v>76.167928081491368</v>
      </c>
      <c r="R36" s="693">
        <f t="shared" si="15"/>
        <v>70.74663346951894</v>
      </c>
      <c r="S36" s="693"/>
    </row>
    <row r="39" spans="1:20"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</row>
  </sheetData>
  <mergeCells count="3">
    <mergeCell ref="C6:F6"/>
    <mergeCell ref="G6:J6"/>
    <mergeCell ref="A1:R1"/>
  </mergeCells>
  <hyperlinks>
    <hyperlink ref="A3" location="Index!A1" display="BACK TO INDEX"/>
  </hyperlinks>
  <pageMargins left="0.7" right="0.7" top="0.75" bottom="0.75" header="0.3" footer="0.3"/>
  <pageSetup scale="98" orientation="landscape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104"/>
  <sheetViews>
    <sheetView topLeftCell="A22" workbookViewId="0">
      <pane xSplit="1" topLeftCell="B1" activePane="topRight" state="frozen"/>
      <selection pane="topRight" activeCell="I42" sqref="I42"/>
    </sheetView>
  </sheetViews>
  <sheetFormatPr defaultRowHeight="12.75"/>
  <cols>
    <col min="1" max="1" width="32.7109375" bestFit="1" customWidth="1"/>
    <col min="2" max="2" width="21.85546875" bestFit="1" customWidth="1"/>
    <col min="3" max="3" width="22" bestFit="1" customWidth="1"/>
    <col min="4" max="4" width="20" bestFit="1" customWidth="1"/>
    <col min="5" max="6" width="11.28515625" bestFit="1" customWidth="1"/>
    <col min="7" max="7" width="12.42578125" bestFit="1" customWidth="1"/>
    <col min="8" max="10" width="11.28515625" bestFit="1" customWidth="1"/>
    <col min="11" max="11" width="12.28515625" bestFit="1" customWidth="1"/>
    <col min="12" max="12" width="11.28515625" bestFit="1" customWidth="1"/>
    <col min="13" max="16" width="12.28515625" bestFit="1" customWidth="1"/>
    <col min="17" max="17" width="14" bestFit="1" customWidth="1"/>
    <col min="18" max="18" width="11.28515625" bestFit="1" customWidth="1"/>
  </cols>
  <sheetData>
    <row r="1" spans="1:19" s="951" customFormat="1">
      <c r="A1" s="951" t="s">
        <v>641</v>
      </c>
      <c r="B1" s="952" t="s">
        <v>609</v>
      </c>
      <c r="C1" s="952" t="s">
        <v>610</v>
      </c>
      <c r="D1" s="952" t="s">
        <v>611</v>
      </c>
      <c r="E1" s="952" t="s">
        <v>612</v>
      </c>
      <c r="F1" s="952" t="s">
        <v>613</v>
      </c>
      <c r="G1" s="952" t="s">
        <v>614</v>
      </c>
      <c r="H1" s="952" t="s">
        <v>615</v>
      </c>
      <c r="I1" s="952" t="s">
        <v>616</v>
      </c>
      <c r="J1" s="952" t="s">
        <v>617</v>
      </c>
      <c r="K1" s="953" t="s">
        <v>618</v>
      </c>
      <c r="L1" s="952" t="s">
        <v>619</v>
      </c>
      <c r="M1" s="952" t="s">
        <v>620</v>
      </c>
      <c r="N1" s="953" t="s">
        <v>621</v>
      </c>
      <c r="O1" s="952" t="s">
        <v>622</v>
      </c>
      <c r="P1" s="952" t="s">
        <v>623</v>
      </c>
      <c r="Q1" s="954" t="s">
        <v>1</v>
      </c>
    </row>
    <row r="2" spans="1:19" s="164" customFormat="1">
      <c r="A2" s="377" t="s">
        <v>638</v>
      </c>
      <c r="B2" s="164">
        <v>4</v>
      </c>
      <c r="C2" s="164">
        <v>3</v>
      </c>
      <c r="D2" s="164">
        <v>3</v>
      </c>
      <c r="E2" s="164">
        <v>6</v>
      </c>
      <c r="F2" s="164">
        <v>8</v>
      </c>
      <c r="G2" s="164">
        <v>10</v>
      </c>
      <c r="H2" s="164">
        <v>7</v>
      </c>
      <c r="I2" s="164">
        <v>9</v>
      </c>
      <c r="J2" s="164">
        <v>9</v>
      </c>
      <c r="K2" s="164">
        <v>3</v>
      </c>
      <c r="L2" s="164">
        <v>8</v>
      </c>
      <c r="M2" s="164">
        <v>9</v>
      </c>
      <c r="N2" s="164">
        <v>8</v>
      </c>
      <c r="O2" s="164">
        <v>9</v>
      </c>
      <c r="P2" s="164">
        <v>11</v>
      </c>
    </row>
    <row r="4" spans="1:19" s="945" customFormat="1">
      <c r="A4" s="956" t="s">
        <v>642</v>
      </c>
      <c r="B4" s="946"/>
      <c r="C4" s="946"/>
      <c r="D4" s="946"/>
      <c r="E4" s="946"/>
      <c r="F4" s="946"/>
      <c r="G4" s="946"/>
      <c r="H4" s="946"/>
      <c r="I4" s="946"/>
      <c r="J4" s="946"/>
      <c r="K4" s="947"/>
      <c r="L4" s="946"/>
      <c r="M4" s="946"/>
      <c r="N4" s="947"/>
      <c r="O4" s="946"/>
      <c r="P4" s="946"/>
    </row>
    <row r="5" spans="1:19">
      <c r="A5" t="s">
        <v>624</v>
      </c>
      <c r="B5" s="376"/>
      <c r="C5" s="376"/>
      <c r="D5" s="376">
        <f>R56-R87</f>
        <v>7160578.05449</v>
      </c>
      <c r="E5" s="376">
        <f>R56-R87</f>
        <v>7160578.05449</v>
      </c>
      <c r="F5" s="376">
        <f>R56-R87</f>
        <v>7160578.05449</v>
      </c>
      <c r="G5" s="376">
        <f>R56-B56-C56-D56-E56-F56-G56-H56-I56-J56-R87+SUM(B87:J87)</f>
        <v>6187438.05449</v>
      </c>
      <c r="H5" s="376">
        <f>R56-B56-C56-D56-E56-R87+SUM(B87:E87)</f>
        <v>6866578.05449</v>
      </c>
      <c r="I5" s="376">
        <f t="shared" ref="I5:I13" si="0">R56-B56-C56-D56-E56-F56-G56-H56-I56-R87+SUM(B87:I87)</f>
        <v>6543178.05449</v>
      </c>
      <c r="J5" s="376">
        <f t="shared" ref="J5:J13" si="1">R56-B56-C56-D56-E56-F56-G56-H56-I56-R87+SUM(B87:I87)</f>
        <v>6543178.05449</v>
      </c>
      <c r="L5" s="376">
        <f t="shared" ref="L5:L10" si="2">R56-B56-C56-D56-E56-R87+SUM(B87:E87)</f>
        <v>6866578.05449</v>
      </c>
      <c r="M5" s="376">
        <f>R56-B56-C56-D56-E56-F56-G56-H56-I56-R87+SUM(B87:I87)</f>
        <v>6543178.05449</v>
      </c>
      <c r="N5" s="376">
        <f>R56-B56-C56-D56-E56-R87+SUM(B87:E87)</f>
        <v>6866578.05449</v>
      </c>
      <c r="O5" s="376">
        <f t="shared" ref="O5:O13" si="3">R56-B56-C56-D56-E56-F56-G56-H56-I56-J56-R87+SUM(B87:J87)</f>
        <v>6187438.05449</v>
      </c>
      <c r="P5" s="376">
        <f t="shared" ref="P5:P15" si="4">R56-R87</f>
        <v>7160578.05449</v>
      </c>
      <c r="Q5" s="950">
        <f>SUM(B5:P5)</f>
        <v>81246456.65388</v>
      </c>
      <c r="R5" s="376"/>
      <c r="S5" s="376"/>
    </row>
    <row r="6" spans="1:19">
      <c r="A6" t="s">
        <v>625</v>
      </c>
      <c r="B6" s="376"/>
      <c r="C6" s="376"/>
      <c r="D6" s="376">
        <f>R57-R88</f>
        <v>15124894.462035</v>
      </c>
      <c r="E6" s="376">
        <f>R57-R88</f>
        <v>15124894.462035</v>
      </c>
      <c r="F6" s="376">
        <f>R57-R88</f>
        <v>15124894.462035</v>
      </c>
      <c r="G6" s="376">
        <f>R57-B57-C57-D57-E57-F57-G57-H57-I57-J57-R88+SUM(B88:J88)</f>
        <v>13069384.462035</v>
      </c>
      <c r="H6" s="376">
        <f>R57-B57-C57-D57-E57-R88+SUM(B88:E88)</f>
        <v>14503894.462035</v>
      </c>
      <c r="I6" s="376">
        <f t="shared" si="0"/>
        <v>13820794.462035</v>
      </c>
      <c r="J6" s="376">
        <f t="shared" si="1"/>
        <v>13820794.462035</v>
      </c>
      <c r="L6" s="376">
        <f t="shared" si="2"/>
        <v>14503894.462035</v>
      </c>
      <c r="M6" s="376">
        <f>R57-B57-C57-D57-E57-F57-G57-H57-I57-R88+SUM(B88:I88)</f>
        <v>13820794.462035</v>
      </c>
      <c r="N6" s="376">
        <f>R57-B57-C57-D57-E57-R88+SUM(B88:E88)</f>
        <v>14503894.462035</v>
      </c>
      <c r="O6" s="376">
        <f t="shared" si="3"/>
        <v>13069384.462035</v>
      </c>
      <c r="P6" s="376">
        <f t="shared" si="4"/>
        <v>15124894.462035</v>
      </c>
      <c r="Q6" s="950">
        <f t="shared" ref="Q6:Q20" si="5">SUM(B6:P6)</f>
        <v>171612413.54442</v>
      </c>
      <c r="R6" s="376"/>
      <c r="S6" s="376"/>
    </row>
    <row r="7" spans="1:19">
      <c r="A7" t="s">
        <v>626</v>
      </c>
      <c r="B7" s="376"/>
      <c r="C7" s="376"/>
      <c r="D7" s="376">
        <f>R58-R89</f>
        <v>10740867.081735</v>
      </c>
      <c r="E7" s="376"/>
      <c r="F7" s="376"/>
      <c r="G7" s="376">
        <f>R58-B58-C58-D58-E58-F58-G58-H58-I58-J58-R89+SUM(B89:J89)</f>
        <v>9281157.081735</v>
      </c>
      <c r="H7" s="376">
        <f>R58-B58-C58-D58-E58-R89+SUM(B89:E89)</f>
        <v>10299867.081735</v>
      </c>
      <c r="I7" s="376">
        <f t="shared" si="0"/>
        <v>9814767.081735</v>
      </c>
      <c r="J7" s="376">
        <f t="shared" si="1"/>
        <v>9814767.081735</v>
      </c>
      <c r="L7" s="376">
        <f t="shared" si="2"/>
        <v>10299867.081735</v>
      </c>
      <c r="M7" s="376">
        <f>R58-B58-C58-D58-E58-F58-G58-H58-I58-R89+SUM(B89:I89)</f>
        <v>9814767.081735</v>
      </c>
      <c r="N7" s="376">
        <f>R58-B58-C58-D58-E58-R89+SUM(B89:E89)</f>
        <v>10299867.081735</v>
      </c>
      <c r="O7" s="376">
        <f t="shared" si="3"/>
        <v>9281157.081735</v>
      </c>
      <c r="P7" s="376">
        <f t="shared" si="4"/>
        <v>10740867.081735</v>
      </c>
      <c r="Q7" s="950">
        <f t="shared" si="5"/>
        <v>100387950.81735</v>
      </c>
      <c r="R7" s="376"/>
      <c r="S7" s="376"/>
    </row>
    <row r="8" spans="1:19">
      <c r="A8" t="s">
        <v>627</v>
      </c>
      <c r="B8" s="376">
        <f>R59-R90</f>
        <v>10083262.97469</v>
      </c>
      <c r="C8" s="376"/>
      <c r="D8" s="376"/>
      <c r="E8" s="376">
        <f>R59-R90</f>
        <v>10083262.97469</v>
      </c>
      <c r="F8" s="376">
        <f>R59-R90</f>
        <v>10083262.97469</v>
      </c>
      <c r="G8" s="376">
        <f>R59-B59-C59-D59-E59-F59-G59-H59-I59-J59-R90+SUM(B90:J90)</f>
        <v>8712922.9746899996</v>
      </c>
      <c r="H8" s="376"/>
      <c r="I8" s="376">
        <f t="shared" si="0"/>
        <v>9213862.9746899996</v>
      </c>
      <c r="J8" s="376">
        <f t="shared" si="1"/>
        <v>9213862.9746899996</v>
      </c>
      <c r="L8" s="376">
        <f t="shared" si="2"/>
        <v>9669262.9746899996</v>
      </c>
      <c r="M8" s="376">
        <f>R59-B59-C59-D59-E59-F59-G59-H59-I59-R90+SUM(B90:I90)</f>
        <v>9213862.9746899996</v>
      </c>
      <c r="N8" s="376">
        <f>R59-B59-C59-D59-E59-R90+SUM(B90:E90)</f>
        <v>9669262.9746899996</v>
      </c>
      <c r="O8" s="376">
        <f t="shared" si="3"/>
        <v>8712922.9746899996</v>
      </c>
      <c r="P8" s="376">
        <f t="shared" si="4"/>
        <v>10083262.97469</v>
      </c>
      <c r="Q8" s="950">
        <f t="shared" si="5"/>
        <v>104739012.72159001</v>
      </c>
      <c r="R8" s="376"/>
      <c r="S8" s="376"/>
    </row>
    <row r="9" spans="1:19">
      <c r="A9" t="s">
        <v>628</v>
      </c>
      <c r="B9" s="376">
        <f>R60-R91</f>
        <v>10083262.97469</v>
      </c>
      <c r="C9" s="376"/>
      <c r="D9" s="376"/>
      <c r="E9" s="376">
        <f>R60-R91</f>
        <v>10083262.97469</v>
      </c>
      <c r="F9" s="376">
        <f>R60-R91</f>
        <v>10083262.97469</v>
      </c>
      <c r="G9" s="376">
        <f>R60-B60-C60-D60-E60-F60-G60-H60-I60-J60-R890+SUM(B91:J91)</f>
        <v>8859057.2206999995</v>
      </c>
      <c r="H9" s="376"/>
      <c r="I9" s="376">
        <f t="shared" si="0"/>
        <v>9213862.9746899996</v>
      </c>
      <c r="J9" s="376">
        <f t="shared" si="1"/>
        <v>9213862.9746899996</v>
      </c>
      <c r="L9" s="376">
        <f t="shared" si="2"/>
        <v>9669262.9746899996</v>
      </c>
      <c r="M9" s="376">
        <f>R60-B60-C60-D60-E60-F60-G60-H60-I60-R91+SUM(B91:I91)</f>
        <v>9213862.9746899996</v>
      </c>
      <c r="N9" s="376">
        <f>R60-B60-C60-D60-E60-R91+SUM(B91:E91)</f>
        <v>9669262.9746899996</v>
      </c>
      <c r="O9" s="376">
        <f t="shared" si="3"/>
        <v>8712922.9746899996</v>
      </c>
      <c r="P9" s="376">
        <f t="shared" si="4"/>
        <v>10083262.97469</v>
      </c>
      <c r="Q9" s="950">
        <f t="shared" si="5"/>
        <v>104885146.96760002</v>
      </c>
      <c r="R9" s="376"/>
      <c r="S9" s="376"/>
    </row>
    <row r="10" spans="1:19">
      <c r="A10" t="s">
        <v>629</v>
      </c>
      <c r="B10" s="376">
        <f>R61-R92</f>
        <v>17316908.152185</v>
      </c>
      <c r="C10" s="376"/>
      <c r="D10" s="376"/>
      <c r="E10" s="376">
        <f>R61-R92</f>
        <v>17316908.152185</v>
      </c>
      <c r="F10" s="376"/>
      <c r="G10" s="376">
        <f>R61-B61-C61-D61-E61-F61-G61-H61-I61-J61-R92+SUM(B92:J92)</f>
        <v>14963498.152185</v>
      </c>
      <c r="H10" s="376"/>
      <c r="I10" s="376">
        <f t="shared" si="0"/>
        <v>15823808.152185</v>
      </c>
      <c r="J10" s="376">
        <f t="shared" si="1"/>
        <v>15823808.152185</v>
      </c>
      <c r="L10" s="376">
        <f t="shared" si="2"/>
        <v>16605908.152185</v>
      </c>
      <c r="M10" s="376"/>
      <c r="N10" s="376"/>
      <c r="O10" s="376">
        <f t="shared" si="3"/>
        <v>14963498.152185</v>
      </c>
      <c r="P10" s="376">
        <f t="shared" si="4"/>
        <v>17316908.152185</v>
      </c>
      <c r="Q10" s="950">
        <f t="shared" si="5"/>
        <v>130131245.21747997</v>
      </c>
      <c r="R10" s="376"/>
      <c r="S10" s="376"/>
    </row>
    <row r="11" spans="1:19">
      <c r="A11" t="s">
        <v>630</v>
      </c>
      <c r="B11" s="376"/>
      <c r="C11" s="376">
        <f>R62-R93</f>
        <v>10740867.081735</v>
      </c>
      <c r="D11" s="376"/>
      <c r="E11" s="376"/>
      <c r="F11" s="376"/>
      <c r="H11" s="376"/>
      <c r="I11" s="376">
        <f t="shared" si="0"/>
        <v>9814767.081735</v>
      </c>
      <c r="J11" s="376">
        <f t="shared" si="1"/>
        <v>9814767.081735</v>
      </c>
      <c r="K11" s="376">
        <f>R62-B62-C62-D62-E62-F62-G62-H62-I62-J62-R93+SUM(B93:J93)</f>
        <v>9281157.081735</v>
      </c>
      <c r="L11" s="376"/>
      <c r="M11" s="376"/>
      <c r="N11" s="376">
        <f>R62-B62-C62-D62-E62-R93+SUM(B93:E93)</f>
        <v>10299867.081735</v>
      </c>
      <c r="O11" s="376">
        <f t="shared" si="3"/>
        <v>9281157.081735</v>
      </c>
      <c r="P11" s="376">
        <f t="shared" si="4"/>
        <v>10740867.081735</v>
      </c>
      <c r="Q11" s="950">
        <f t="shared" si="5"/>
        <v>69973449.572145</v>
      </c>
      <c r="R11" s="376"/>
      <c r="S11" s="376"/>
    </row>
    <row r="12" spans="1:19">
      <c r="A12" t="s">
        <v>631</v>
      </c>
      <c r="B12" s="376"/>
      <c r="C12" s="376">
        <f>R63-R94</f>
        <v>8548853.3915849999</v>
      </c>
      <c r="D12" s="376"/>
      <c r="E12" s="376"/>
      <c r="F12" s="376"/>
      <c r="H12" s="376"/>
      <c r="I12" s="376">
        <f t="shared" si="0"/>
        <v>7811753.3915850008</v>
      </c>
      <c r="J12" s="376">
        <f t="shared" si="1"/>
        <v>7811753.3915850008</v>
      </c>
      <c r="K12" s="376">
        <f>R63-B63-C63-D63-E63-F63-G63-H63-I63-J63-R94+SUM(B94:J94)</f>
        <v>7387043.3915850008</v>
      </c>
      <c r="L12" s="376"/>
      <c r="M12" s="376"/>
      <c r="N12" s="376">
        <f>R63-B63-C63-D63-E63-R94+SUM(B94:E94)</f>
        <v>8197853.3915850008</v>
      </c>
      <c r="O12" s="376">
        <f t="shared" si="3"/>
        <v>7387043.3915850008</v>
      </c>
      <c r="P12" s="376">
        <f t="shared" si="4"/>
        <v>8548853.3915849999</v>
      </c>
      <c r="Q12" s="950">
        <f t="shared" si="5"/>
        <v>55693153.741094999</v>
      </c>
      <c r="R12" s="376"/>
      <c r="S12" s="376"/>
    </row>
    <row r="13" spans="1:19">
      <c r="A13" t="s">
        <v>632</v>
      </c>
      <c r="B13" s="376"/>
      <c r="C13" s="376">
        <f>R64-R95</f>
        <v>8548853.3915849999</v>
      </c>
      <c r="D13" s="376"/>
      <c r="E13" s="376"/>
      <c r="F13" s="376"/>
      <c r="H13" s="376"/>
      <c r="I13" s="376">
        <f t="shared" si="0"/>
        <v>7811753.3915850008</v>
      </c>
      <c r="J13" s="376">
        <f t="shared" si="1"/>
        <v>7811753.3915850008</v>
      </c>
      <c r="K13" s="376">
        <f>R64-B64-C64-D64-E64-F64-G64-H64-I64-J64-R95+SUM(B95:J95)</f>
        <v>7387043.3915850008</v>
      </c>
      <c r="L13" s="376"/>
      <c r="M13" s="376"/>
      <c r="N13" s="376">
        <f>R64-B64-C64-D64-E64-R95+SUM(B95:E95)</f>
        <v>8197853.3915850008</v>
      </c>
      <c r="O13" s="376">
        <f t="shared" si="3"/>
        <v>7387043.3915850008</v>
      </c>
      <c r="P13" s="376">
        <f t="shared" si="4"/>
        <v>8548853.3915849999</v>
      </c>
      <c r="Q13" s="950">
        <f t="shared" si="5"/>
        <v>55693153.741094999</v>
      </c>
      <c r="R13" s="376"/>
      <c r="S13" s="376"/>
    </row>
    <row r="14" spans="1:19">
      <c r="A14" t="s">
        <v>633</v>
      </c>
      <c r="B14" s="376"/>
      <c r="C14" s="376"/>
      <c r="D14" s="376"/>
      <c r="E14" s="376"/>
      <c r="F14" s="376"/>
      <c r="G14" s="376"/>
      <c r="H14" s="376"/>
      <c r="I14" s="376"/>
      <c r="J14" s="376"/>
      <c r="L14" s="376">
        <f>R65-B65-C65-D65-E65-R96+SUM(B96:E96)</f>
        <v>10299867.081735</v>
      </c>
      <c r="M14" s="376"/>
      <c r="N14" s="376"/>
      <c r="O14" s="376"/>
      <c r="P14" s="376">
        <f t="shared" si="4"/>
        <v>10740867.081735</v>
      </c>
      <c r="Q14" s="950">
        <f t="shared" si="5"/>
        <v>21040734.16347</v>
      </c>
      <c r="R14" s="376"/>
      <c r="S14" s="376"/>
    </row>
    <row r="15" spans="1:19">
      <c r="A15" t="s">
        <v>634</v>
      </c>
      <c r="B15" s="376">
        <f>R66-R97</f>
        <v>10740867.081735</v>
      </c>
      <c r="C15" s="376"/>
      <c r="D15" s="376"/>
      <c r="E15" s="376">
        <f>R66-R97</f>
        <v>10740867.081735</v>
      </c>
      <c r="F15" s="376"/>
      <c r="G15" s="376"/>
      <c r="H15" s="376"/>
      <c r="I15" s="376"/>
      <c r="J15" s="376"/>
      <c r="L15" s="376">
        <f>R66-B66-C66-D66-E66-R97+SUM(B97:E97)</f>
        <v>10299867.081735</v>
      </c>
      <c r="M15" s="376"/>
      <c r="N15" s="376"/>
      <c r="O15" s="376"/>
      <c r="P15" s="376">
        <f t="shared" si="4"/>
        <v>10740867.081735</v>
      </c>
      <c r="Q15" s="950">
        <f t="shared" si="5"/>
        <v>42522468.32694</v>
      </c>
      <c r="R15" s="376"/>
      <c r="S15" s="376"/>
    </row>
    <row r="16" spans="1:19">
      <c r="A16" t="s">
        <v>635</v>
      </c>
      <c r="B16" s="376"/>
      <c r="C16" s="376"/>
      <c r="D16" s="376"/>
      <c r="E16" s="376"/>
      <c r="F16" s="376">
        <f>R67-R98</f>
        <v>2557349.3051750003</v>
      </c>
      <c r="G16" s="376">
        <f>R67-B67-C67-D67-E67-F67-J67-H67-I67-J67-R98+SUM(B98:J98)</f>
        <v>2097599.3051750003</v>
      </c>
      <c r="H16" s="376">
        <f>R67-B67-C67-D67-E67-R98+SUM(B98:E98)</f>
        <v>2452349.3051750003</v>
      </c>
      <c r="I16" s="376"/>
      <c r="J16" s="376"/>
      <c r="K16" s="376"/>
      <c r="L16" s="376"/>
      <c r="M16" s="376">
        <f>R67-B67-C67-D67-E67-F67-G67-H67-I67-R98+SUM(B98:I98)</f>
        <v>2336849.3051750003</v>
      </c>
      <c r="N16" s="376"/>
      <c r="O16" s="376"/>
      <c r="P16" s="376"/>
      <c r="Q16" s="950">
        <f t="shared" si="5"/>
        <v>9444147.2207000013</v>
      </c>
      <c r="R16" s="376"/>
      <c r="S16" s="376"/>
    </row>
    <row r="17" spans="1:19">
      <c r="A17" t="s">
        <v>636</v>
      </c>
      <c r="B17" s="376"/>
      <c r="C17" s="376"/>
      <c r="D17" s="376"/>
      <c r="E17" s="376"/>
      <c r="F17" s="376">
        <f>R68-R99</f>
        <v>2557349.3051750003</v>
      </c>
      <c r="G17" s="376">
        <f>R68-B68-C68-D68-E68-F68-J68-H68-I68-J68-R99+SUM(B99:J99)</f>
        <v>2097599.3051750003</v>
      </c>
      <c r="H17" s="376">
        <f>R68-B68-C68-D68-E68-R99+SUM(B99:E99)</f>
        <v>2452349.3051750003</v>
      </c>
      <c r="I17" s="376"/>
      <c r="J17" s="376"/>
      <c r="K17" s="376"/>
      <c r="L17" s="376"/>
      <c r="M17" s="376">
        <f>R68-B68-C68-D68-E68-F68-G68-H68-I68-R99+SUM(B99:I99)</f>
        <v>2336849.3051750003</v>
      </c>
      <c r="N17" s="376"/>
      <c r="O17" s="376"/>
      <c r="P17" s="376"/>
      <c r="Q17" s="950">
        <f t="shared" si="5"/>
        <v>9444147.2207000013</v>
      </c>
      <c r="R17" s="376"/>
      <c r="S17" s="376"/>
    </row>
    <row r="18" spans="1:19">
      <c r="A18" t="s">
        <v>637</v>
      </c>
      <c r="B18" s="376"/>
      <c r="C18" s="376"/>
      <c r="D18" s="376"/>
      <c r="E18" s="376"/>
      <c r="F18" s="376">
        <f>R69-R100</f>
        <v>2557349.3051750003</v>
      </c>
      <c r="G18" s="376">
        <f>R69-B69-C69-D69-E69-F69-J69-H69-I69-J69-R100+SUM(B100:J100)</f>
        <v>2097599.3051750003</v>
      </c>
      <c r="H18" s="376">
        <f>R69-B69-C69-D69-E69-R100+SUM(B100:E100)</f>
        <v>2452349.3051750003</v>
      </c>
      <c r="I18" s="376"/>
      <c r="J18" s="376"/>
      <c r="K18" s="376"/>
      <c r="L18" s="376"/>
      <c r="M18" s="376">
        <f>R69-B69-C69-D69-E69-F69-G69-H69-I69-R100+SUM(B100:I100)</f>
        <v>2336849.3051750003</v>
      </c>
      <c r="N18" s="376"/>
      <c r="O18" s="376"/>
      <c r="P18" s="376"/>
      <c r="Q18" s="950">
        <f t="shared" si="5"/>
        <v>9444147.2207000013</v>
      </c>
      <c r="R18" s="376"/>
      <c r="S18" s="376"/>
    </row>
    <row r="19" spans="1:19">
      <c r="A19" t="s">
        <v>559</v>
      </c>
      <c r="B19" s="376"/>
      <c r="C19" s="376"/>
      <c r="D19" s="376"/>
      <c r="E19" s="376"/>
      <c r="F19" s="376">
        <f>R70-R101</f>
        <v>3288020.5352249998</v>
      </c>
      <c r="G19" s="376">
        <f>R70-B70-C70-D70-E70-F70-J70-H70-I70-J70-R101+SUM(B101:J101)</f>
        <v>2700920.5352249998</v>
      </c>
      <c r="H19" s="376">
        <f>R70-B70-C70-D70-E70-R101+SUM(B101:E101)</f>
        <v>3153020.5352249998</v>
      </c>
      <c r="I19" s="376"/>
      <c r="J19" s="376"/>
      <c r="K19" s="376"/>
      <c r="L19" s="376"/>
      <c r="M19" s="376">
        <f>R70-B70-C70-D70-E70-F70-G70-H70-I70-R101+SUM(B101:I101)</f>
        <v>3004520.5352249998</v>
      </c>
      <c r="N19" s="376"/>
      <c r="O19" s="376"/>
      <c r="P19" s="376"/>
      <c r="Q19" s="950">
        <f t="shared" si="5"/>
        <v>12146482.140899999</v>
      </c>
      <c r="R19" s="376"/>
      <c r="S19" s="376"/>
    </row>
    <row r="20" spans="1:19"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950">
        <f t="shared" si="5"/>
        <v>0</v>
      </c>
      <c r="R20" s="376"/>
      <c r="S20" s="376"/>
    </row>
    <row r="21" spans="1:19" s="384" customFormat="1">
      <c r="A21" s="951" t="str">
        <f>'No. of people trained '!A205</f>
        <v>TOTAL REVENUE</v>
      </c>
      <c r="B21" s="390">
        <f>SUM(B5:B20)</f>
        <v>48224301.183300003</v>
      </c>
      <c r="C21" s="390">
        <f t="shared" ref="C21:P21" si="6">SUM(C5:C20)</f>
        <v>27838573.864905</v>
      </c>
      <c r="D21" s="390">
        <f t="shared" si="6"/>
        <v>33026339.59826</v>
      </c>
      <c r="E21" s="390">
        <f t="shared" si="6"/>
        <v>70509773.699824989</v>
      </c>
      <c r="F21" s="390">
        <f t="shared" si="6"/>
        <v>53412066.916654989</v>
      </c>
      <c r="G21" s="390">
        <f t="shared" si="6"/>
        <v>70067176.396585003</v>
      </c>
      <c r="H21" s="390">
        <f t="shared" si="6"/>
        <v>42180408.049009994</v>
      </c>
      <c r="I21" s="390">
        <f t="shared" si="6"/>
        <v>89868547.564730018</v>
      </c>
      <c r="J21" s="390">
        <f t="shared" si="6"/>
        <v>89868547.564730018</v>
      </c>
      <c r="K21" s="390">
        <f t="shared" si="6"/>
        <v>24055243.864905</v>
      </c>
      <c r="L21" s="390">
        <f>SUM(L5:L20)</f>
        <v>88214507.863294989</v>
      </c>
      <c r="M21" s="390">
        <f t="shared" si="6"/>
        <v>58621533.998389989</v>
      </c>
      <c r="N21" s="390">
        <f t="shared" si="6"/>
        <v>77704439.41254501</v>
      </c>
      <c r="O21" s="390">
        <f t="shared" si="6"/>
        <v>84982567.564730018</v>
      </c>
      <c r="P21" s="390">
        <f t="shared" si="6"/>
        <v>119830081.72819999</v>
      </c>
      <c r="Q21" s="390">
        <f>SUM(Q5:Q20)</f>
        <v>978404109.27006495</v>
      </c>
      <c r="R21" s="390"/>
      <c r="S21" s="390"/>
    </row>
    <row r="22" spans="1:19" s="384" customFormat="1">
      <c r="A22" s="951"/>
      <c r="B22" s="390"/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</row>
    <row r="23" spans="1:19">
      <c r="A23" s="956" t="s">
        <v>639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</row>
    <row r="24" spans="1:19">
      <c r="A24" s="945" t="str">
        <f>'Opex  Assumptions'!A25</f>
        <v>Center Mgr</v>
      </c>
      <c r="B24" s="376">
        <f>R74</f>
        <v>3824981.9042400005</v>
      </c>
      <c r="C24" s="376">
        <f>R74</f>
        <v>3824981.9042400005</v>
      </c>
      <c r="D24" s="376">
        <f>R74</f>
        <v>3824981.9042400005</v>
      </c>
      <c r="E24" s="376">
        <f>R74</f>
        <v>3824981.9042400005</v>
      </c>
      <c r="F24" s="376">
        <f>R74</f>
        <v>3824981.9042400005</v>
      </c>
      <c r="G24" s="376">
        <f>R74-B74-F74-J74</f>
        <v>3030581.9042400005</v>
      </c>
      <c r="H24" s="376">
        <f>R74-B74</f>
        <v>3584981.9042400005</v>
      </c>
      <c r="I24" s="376">
        <f>R74-B74-F74</f>
        <v>3320981.9042400005</v>
      </c>
      <c r="J24" s="376">
        <f>R74-B74-F74</f>
        <v>3320981.9042400005</v>
      </c>
      <c r="K24" s="376">
        <f>R74-B74-F74-J74</f>
        <v>3030581.9042400005</v>
      </c>
      <c r="L24" s="376">
        <f>R74-B74</f>
        <v>3584981.9042400005</v>
      </c>
      <c r="M24" s="376">
        <f>R74-B74-F74</f>
        <v>3320981.9042400005</v>
      </c>
      <c r="N24" s="376">
        <f>R74-B74</f>
        <v>3584981.9042400005</v>
      </c>
      <c r="O24" s="376">
        <f>R74-B74-F74-J74</f>
        <v>3030581.9042400005</v>
      </c>
      <c r="P24" s="376">
        <f>R74</f>
        <v>3824981.9042400005</v>
      </c>
      <c r="Q24" s="376">
        <f>SUM(B24:P24)</f>
        <v>52759528.563599989</v>
      </c>
      <c r="R24" s="376"/>
      <c r="S24" s="376"/>
    </row>
    <row r="25" spans="1:19">
      <c r="A25" s="945" t="str">
        <f>'Opex  Assumptions'!A26</f>
        <v>Front Office</v>
      </c>
      <c r="B25" s="376">
        <f t="shared" ref="B25:B27" si="7">R75</f>
        <v>1529992.7616960001</v>
      </c>
      <c r="C25" s="376">
        <f t="shared" ref="C25:C27" si="8">R75</f>
        <v>1529992.7616960001</v>
      </c>
      <c r="D25" s="376">
        <f t="shared" ref="D25:D27" si="9">R75</f>
        <v>1529992.7616960001</v>
      </c>
      <c r="E25" s="376">
        <f t="shared" ref="E25:E27" si="10">R75</f>
        <v>1529992.7616960001</v>
      </c>
      <c r="F25" s="376">
        <f t="shared" ref="F25:F27" si="11">R75</f>
        <v>1529992.7616960001</v>
      </c>
      <c r="G25" s="376">
        <f t="shared" ref="G25:G27" si="12">R75-B75-F75-J75</f>
        <v>1212232.7616960001</v>
      </c>
      <c r="H25" s="376">
        <f t="shared" ref="H25:H27" si="13">R75-B75</f>
        <v>1433992.7616960001</v>
      </c>
      <c r="I25" s="376">
        <f t="shared" ref="I25:I27" si="14">R75-B75-F75</f>
        <v>1328392.7616960001</v>
      </c>
      <c r="J25" s="376">
        <f t="shared" ref="J25:J27" si="15">R75-B75-F75</f>
        <v>1328392.7616960001</v>
      </c>
      <c r="K25" s="376">
        <f t="shared" ref="K25:K27" si="16">R75-B75-F75-J75</f>
        <v>1212232.7616960001</v>
      </c>
      <c r="L25" s="376">
        <f t="shared" ref="L25:L27" si="17">R75-B75</f>
        <v>1433992.7616960001</v>
      </c>
      <c r="M25" s="376">
        <f t="shared" ref="M25:M27" si="18">R75-B75-F75</f>
        <v>1328392.7616960001</v>
      </c>
      <c r="N25" s="376">
        <f t="shared" ref="N25:N27" si="19">R75-B75</f>
        <v>1433992.7616960001</v>
      </c>
      <c r="O25" s="376">
        <f t="shared" ref="O25:O27" si="20">R75-B75-F75-J75</f>
        <v>1212232.7616960001</v>
      </c>
      <c r="P25" s="376">
        <f t="shared" ref="P25:P27" si="21">R75</f>
        <v>1529992.7616960001</v>
      </c>
      <c r="Q25" s="376">
        <f t="shared" ref="Q25:Q40" si="22">SUM(B25:P25)</f>
        <v>21103811.425439999</v>
      </c>
    </row>
    <row r="26" spans="1:19">
      <c r="A26" s="945" t="str">
        <f>'Opex  Assumptions'!A27</f>
        <v>Admin &amp; MIS Exec</v>
      </c>
      <c r="B26" s="376">
        <f t="shared" si="7"/>
        <v>1912490.9521200003</v>
      </c>
      <c r="C26" s="376">
        <f t="shared" si="8"/>
        <v>1912490.9521200003</v>
      </c>
      <c r="D26" s="376">
        <f t="shared" si="9"/>
        <v>1912490.9521200003</v>
      </c>
      <c r="E26" s="376">
        <f t="shared" si="10"/>
        <v>1912490.9521200003</v>
      </c>
      <c r="F26" s="376">
        <f t="shared" si="11"/>
        <v>1912490.9521200003</v>
      </c>
      <c r="G26" s="376">
        <f t="shared" si="12"/>
        <v>1515290.9521200003</v>
      </c>
      <c r="H26" s="376">
        <f t="shared" si="13"/>
        <v>1792490.9521200003</v>
      </c>
      <c r="I26" s="376">
        <f t="shared" si="14"/>
        <v>1660490.9521200003</v>
      </c>
      <c r="J26" s="376">
        <f t="shared" si="15"/>
        <v>1660490.9521200003</v>
      </c>
      <c r="K26" s="376">
        <f t="shared" si="16"/>
        <v>1515290.9521200003</v>
      </c>
      <c r="L26" s="376">
        <f t="shared" si="17"/>
        <v>1792490.9521200003</v>
      </c>
      <c r="M26" s="376">
        <f t="shared" si="18"/>
        <v>1660490.9521200003</v>
      </c>
      <c r="N26" s="376">
        <f t="shared" si="19"/>
        <v>1792490.9521200003</v>
      </c>
      <c r="O26" s="376">
        <f t="shared" si="20"/>
        <v>1515290.9521200003</v>
      </c>
      <c r="P26" s="376">
        <f t="shared" si="21"/>
        <v>1912490.9521200003</v>
      </c>
      <c r="Q26" s="376">
        <f t="shared" si="22"/>
        <v>26379764.281799994</v>
      </c>
      <c r="R26" s="376"/>
      <c r="S26" s="376"/>
    </row>
    <row r="27" spans="1:19">
      <c r="A27" s="945" t="str">
        <f>'Opex  Assumptions'!A28</f>
        <v>Office Assistant</v>
      </c>
      <c r="B27" s="376">
        <f t="shared" si="7"/>
        <v>1147494.571272</v>
      </c>
      <c r="C27" s="376">
        <f t="shared" si="8"/>
        <v>1147494.571272</v>
      </c>
      <c r="D27" s="376">
        <f t="shared" si="9"/>
        <v>1147494.571272</v>
      </c>
      <c r="E27" s="376">
        <f t="shared" si="10"/>
        <v>1147494.571272</v>
      </c>
      <c r="F27" s="376">
        <f t="shared" si="11"/>
        <v>1147494.571272</v>
      </c>
      <c r="G27" s="376">
        <f t="shared" si="12"/>
        <v>909174.57127199997</v>
      </c>
      <c r="H27" s="376">
        <f t="shared" si="13"/>
        <v>1075494.571272</v>
      </c>
      <c r="I27" s="376">
        <f t="shared" si="14"/>
        <v>996294.57127199997</v>
      </c>
      <c r="J27" s="376">
        <f t="shared" si="15"/>
        <v>996294.57127199997</v>
      </c>
      <c r="K27" s="376">
        <f t="shared" si="16"/>
        <v>909174.57127199997</v>
      </c>
      <c r="L27" s="376">
        <f t="shared" si="17"/>
        <v>1075494.571272</v>
      </c>
      <c r="M27" s="376">
        <f t="shared" si="18"/>
        <v>996294.57127199997</v>
      </c>
      <c r="N27" s="376">
        <f t="shared" si="19"/>
        <v>1075494.571272</v>
      </c>
      <c r="O27" s="376">
        <f t="shared" si="20"/>
        <v>909174.57127199997</v>
      </c>
      <c r="P27" s="376">
        <f t="shared" si="21"/>
        <v>1147494.571272</v>
      </c>
      <c r="Q27" s="376">
        <f t="shared" si="22"/>
        <v>15827858.569080004</v>
      </c>
      <c r="R27" s="376"/>
      <c r="S27" s="376"/>
    </row>
    <row r="28" spans="1:19">
      <c r="A28" s="945" t="str">
        <f>'Opex  Assumptions'!A29</f>
        <v>Trainers</v>
      </c>
      <c r="B28" s="376">
        <f>$R$78*B2</f>
        <v>11474945.712719999</v>
      </c>
      <c r="C28" s="376">
        <f>$R$78*C2</f>
        <v>8606209.2845399994</v>
      </c>
      <c r="D28" s="376">
        <f>$R$78*D2</f>
        <v>8606209.2845399994</v>
      </c>
      <c r="E28" s="376">
        <f>$R$78*E2</f>
        <v>17212418.569079999</v>
      </c>
      <c r="F28" s="376">
        <f>$R$78*F2</f>
        <v>22949891.425439999</v>
      </c>
      <c r="G28" s="376">
        <f>$R$78*G2-B78*G2-F78*G2-J78*G2</f>
        <v>22729364.281799998</v>
      </c>
      <c r="H28" s="376">
        <f>$R$78*H2-B78*H2</f>
        <v>18821154.997259997</v>
      </c>
      <c r="I28" s="376">
        <f>$R$78*I2-B78*I2-F78*I2</f>
        <v>22416627.85362</v>
      </c>
      <c r="J28" s="376">
        <f>$R$78*J2-B78*J2-F78*J2</f>
        <v>22416627.85362</v>
      </c>
      <c r="K28" s="376">
        <f>$R$78*K2-B78*K2-F78*K2-J78*K2</f>
        <v>6818809.2845399994</v>
      </c>
      <c r="L28" s="376">
        <f>$R$78*L2-B78*L2</f>
        <v>21509891.425439999</v>
      </c>
      <c r="M28" s="376">
        <f>$R$78*M2-B78*M2-F78*M2</f>
        <v>22416627.85362</v>
      </c>
      <c r="N28" s="376">
        <f>$R$78*N2-B78*N2</f>
        <v>21509891.425439999</v>
      </c>
      <c r="O28" s="376">
        <f>$R$78*O2-B78*O2-F78*O2-J78*O2</f>
        <v>20456427.85362</v>
      </c>
      <c r="P28" s="376">
        <f>$R$78*P2</f>
        <v>31556100.709979996</v>
      </c>
      <c r="Q28" s="376">
        <f t="shared" si="22"/>
        <v>279501197.81525999</v>
      </c>
      <c r="R28" s="376"/>
      <c r="S28" s="376"/>
    </row>
    <row r="29" spans="1:19" s="384" customFormat="1">
      <c r="A29" s="951" t="s">
        <v>1</v>
      </c>
      <c r="B29" s="390">
        <f t="shared" ref="B29:P29" si="23">SUM(B24:B28)</f>
        <v>19889905.902047999</v>
      </c>
      <c r="C29" s="390">
        <f t="shared" si="23"/>
        <v>17021169.473868001</v>
      </c>
      <c r="D29" s="390">
        <f t="shared" si="23"/>
        <v>17021169.473868001</v>
      </c>
      <c r="E29" s="390">
        <f t="shared" si="23"/>
        <v>25627378.758408003</v>
      </c>
      <c r="F29" s="390">
        <f t="shared" si="23"/>
        <v>31364851.614767998</v>
      </c>
      <c r="G29" s="390">
        <f t="shared" si="23"/>
        <v>29396644.471127998</v>
      </c>
      <c r="H29" s="390">
        <f t="shared" si="23"/>
        <v>26708115.186587997</v>
      </c>
      <c r="I29" s="390">
        <f t="shared" si="23"/>
        <v>29722788.042948</v>
      </c>
      <c r="J29" s="390">
        <f t="shared" si="23"/>
        <v>29722788.042948</v>
      </c>
      <c r="K29" s="390">
        <f t="shared" si="23"/>
        <v>13486089.473868001</v>
      </c>
      <c r="L29" s="390">
        <f t="shared" si="23"/>
        <v>29396851.614767998</v>
      </c>
      <c r="M29" s="390">
        <f t="shared" si="23"/>
        <v>29722788.042948</v>
      </c>
      <c r="N29" s="390">
        <f t="shared" si="23"/>
        <v>29396851.614767998</v>
      </c>
      <c r="O29" s="390">
        <f t="shared" si="23"/>
        <v>27123708.042948</v>
      </c>
      <c r="P29" s="390">
        <f t="shared" si="23"/>
        <v>39971060.899307996</v>
      </c>
      <c r="Q29" s="390">
        <f t="shared" si="22"/>
        <v>395572160.65517998</v>
      </c>
      <c r="R29" s="390"/>
      <c r="S29" s="390"/>
    </row>
    <row r="30" spans="1:19">
      <c r="A30" s="956" t="s">
        <v>640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6"/>
    </row>
    <row r="31" spans="1:19">
      <c r="A31" s="945" t="str">
        <f>'Opex  Assumptions'!A55</f>
        <v>Rent</v>
      </c>
      <c r="B31" s="376">
        <f>$R$79</f>
        <v>5737472.8563599996</v>
      </c>
      <c r="C31" s="376">
        <f>$R$79</f>
        <v>5737472.8563599996</v>
      </c>
      <c r="D31" s="376">
        <f>$R$79</f>
        <v>5737472.8563599996</v>
      </c>
      <c r="E31" s="376">
        <f>$R$79</f>
        <v>5737472.8563599996</v>
      </c>
      <c r="F31" s="376">
        <f>$R$79</f>
        <v>5737472.8563599996</v>
      </c>
      <c r="G31" s="376">
        <f>$R$79-B79-F79-J79</f>
        <v>4545872.8563599996</v>
      </c>
      <c r="H31" s="376">
        <f>$R$79-B79</f>
        <v>5377472.8563599996</v>
      </c>
      <c r="I31" s="376">
        <f>$R$79-B79-F79</f>
        <v>4981472.8563599996</v>
      </c>
      <c r="J31" s="376">
        <f>$R$79-B79-F79</f>
        <v>4981472.8563599996</v>
      </c>
      <c r="K31" s="376">
        <f>$R$79-B79-F79-J79</f>
        <v>4545872.8563599996</v>
      </c>
      <c r="L31" s="376">
        <f>$R$79-B79</f>
        <v>5377472.8563599996</v>
      </c>
      <c r="M31" s="376">
        <f>$R$79-B79-F79</f>
        <v>4981472.8563599996</v>
      </c>
      <c r="N31" s="376">
        <f>$R$79-B79</f>
        <v>5377472.8563599996</v>
      </c>
      <c r="O31" s="376">
        <f>$R$79-B79-F79-J79</f>
        <v>4545872.8563599996</v>
      </c>
      <c r="P31" s="376">
        <f>$R$79</f>
        <v>5737472.8563599996</v>
      </c>
      <c r="Q31" s="376">
        <f t="shared" si="22"/>
        <v>79139292.84540002</v>
      </c>
      <c r="R31" s="376"/>
      <c r="S31" s="376"/>
    </row>
    <row r="32" spans="1:19">
      <c r="A32" s="945" t="str">
        <f>'Opex  Assumptions'!A56</f>
        <v>Electricity</v>
      </c>
      <c r="B32" s="376">
        <f>$R$80</f>
        <v>860620.92845400004</v>
      </c>
      <c r="C32" s="376">
        <f>$R$80</f>
        <v>860620.92845400004</v>
      </c>
      <c r="D32" s="376">
        <f>$R$80</f>
        <v>860620.92845400004</v>
      </c>
      <c r="E32" s="376">
        <f>$R$80</f>
        <v>860620.92845400004</v>
      </c>
      <c r="F32" s="376">
        <f>$R$80</f>
        <v>860620.92845400004</v>
      </c>
      <c r="G32" s="376">
        <f>$R$80-B80-F80-J80</f>
        <v>681880.92845400004</v>
      </c>
      <c r="H32" s="376">
        <f>$R$80-B80</f>
        <v>806620.92845400004</v>
      </c>
      <c r="I32" s="376">
        <f>$R$80-B80-F80</f>
        <v>747220.92845400004</v>
      </c>
      <c r="J32" s="376">
        <f>$R$80-B80-F80</f>
        <v>747220.92845400004</v>
      </c>
      <c r="K32" s="376">
        <f>$R$80-B80-F80-J80</f>
        <v>681880.92845400004</v>
      </c>
      <c r="L32" s="376">
        <f>$R$80-B80</f>
        <v>806620.92845400004</v>
      </c>
      <c r="M32" s="376">
        <f>$R$80-B80-F80</f>
        <v>747220.92845400004</v>
      </c>
      <c r="N32" s="376">
        <f>$R$80-B80</f>
        <v>806620.92845400004</v>
      </c>
      <c r="O32" s="376">
        <f>$R$80-B80-F80-J80</f>
        <v>681880.92845400004</v>
      </c>
      <c r="P32" s="376">
        <f>$R$80</f>
        <v>860620.92845400004</v>
      </c>
      <c r="Q32" s="376">
        <f t="shared" si="22"/>
        <v>11870893.926810006</v>
      </c>
      <c r="R32" s="376"/>
      <c r="S32" s="376"/>
    </row>
    <row r="33" spans="1:19">
      <c r="A33" s="945" t="str">
        <f>'Opex  Assumptions'!A58</f>
        <v>Telephone &amp; Internet</v>
      </c>
      <c r="B33" s="376">
        <f>$R$81</f>
        <v>382498.19042400009</v>
      </c>
      <c r="C33" s="376">
        <f>$R$81</f>
        <v>382498.19042400009</v>
      </c>
      <c r="D33" s="376">
        <f>$R$81</f>
        <v>382498.19042400009</v>
      </c>
      <c r="E33" s="376">
        <f>$R$81</f>
        <v>382498.19042400009</v>
      </c>
      <c r="F33" s="376">
        <f>$R$81</f>
        <v>382498.19042400009</v>
      </c>
      <c r="G33" s="376">
        <f>$R$81-B81-F81-J81</f>
        <v>303058.19042400009</v>
      </c>
      <c r="H33" s="376">
        <f>$R$81-B81</f>
        <v>358498.19042400009</v>
      </c>
      <c r="I33" s="376">
        <f>$R$81-B81-F81</f>
        <v>332098.19042400009</v>
      </c>
      <c r="J33" s="376">
        <f>$R$81-B81-F81</f>
        <v>332098.19042400009</v>
      </c>
      <c r="K33" s="376">
        <f>$R$81-B81-F81-J81</f>
        <v>303058.19042400009</v>
      </c>
      <c r="L33" s="376">
        <f>$R$81-B81</f>
        <v>358498.19042400009</v>
      </c>
      <c r="M33" s="376">
        <f>$R$81-B81-F81</f>
        <v>332098.19042400009</v>
      </c>
      <c r="N33" s="376">
        <f>$R$81-B81</f>
        <v>358498.19042400009</v>
      </c>
      <c r="O33" s="376">
        <f>$R$81-B81-F81-J81</f>
        <v>303058.19042400009</v>
      </c>
      <c r="P33" s="376">
        <f>$R$81</f>
        <v>382498.19042400009</v>
      </c>
      <c r="Q33" s="376">
        <f t="shared" si="22"/>
        <v>5275952.8563599996</v>
      </c>
      <c r="R33" s="376"/>
      <c r="S33" s="376"/>
    </row>
    <row r="34" spans="1:19">
      <c r="A34" s="945" t="str">
        <f>'Opex  Assumptions'!A59</f>
        <v>Security</v>
      </c>
      <c r="B34" s="376">
        <f>$R$82</f>
        <v>956245.47606000013</v>
      </c>
      <c r="C34" s="376">
        <f>$R$82</f>
        <v>956245.47606000013</v>
      </c>
      <c r="D34" s="376">
        <f>$R$82</f>
        <v>956245.47606000013</v>
      </c>
      <c r="E34" s="376">
        <f>$R$82</f>
        <v>956245.47606000013</v>
      </c>
      <c r="F34" s="376">
        <f>$R$82</f>
        <v>956245.47606000013</v>
      </c>
      <c r="G34" s="376">
        <f>$R$82-B82-F82-J82</f>
        <v>757645.47606000013</v>
      </c>
      <c r="H34" s="376">
        <f>$R$82-B82</f>
        <v>896245.47606000013</v>
      </c>
      <c r="I34" s="376">
        <f>$R$82-B82-F82</f>
        <v>830245.47606000013</v>
      </c>
      <c r="J34" s="376">
        <f>$R$82-B82-F82</f>
        <v>830245.47606000013</v>
      </c>
      <c r="K34" s="376">
        <f>$R$82-B82-F82-J82</f>
        <v>757645.47606000013</v>
      </c>
      <c r="L34" s="376">
        <f>$R$82-B82</f>
        <v>896245.47606000013</v>
      </c>
      <c r="M34" s="376">
        <f>$R$82-B82-F82</f>
        <v>830245.47606000013</v>
      </c>
      <c r="N34" s="376">
        <f>$R$82-B82</f>
        <v>896245.47606000013</v>
      </c>
      <c r="O34" s="376">
        <f>$R$82-B82-F82-J82</f>
        <v>757645.47606000013</v>
      </c>
      <c r="P34" s="376">
        <f>$R$82</f>
        <v>956245.47606000013</v>
      </c>
      <c r="Q34" s="376">
        <f t="shared" si="22"/>
        <v>13189882.140899997</v>
      </c>
      <c r="R34" s="376"/>
      <c r="S34" s="376"/>
    </row>
    <row r="35" spans="1:19">
      <c r="A35" s="945" t="str">
        <f>'Opex  Assumptions'!A60</f>
        <v>Repairs &amp; Maintenance</v>
      </c>
      <c r="B35" s="376">
        <f>$R$83</f>
        <v>573747.28563599999</v>
      </c>
      <c r="C35" s="376">
        <f>$R$83</f>
        <v>573747.28563599999</v>
      </c>
      <c r="D35" s="376">
        <f>$R$83</f>
        <v>573747.28563599999</v>
      </c>
      <c r="E35" s="376">
        <f>$R$83</f>
        <v>573747.28563599999</v>
      </c>
      <c r="F35" s="376">
        <f>$R$83</f>
        <v>573747.28563599999</v>
      </c>
      <c r="G35" s="376">
        <f>$R$83-B83-F83-J83</f>
        <v>454587.28563599999</v>
      </c>
      <c r="H35" s="376">
        <f>$R$83-B83</f>
        <v>537747.28563599999</v>
      </c>
      <c r="I35" s="376">
        <f>$R$83-B83-F83</f>
        <v>498147.28563599999</v>
      </c>
      <c r="J35" s="376">
        <f>$R$83-B83-F83</f>
        <v>498147.28563599999</v>
      </c>
      <c r="K35" s="376">
        <f>$R$83-B83-F83-J83</f>
        <v>454587.28563599999</v>
      </c>
      <c r="L35" s="376">
        <f>$R$83-B83</f>
        <v>537747.28563599999</v>
      </c>
      <c r="M35" s="376">
        <f>$R$83-B83-F83</f>
        <v>498147.28563599999</v>
      </c>
      <c r="N35" s="376">
        <f>$R$83-B83</f>
        <v>537747.28563599999</v>
      </c>
      <c r="O35" s="376">
        <f>$R$83-B83-F83-J83</f>
        <v>454587.28563599999</v>
      </c>
      <c r="P35" s="376">
        <f>$R$83</f>
        <v>573747.28563599999</v>
      </c>
      <c r="Q35" s="376">
        <f t="shared" si="22"/>
        <v>7913929.2845400022</v>
      </c>
      <c r="R35" s="376"/>
      <c r="S35" s="376"/>
    </row>
    <row r="36" spans="1:19">
      <c r="A36" s="945" t="str">
        <f>'Opex  Assumptions'!A61</f>
        <v>Recruitment Expenses</v>
      </c>
      <c r="B36" s="376">
        <f>$C$84*$B$78*B2</f>
        <v>59976</v>
      </c>
      <c r="C36" s="376">
        <f>$C$84*$B$78*C2</f>
        <v>44982</v>
      </c>
      <c r="D36" s="376">
        <f>$C$84*$B$78*D2</f>
        <v>44982</v>
      </c>
      <c r="E36" s="376">
        <f>$C$84*$B$78*E2</f>
        <v>89964</v>
      </c>
      <c r="F36" s="376">
        <f>$C$84*$B$78*F2</f>
        <v>119952</v>
      </c>
      <c r="G36" s="376">
        <f>$C$84*$K$78*G2</f>
        <v>199570.14</v>
      </c>
      <c r="H36" s="376">
        <f>$C$84*$F$78*H2</f>
        <v>115453.80000000002</v>
      </c>
      <c r="I36" s="376">
        <f>$C$84*$J$78*I2</f>
        <v>163284.66000000003</v>
      </c>
      <c r="J36" s="376">
        <f>$C$84*$J$78*J2</f>
        <v>163284.66000000003</v>
      </c>
      <c r="K36" s="376">
        <f>$C$84*$K$78*K2</f>
        <v>59871.042000000009</v>
      </c>
      <c r="L36" s="376">
        <f>$C$84*$F$78*L2</f>
        <v>131947.20000000001</v>
      </c>
      <c r="M36" s="376">
        <f>$C$84*$J$78*M2</f>
        <v>163284.66000000003</v>
      </c>
      <c r="N36" s="376">
        <f>$C$84*$F$78*N2</f>
        <v>131947.20000000001</v>
      </c>
      <c r="O36" s="376">
        <f>$C$84*$K$78*O2</f>
        <v>179613.12600000002</v>
      </c>
      <c r="P36" s="376">
        <f>$C$84*$B$78*P2</f>
        <v>164934</v>
      </c>
      <c r="Q36" s="376">
        <f t="shared" si="22"/>
        <v>1833046.4879999999</v>
      </c>
      <c r="R36" s="376"/>
      <c r="S36" s="376"/>
    </row>
    <row r="37" spans="1:19">
      <c r="A37" s="945" t="str">
        <f>'Opex  Assumptions'!A62</f>
        <v>Training Cost</v>
      </c>
      <c r="B37" s="376">
        <f>$B$85*B2</f>
        <v>60000</v>
      </c>
      <c r="C37" s="376">
        <f>$B$85*C2</f>
        <v>45000</v>
      </c>
      <c r="D37" s="376">
        <f>$B$85*D2</f>
        <v>45000</v>
      </c>
      <c r="E37" s="376">
        <f>$B$85*E2</f>
        <v>90000</v>
      </c>
      <c r="F37" s="376">
        <f>$B$85*F2</f>
        <v>120000</v>
      </c>
      <c r="G37" s="376">
        <f>$E$85*G2</f>
        <v>199650</v>
      </c>
      <c r="H37" s="376">
        <f>$C$85*H2</f>
        <v>115500</v>
      </c>
      <c r="I37" s="376">
        <f>$D$85*I2</f>
        <v>163350</v>
      </c>
      <c r="J37" s="376">
        <f>$D$85*J2</f>
        <v>163350</v>
      </c>
      <c r="K37" s="376">
        <f>$E$85*K2</f>
        <v>59895</v>
      </c>
      <c r="L37" s="376">
        <f>$C$85*L2</f>
        <v>132000</v>
      </c>
      <c r="M37" s="376">
        <f>$D$85*M2</f>
        <v>163350</v>
      </c>
      <c r="N37" s="376">
        <f>$C$85*N2</f>
        <v>132000</v>
      </c>
      <c r="O37" s="376">
        <f>$E$85*O2</f>
        <v>179685</v>
      </c>
      <c r="P37" s="376">
        <f>$B$85*P2</f>
        <v>165000</v>
      </c>
      <c r="Q37" s="376">
        <f t="shared" si="22"/>
        <v>1833780</v>
      </c>
      <c r="R37" s="376"/>
      <c r="S37" s="376"/>
    </row>
    <row r="38" spans="1:19" s="384" customFormat="1">
      <c r="A38" s="951" t="s">
        <v>1</v>
      </c>
      <c r="B38" s="390">
        <f t="shared" ref="B38:P38" si="24">SUM(B31:B37)</f>
        <v>8630560.7369340006</v>
      </c>
      <c r="C38" s="390">
        <f t="shared" si="24"/>
        <v>8600566.7369340006</v>
      </c>
      <c r="D38" s="390">
        <f t="shared" si="24"/>
        <v>8600566.7369340006</v>
      </c>
      <c r="E38" s="390">
        <f t="shared" si="24"/>
        <v>8690548.7369340006</v>
      </c>
      <c r="F38" s="390">
        <f t="shared" si="24"/>
        <v>8750536.7369340006</v>
      </c>
      <c r="G38" s="390">
        <f t="shared" si="24"/>
        <v>7142264.8769340003</v>
      </c>
      <c r="H38" s="390">
        <f t="shared" si="24"/>
        <v>8207538.5369340004</v>
      </c>
      <c r="I38" s="390">
        <f t="shared" si="24"/>
        <v>7715819.3969340008</v>
      </c>
      <c r="J38" s="390">
        <f t="shared" si="24"/>
        <v>7715819.3969340008</v>
      </c>
      <c r="K38" s="390">
        <f t="shared" si="24"/>
        <v>6862810.778934001</v>
      </c>
      <c r="L38" s="390">
        <f t="shared" si="24"/>
        <v>8240531.9369340008</v>
      </c>
      <c r="M38" s="390">
        <f t="shared" si="24"/>
        <v>7715819.3969340008</v>
      </c>
      <c r="N38" s="390">
        <f t="shared" si="24"/>
        <v>8240531.9369340008</v>
      </c>
      <c r="O38" s="390">
        <f t="shared" si="24"/>
        <v>7102342.8629340008</v>
      </c>
      <c r="P38" s="390">
        <f t="shared" si="24"/>
        <v>8840518.7369340006</v>
      </c>
      <c r="Q38" s="390">
        <f t="shared" si="22"/>
        <v>121056777.54201001</v>
      </c>
      <c r="R38" s="390"/>
      <c r="S38" s="390"/>
    </row>
    <row r="39" spans="1:19">
      <c r="A39" s="956" t="s">
        <v>593</v>
      </c>
      <c r="B39" s="376">
        <f>('Opex  Assumptions'!$V$19*10000)*'Check Sheet Centre Wise'!B21/'Check Sheet Centre Wise'!$Q$21</f>
        <v>282792.78105499124</v>
      </c>
      <c r="C39" s="376">
        <f>('Opex  Assumptions'!$V$19*10000)*'Check Sheet Centre Wise'!C21/'Check Sheet Centre Wise'!$Q$21</f>
        <v>163248.55997265404</v>
      </c>
      <c r="D39" s="376">
        <f>('Opex  Assumptions'!$V$19*10000)*'Check Sheet Centre Wise'!D21/'Check Sheet Centre Wise'!$Q$21</f>
        <v>193670.20763160006</v>
      </c>
      <c r="E39" s="376">
        <f>('Opex  Assumptions'!$V$19*10000)*'Check Sheet Centre Wise'!E21/'Check Sheet Centre Wise'!$Q$21</f>
        <v>413477.32381525228</v>
      </c>
      <c r="F39" s="376">
        <f>('Opex  Assumptions'!$V$19*10000)*'Check Sheet Centre Wise'!F21/'Check Sheet Centre Wise'!$Q$21</f>
        <v>313214.42871393723</v>
      </c>
      <c r="G39" s="376">
        <f>('Opex  Assumptions'!$V$19*10000)*'Check Sheet Centre Wise'!G21/'Check Sheet Centre Wise'!$Q$21</f>
        <v>410881.88294416678</v>
      </c>
      <c r="H39" s="376">
        <f>('Opex  Assumptions'!$V$19*10000)*'Check Sheet Centre Wise'!H21/'Check Sheet Centre Wise'!$Q$21</f>
        <v>247350.70504960744</v>
      </c>
      <c r="I39" s="376">
        <f>('Opex  Assumptions'!$V$19*10000)*'Check Sheet Centre Wise'!I21/'Check Sheet Centre Wise'!$Q$21</f>
        <v>526999.37317087874</v>
      </c>
      <c r="J39" s="376">
        <f>('Opex  Assumptions'!$V$19*10000)*'Check Sheet Centre Wise'!J21/'Check Sheet Centre Wise'!$Q$21</f>
        <v>526999.37317087874</v>
      </c>
      <c r="K39" s="376">
        <f>('Opex  Assumptions'!$V$19*10000)*'Check Sheet Centre Wise'!K21/'Check Sheet Centre Wise'!$Q$21</f>
        <v>141062.68301650888</v>
      </c>
      <c r="L39" s="376">
        <f>('Opex  Assumptions'!$V$19*10000)*'Check Sheet Centre Wise'!L21/'Check Sheet Centre Wise'!$Q$21</f>
        <v>517299.89644095645</v>
      </c>
      <c r="M39" s="376">
        <f>('Opex  Assumptions'!$V$19*10000)*'Check Sheet Centre Wise'!M21/'Check Sheet Centre Wise'!$Q$21</f>
        <v>343763.33554534271</v>
      </c>
      <c r="N39" s="376">
        <f>('Opex  Assumptions'!$V$19*10000)*'Check Sheet Centre Wise'!N21/'Check Sheet Centre Wise'!$Q$21</f>
        <v>455667.66096347966</v>
      </c>
      <c r="O39" s="376">
        <f>('Opex  Assumptions'!$V$19*10000)*'Check Sheet Centre Wise'!O21/'Check Sheet Centre Wise'!$Q$21</f>
        <v>498347.43133916263</v>
      </c>
      <c r="P39" s="376">
        <f>('Opex  Assumptions'!$V$19*10000)*'Check Sheet Centre Wise'!P21/'Check Sheet Centre Wise'!$Q$21</f>
        <v>702697.21353058424</v>
      </c>
      <c r="Q39" s="376">
        <f t="shared" si="22"/>
        <v>5737472.8563600006</v>
      </c>
      <c r="R39" s="376"/>
      <c r="S39" s="376"/>
    </row>
    <row r="40" spans="1:19">
      <c r="A40" s="956" t="s">
        <v>594</v>
      </c>
      <c r="B40" s="376">
        <f>('Opex  Assumptions'!$V$49*100000)*'Check Sheet Centre Wise'!B21/'Check Sheet Centre Wise'!$Q$21</f>
        <v>1023408.2917122456</v>
      </c>
      <c r="C40" s="376">
        <f>('Opex  Assumptions'!$V$49*100000)*'Check Sheet Centre Wise'!C21/'Check Sheet Centre Wise'!$Q$21</f>
        <v>590785.6956702508</v>
      </c>
      <c r="D40" s="376">
        <f>('Opex  Assumptions'!$V$49*100000)*'Check Sheet Centre Wise'!D21/'Check Sheet Centre Wise'!$Q$21</f>
        <v>700879.61796050752</v>
      </c>
      <c r="E40" s="376">
        <f>('Opex  Assumptions'!$V$49*100000)*'Check Sheet Centre Wise'!E21/'Check Sheet Centre Wise'!$Q$21</f>
        <v>1496346.9719732071</v>
      </c>
      <c r="F40" s="376">
        <f>('Opex  Assumptions'!$V$49*100000)*'Check Sheet Centre Wise'!F21/'Check Sheet Centre Wise'!$Q$21</f>
        <v>1133502.2140025019</v>
      </c>
      <c r="G40" s="376">
        <f>('Opex  Assumptions'!$V$49*100000)*'Check Sheet Centre Wise'!G21/'Check Sheet Centre Wise'!$Q$21</f>
        <v>1486954.2438483643</v>
      </c>
      <c r="H40" s="376">
        <f>('Opex  Assumptions'!$V$49*100000)*'Check Sheet Centre Wise'!H21/'Check Sheet Centre Wise'!$Q$21</f>
        <v>895145.77269004984</v>
      </c>
      <c r="I40" s="376">
        <f>('Opex  Assumptions'!$V$49*100000)*'Check Sheet Centre Wise'!I21/'Check Sheet Centre Wise'!$Q$21</f>
        <v>1907175.7285252453</v>
      </c>
      <c r="J40" s="376">
        <f>('Opex  Assumptions'!$V$49*100000)*'Check Sheet Centre Wise'!J21/'Check Sheet Centre Wise'!$Q$21</f>
        <v>1907175.7285252453</v>
      </c>
      <c r="K40" s="376">
        <f>('Opex  Assumptions'!$V$49*100000)*'Check Sheet Centre Wise'!K21/'Check Sheet Centre Wise'!$Q$21</f>
        <v>510496.48053851305</v>
      </c>
      <c r="L40" s="376">
        <f>('Opex  Assumptions'!$V$49*100000)*'Check Sheet Centre Wise'!L21/'Check Sheet Centre Wise'!$Q$21</f>
        <v>1872073.9664730448</v>
      </c>
      <c r="M40" s="376">
        <f>('Opex  Assumptions'!$V$49*100000)*'Check Sheet Centre Wise'!M21/'Check Sheet Centre Wise'!$Q$21</f>
        <v>1244056.6787854121</v>
      </c>
      <c r="N40" s="376">
        <f>('Opex  Assumptions'!$V$49*100000)*'Check Sheet Centre Wise'!N21/'Check Sheet Centre Wise'!$Q$21</f>
        <v>1649030.999855923</v>
      </c>
      <c r="O40" s="376">
        <f>('Opex  Assumptions'!$V$49*100000)*'Check Sheet Centre Wise'!O21/'Check Sheet Centre Wise'!$Q$21</f>
        <v>1803486.2540809414</v>
      </c>
      <c r="P40" s="376">
        <f>('Opex  Assumptions'!$V$49*100000)*'Check Sheet Centre Wise'!P21/'Check Sheet Centre Wise'!$Q$21</f>
        <v>2543014.5430425489</v>
      </c>
      <c r="Q40" s="376">
        <f t="shared" si="22"/>
        <v>20763533.187684</v>
      </c>
      <c r="R40" s="376"/>
      <c r="S40" s="376"/>
    </row>
    <row r="41" spans="1:19">
      <c r="A41" s="945"/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  <c r="S41" s="376"/>
    </row>
    <row r="42" spans="1:19">
      <c r="A42" s="945"/>
      <c r="B42" s="376"/>
      <c r="C42" s="376"/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6"/>
    </row>
    <row r="43" spans="1:19">
      <c r="A43" s="945"/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6"/>
    </row>
    <row r="44" spans="1:19">
      <c r="A44" s="945"/>
      <c r="B44" s="376"/>
      <c r="C44" s="376"/>
      <c r="D44" s="376"/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76"/>
      <c r="R44" s="376"/>
      <c r="S44" s="376"/>
    </row>
    <row r="45" spans="1:19">
      <c r="A45" s="945"/>
      <c r="B45" s="376"/>
      <c r="C45" s="376"/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6"/>
      <c r="Q45" s="376"/>
      <c r="R45" s="376"/>
      <c r="S45" s="376"/>
    </row>
    <row r="46" spans="1:19">
      <c r="A46" s="951" t="s">
        <v>643</v>
      </c>
      <c r="B46" s="376">
        <f>B21-B29-B38-B39-B40</f>
        <v>18397633.471550766</v>
      </c>
      <c r="C46" s="376">
        <f t="shared" ref="C46:Q46" si="25">C21-C29-C38-C39-C40</f>
        <v>1462803.398460093</v>
      </c>
      <c r="D46" s="376">
        <f t="shared" si="25"/>
        <v>6510053.5618658904</v>
      </c>
      <c r="E46" s="376">
        <f t="shared" si="25"/>
        <v>34282021.908694528</v>
      </c>
      <c r="F46" s="376">
        <f t="shared" si="25"/>
        <v>11849961.922236552</v>
      </c>
      <c r="G46" s="376">
        <f t="shared" si="25"/>
        <v>31630430.92173047</v>
      </c>
      <c r="H46" s="376">
        <f t="shared" si="25"/>
        <v>6122257.8477483392</v>
      </c>
      <c r="I46" s="376">
        <f t="shared" si="25"/>
        <v>49995765.023151897</v>
      </c>
      <c r="J46" s="376">
        <f t="shared" si="25"/>
        <v>49995765.023151897</v>
      </c>
      <c r="K46" s="376">
        <f t="shared" si="25"/>
        <v>3054784.4485479756</v>
      </c>
      <c r="L46" s="376">
        <f t="shared" si="25"/>
        <v>48187750.448678993</v>
      </c>
      <c r="M46" s="376">
        <f t="shared" si="25"/>
        <v>19595106.54417723</v>
      </c>
      <c r="N46" s="376">
        <f t="shared" si="25"/>
        <v>37962357.200023606</v>
      </c>
      <c r="O46" s="376">
        <f t="shared" si="25"/>
        <v>48454682.973427914</v>
      </c>
      <c r="P46" s="376">
        <f t="shared" si="25"/>
        <v>67772790.335384846</v>
      </c>
      <c r="Q46" s="376">
        <f t="shared" si="25"/>
        <v>435274165.02883095</v>
      </c>
      <c r="R46" s="376"/>
      <c r="S46" s="376"/>
    </row>
    <row r="47" spans="1:19">
      <c r="A47" s="945"/>
      <c r="B47" s="376"/>
      <c r="C47" s="376"/>
      <c r="D47" s="376"/>
      <c r="E47" s="376"/>
      <c r="F47" s="376"/>
      <c r="G47" s="376"/>
      <c r="H47" s="376"/>
      <c r="I47" s="376"/>
      <c r="J47" s="376"/>
      <c r="K47" s="376"/>
      <c r="L47" s="376"/>
      <c r="M47" s="376"/>
      <c r="N47" s="376"/>
      <c r="O47" s="376"/>
      <c r="P47" s="376"/>
      <c r="Q47" s="376"/>
      <c r="R47" s="376"/>
      <c r="S47" s="376"/>
    </row>
    <row r="48" spans="1:19">
      <c r="A48" s="945"/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6"/>
    </row>
    <row r="49" spans="1:21">
      <c r="A49" s="945"/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</row>
    <row r="50" spans="1:21">
      <c r="A50" s="945"/>
      <c r="B50" s="376"/>
      <c r="C50" s="376"/>
      <c r="D50" s="376"/>
      <c r="E50" s="376"/>
      <c r="F50" s="376"/>
      <c r="G50" s="376"/>
      <c r="H50" s="376"/>
      <c r="I50" s="376"/>
      <c r="J50" s="376"/>
      <c r="K50" s="376"/>
      <c r="L50" s="376"/>
      <c r="M50" s="376"/>
      <c r="N50" s="376"/>
      <c r="O50" s="376"/>
      <c r="P50" s="376"/>
      <c r="Q50" s="376"/>
      <c r="R50" s="376"/>
      <c r="S50" s="376"/>
    </row>
    <row r="51" spans="1:21">
      <c r="A51" s="945"/>
      <c r="B51" s="376"/>
      <c r="C51" s="376"/>
      <c r="D51" s="376"/>
      <c r="E51" s="376"/>
      <c r="F51" s="376"/>
      <c r="G51" s="376"/>
      <c r="H51" s="376"/>
      <c r="I51" s="376"/>
      <c r="J51" s="376"/>
      <c r="K51" s="376"/>
      <c r="L51" s="376"/>
      <c r="M51" s="376"/>
      <c r="N51" s="376"/>
      <c r="O51" s="376"/>
      <c r="P51" s="376"/>
      <c r="Q51" s="376"/>
      <c r="R51" s="376"/>
      <c r="S51" s="376"/>
    </row>
    <row r="52" spans="1:21" hidden="1">
      <c r="A52" s="945"/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</row>
    <row r="53" spans="1:21" hidden="1">
      <c r="A53" s="945"/>
      <c r="B53" s="376"/>
      <c r="C53" s="376"/>
      <c r="D53" s="376"/>
      <c r="E53" s="376"/>
      <c r="F53" s="376"/>
      <c r="G53" s="376"/>
      <c r="H53" s="376"/>
      <c r="I53" s="376"/>
      <c r="J53" s="376"/>
      <c r="K53" s="376"/>
      <c r="L53" s="376"/>
      <c r="M53" s="376"/>
      <c r="N53" s="376"/>
      <c r="O53" s="376"/>
      <c r="P53" s="376"/>
      <c r="Q53" s="376"/>
      <c r="R53" s="376"/>
      <c r="S53" s="376"/>
    </row>
    <row r="54" spans="1:21" s="948" customFormat="1" hidden="1">
      <c r="B54" s="998" t="s">
        <v>195</v>
      </c>
      <c r="C54" s="998"/>
      <c r="D54" s="998"/>
      <c r="E54" s="998"/>
      <c r="F54" s="998" t="s">
        <v>196</v>
      </c>
      <c r="G54" s="998"/>
      <c r="H54" s="998"/>
      <c r="I54" s="998"/>
      <c r="J54" s="949" t="s">
        <v>198</v>
      </c>
      <c r="K54" s="949" t="s">
        <v>199</v>
      </c>
      <c r="L54" s="949" t="s">
        <v>200</v>
      </c>
      <c r="M54" s="949" t="s">
        <v>201</v>
      </c>
      <c r="N54" s="949" t="s">
        <v>202</v>
      </c>
      <c r="O54" s="949" t="s">
        <v>203</v>
      </c>
      <c r="P54" s="949" t="s">
        <v>204</v>
      </c>
      <c r="Q54" s="949" t="s">
        <v>205</v>
      </c>
      <c r="R54" s="376"/>
      <c r="S54" s="376"/>
    </row>
    <row r="55" spans="1:21" s="948" customFormat="1" hidden="1">
      <c r="B55" s="949" t="s">
        <v>407</v>
      </c>
      <c r="C55" s="949" t="s">
        <v>408</v>
      </c>
      <c r="D55" s="949" t="s">
        <v>409</v>
      </c>
      <c r="E55" s="949" t="s">
        <v>410</v>
      </c>
      <c r="F55" s="949" t="s">
        <v>407</v>
      </c>
      <c r="G55" s="949" t="s">
        <v>408</v>
      </c>
      <c r="H55" s="949" t="s">
        <v>409</v>
      </c>
      <c r="I55" s="949" t="s">
        <v>410</v>
      </c>
      <c r="J55" s="949"/>
      <c r="K55" s="949"/>
      <c r="L55" s="949"/>
      <c r="M55" s="949"/>
      <c r="N55" s="949"/>
      <c r="O55" s="949"/>
      <c r="P55" s="949"/>
      <c r="Q55" s="949"/>
      <c r="R55" s="942" t="s">
        <v>1</v>
      </c>
      <c r="S55" s="376"/>
    </row>
    <row r="56" spans="1:21" hidden="1">
      <c r="A56" t="s">
        <v>624</v>
      </c>
      <c r="B56" s="376">
        <f>'No. of people trained '!F16*'No. of people trained '!F158</f>
        <v>75000</v>
      </c>
      <c r="C56" s="376">
        <f>'No. of people trained '!G16*'No. of people trained '!G158</f>
        <v>75000</v>
      </c>
      <c r="D56" s="376">
        <f>'No. of people trained '!H16*'No. of people trained '!H158</f>
        <v>75000</v>
      </c>
      <c r="E56" s="376">
        <f>'No. of people trained '!I16*'No. of people trained '!I158</f>
        <v>75000</v>
      </c>
      <c r="F56" s="376">
        <f>'No. of people trained '!J16*'No. of people trained '!J158</f>
        <v>82500</v>
      </c>
      <c r="G56" s="376">
        <f>'No. of people trained '!K16*'No. of people trained '!K158</f>
        <v>82500</v>
      </c>
      <c r="H56" s="376">
        <f>'No. of people trained '!L16*'No. of people trained '!L158</f>
        <v>82500</v>
      </c>
      <c r="I56" s="376">
        <f>'No. of people trained '!M16*'No. of people trained '!M158</f>
        <v>82500</v>
      </c>
      <c r="J56" s="376">
        <f>'No. of people trained '!N16*'No. of people trained '!N158</f>
        <v>363000.00000000006</v>
      </c>
      <c r="K56" s="376">
        <f>'No. of people trained '!O16*'No. of people trained '!O158</f>
        <v>665500.00000000012</v>
      </c>
      <c r="L56" s="376">
        <f>'No. of people trained '!P16*'No. of people trained '!P158</f>
        <v>732050.00000000012</v>
      </c>
      <c r="M56" s="376">
        <f>'No. of people trained '!Q16*'No. of people trained '!Q158</f>
        <v>805255</v>
      </c>
      <c r="N56" s="376">
        <f>'No. of people trained '!R16*'No. of people trained '!R158</f>
        <v>885780.5</v>
      </c>
      <c r="O56" s="376">
        <f>'No. of people trained '!S16*'No. of people trained '!S158</f>
        <v>974358.55</v>
      </c>
      <c r="P56" s="376">
        <f>'No. of people trained '!T16*'No. of people trained '!T158</f>
        <v>1071794.4050000003</v>
      </c>
      <c r="Q56" s="376">
        <f>'No. of people trained '!U16*'No. of people trained '!U158</f>
        <v>1178973.8455000001</v>
      </c>
      <c r="R56" s="376">
        <f>SUM(B56:Q56)</f>
        <v>7306712.3004999999</v>
      </c>
      <c r="S56" s="376"/>
      <c r="T56" s="371"/>
      <c r="U56" s="371"/>
    </row>
    <row r="57" spans="1:21" hidden="1">
      <c r="A57" t="s">
        <v>625</v>
      </c>
      <c r="B57" s="376">
        <f>'No. of people trained '!F24*'No. of people trained '!F161</f>
        <v>157500</v>
      </c>
      <c r="C57" s="376">
        <f>'No. of people trained '!G24*'No. of people trained '!G161</f>
        <v>157500</v>
      </c>
      <c r="D57" s="376">
        <f>'No. of people trained '!H24*'No. of people trained '!H161</f>
        <v>157500</v>
      </c>
      <c r="E57" s="376">
        <f>'No. of people trained '!I24*'No. of people trained '!I161</f>
        <v>157500</v>
      </c>
      <c r="F57" s="376">
        <f>'No. of people trained '!J24*'No. of people trained '!J161</f>
        <v>173250.00000000003</v>
      </c>
      <c r="G57" s="376">
        <f>'No. of people trained '!K24*'No. of people trained '!K161</f>
        <v>173250.00000000003</v>
      </c>
      <c r="H57" s="376">
        <f>'No. of people trained '!L24*'No. of people trained '!L161</f>
        <v>173250.00000000003</v>
      </c>
      <c r="I57" s="376">
        <f>'No. of people trained '!M24*'No. of people trained '!M161</f>
        <v>173250.00000000003</v>
      </c>
      <c r="J57" s="376">
        <f>'No. of people trained '!N24*'No. of people trained '!N161</f>
        <v>762300.00000000012</v>
      </c>
      <c r="K57" s="376">
        <f>'No. of people trained '!O24*'No. of people trained '!O161</f>
        <v>1397550.0000000002</v>
      </c>
      <c r="L57" s="376">
        <f>'No. of people trained '!P24*'No. of people trained '!P161</f>
        <v>1537305</v>
      </c>
      <c r="M57" s="376">
        <f>'No. of people trained '!Q24*'No. of people trained '!Q161</f>
        <v>1691035.5000000002</v>
      </c>
      <c r="N57" s="376">
        <f>'No. of people trained '!R24*'No. of people trained '!R161</f>
        <v>1860139.0500000003</v>
      </c>
      <c r="O57" s="376">
        <f>'No. of people trained '!S24*'No. of people trained '!S161</f>
        <v>2046152.9550000001</v>
      </c>
      <c r="P57" s="376">
        <f>'No. of people trained '!T24*'No. of people trained '!T161</f>
        <v>2250768.2505000005</v>
      </c>
      <c r="Q57" s="376">
        <f>'No. of people trained '!U24*'No. of people trained '!U161</f>
        <v>2475845.0755500002</v>
      </c>
      <c r="R57" s="376">
        <f t="shared" ref="R57:R70" si="26">SUM(B57:Q57)</f>
        <v>15344095.831050001</v>
      </c>
      <c r="S57" s="376"/>
    </row>
    <row r="58" spans="1:21" hidden="1">
      <c r="A58" t="s">
        <v>626</v>
      </c>
      <c r="B58" s="376">
        <f>'No. of people trained '!F32*'No. of people trained '!F164</f>
        <v>112500</v>
      </c>
      <c r="C58" s="376">
        <f>'No. of people trained '!G32*'No. of people trained '!G164</f>
        <v>112500</v>
      </c>
      <c r="D58" s="376">
        <f>'No. of people trained '!H32*'No. of people trained '!H164</f>
        <v>112500</v>
      </c>
      <c r="E58" s="376">
        <f>'No. of people trained '!I32*'No. of people trained '!I164</f>
        <v>112500</v>
      </c>
      <c r="F58" s="376">
        <f>'No. of people trained '!J32*'No. of people trained '!J164</f>
        <v>123750</v>
      </c>
      <c r="G58" s="376">
        <f>'No. of people trained '!K32*'No. of people trained '!K164</f>
        <v>123750</v>
      </c>
      <c r="H58" s="376">
        <f>'No. of people trained '!L32*'No. of people trained '!L164</f>
        <v>123750</v>
      </c>
      <c r="I58" s="376">
        <f>'No. of people trained '!M32*'No. of people trained '!M164</f>
        <v>123750</v>
      </c>
      <c r="J58" s="376">
        <f>'No. of people trained '!N32*'No. of people trained '!N164</f>
        <v>544500.00000000012</v>
      </c>
      <c r="K58" s="376">
        <f>'No. of people trained '!O32*'No. of people trained '!O164</f>
        <v>998250.00000000012</v>
      </c>
      <c r="L58" s="376">
        <f>'No. of people trained '!P32*'No. of people trained '!P164</f>
        <v>1098075.0000000002</v>
      </c>
      <c r="M58" s="376">
        <f>'No. of people trained '!Q32*'No. of people trained '!Q164</f>
        <v>1207882.5</v>
      </c>
      <c r="N58" s="376">
        <f>'No. of people trained '!R32*'No. of people trained '!R164</f>
        <v>1328670.75</v>
      </c>
      <c r="O58" s="376">
        <f>'No. of people trained '!S32*'No. of people trained '!S164</f>
        <v>1461537.8250000002</v>
      </c>
      <c r="P58" s="376">
        <f>'No. of people trained '!T32*'No. of people trained '!T164</f>
        <v>1607691.6075000004</v>
      </c>
      <c r="Q58" s="376">
        <f>'No. of people trained '!U32*'No. of people trained '!U164</f>
        <v>1768460.7682500002</v>
      </c>
      <c r="R58" s="376">
        <f t="shared" si="26"/>
        <v>10960068.450750001</v>
      </c>
      <c r="S58" s="376"/>
    </row>
    <row r="59" spans="1:21" hidden="1">
      <c r="A59" t="s">
        <v>627</v>
      </c>
      <c r="B59" s="376">
        <f>'No. of people trained '!F40*'No. of people trained '!F167</f>
        <v>105000</v>
      </c>
      <c r="C59" s="376">
        <f>'No. of people trained '!G40*'No. of people trained '!G167</f>
        <v>105000</v>
      </c>
      <c r="D59" s="376">
        <f>'No. of people trained '!H40*'No. of people trained '!H167</f>
        <v>105000</v>
      </c>
      <c r="E59" s="376">
        <f>'No. of people trained '!I40*'No. of people trained '!I167</f>
        <v>105000</v>
      </c>
      <c r="F59" s="376">
        <f>'No. of people trained '!J40*'No. of people trained '!J167</f>
        <v>115500.00000000001</v>
      </c>
      <c r="G59" s="376">
        <f>'No. of people trained '!K40*'No. of people trained '!K167</f>
        <v>115500.00000000001</v>
      </c>
      <c r="H59" s="376">
        <f>'No. of people trained '!L40*'No. of people trained '!L167</f>
        <v>115500.00000000001</v>
      </c>
      <c r="I59" s="376">
        <f>'No. of people trained '!M40*'No. of people trained '!M167</f>
        <v>115500.00000000001</v>
      </c>
      <c r="J59" s="376">
        <f>'No. of people trained '!N40*'No. of people trained '!N167</f>
        <v>508200.00000000012</v>
      </c>
      <c r="K59" s="376">
        <f>'No. of people trained '!O40*'No. of people trained '!O167</f>
        <v>931700.00000000023</v>
      </c>
      <c r="L59" s="376">
        <f>'No. of people trained '!P40*'No. of people trained '!P167</f>
        <v>1024870.0000000001</v>
      </c>
      <c r="M59" s="376">
        <f>'No. of people trained '!Q40*'No. of people trained '!Q167</f>
        <v>1127357.0000000002</v>
      </c>
      <c r="N59" s="376">
        <f>'No. of people trained '!R40*'No. of people trained '!R167</f>
        <v>1240092.7000000002</v>
      </c>
      <c r="O59" s="376">
        <f>'No. of people trained '!S40*'No. of people trained '!S167</f>
        <v>1364101.97</v>
      </c>
      <c r="P59" s="376">
        <f>'No. of people trained '!T40*'No. of people trained '!T167</f>
        <v>1500512.1670000001</v>
      </c>
      <c r="Q59" s="376">
        <f>'No. of people trained '!U40*'No. of people trained '!U167</f>
        <v>1650563.3837000001</v>
      </c>
      <c r="R59" s="376">
        <f t="shared" si="26"/>
        <v>10229397.220699999</v>
      </c>
      <c r="S59" s="376"/>
    </row>
    <row r="60" spans="1:21" hidden="1">
      <c r="A60" t="s">
        <v>628</v>
      </c>
      <c r="B60" s="376">
        <f>'No. of people trained '!F48*'No. of people trained '!F170</f>
        <v>105000</v>
      </c>
      <c r="C60" s="376">
        <f>'No. of people trained '!G48*'No. of people trained '!G170</f>
        <v>105000</v>
      </c>
      <c r="D60" s="376">
        <f>'No. of people trained '!H48*'No. of people trained '!H170</f>
        <v>105000</v>
      </c>
      <c r="E60" s="376">
        <f>'No. of people trained '!I48*'No. of people trained '!I170</f>
        <v>105000</v>
      </c>
      <c r="F60" s="376">
        <f>'No. of people trained '!J48*'No. of people trained '!J170</f>
        <v>115500.00000000001</v>
      </c>
      <c r="G60" s="376">
        <f>'No. of people trained '!K48*'No. of people trained '!K170</f>
        <v>115500.00000000001</v>
      </c>
      <c r="H60" s="376">
        <f>'No. of people trained '!L48*'No. of people trained '!L170</f>
        <v>115500.00000000001</v>
      </c>
      <c r="I60" s="376">
        <f>'No. of people trained '!M48*'No. of people trained '!M170</f>
        <v>115500.00000000001</v>
      </c>
      <c r="J60" s="376">
        <f>'No. of people trained '!N48*'No. of people trained '!N170</f>
        <v>508200.00000000012</v>
      </c>
      <c r="K60" s="376">
        <f>'No. of people trained '!O48*'No. of people trained '!O170</f>
        <v>931700.00000000023</v>
      </c>
      <c r="L60" s="376">
        <f>'No. of people trained '!P48*'No. of people trained '!P170</f>
        <v>1024870.0000000001</v>
      </c>
      <c r="M60" s="376">
        <f>'No. of people trained '!Q48*'No. of people trained '!Q170</f>
        <v>1127357.0000000002</v>
      </c>
      <c r="N60" s="376">
        <f>'No. of people trained '!R48*'No. of people trained '!R170</f>
        <v>1240092.7000000002</v>
      </c>
      <c r="O60" s="376">
        <f>'No. of people trained '!S48*'No. of people trained '!S170</f>
        <v>1364101.97</v>
      </c>
      <c r="P60" s="376">
        <f>'No. of people trained '!T48*'No. of people trained '!T170</f>
        <v>1500512.1670000001</v>
      </c>
      <c r="Q60" s="376">
        <f>'No. of people trained '!U48*'No. of people trained '!U170</f>
        <v>1650563.3837000001</v>
      </c>
      <c r="R60" s="376">
        <f t="shared" si="26"/>
        <v>10229397.220699999</v>
      </c>
      <c r="S60" s="376"/>
    </row>
    <row r="61" spans="1:21" hidden="1">
      <c r="A61" t="s">
        <v>629</v>
      </c>
      <c r="B61" s="376">
        <f>'No. of people trained '!F56*'No. of people trained '!F173</f>
        <v>180000</v>
      </c>
      <c r="C61" s="376">
        <f>'No. of people trained '!G56*'No. of people trained '!G173</f>
        <v>180000</v>
      </c>
      <c r="D61" s="376">
        <f>'No. of people trained '!H56*'No. of people trained '!H173</f>
        <v>180000</v>
      </c>
      <c r="E61" s="376">
        <f>'No. of people trained '!I56*'No. of people trained '!I173</f>
        <v>180000</v>
      </c>
      <c r="F61" s="376">
        <f>'No. of people trained '!J56*'No. of people trained '!J173</f>
        <v>198000</v>
      </c>
      <c r="G61" s="376">
        <f>'No. of people trained '!K56*'No. of people trained '!K173</f>
        <v>198000</v>
      </c>
      <c r="H61" s="376">
        <f>'No. of people trained '!L56*'No. of people trained '!L173</f>
        <v>198000</v>
      </c>
      <c r="I61" s="376">
        <f>'No. of people trained '!M56*'No. of people trained '!M173</f>
        <v>198000</v>
      </c>
      <c r="J61" s="376">
        <f>'No. of people trained '!N56*'No. of people trained '!N173</f>
        <v>871200.00000000012</v>
      </c>
      <c r="K61" s="376">
        <f>'No. of people trained '!O56*'No. of people trained '!O173</f>
        <v>1597200.0000000002</v>
      </c>
      <c r="L61" s="376">
        <f>'No. of people trained '!P56*'No. of people trained '!P173</f>
        <v>1756920.0000000002</v>
      </c>
      <c r="M61" s="376">
        <f>'No. of people trained '!Q56*'No. of people trained '!Q173</f>
        <v>1932612.0000000002</v>
      </c>
      <c r="N61" s="376">
        <f>'No. of people trained '!R56*'No. of people trained '!R173</f>
        <v>2125873.2000000002</v>
      </c>
      <c r="O61" s="376">
        <f>'No. of people trained '!S56*'No. of people trained '!S173</f>
        <v>2338460.52</v>
      </c>
      <c r="P61" s="376">
        <f>'No. of people trained '!T56*'No. of people trained '!T173</f>
        <v>2572306.5720000002</v>
      </c>
      <c r="Q61" s="376">
        <f>'No. of people trained '!U56*'No. of people trained '!U173</f>
        <v>2829537.2292000004</v>
      </c>
      <c r="R61" s="376">
        <f t="shared" si="26"/>
        <v>17536109.521200001</v>
      </c>
      <c r="S61" s="376"/>
    </row>
    <row r="62" spans="1:21" hidden="1">
      <c r="A62" t="s">
        <v>630</v>
      </c>
      <c r="B62" s="376">
        <f>'No. of people trained '!F64*'No. of people trained '!F176</f>
        <v>112500</v>
      </c>
      <c r="C62" s="376">
        <f>'No. of people trained '!G64*'No. of people trained '!G176</f>
        <v>112500</v>
      </c>
      <c r="D62" s="376">
        <f>'No. of people trained '!H64*'No. of people trained '!H176</f>
        <v>112500</v>
      </c>
      <c r="E62" s="376">
        <f>'No. of people trained '!I64*'No. of people trained '!I176</f>
        <v>112500</v>
      </c>
      <c r="F62" s="376">
        <f>'No. of people trained '!J64*'No. of people trained '!J176</f>
        <v>123750</v>
      </c>
      <c r="G62" s="376">
        <f>'No. of people trained '!K64*'No. of people trained '!K176</f>
        <v>123750</v>
      </c>
      <c r="H62" s="376">
        <f>'No. of people trained '!L64*'No. of people trained '!L176</f>
        <v>123750</v>
      </c>
      <c r="I62" s="376">
        <f>'No. of people trained '!M64*'No. of people trained '!M176</f>
        <v>123750</v>
      </c>
      <c r="J62" s="376">
        <f>'No. of people trained '!N64*'No. of people trained '!N176</f>
        <v>544500.00000000012</v>
      </c>
      <c r="K62" s="376">
        <f>'No. of people trained '!O64*'No. of people trained '!O176</f>
        <v>998250.00000000012</v>
      </c>
      <c r="L62" s="376">
        <f>'No. of people trained '!P64*'No. of people trained '!P176</f>
        <v>1098075.0000000002</v>
      </c>
      <c r="M62" s="376">
        <f>'No. of people trained '!Q64*'No. of people trained '!Q176</f>
        <v>1207882.5</v>
      </c>
      <c r="N62" s="376">
        <f>'No. of people trained '!R64*'No. of people trained '!R176</f>
        <v>1328670.75</v>
      </c>
      <c r="O62" s="376">
        <f>'No. of people trained '!S64*'No. of people trained '!S176</f>
        <v>1461537.8250000002</v>
      </c>
      <c r="P62" s="376">
        <f>'No. of people trained '!T64*'No. of people trained '!T176</f>
        <v>1607691.6075000004</v>
      </c>
      <c r="Q62" s="376">
        <f>'No. of people trained '!U64*'No. of people trained '!U176</f>
        <v>1768460.7682500002</v>
      </c>
      <c r="R62" s="376">
        <f t="shared" si="26"/>
        <v>10960068.450750001</v>
      </c>
      <c r="S62" s="376"/>
    </row>
    <row r="63" spans="1:21" hidden="1">
      <c r="A63" t="s">
        <v>631</v>
      </c>
      <c r="B63" s="376">
        <f>'No. of people trained '!F72*'No. of people trained '!F179</f>
        <v>90000</v>
      </c>
      <c r="C63" s="376">
        <f>'No. of people trained '!G72*'No. of people trained '!G179</f>
        <v>90000</v>
      </c>
      <c r="D63" s="376">
        <f>'No. of people trained '!H72*'No. of people trained '!H179</f>
        <v>90000</v>
      </c>
      <c r="E63" s="376">
        <f>'No. of people trained '!I72*'No. of people trained '!I179</f>
        <v>90000</v>
      </c>
      <c r="F63" s="376">
        <f>'No. of people trained '!J72*'No. of people trained '!J179</f>
        <v>99000</v>
      </c>
      <c r="G63" s="376">
        <f>'No. of people trained '!K72*'No. of people trained '!K179</f>
        <v>99000</v>
      </c>
      <c r="H63" s="376">
        <f>'No. of people trained '!L72*'No. of people trained '!L179</f>
        <v>99000</v>
      </c>
      <c r="I63" s="376">
        <f>'No. of people trained '!M72*'No. of people trained '!M179</f>
        <v>99000</v>
      </c>
      <c r="J63" s="376">
        <f>'No. of people trained '!N72*'No. of people trained '!N179</f>
        <v>435600.00000000006</v>
      </c>
      <c r="K63" s="376">
        <f>'No. of people trained '!O72*'No. of people trained '!O179</f>
        <v>798600.00000000012</v>
      </c>
      <c r="L63" s="376">
        <f>'No. of people trained '!P72*'No. of people trained '!P179</f>
        <v>878460.00000000012</v>
      </c>
      <c r="M63" s="376">
        <f>'No. of people trained '!Q72*'No. of people trained '!Q179</f>
        <v>966306.00000000012</v>
      </c>
      <c r="N63" s="376">
        <f>'No. of people trained '!R72*'No. of people trained '!R179</f>
        <v>1062936.6000000001</v>
      </c>
      <c r="O63" s="376">
        <f>'No. of people trained '!S72*'No. of people trained '!S179</f>
        <v>1169230.26</v>
      </c>
      <c r="P63" s="376">
        <f>'No. of people trained '!T72*'No. of people trained '!T179</f>
        <v>1286153.2860000001</v>
      </c>
      <c r="Q63" s="376">
        <f>'No. of people trained '!U72*'No. of people trained '!U179</f>
        <v>1414768.6146000002</v>
      </c>
      <c r="R63" s="376">
        <f t="shared" si="26"/>
        <v>8768054.7606000006</v>
      </c>
      <c r="S63" s="376"/>
    </row>
    <row r="64" spans="1:21" hidden="1">
      <c r="A64" t="s">
        <v>632</v>
      </c>
      <c r="B64" s="376">
        <f>'No. of people trained '!F80*'No. of people trained '!F182</f>
        <v>90000</v>
      </c>
      <c r="C64" s="376">
        <f>'No. of people trained '!G80*'No. of people trained '!G182</f>
        <v>90000</v>
      </c>
      <c r="D64" s="376">
        <f>'No. of people trained '!H80*'No. of people trained '!H182</f>
        <v>90000</v>
      </c>
      <c r="E64" s="376">
        <f>'No. of people trained '!I80*'No. of people trained '!I182</f>
        <v>90000</v>
      </c>
      <c r="F64" s="376">
        <f>'No. of people trained '!J80*'No. of people trained '!J182</f>
        <v>99000</v>
      </c>
      <c r="G64" s="376">
        <f>'No. of people trained '!K80*'No. of people trained '!K182</f>
        <v>99000</v>
      </c>
      <c r="H64" s="376">
        <f>'No. of people trained '!L80*'No. of people trained '!L182</f>
        <v>99000</v>
      </c>
      <c r="I64" s="376">
        <f>'No. of people trained '!M80*'No. of people trained '!M182</f>
        <v>99000</v>
      </c>
      <c r="J64" s="376">
        <f>'No. of people trained '!N80*'No. of people trained '!N182</f>
        <v>435600.00000000006</v>
      </c>
      <c r="K64" s="376">
        <f>'No. of people trained '!O80*'No. of people trained '!O182</f>
        <v>798600.00000000012</v>
      </c>
      <c r="L64" s="376">
        <f>'No. of people trained '!P80*'No. of people trained '!P182</f>
        <v>878460.00000000012</v>
      </c>
      <c r="M64" s="376">
        <f>'No. of people trained '!Q80*'No. of people trained '!Q182</f>
        <v>966306.00000000012</v>
      </c>
      <c r="N64" s="376">
        <f>'No. of people trained '!R80*'No. of people trained '!R182</f>
        <v>1062936.6000000001</v>
      </c>
      <c r="O64" s="376">
        <f>'No. of people trained '!S80*'No. of people trained '!S182</f>
        <v>1169230.26</v>
      </c>
      <c r="P64" s="376">
        <f>'No. of people trained '!T80*'No. of people trained '!T182</f>
        <v>1286153.2860000001</v>
      </c>
      <c r="Q64" s="376">
        <f>'No. of people trained '!U80*'No. of people trained '!U182</f>
        <v>1414768.6146000002</v>
      </c>
      <c r="R64" s="376">
        <f t="shared" si="26"/>
        <v>8768054.7606000006</v>
      </c>
      <c r="S64" s="376"/>
    </row>
    <row r="65" spans="1:19" hidden="1">
      <c r="A65" t="s">
        <v>633</v>
      </c>
      <c r="B65" s="376">
        <f>'No. of people trained '!F88*'No. of people trained '!F185</f>
        <v>112500</v>
      </c>
      <c r="C65" s="376">
        <f>'No. of people trained '!G88*'No. of people trained '!G185</f>
        <v>112500</v>
      </c>
      <c r="D65" s="376">
        <f>'No. of people trained '!H88*'No. of people trained '!H185</f>
        <v>112500</v>
      </c>
      <c r="E65" s="376">
        <f>'No. of people trained '!I88*'No. of people trained '!I185</f>
        <v>112500</v>
      </c>
      <c r="F65" s="376">
        <f>'No. of people trained '!J88*'No. of people trained '!J185</f>
        <v>123750</v>
      </c>
      <c r="G65" s="376">
        <f>'No. of people trained '!K88*'No. of people trained '!K185</f>
        <v>123750</v>
      </c>
      <c r="H65" s="376">
        <f>'No. of people trained '!L88*'No. of people trained '!L185</f>
        <v>123750</v>
      </c>
      <c r="I65" s="376">
        <f>'No. of people trained '!M88*'No. of people trained '!M185</f>
        <v>123750</v>
      </c>
      <c r="J65" s="376">
        <f>'No. of people trained '!N88*'No. of people trained '!N185</f>
        <v>544500.00000000012</v>
      </c>
      <c r="K65" s="376">
        <f>'No. of people trained '!O88*'No. of people trained '!O185</f>
        <v>998250.00000000012</v>
      </c>
      <c r="L65" s="376">
        <f>'No. of people trained '!P88*'No. of people trained '!P185</f>
        <v>1098075.0000000002</v>
      </c>
      <c r="M65" s="376">
        <f>'No. of people trained '!Q88*'No. of people trained '!Q185</f>
        <v>1207882.5</v>
      </c>
      <c r="N65" s="376">
        <f>'No. of people trained '!R88*'No. of people trained '!R185</f>
        <v>1328670.75</v>
      </c>
      <c r="O65" s="376">
        <f>'No. of people trained '!S88*'No. of people trained '!S185</f>
        <v>1461537.8250000002</v>
      </c>
      <c r="P65" s="376">
        <f>'No. of people trained '!T88*'No. of people trained '!T185</f>
        <v>1607691.6075000004</v>
      </c>
      <c r="Q65" s="376">
        <f>'No. of people trained '!U88*'No. of people trained '!U185</f>
        <v>1768460.7682500002</v>
      </c>
      <c r="R65" s="376">
        <f t="shared" si="26"/>
        <v>10960068.450750001</v>
      </c>
      <c r="S65" s="376"/>
    </row>
    <row r="66" spans="1:19" hidden="1">
      <c r="A66" t="s">
        <v>634</v>
      </c>
      <c r="B66" s="376">
        <f>'No. of people trained '!F96*'No. of people trained '!F188</f>
        <v>112500</v>
      </c>
      <c r="C66" s="376">
        <f>'No. of people trained '!G96*'No. of people trained '!G188</f>
        <v>112500</v>
      </c>
      <c r="D66" s="376">
        <f>'No. of people trained '!H96*'No. of people trained '!H188</f>
        <v>112500</v>
      </c>
      <c r="E66" s="376">
        <f>'No. of people trained '!I96*'No. of people trained '!I188</f>
        <v>112500</v>
      </c>
      <c r="F66" s="376">
        <f>'No. of people trained '!J96*'No. of people trained '!J188</f>
        <v>123750</v>
      </c>
      <c r="G66" s="376">
        <f>'No. of people trained '!K96*'No. of people trained '!K188</f>
        <v>123750</v>
      </c>
      <c r="H66" s="376">
        <f>'No. of people trained '!L96*'No. of people trained '!L188</f>
        <v>123750</v>
      </c>
      <c r="I66" s="376">
        <f>'No. of people trained '!M96*'No. of people trained '!M188</f>
        <v>123750</v>
      </c>
      <c r="J66" s="376">
        <f>'No. of people trained '!N96*'No. of people trained '!N188</f>
        <v>544500.00000000012</v>
      </c>
      <c r="K66" s="376">
        <f>'No. of people trained '!O96*'No. of people trained '!O188</f>
        <v>998250.00000000012</v>
      </c>
      <c r="L66" s="376">
        <f>'No. of people trained '!P96*'No. of people trained '!P188</f>
        <v>1098075.0000000002</v>
      </c>
      <c r="M66" s="376">
        <f>'No. of people trained '!Q96*'No. of people trained '!Q188</f>
        <v>1207882.5</v>
      </c>
      <c r="N66" s="376">
        <f>'No. of people trained '!R96*'No. of people trained '!R188</f>
        <v>1328670.75</v>
      </c>
      <c r="O66" s="376">
        <f>'No. of people trained '!S96*'No. of people trained '!S188</f>
        <v>1461537.8250000002</v>
      </c>
      <c r="P66" s="376">
        <f>'No. of people trained '!T96*'No. of people trained '!T188</f>
        <v>1607691.6075000004</v>
      </c>
      <c r="Q66" s="376">
        <f>'No. of people trained '!U96*'No. of people trained '!U188</f>
        <v>1768460.7682500002</v>
      </c>
      <c r="R66" s="376">
        <f t="shared" si="26"/>
        <v>10960068.450750001</v>
      </c>
      <c r="S66" s="376"/>
    </row>
    <row r="67" spans="1:19" hidden="1">
      <c r="A67" t="s">
        <v>635</v>
      </c>
      <c r="B67" s="376">
        <f>'No. of people trained '!F104*'No. of people trained '!F191</f>
        <v>30000</v>
      </c>
      <c r="C67" s="376">
        <f>'No. of people trained '!G104*'No. of people trained '!G191</f>
        <v>30000</v>
      </c>
      <c r="D67" s="376">
        <f>'No. of people trained '!H104*'No. of people trained '!H191</f>
        <v>30000</v>
      </c>
      <c r="E67" s="376">
        <f>'No. of people trained '!I104*'No. of people trained '!I191</f>
        <v>30000</v>
      </c>
      <c r="F67" s="376">
        <f>'No. of people trained '!J104*'No. of people trained '!J191</f>
        <v>33000.000000000007</v>
      </c>
      <c r="G67" s="376">
        <f>'No. of people trained '!K104*'No. of people trained '!K191</f>
        <v>33000.000000000007</v>
      </c>
      <c r="H67" s="376">
        <f>'No. of people trained '!L104*'No. of people trained '!L191</f>
        <v>33000.000000000007</v>
      </c>
      <c r="I67" s="376">
        <f>'No. of people trained '!M104*'No. of people trained '!M191</f>
        <v>33000.000000000007</v>
      </c>
      <c r="J67" s="376">
        <f>'No. of people trained '!N104*'No. of people trained '!N191</f>
        <v>145200.00000000003</v>
      </c>
      <c r="K67" s="376">
        <f>'No. of people trained '!O104*'No. of people trained '!O191</f>
        <v>266200.00000000006</v>
      </c>
      <c r="L67" s="376">
        <f>'No. of people trained '!P104*'No. of people trained '!P191</f>
        <v>292820.00000000006</v>
      </c>
      <c r="M67" s="376">
        <f>'No. of people trained '!Q104*'No. of people trained '!Q191</f>
        <v>322102.00000000006</v>
      </c>
      <c r="N67" s="376">
        <f>'No. of people trained '!R104*'No. of people trained '!R191</f>
        <v>354312.2</v>
      </c>
      <c r="O67" s="376">
        <f>'No. of people trained '!S104*'No. of people trained '!S191</f>
        <v>389743.42000000004</v>
      </c>
      <c r="P67" s="376">
        <f>'No. of people trained '!T104*'No. of people trained '!T191</f>
        <v>428717.76200000005</v>
      </c>
      <c r="Q67" s="376">
        <f>'No. of people trained '!U104*'No. of people trained '!U191</f>
        <v>471589.53820000007</v>
      </c>
      <c r="R67" s="376">
        <f t="shared" si="26"/>
        <v>2922684.9202000005</v>
      </c>
      <c r="S67" s="376"/>
    </row>
    <row r="68" spans="1:19" hidden="1">
      <c r="A68" t="s">
        <v>636</v>
      </c>
      <c r="B68" s="376">
        <f>'No. of people trained '!F112*'No. of people trained '!F194</f>
        <v>30000</v>
      </c>
      <c r="C68" s="376">
        <f>'No. of people trained '!G112*'No. of people trained '!G194</f>
        <v>30000</v>
      </c>
      <c r="D68" s="376">
        <f>'No. of people trained '!H112*'No. of people trained '!H194</f>
        <v>30000</v>
      </c>
      <c r="E68" s="376">
        <f>'No. of people trained '!I112*'No. of people trained '!I194</f>
        <v>30000</v>
      </c>
      <c r="F68" s="376">
        <f>'No. of people trained '!J112*'No. of people trained '!J194</f>
        <v>33000.000000000007</v>
      </c>
      <c r="G68" s="376">
        <f>'No. of people trained '!K112*'No. of people trained '!K194</f>
        <v>33000.000000000007</v>
      </c>
      <c r="H68" s="376">
        <f>'No. of people trained '!L112*'No. of people trained '!L194</f>
        <v>33000.000000000007</v>
      </c>
      <c r="I68" s="376">
        <f>'No. of people trained '!M112*'No. of people trained '!M194</f>
        <v>33000.000000000007</v>
      </c>
      <c r="J68" s="376">
        <f>'No. of people trained '!N112*'No. of people trained '!N194</f>
        <v>145200.00000000003</v>
      </c>
      <c r="K68" s="376">
        <f>'No. of people trained '!O112*'No. of people trained '!O194</f>
        <v>266200.00000000006</v>
      </c>
      <c r="L68" s="376">
        <f>'No. of people trained '!P112*'No. of people trained '!P194</f>
        <v>292820.00000000006</v>
      </c>
      <c r="M68" s="376">
        <f>'No. of people trained '!Q112*'No. of people trained '!Q194</f>
        <v>322102.00000000006</v>
      </c>
      <c r="N68" s="376">
        <f>'No. of people trained '!R112*'No. of people trained '!R194</f>
        <v>354312.2</v>
      </c>
      <c r="O68" s="376">
        <f>'No. of people trained '!S112*'No. of people trained '!S194</f>
        <v>389743.42000000004</v>
      </c>
      <c r="P68" s="376">
        <f>'No. of people trained '!T112*'No. of people trained '!T194</f>
        <v>428717.76200000005</v>
      </c>
      <c r="Q68" s="376">
        <f>'No. of people trained '!U112*'No. of people trained '!U194</f>
        <v>471589.53820000007</v>
      </c>
      <c r="R68" s="376">
        <f t="shared" si="26"/>
        <v>2922684.9202000005</v>
      </c>
      <c r="S68" s="376"/>
    </row>
    <row r="69" spans="1:19" hidden="1">
      <c r="A69" t="s">
        <v>637</v>
      </c>
      <c r="B69" s="376">
        <f>'No. of people trained '!F120*'No. of people trained '!F197</f>
        <v>30000</v>
      </c>
      <c r="C69" s="376">
        <f>'No. of people trained '!G120*'No. of people trained '!G197</f>
        <v>30000</v>
      </c>
      <c r="D69" s="376">
        <f>'No. of people trained '!H120*'No. of people trained '!H197</f>
        <v>30000</v>
      </c>
      <c r="E69" s="376">
        <f>'No. of people trained '!I120*'No. of people trained '!I197</f>
        <v>30000</v>
      </c>
      <c r="F69" s="376">
        <f>'No. of people trained '!J120*'No. of people trained '!J197</f>
        <v>33000.000000000007</v>
      </c>
      <c r="G69" s="376">
        <f>'No. of people trained '!K120*'No. of people trained '!K197</f>
        <v>33000.000000000007</v>
      </c>
      <c r="H69" s="376">
        <f>'No. of people trained '!L120*'No. of people trained '!L197</f>
        <v>33000.000000000007</v>
      </c>
      <c r="I69" s="376">
        <f>'No. of people trained '!M120*'No. of people trained '!M197</f>
        <v>33000.000000000007</v>
      </c>
      <c r="J69" s="376">
        <f>'No. of people trained '!N120*'No. of people trained '!N197</f>
        <v>145200.00000000003</v>
      </c>
      <c r="K69" s="376">
        <f>'No. of people trained '!O120*'No. of people trained '!O197</f>
        <v>266200.00000000006</v>
      </c>
      <c r="L69" s="376">
        <f>'No. of people trained '!P120*'No. of people trained '!P197</f>
        <v>292820.00000000006</v>
      </c>
      <c r="M69" s="376">
        <f>'No. of people trained '!Q120*'No. of people trained '!Q197</f>
        <v>322102.00000000006</v>
      </c>
      <c r="N69" s="376">
        <f>'No. of people trained '!R120*'No. of people trained '!R197</f>
        <v>354312.2</v>
      </c>
      <c r="O69" s="376">
        <f>'No. of people trained '!S120*'No. of people trained '!S197</f>
        <v>389743.42000000004</v>
      </c>
      <c r="P69" s="376">
        <f>'No. of people trained '!T120*'No. of people trained '!T197</f>
        <v>428717.76200000005</v>
      </c>
      <c r="Q69" s="376">
        <f>'No. of people trained '!U120*'No. of people trained '!U197</f>
        <v>471589.53820000007</v>
      </c>
      <c r="R69" s="376">
        <f t="shared" si="26"/>
        <v>2922684.9202000005</v>
      </c>
      <c r="S69" s="376"/>
    </row>
    <row r="70" spans="1:19" hidden="1">
      <c r="A70" t="s">
        <v>559</v>
      </c>
      <c r="B70" s="376">
        <f>'No. of people trained '!F128*'No. of people trained '!F200</f>
        <v>37500</v>
      </c>
      <c r="C70" s="376">
        <f>'No. of people trained '!G128*'No. of people trained '!G200</f>
        <v>37500</v>
      </c>
      <c r="D70" s="376">
        <f>'No. of people trained '!H128*'No. of people trained '!H200</f>
        <v>37500</v>
      </c>
      <c r="E70" s="376">
        <f>'No. of people trained '!I128*'No. of people trained '!I200</f>
        <v>37500</v>
      </c>
      <c r="F70" s="376">
        <f>'No. of people trained '!J128*'No. of people trained '!J200</f>
        <v>41250</v>
      </c>
      <c r="G70" s="376">
        <f>'No. of people trained '!K128*'No. of people trained '!K200</f>
        <v>41250</v>
      </c>
      <c r="H70" s="376">
        <f>'No. of people trained '!L128*'No. of people trained '!L200</f>
        <v>41250</v>
      </c>
      <c r="I70" s="376">
        <f>'No. of people trained '!M128*'No. of people trained '!M200</f>
        <v>41250</v>
      </c>
      <c r="J70" s="376">
        <f>'No. of people trained '!N128*'No. of people trained '!N200</f>
        <v>181500.00000000003</v>
      </c>
      <c r="K70" s="376">
        <f>'No. of people trained '!O128*'No. of people trained '!O200</f>
        <v>332750.00000000006</v>
      </c>
      <c r="L70" s="376">
        <f>'No. of people trained '!P128*'No. of people trained '!P200</f>
        <v>366025.00000000006</v>
      </c>
      <c r="M70" s="376">
        <f>'No. of people trained '!Q128*'No. of people trained '!Q200</f>
        <v>402627.50000000006</v>
      </c>
      <c r="N70" s="376">
        <f>'No. of people trained '!R128*'No. of people trained '!R200</f>
        <v>442890.25000000006</v>
      </c>
      <c r="O70" s="376">
        <f>'No. of people trained '!S128*'No. of people trained '!S200</f>
        <v>487179.27500000002</v>
      </c>
      <c r="P70" s="376">
        <f>'No. of people trained '!T128*'No. of people trained '!T200</f>
        <v>535897.20250000001</v>
      </c>
      <c r="Q70" s="376">
        <f>'No. of people trained '!U128*'No. of people trained '!U200</f>
        <v>589486.92275000003</v>
      </c>
      <c r="R70" s="376">
        <f t="shared" si="26"/>
        <v>3653356.1502499999</v>
      </c>
      <c r="S70" s="376"/>
    </row>
    <row r="71" spans="1:19" hidden="1">
      <c r="B71" s="376"/>
      <c r="C71" s="376"/>
      <c r="D71" s="376"/>
      <c r="E71" s="376"/>
      <c r="F71" s="376"/>
      <c r="G71" s="376"/>
      <c r="H71" s="376"/>
      <c r="I71" s="376"/>
      <c r="J71" s="376"/>
      <c r="K71" s="376"/>
      <c r="L71" s="376"/>
      <c r="M71" s="376"/>
      <c r="N71" s="376"/>
      <c r="O71" s="376"/>
      <c r="P71" s="376"/>
      <c r="Q71" s="376"/>
      <c r="R71" s="376"/>
      <c r="S71" s="376"/>
    </row>
    <row r="72" spans="1:19" hidden="1">
      <c r="B72" s="376"/>
      <c r="C72" s="376"/>
      <c r="D72" s="376"/>
      <c r="E72" s="376"/>
      <c r="F72" s="376"/>
      <c r="G72" s="376"/>
      <c r="H72" s="376"/>
      <c r="I72" s="376"/>
      <c r="J72" s="376"/>
      <c r="K72" s="376"/>
      <c r="L72" s="376"/>
      <c r="M72" s="376"/>
      <c r="N72" s="376"/>
      <c r="O72" s="376"/>
      <c r="P72" s="376"/>
      <c r="Q72" s="376"/>
      <c r="R72" s="376"/>
      <c r="S72" s="376"/>
    </row>
    <row r="73" spans="1:19" hidden="1">
      <c r="B73" s="376"/>
      <c r="C73" s="376"/>
      <c r="D73" s="376"/>
      <c r="E73" s="376"/>
      <c r="F73" s="376"/>
      <c r="G73" s="376"/>
      <c r="H73" s="376"/>
      <c r="I73" s="376"/>
      <c r="J73" s="376"/>
      <c r="K73" s="376"/>
      <c r="L73" s="376"/>
      <c r="M73" s="376"/>
      <c r="N73" s="376"/>
      <c r="O73" s="376"/>
      <c r="P73" s="376"/>
      <c r="Q73" s="376"/>
      <c r="R73" s="376"/>
      <c r="S73" s="376"/>
    </row>
    <row r="74" spans="1:19" hidden="1">
      <c r="A74" s="945" t="str">
        <f>'Opex  Assumptions'!A25</f>
        <v>Center Mgr</v>
      </c>
      <c r="B74" s="376">
        <f>'Opex  Assumptions'!$E$25*12*'Opex  Assumptions'!F5*100000</f>
        <v>240000.00000000003</v>
      </c>
      <c r="C74" s="376"/>
      <c r="D74" s="376"/>
      <c r="E74" s="376"/>
      <c r="F74" s="376">
        <f>'Opex  Assumptions'!$E$25*12*'Opex  Assumptions'!J5*100000</f>
        <v>264000.00000000006</v>
      </c>
      <c r="G74" s="376"/>
      <c r="H74" s="376"/>
      <c r="I74" s="376"/>
      <c r="J74" s="376">
        <f>'Opex  Assumptions'!$E$25*12*'Opex  Assumptions'!N5*100000</f>
        <v>290400.00000000006</v>
      </c>
      <c r="K74" s="376">
        <f>'Opex  Assumptions'!$E$25*12*'Opex  Assumptions'!O5*100000</f>
        <v>319440.00000000006</v>
      </c>
      <c r="L74" s="376">
        <f>'Opex  Assumptions'!$E$25*12*'Opex  Assumptions'!P5*100000</f>
        <v>351384.00000000012</v>
      </c>
      <c r="M74" s="376">
        <f>'Opex  Assumptions'!$E$25*12*'Opex  Assumptions'!Q5*100000</f>
        <v>386522.40000000008</v>
      </c>
      <c r="N74" s="376">
        <f>'Opex  Assumptions'!$E$25*12*'Opex  Assumptions'!R5*100000</f>
        <v>425174.64000000007</v>
      </c>
      <c r="O74" s="376">
        <f>'Opex  Assumptions'!$E$25*12*'Opex  Assumptions'!S5*100000</f>
        <v>467692.10400000005</v>
      </c>
      <c r="P74" s="376">
        <f>'Opex  Assumptions'!$E$25*12*'Opex  Assumptions'!T5*100000</f>
        <v>514461.31440000009</v>
      </c>
      <c r="Q74" s="376">
        <f>'Opex  Assumptions'!$E$25*12*'Opex  Assumptions'!U5*100000</f>
        <v>565907.44584000006</v>
      </c>
      <c r="R74" s="376">
        <f>SUM(B74:Q74)</f>
        <v>3824981.9042400005</v>
      </c>
      <c r="S74" s="376"/>
    </row>
    <row r="75" spans="1:19" hidden="1">
      <c r="A75" s="945" t="str">
        <f>'Opex  Assumptions'!A26</f>
        <v>Front Office</v>
      </c>
      <c r="B75" s="376">
        <f>'Opex  Assumptions'!$E$26*12*'Opex  Assumptions'!F5*100000</f>
        <v>96000</v>
      </c>
      <c r="C75" s="376"/>
      <c r="D75" s="376"/>
      <c r="E75" s="376"/>
      <c r="F75" s="376">
        <f>'Opex  Assumptions'!$E$26*12*'Opex  Assumptions'!J5*100000</f>
        <v>105600</v>
      </c>
      <c r="G75" s="376"/>
      <c r="H75" s="376"/>
      <c r="I75" s="376"/>
      <c r="J75" s="376">
        <f>'Opex  Assumptions'!$E$26*12*'Opex  Assumptions'!N5*100000</f>
        <v>116160.00000000001</v>
      </c>
      <c r="K75" s="376">
        <f>'Opex  Assumptions'!$E$26*12*'Opex  Assumptions'!O5*100000</f>
        <v>127776.00000000003</v>
      </c>
      <c r="L75" s="376">
        <f>'Opex  Assumptions'!$E$26*12*'Opex  Assumptions'!P5*100000</f>
        <v>140553.60000000001</v>
      </c>
      <c r="M75" s="376">
        <f>'Opex  Assumptions'!$E$26*12*'Opex  Assumptions'!Q5*100000</f>
        <v>154608.95999999999</v>
      </c>
      <c r="N75" s="376">
        <f>'Opex  Assumptions'!$E$26*12*'Opex  Assumptions'!R5*100000</f>
        <v>170069.85600000003</v>
      </c>
      <c r="O75" s="376">
        <f>'Opex  Assumptions'!$E$26*12*'Opex  Assumptions'!S5*100000</f>
        <v>187076.84159999999</v>
      </c>
      <c r="P75" s="376">
        <f>'Opex  Assumptions'!$E$26*12*'Opex  Assumptions'!T5*100000</f>
        <v>205784.52576000005</v>
      </c>
      <c r="Q75" s="376">
        <f>'Opex  Assumptions'!$E$26*12*'Opex  Assumptions'!U5*100000</f>
        <v>226362.978336</v>
      </c>
      <c r="R75" s="376">
        <f t="shared" ref="R75:R77" si="27">SUM(B75:Q75)</f>
        <v>1529992.7616960001</v>
      </c>
      <c r="S75" s="371"/>
    </row>
    <row r="76" spans="1:19" hidden="1">
      <c r="A76" s="945" t="str">
        <f>'Opex  Assumptions'!A27</f>
        <v>Admin &amp; MIS Exec</v>
      </c>
      <c r="B76" s="376">
        <f>'Opex  Assumptions'!$E$27*12*'Opex  Assumptions'!F5*100000</f>
        <v>120000.00000000001</v>
      </c>
      <c r="C76" s="376"/>
      <c r="D76" s="376"/>
      <c r="E76" s="376"/>
      <c r="F76" s="376">
        <f>'Opex  Assumptions'!$E$27*12*'Opex  Assumptions'!J5*100000</f>
        <v>132000.00000000003</v>
      </c>
      <c r="G76" s="376"/>
      <c r="H76" s="376"/>
      <c r="I76" s="376"/>
      <c r="J76" s="376">
        <f>'Opex  Assumptions'!$E$27*12*'Opex  Assumptions'!N5*100000</f>
        <v>145200.00000000003</v>
      </c>
      <c r="K76" s="376">
        <f>'Opex  Assumptions'!$E$27*12*'Opex  Assumptions'!O5*100000</f>
        <v>159720.00000000003</v>
      </c>
      <c r="L76" s="376">
        <f>'Opex  Assumptions'!$E$27*12*'Opex  Assumptions'!P5*100000</f>
        <v>175692.00000000006</v>
      </c>
      <c r="M76" s="376">
        <f>'Opex  Assumptions'!$E$27*12*'Opex  Assumptions'!Q5*100000</f>
        <v>193261.20000000004</v>
      </c>
      <c r="N76" s="376">
        <f>'Opex  Assumptions'!$E$27*12*'Opex  Assumptions'!R5*100000</f>
        <v>212587.32000000004</v>
      </c>
      <c r="O76" s="376">
        <f>'Opex  Assumptions'!$E$27*12*'Opex  Assumptions'!S5*100000</f>
        <v>233846.05200000003</v>
      </c>
      <c r="P76" s="376">
        <f>'Opex  Assumptions'!$E$27*12*'Opex  Assumptions'!T5*100000</f>
        <v>257230.65720000005</v>
      </c>
      <c r="Q76" s="376">
        <f>'Opex  Assumptions'!$E$27*12*'Opex  Assumptions'!U5*100000</f>
        <v>282953.72292000003</v>
      </c>
      <c r="R76" s="376">
        <f t="shared" si="27"/>
        <v>1912490.9521200003</v>
      </c>
      <c r="S76" s="371"/>
    </row>
    <row r="77" spans="1:19" hidden="1">
      <c r="A77" s="945" t="str">
        <f>'Opex  Assumptions'!A28</f>
        <v>Office Assistant</v>
      </c>
      <c r="B77" s="376">
        <f>'Opex  Assumptions'!$E$28*12*'Opex  Assumptions'!F5*100000</f>
        <v>72000</v>
      </c>
      <c r="C77" s="376"/>
      <c r="D77" s="376"/>
      <c r="E77" s="376"/>
      <c r="F77" s="376">
        <f>'Opex  Assumptions'!$E$28*12*'Opex  Assumptions'!J5*100000</f>
        <v>79200</v>
      </c>
      <c r="G77" s="376"/>
      <c r="H77" s="376"/>
      <c r="I77" s="376"/>
      <c r="J77" s="376">
        <f>'Opex  Assumptions'!$E$28*12*'Opex  Assumptions'!N5*100000</f>
        <v>87120.000000000015</v>
      </c>
      <c r="K77" s="376">
        <f>'Opex  Assumptions'!$E$28*12*'Opex  Assumptions'!O5*100000</f>
        <v>95832</v>
      </c>
      <c r="L77" s="376">
        <f>'Opex  Assumptions'!$E$28*12*'Opex  Assumptions'!P5*100000</f>
        <v>105415.20000000003</v>
      </c>
      <c r="M77" s="376">
        <f>'Opex  Assumptions'!$E$28*12*'Opex  Assumptions'!Q5*100000</f>
        <v>115956.72000000002</v>
      </c>
      <c r="N77" s="376">
        <f>'Opex  Assumptions'!$E$28*12*'Opex  Assumptions'!R5*100000</f>
        <v>127552.39200000002</v>
      </c>
      <c r="O77" s="376">
        <f>'Opex  Assumptions'!$E$28*12*'Opex  Assumptions'!S5*100000</f>
        <v>140307.6312</v>
      </c>
      <c r="P77" s="376">
        <f>'Opex  Assumptions'!$E$28*12*'Opex  Assumptions'!T5*100000</f>
        <v>154338.39431999999</v>
      </c>
      <c r="Q77" s="376">
        <f>'Opex  Assumptions'!$E$28*12*'Opex  Assumptions'!U5*100000</f>
        <v>169772.233752</v>
      </c>
      <c r="R77" s="376">
        <f t="shared" si="27"/>
        <v>1147494.571272</v>
      </c>
      <c r="S77" s="371"/>
    </row>
    <row r="78" spans="1:19" hidden="1">
      <c r="A78" s="945" t="str">
        <f>'Opex  Assumptions'!A29</f>
        <v>Trainers</v>
      </c>
      <c r="B78" s="376">
        <f>'Opex  Assumptions'!$E$78*100000*'Opex  Assumptions'!F5*12</f>
        <v>180000</v>
      </c>
      <c r="C78" s="376"/>
      <c r="D78" s="376"/>
      <c r="E78" s="376"/>
      <c r="F78" s="376">
        <f>'Opex  Assumptions'!$E$78*100000*'Opex  Assumptions'!J5*12</f>
        <v>198000</v>
      </c>
      <c r="G78" s="376"/>
      <c r="H78" s="376"/>
      <c r="I78" s="376"/>
      <c r="J78" s="376">
        <f>'Opex  Assumptions'!$E$78*100000*'Opex  Assumptions'!N5*12</f>
        <v>217800.00000000006</v>
      </c>
      <c r="K78" s="376">
        <f>'Opex  Assumptions'!$E$78*100000*'Opex  Assumptions'!O5*12</f>
        <v>239580.00000000006</v>
      </c>
      <c r="L78" s="376">
        <f>'Opex  Assumptions'!$E$78*100000*'Opex  Assumptions'!P5*12</f>
        <v>263538.00000000006</v>
      </c>
      <c r="M78" s="376">
        <f>'Opex  Assumptions'!$E$78*100000*'Opex  Assumptions'!Q5*12</f>
        <v>289891.80000000005</v>
      </c>
      <c r="N78" s="376">
        <f>'Opex  Assumptions'!$E$78*100000*'Opex  Assumptions'!R5*12</f>
        <v>318880.98</v>
      </c>
      <c r="O78" s="376">
        <f>'Opex  Assumptions'!$E$78*100000*'Opex  Assumptions'!S5*12</f>
        <v>350769.07800000004</v>
      </c>
      <c r="P78" s="376">
        <f>'Opex  Assumptions'!$E$78*100000*'Opex  Assumptions'!T5*12</f>
        <v>385845.98580000002</v>
      </c>
      <c r="Q78" s="376">
        <f>'Opex  Assumptions'!$E$78*100000*'Opex  Assumptions'!U5*12</f>
        <v>424430.58438000001</v>
      </c>
      <c r="R78" s="376">
        <f>SUM(B78:Q78)</f>
        <v>2868736.4281799998</v>
      </c>
      <c r="S78" s="371"/>
    </row>
    <row r="79" spans="1:19" hidden="1">
      <c r="A79" s="945" t="str">
        <f>'Opex  Assumptions'!A55</f>
        <v>Rent</v>
      </c>
      <c r="B79" s="376">
        <f>'Opex  Assumptions'!$E$55*100000*'Opex  Assumptions'!F5*12</f>
        <v>360000</v>
      </c>
      <c r="C79" s="376"/>
      <c r="D79" s="376"/>
      <c r="E79" s="376"/>
      <c r="F79" s="376">
        <f>'Opex  Assumptions'!$E$55*100000*'Opex  Assumptions'!J5*12</f>
        <v>396000</v>
      </c>
      <c r="G79" s="376"/>
      <c r="H79" s="376"/>
      <c r="I79" s="376"/>
      <c r="J79" s="376">
        <f>'Opex  Assumptions'!$E$55*100000*'Opex  Assumptions'!N5*12</f>
        <v>435600.00000000012</v>
      </c>
      <c r="K79" s="376">
        <f>'Opex  Assumptions'!$E$55*100000*'Opex  Assumptions'!O5*12</f>
        <v>479160.00000000012</v>
      </c>
      <c r="L79" s="376">
        <f>'Opex  Assumptions'!$E$55*100000*'Opex  Assumptions'!P5*12</f>
        <v>527076.00000000012</v>
      </c>
      <c r="M79" s="376">
        <f>'Opex  Assumptions'!$E$55*100000*'Opex  Assumptions'!Q5*12</f>
        <v>579783.60000000009</v>
      </c>
      <c r="N79" s="376">
        <f>'Opex  Assumptions'!$E$55*100000*'Opex  Assumptions'!R5*12</f>
        <v>637761.96</v>
      </c>
      <c r="O79" s="376">
        <f>'Opex  Assumptions'!$E$55*100000*'Opex  Assumptions'!S5*12</f>
        <v>701538.15600000008</v>
      </c>
      <c r="P79" s="376">
        <f>'Opex  Assumptions'!$E$55*100000*'Opex  Assumptions'!T5*12</f>
        <v>771691.97160000005</v>
      </c>
      <c r="Q79" s="376">
        <f>'Opex  Assumptions'!$E$55*100000*'Opex  Assumptions'!U5*12</f>
        <v>848861.16876000003</v>
      </c>
      <c r="R79" s="376">
        <f t="shared" ref="R79:R83" si="28">SUM(B79:Q79)</f>
        <v>5737472.8563599996</v>
      </c>
      <c r="S79" s="371"/>
    </row>
    <row r="80" spans="1:19" hidden="1">
      <c r="A80" s="945" t="str">
        <f>'Opex  Assumptions'!A56</f>
        <v>Electricity</v>
      </c>
      <c r="B80" s="376">
        <f>'Opex  Assumptions'!$E$56*100000*'Opex  Assumptions'!F5*12</f>
        <v>54000</v>
      </c>
      <c r="C80" s="376"/>
      <c r="D80" s="376"/>
      <c r="E80" s="376"/>
      <c r="F80" s="376">
        <f>'Opex  Assumptions'!$E$56*100000*'Opex  Assumptions'!J5*12</f>
        <v>59400</v>
      </c>
      <c r="G80" s="376"/>
      <c r="H80" s="376"/>
      <c r="I80" s="376"/>
      <c r="J80" s="376">
        <f>'Opex  Assumptions'!$E$56*100000*'Opex  Assumptions'!N5*12</f>
        <v>65340.000000000015</v>
      </c>
      <c r="K80" s="376">
        <f>'Opex  Assumptions'!$E$56*100000*'Opex  Assumptions'!O5*12</f>
        <v>71874.000000000015</v>
      </c>
      <c r="L80" s="376">
        <f>'Opex  Assumptions'!$E$56*100000*'Opex  Assumptions'!P5*12</f>
        <v>79061.400000000009</v>
      </c>
      <c r="M80" s="376">
        <f>'Opex  Assumptions'!$E$56*100000*'Opex  Assumptions'!Q5*12</f>
        <v>86967.540000000008</v>
      </c>
      <c r="N80" s="376">
        <f>'Opex  Assumptions'!$E$56*100000*'Opex  Assumptions'!R5*12</f>
        <v>95664.294000000009</v>
      </c>
      <c r="O80" s="376">
        <f>'Opex  Assumptions'!$E$56*100000*'Opex  Assumptions'!S5*12</f>
        <v>105230.7234</v>
      </c>
      <c r="P80" s="376">
        <f>'Opex  Assumptions'!$E$56*100000*'Opex  Assumptions'!T5*12</f>
        <v>115753.79574000002</v>
      </c>
      <c r="Q80" s="376">
        <f>'Opex  Assumptions'!$E$56*100000*'Opex  Assumptions'!U5*12</f>
        <v>127329.17531399999</v>
      </c>
      <c r="R80" s="376">
        <f t="shared" si="28"/>
        <v>860620.92845400004</v>
      </c>
      <c r="S80" s="371"/>
    </row>
    <row r="81" spans="1:19" hidden="1">
      <c r="A81" s="945" t="str">
        <f>'Opex  Assumptions'!A58</f>
        <v>Telephone &amp; Internet</v>
      </c>
      <c r="B81" s="376">
        <f>'Opex  Assumptions'!$E$58*100000*'Opex  Assumptions'!F5*12</f>
        <v>24000</v>
      </c>
      <c r="C81" s="376"/>
      <c r="D81" s="376"/>
      <c r="E81" s="376"/>
      <c r="F81" s="376">
        <f>'Opex  Assumptions'!$E$58*100000*'Opex  Assumptions'!J5*12</f>
        <v>26400</v>
      </c>
      <c r="G81" s="376"/>
      <c r="H81" s="376"/>
      <c r="I81" s="376"/>
      <c r="J81" s="376">
        <f>'Opex  Assumptions'!$E$58*100000*'Opex  Assumptions'!N5*12</f>
        <v>29040.000000000007</v>
      </c>
      <c r="K81" s="376">
        <f>'Opex  Assumptions'!$E$58*100000*'Opex  Assumptions'!O5*12</f>
        <v>31944.000000000007</v>
      </c>
      <c r="L81" s="376">
        <f>'Opex  Assumptions'!$E$58*100000*'Opex  Assumptions'!P5*12</f>
        <v>35138.400000000001</v>
      </c>
      <c r="M81" s="376">
        <f>'Opex  Assumptions'!$E$58*100000*'Opex  Assumptions'!Q5*12</f>
        <v>38652.240000000005</v>
      </c>
      <c r="N81" s="376">
        <f>'Opex  Assumptions'!$E$58*100000*'Opex  Assumptions'!R5*12</f>
        <v>42517.464000000007</v>
      </c>
      <c r="O81" s="376">
        <f>'Opex  Assumptions'!$E$58*100000*'Opex  Assumptions'!S5*12</f>
        <v>46769.210400000004</v>
      </c>
      <c r="P81" s="376">
        <f>'Opex  Assumptions'!$E$58*100000*'Opex  Assumptions'!T5*12</f>
        <v>51446.131440000005</v>
      </c>
      <c r="Q81" s="376">
        <f>'Opex  Assumptions'!$E$58*100000*'Opex  Assumptions'!U5*12</f>
        <v>56590.744584000007</v>
      </c>
      <c r="R81" s="376">
        <f t="shared" si="28"/>
        <v>382498.19042400009</v>
      </c>
      <c r="S81" s="371"/>
    </row>
    <row r="82" spans="1:19" hidden="1">
      <c r="A82" s="945" t="str">
        <f>'Opex  Assumptions'!A59</f>
        <v>Security</v>
      </c>
      <c r="B82" s="376">
        <f>'Opex  Assumptions'!$E$59*100000*'Opex  Assumptions'!F5*12</f>
        <v>60000</v>
      </c>
      <c r="C82" s="376"/>
      <c r="D82" s="376"/>
      <c r="E82" s="376"/>
      <c r="F82" s="376">
        <f>'Opex  Assumptions'!$E$59*100000*'Opex  Assumptions'!J5*12</f>
        <v>66000</v>
      </c>
      <c r="G82" s="376"/>
      <c r="H82" s="376"/>
      <c r="I82" s="376"/>
      <c r="J82" s="376">
        <f>'Opex  Assumptions'!$E$59*100000*'Opex  Assumptions'!N5*12</f>
        <v>72600.000000000015</v>
      </c>
      <c r="K82" s="376">
        <f>'Opex  Assumptions'!$E$59*100000*'Opex  Assumptions'!O5*12</f>
        <v>79860.000000000015</v>
      </c>
      <c r="L82" s="376">
        <f>'Opex  Assumptions'!$E$59*100000*'Opex  Assumptions'!P5*12</f>
        <v>87846.000000000015</v>
      </c>
      <c r="M82" s="376">
        <f>'Opex  Assumptions'!$E$59*100000*'Opex  Assumptions'!Q5*12</f>
        <v>96630.6</v>
      </c>
      <c r="N82" s="376">
        <f>'Opex  Assumptions'!$E$59*100000*'Opex  Assumptions'!R5*12</f>
        <v>106293.66</v>
      </c>
      <c r="O82" s="376">
        <f>'Opex  Assumptions'!$E$59*100000*'Opex  Assumptions'!S5*12</f>
        <v>116923.02600000001</v>
      </c>
      <c r="P82" s="376">
        <f>'Opex  Assumptions'!$E$59*100000*'Opex  Assumptions'!T5*12</f>
        <v>128615.32860000002</v>
      </c>
      <c r="Q82" s="376">
        <f>'Opex  Assumptions'!$E$59*100000*'Opex  Assumptions'!U5*12</f>
        <v>141476.86146000001</v>
      </c>
      <c r="R82" s="376">
        <f t="shared" si="28"/>
        <v>956245.47606000013</v>
      </c>
      <c r="S82" s="371"/>
    </row>
    <row r="83" spans="1:19" hidden="1">
      <c r="A83" s="945" t="str">
        <f>'Opex  Assumptions'!A60</f>
        <v>Repairs &amp; Maintenance</v>
      </c>
      <c r="B83" s="376">
        <f>'Opex  Assumptions'!$E$60*100000*'Opex  Assumptions'!F5*12</f>
        <v>36000</v>
      </c>
      <c r="C83" s="376"/>
      <c r="D83" s="376"/>
      <c r="E83" s="376"/>
      <c r="F83" s="376">
        <f>'Opex  Assumptions'!$E$60*100000*'Opex  Assumptions'!J5*12</f>
        <v>39600.000000000007</v>
      </c>
      <c r="G83" s="376"/>
      <c r="H83" s="376"/>
      <c r="I83" s="376"/>
      <c r="J83" s="376">
        <f>'Opex  Assumptions'!$E$60*100000*'Opex  Assumptions'!N5*12</f>
        <v>43560.000000000007</v>
      </c>
      <c r="K83" s="376">
        <f>'Opex  Assumptions'!$E$60*100000*'Opex  Assumptions'!O5*12</f>
        <v>47916.000000000007</v>
      </c>
      <c r="L83" s="376">
        <f>'Opex  Assumptions'!$E$60*100000*'Opex  Assumptions'!P5*12</f>
        <v>52707.600000000006</v>
      </c>
      <c r="M83" s="376">
        <f>'Opex  Assumptions'!$E$60*100000*'Opex  Assumptions'!Q5*12</f>
        <v>57978.360000000008</v>
      </c>
      <c r="N83" s="376">
        <f>'Opex  Assumptions'!$E$60*100000*'Opex  Assumptions'!R5*12</f>
        <v>63776.196000000011</v>
      </c>
      <c r="O83" s="376">
        <f>'Opex  Assumptions'!$E$60*100000*'Opex  Assumptions'!S5*12</f>
        <v>70153.815600000002</v>
      </c>
      <c r="P83" s="376">
        <f>'Opex  Assumptions'!$E$60*100000*'Opex  Assumptions'!T5*12</f>
        <v>77169.197160000011</v>
      </c>
      <c r="Q83" s="376">
        <f>'Opex  Assumptions'!$E$60*100000*'Opex  Assumptions'!U5*12</f>
        <v>84886.116876</v>
      </c>
      <c r="R83" s="376">
        <f t="shared" si="28"/>
        <v>573747.28563599999</v>
      </c>
      <c r="S83" s="371"/>
    </row>
    <row r="84" spans="1:19" hidden="1">
      <c r="A84" s="945" t="str">
        <f>'Opex  Assumptions'!A61</f>
        <v>Recruitment Expenses</v>
      </c>
      <c r="B84" s="376"/>
      <c r="C84" s="957">
        <f>'Opex  Assumptions'!D80</f>
        <v>8.3299999999999999E-2</v>
      </c>
    </row>
    <row r="85" spans="1:19" hidden="1">
      <c r="A85" s="945" t="str">
        <f>'Opex  Assumptions'!A62</f>
        <v>Training Cost</v>
      </c>
      <c r="B85" s="164">
        <f>'Opex  Assumptions'!D79*'Opex  Assumptions'!E79</f>
        <v>15000</v>
      </c>
      <c r="C85" s="374">
        <f>B85*110%</f>
        <v>16500</v>
      </c>
      <c r="D85" s="374">
        <f t="shared" ref="D85:E85" si="29">C85*110%</f>
        <v>18150</v>
      </c>
      <c r="E85" s="374">
        <f t="shared" si="29"/>
        <v>19965</v>
      </c>
    </row>
    <row r="86" spans="1:19" hidden="1">
      <c r="A86" s="945"/>
      <c r="B86" s="374">
        <f>'No. of people trained '!$E$137*'No. of people trained '!F133</f>
        <v>100</v>
      </c>
      <c r="C86" s="374">
        <f>'No. of people trained '!$E$137*'No. of people trained '!G133</f>
        <v>100</v>
      </c>
      <c r="D86" s="374">
        <f>'No. of people trained '!$E$137*'No. of people trained '!H133</f>
        <v>100</v>
      </c>
      <c r="E86" s="374">
        <f>'No. of people trained '!$E$137*'No. of people trained '!I133</f>
        <v>100</v>
      </c>
      <c r="F86" s="374">
        <f>'No. of people trained '!$E$137*'No. of people trained '!J133</f>
        <v>110.00000000000001</v>
      </c>
      <c r="G86" s="374">
        <f>'No. of people trained '!$E$137*'No. of people trained '!K133</f>
        <v>110.00000000000001</v>
      </c>
      <c r="H86" s="374">
        <f>'No. of people trained '!$E$137*'No. of people trained '!L133</f>
        <v>110.00000000000001</v>
      </c>
      <c r="I86" s="374">
        <f>'No. of people trained '!$E$137*'No. of people trained '!M133</f>
        <v>110.00000000000001</v>
      </c>
      <c r="J86" s="374">
        <f>'No. of people trained '!$E$137*'No. of people trained '!N133</f>
        <v>121.00000000000001</v>
      </c>
      <c r="K86" s="374">
        <f>'No. of people trained '!$E$137*'No. of people trained '!O133</f>
        <v>133.10000000000002</v>
      </c>
      <c r="L86" s="374">
        <f>'No. of people trained '!$E$137*'No. of people trained '!P133</f>
        <v>146.41000000000003</v>
      </c>
      <c r="M86" s="374">
        <f>'No. of people trained '!$E$137*'No. of people trained '!Q133</f>
        <v>161.05100000000002</v>
      </c>
      <c r="N86" s="374">
        <f>'No. of people trained '!$E$137*'No. of people trained '!R133</f>
        <v>177.15610000000001</v>
      </c>
      <c r="O86" s="374">
        <f>'No. of people trained '!$E$137*'No. of people trained '!S133</f>
        <v>194.87171000000001</v>
      </c>
      <c r="P86" s="374">
        <f>'No. of people trained '!$E$137*'No. of people trained '!T133</f>
        <v>214.35888100000003</v>
      </c>
      <c r="Q86" s="374">
        <f>'No. of people trained '!$E$137*'No. of people trained '!U133</f>
        <v>235.79476910000002</v>
      </c>
    </row>
    <row r="87" spans="1:19" hidden="1">
      <c r="A87" s="945" t="str">
        <f t="shared" ref="A87:A101" si="30">A5</f>
        <v>Hospitality: House Keeping</v>
      </c>
      <c r="B87" s="374">
        <f>B86*'No. of people trained '!F16</f>
        <v>1500</v>
      </c>
      <c r="C87" s="374">
        <f>C86*'No. of people trained '!G16</f>
        <v>1500</v>
      </c>
      <c r="D87" s="374">
        <f>D86*'No. of people trained '!H16</f>
        <v>1500</v>
      </c>
      <c r="E87" s="374">
        <f>E86*'No. of people trained '!I16</f>
        <v>1500</v>
      </c>
      <c r="F87" s="374">
        <f>F86*'No. of people trained '!J16</f>
        <v>1650.0000000000002</v>
      </c>
      <c r="G87" s="374">
        <f>G86*'No. of people trained '!K16</f>
        <v>1650.0000000000002</v>
      </c>
      <c r="H87" s="374">
        <f>H86*'No. of people trained '!L16</f>
        <v>1650.0000000000002</v>
      </c>
      <c r="I87" s="374">
        <f>I86*'No. of people trained '!M16</f>
        <v>1650.0000000000002</v>
      </c>
      <c r="J87" s="374">
        <f>J86*'No. of people trained '!N16</f>
        <v>7260.0000000000009</v>
      </c>
      <c r="K87" s="374">
        <f>K86*'No. of people trained '!O16</f>
        <v>13310.000000000002</v>
      </c>
      <c r="L87" s="374">
        <f>L86*'No. of people trained '!P16</f>
        <v>14641.000000000002</v>
      </c>
      <c r="M87" s="374">
        <f>M86*'No. of people trained '!Q16</f>
        <v>16105.100000000002</v>
      </c>
      <c r="N87" s="374">
        <f>N86*'No. of people trained '!R16</f>
        <v>17715.61</v>
      </c>
      <c r="O87" s="374">
        <f>O86*'No. of people trained '!S16</f>
        <v>19487.171000000002</v>
      </c>
      <c r="P87" s="374">
        <f>P86*'No. of people trained '!T16</f>
        <v>21435.888100000004</v>
      </c>
      <c r="Q87" s="374">
        <f>Q86*'No. of people trained '!U16</f>
        <v>23579.476910000001</v>
      </c>
      <c r="R87" s="376">
        <f t="shared" ref="R87:R101" si="31">SUM(B87:Q87)</f>
        <v>146134.24601</v>
      </c>
    </row>
    <row r="88" spans="1:19" hidden="1">
      <c r="A88" s="945" t="str">
        <f t="shared" si="30"/>
        <v>Hospitality: Front Office</v>
      </c>
      <c r="B88" s="374">
        <f>B86*'No. of people trained '!F24</f>
        <v>2250</v>
      </c>
      <c r="C88" s="374">
        <f>C86*'No. of people trained '!G24</f>
        <v>2250</v>
      </c>
      <c r="D88" s="374">
        <f>D86*'No. of people trained '!H24</f>
        <v>2250</v>
      </c>
      <c r="E88" s="374">
        <f>E86*'No. of people trained '!I24</f>
        <v>2250</v>
      </c>
      <c r="F88" s="374">
        <f>F86*'No. of people trained '!J24</f>
        <v>2475.0000000000005</v>
      </c>
      <c r="G88" s="374">
        <f>G86*'No. of people trained '!K24</f>
        <v>2475.0000000000005</v>
      </c>
      <c r="H88" s="374">
        <f>H86*'No. of people trained '!L24</f>
        <v>2475.0000000000005</v>
      </c>
      <c r="I88" s="374">
        <f>I86*'No. of people trained '!M24</f>
        <v>2475.0000000000005</v>
      </c>
      <c r="J88" s="374">
        <f>J86*'No. of people trained '!N24</f>
        <v>10890.000000000002</v>
      </c>
      <c r="K88" s="374">
        <f>K86*'No. of people trained '!O24</f>
        <v>19965.000000000004</v>
      </c>
      <c r="L88" s="374">
        <f>L86*'No. of people trained '!P24</f>
        <v>21961.500000000004</v>
      </c>
      <c r="M88" s="374">
        <f>M86*'No. of people trained '!Q24</f>
        <v>24157.65</v>
      </c>
      <c r="N88" s="374">
        <f>N86*'No. of people trained '!R24</f>
        <v>26573.415000000001</v>
      </c>
      <c r="O88" s="374">
        <f>O86*'No. of people trained '!S24</f>
        <v>29230.7565</v>
      </c>
      <c r="P88" s="374">
        <f>P86*'No. of people trained '!T24</f>
        <v>32153.832150000002</v>
      </c>
      <c r="Q88" s="374">
        <f>Q86*'No. of people trained '!U24</f>
        <v>35369.215365000004</v>
      </c>
      <c r="R88" s="376">
        <f t="shared" si="31"/>
        <v>219201.369015</v>
      </c>
    </row>
    <row r="89" spans="1:19" hidden="1">
      <c r="A89" s="945" t="str">
        <f t="shared" si="30"/>
        <v>Hospitality: Foods &amp; Beverages</v>
      </c>
      <c r="B89" s="374">
        <f>B86*'No. of people trained '!F32</f>
        <v>2250</v>
      </c>
      <c r="C89" s="374">
        <f>C86*'No. of people trained '!G32</f>
        <v>2250</v>
      </c>
      <c r="D89" s="374">
        <f>D86*'No. of people trained '!H32</f>
        <v>2250</v>
      </c>
      <c r="E89" s="374">
        <f>E86*'No. of people trained '!I32</f>
        <v>2250</v>
      </c>
      <c r="F89" s="374">
        <f>F86*'No. of people trained '!J32</f>
        <v>2475.0000000000005</v>
      </c>
      <c r="G89" s="374">
        <f>G86*'No. of people trained '!K32</f>
        <v>2475.0000000000005</v>
      </c>
      <c r="H89" s="374">
        <f>H86*'No. of people trained '!L32</f>
        <v>2475.0000000000005</v>
      </c>
      <c r="I89" s="374">
        <f>I86*'No. of people trained '!M32</f>
        <v>2475.0000000000005</v>
      </c>
      <c r="J89" s="374">
        <f>J86*'No. of people trained '!N32</f>
        <v>10890.000000000002</v>
      </c>
      <c r="K89" s="374">
        <f>K86*'No. of people trained '!O32</f>
        <v>19965.000000000004</v>
      </c>
      <c r="L89" s="374">
        <f>L86*'No. of people trained '!P32</f>
        <v>21961.500000000004</v>
      </c>
      <c r="M89" s="374">
        <f>M86*'No. of people trained '!Q32</f>
        <v>24157.65</v>
      </c>
      <c r="N89" s="374">
        <f>N86*'No. of people trained '!R32</f>
        <v>26573.415000000001</v>
      </c>
      <c r="O89" s="374">
        <f>O86*'No. of people trained '!S32</f>
        <v>29230.7565</v>
      </c>
      <c r="P89" s="374">
        <f>P86*'No. of people trained '!T32</f>
        <v>32153.832150000002</v>
      </c>
      <c r="Q89" s="374">
        <f>Q86*'No. of people trained '!U32</f>
        <v>35369.215365000004</v>
      </c>
      <c r="R89" s="376">
        <f t="shared" si="31"/>
        <v>219201.369015</v>
      </c>
    </row>
    <row r="90" spans="1:19" hidden="1">
      <c r="A90" s="945" t="str">
        <f t="shared" si="30"/>
        <v>IT/ITES: BPO Voice</v>
      </c>
      <c r="B90" s="374">
        <f>B86*'No. of people trained '!F40</f>
        <v>1500</v>
      </c>
      <c r="C90" s="374">
        <f>C86*'No. of people trained '!G40</f>
        <v>1500</v>
      </c>
      <c r="D90" s="374">
        <f>D86*'No. of people trained '!H40</f>
        <v>1500</v>
      </c>
      <c r="E90" s="374">
        <f>E86*'No. of people trained '!I40</f>
        <v>1500</v>
      </c>
      <c r="F90" s="374">
        <f>F86*'No. of people trained '!J40</f>
        <v>1650.0000000000002</v>
      </c>
      <c r="G90" s="374">
        <f>G86*'No. of people trained '!K40</f>
        <v>1650.0000000000002</v>
      </c>
      <c r="H90" s="374">
        <f>H86*'No. of people trained '!L40</f>
        <v>1650.0000000000002</v>
      </c>
      <c r="I90" s="374">
        <f>I86*'No. of people trained '!M40</f>
        <v>1650.0000000000002</v>
      </c>
      <c r="J90" s="374">
        <f>J86*'No. of people trained '!N40</f>
        <v>7260.0000000000009</v>
      </c>
      <c r="K90" s="374">
        <f>K86*'No. of people trained '!O40</f>
        <v>13310.000000000002</v>
      </c>
      <c r="L90" s="374">
        <f>L86*'No. of people trained '!P40</f>
        <v>14641.000000000002</v>
      </c>
      <c r="M90" s="374">
        <f>M86*'No. of people trained '!Q40</f>
        <v>16105.100000000002</v>
      </c>
      <c r="N90" s="374">
        <f>N86*'No. of people trained '!R40</f>
        <v>17715.61</v>
      </c>
      <c r="O90" s="374">
        <f>O86*'No. of people trained '!S40</f>
        <v>19487.171000000002</v>
      </c>
      <c r="P90" s="374">
        <f>P86*'No. of people trained '!T40</f>
        <v>21435.888100000004</v>
      </c>
      <c r="Q90" s="374">
        <f>Q86*'No. of people trained '!U40</f>
        <v>23579.476910000001</v>
      </c>
      <c r="R90" s="376">
        <f t="shared" si="31"/>
        <v>146134.24601</v>
      </c>
    </row>
    <row r="91" spans="1:19" hidden="1">
      <c r="A91" s="945" t="str">
        <f t="shared" si="30"/>
        <v>IT/ITES: BPO Non Voice</v>
      </c>
      <c r="B91" s="374">
        <f>B86*'No. of people trained '!F48</f>
        <v>1500</v>
      </c>
      <c r="C91" s="374">
        <f>C86*'No. of people trained '!G48</f>
        <v>1500</v>
      </c>
      <c r="D91" s="374">
        <f>D86*'No. of people trained '!H48</f>
        <v>1500</v>
      </c>
      <c r="E91" s="374">
        <f>E86*'No. of people trained '!I48</f>
        <v>1500</v>
      </c>
      <c r="F91" s="374">
        <f>F86*'No. of people trained '!J48</f>
        <v>1650.0000000000002</v>
      </c>
      <c r="G91" s="374">
        <f>G86*'No. of people trained '!K48</f>
        <v>1650.0000000000002</v>
      </c>
      <c r="H91" s="374">
        <f>H86*'No. of people trained '!L48</f>
        <v>1650.0000000000002</v>
      </c>
      <c r="I91" s="374">
        <f>I86*'No. of people trained '!M48</f>
        <v>1650.0000000000002</v>
      </c>
      <c r="J91" s="374">
        <f>J86*'No. of people trained '!N48</f>
        <v>7260.0000000000009</v>
      </c>
      <c r="K91" s="374">
        <f>K86*'No. of people trained '!O48</f>
        <v>13310.000000000002</v>
      </c>
      <c r="L91" s="374">
        <f>L86*'No. of people trained '!P48</f>
        <v>14641.000000000002</v>
      </c>
      <c r="M91" s="374">
        <f>M86*'No. of people trained '!Q48</f>
        <v>16105.100000000002</v>
      </c>
      <c r="N91" s="374">
        <f>N86*'No. of people trained '!R48</f>
        <v>17715.61</v>
      </c>
      <c r="O91" s="374">
        <f>O86*'No. of people trained '!S48</f>
        <v>19487.171000000002</v>
      </c>
      <c r="P91" s="374">
        <f>P86*'No. of people trained '!T48</f>
        <v>21435.888100000004</v>
      </c>
      <c r="Q91" s="374">
        <f>Q86*'No. of people trained '!U48</f>
        <v>23579.476910000001</v>
      </c>
      <c r="R91" s="376">
        <f t="shared" si="31"/>
        <v>146134.24601</v>
      </c>
    </row>
    <row r="92" spans="1:19" hidden="1">
      <c r="A92" s="945" t="str">
        <f t="shared" si="30"/>
        <v>IT/ITES: BPO Hardware &amp; Networking</v>
      </c>
      <c r="B92" s="374">
        <f>B86*'No. of people trained '!F56</f>
        <v>2250</v>
      </c>
      <c r="C92" s="374">
        <f>C86*'No. of people trained '!G56</f>
        <v>2250</v>
      </c>
      <c r="D92" s="374">
        <f>D86*'No. of people trained '!H56</f>
        <v>2250</v>
      </c>
      <c r="E92" s="374">
        <f>E86*'No. of people trained '!I56</f>
        <v>2250</v>
      </c>
      <c r="F92" s="374">
        <f>F86*'No. of people trained '!J56</f>
        <v>2475.0000000000005</v>
      </c>
      <c r="G92" s="374">
        <f>G86*'No. of people trained '!K56</f>
        <v>2475.0000000000005</v>
      </c>
      <c r="H92" s="374">
        <f>H86*'No. of people trained '!L56</f>
        <v>2475.0000000000005</v>
      </c>
      <c r="I92" s="374">
        <f>I86*'No. of people trained '!M56</f>
        <v>2475.0000000000005</v>
      </c>
      <c r="J92" s="374">
        <f>J86*'No. of people trained '!N56</f>
        <v>10890.000000000002</v>
      </c>
      <c r="K92" s="374">
        <f>K86*'No. of people trained '!O56</f>
        <v>19965.000000000004</v>
      </c>
      <c r="L92" s="374">
        <f>L86*'No. of people trained '!P56</f>
        <v>21961.500000000004</v>
      </c>
      <c r="M92" s="374">
        <f>M86*'No. of people trained '!Q56</f>
        <v>24157.65</v>
      </c>
      <c r="N92" s="374">
        <f>N86*'No. of people trained '!R56</f>
        <v>26573.415000000001</v>
      </c>
      <c r="O92" s="374">
        <f>O86*'No. of people trained '!S56</f>
        <v>29230.7565</v>
      </c>
      <c r="P92" s="374">
        <f>P86*'No. of people trained '!T56</f>
        <v>32153.832150000002</v>
      </c>
      <c r="Q92" s="374">
        <f>Q86*'No. of people trained '!U56</f>
        <v>35369.215365000004</v>
      </c>
      <c r="R92" s="376">
        <f t="shared" si="31"/>
        <v>219201.369015</v>
      </c>
    </row>
    <row r="93" spans="1:19" hidden="1">
      <c r="A93" s="945" t="str">
        <f t="shared" si="30"/>
        <v>Health Care: General Duty Attendant</v>
      </c>
      <c r="B93" s="374">
        <f>B86*'No. of people trained '!F64</f>
        <v>2250</v>
      </c>
      <c r="C93" s="374">
        <f>C86*'No. of people trained '!G64</f>
        <v>2250</v>
      </c>
      <c r="D93" s="374">
        <f>D86*'No. of people trained '!H64</f>
        <v>2250</v>
      </c>
      <c r="E93" s="374">
        <f>E86*'No. of people trained '!I64</f>
        <v>2250</v>
      </c>
      <c r="F93" s="374">
        <f>F86*'No. of people trained '!J64</f>
        <v>2475.0000000000005</v>
      </c>
      <c r="G93" s="374">
        <f>G86*'No. of people trained '!K64</f>
        <v>2475.0000000000005</v>
      </c>
      <c r="H93" s="374">
        <f>H86*'No. of people trained '!L64</f>
        <v>2475.0000000000005</v>
      </c>
      <c r="I93" s="374">
        <f>I86*'No. of people trained '!M64</f>
        <v>2475.0000000000005</v>
      </c>
      <c r="J93" s="374">
        <f>J86*'No. of people trained '!N64</f>
        <v>10890.000000000002</v>
      </c>
      <c r="K93" s="374">
        <f>K86*'No. of people trained '!O64</f>
        <v>19965.000000000004</v>
      </c>
      <c r="L93" s="374">
        <f>L86*'No. of people trained '!P64</f>
        <v>21961.500000000004</v>
      </c>
      <c r="M93" s="374">
        <f>M86*'No. of people trained '!Q64</f>
        <v>24157.65</v>
      </c>
      <c r="N93" s="374">
        <f>N86*'No. of people trained '!R64</f>
        <v>26573.415000000001</v>
      </c>
      <c r="O93" s="374">
        <f>O86*'No. of people trained '!S64</f>
        <v>29230.7565</v>
      </c>
      <c r="P93" s="374">
        <f>P86*'No. of people trained '!T64</f>
        <v>32153.832150000002</v>
      </c>
      <c r="Q93" s="374">
        <f>Q86*'No. of people trained '!U64</f>
        <v>35369.215365000004</v>
      </c>
      <c r="R93" s="376">
        <f t="shared" si="31"/>
        <v>219201.369015</v>
      </c>
    </row>
    <row r="94" spans="1:19" hidden="1">
      <c r="A94" s="945" t="str">
        <f t="shared" si="30"/>
        <v>Health Care: Asha (Health Workers)</v>
      </c>
      <c r="B94" s="374">
        <f>B86*'No. of people trained '!F72</f>
        <v>2250</v>
      </c>
      <c r="C94" s="374">
        <f>C86*'No. of people trained '!G72</f>
        <v>2250</v>
      </c>
      <c r="D94" s="374">
        <f>D86*'No. of people trained '!H72</f>
        <v>2250</v>
      </c>
      <c r="E94" s="374">
        <f>E86*'No. of people trained '!I72</f>
        <v>2250</v>
      </c>
      <c r="F94" s="374">
        <f>F86*'No. of people trained '!J72</f>
        <v>2475.0000000000005</v>
      </c>
      <c r="G94" s="374">
        <f>G86*'No. of people trained '!K72</f>
        <v>2475.0000000000005</v>
      </c>
      <c r="H94" s="374">
        <f>H86*'No. of people trained '!L72</f>
        <v>2475.0000000000005</v>
      </c>
      <c r="I94" s="374">
        <f>I86*'No. of people trained '!M72</f>
        <v>2475.0000000000005</v>
      </c>
      <c r="J94" s="374">
        <f>J86*'No. of people trained '!N72</f>
        <v>10890.000000000002</v>
      </c>
      <c r="K94" s="374">
        <f>K86*'No. of people trained '!O72</f>
        <v>19965.000000000004</v>
      </c>
      <c r="L94" s="374">
        <f>L86*'No. of people trained '!P72</f>
        <v>21961.500000000004</v>
      </c>
      <c r="M94" s="374">
        <f>M86*'No. of people trained '!Q72</f>
        <v>24157.65</v>
      </c>
      <c r="N94" s="374">
        <f>N86*'No. of people trained '!R72</f>
        <v>26573.415000000001</v>
      </c>
      <c r="O94" s="374">
        <f>O86*'No. of people trained '!S72</f>
        <v>29230.7565</v>
      </c>
      <c r="P94" s="374">
        <f>P86*'No. of people trained '!T72</f>
        <v>32153.832150000002</v>
      </c>
      <c r="Q94" s="374">
        <f>Q86*'No. of people trained '!U72</f>
        <v>35369.215365000004</v>
      </c>
      <c r="R94" s="376">
        <f t="shared" si="31"/>
        <v>219201.369015</v>
      </c>
    </row>
    <row r="95" spans="1:19" hidden="1">
      <c r="A95" s="945" t="str">
        <f t="shared" si="30"/>
        <v>Health Care: Home Health Aide</v>
      </c>
      <c r="B95" s="374">
        <f>B86*'No. of people trained '!F80</f>
        <v>2250</v>
      </c>
      <c r="C95" s="374">
        <f>C86*'No. of people trained '!G80</f>
        <v>2250</v>
      </c>
      <c r="D95" s="374">
        <f>D86*'No. of people trained '!H80</f>
        <v>2250</v>
      </c>
      <c r="E95" s="374">
        <f>E86*'No. of people trained '!I80</f>
        <v>2250</v>
      </c>
      <c r="F95" s="374">
        <f>F86*'No. of people trained '!J80</f>
        <v>2475.0000000000005</v>
      </c>
      <c r="G95" s="374">
        <f>G86*'No. of people trained '!K80</f>
        <v>2475.0000000000005</v>
      </c>
      <c r="H95" s="374">
        <f>H86*'No. of people trained '!L80</f>
        <v>2475.0000000000005</v>
      </c>
      <c r="I95" s="374">
        <f>I86*'No. of people trained '!M80</f>
        <v>2475.0000000000005</v>
      </c>
      <c r="J95" s="374">
        <f>J86*'No. of people trained '!N80</f>
        <v>10890.000000000002</v>
      </c>
      <c r="K95" s="374">
        <f>K86*'No. of people trained '!O80</f>
        <v>19965.000000000004</v>
      </c>
      <c r="L95" s="374">
        <f>L86*'No. of people trained '!P80</f>
        <v>21961.500000000004</v>
      </c>
      <c r="M95" s="374">
        <f>M86*'No. of people trained '!Q80</f>
        <v>24157.65</v>
      </c>
      <c r="N95" s="374">
        <f>N86*'No. of people trained '!R80</f>
        <v>26573.415000000001</v>
      </c>
      <c r="O95" s="374">
        <f>O86*'No. of people trained '!S80</f>
        <v>29230.7565</v>
      </c>
      <c r="P95" s="374">
        <f>P86*'No. of people trained '!T80</f>
        <v>32153.832150000002</v>
      </c>
      <c r="Q95" s="374">
        <f>Q86*'No. of people trained '!U80</f>
        <v>35369.215365000004</v>
      </c>
      <c r="R95" s="376">
        <f t="shared" si="31"/>
        <v>219201.369015</v>
      </c>
    </row>
    <row r="96" spans="1:19" hidden="1">
      <c r="A96" s="945" t="str">
        <f t="shared" si="30"/>
        <v>Retail: Cashier</v>
      </c>
      <c r="B96" s="374">
        <f>B86*'No. of people trained '!F88</f>
        <v>2250</v>
      </c>
      <c r="C96" s="374">
        <f>C86*'No. of people trained '!G88</f>
        <v>2250</v>
      </c>
      <c r="D96" s="374">
        <f>D86*'No. of people trained '!H88</f>
        <v>2250</v>
      </c>
      <c r="E96" s="374">
        <f>E86*'No. of people trained '!I88</f>
        <v>2250</v>
      </c>
      <c r="F96" s="374">
        <f>F86*'No. of people trained '!J88</f>
        <v>2475.0000000000005</v>
      </c>
      <c r="G96" s="374">
        <f>G86*'No. of people trained '!K88</f>
        <v>2475.0000000000005</v>
      </c>
      <c r="H96" s="374">
        <f>H86*'No. of people trained '!L88</f>
        <v>2475.0000000000005</v>
      </c>
      <c r="I96" s="374">
        <f>I86*'No. of people trained '!M88</f>
        <v>2475.0000000000005</v>
      </c>
      <c r="J96" s="374">
        <f>J86*'No. of people trained '!N88</f>
        <v>10890.000000000002</v>
      </c>
      <c r="K96" s="374">
        <f>K86*'No. of people trained '!O88</f>
        <v>19965.000000000004</v>
      </c>
      <c r="L96" s="374">
        <f>L86*'No. of people trained '!P88</f>
        <v>21961.500000000004</v>
      </c>
      <c r="M96" s="374">
        <f>M86*'No. of people trained '!Q88</f>
        <v>24157.65</v>
      </c>
      <c r="N96" s="374">
        <f>N86*'No. of people trained '!R88</f>
        <v>26573.415000000001</v>
      </c>
      <c r="O96" s="374">
        <f>O86*'No. of people trained '!S88</f>
        <v>29230.7565</v>
      </c>
      <c r="P96" s="374">
        <f>P86*'No. of people trained '!T88</f>
        <v>32153.832150000002</v>
      </c>
      <c r="Q96" s="374">
        <f>Q86*'No. of people trained '!U88</f>
        <v>35369.215365000004</v>
      </c>
      <c r="R96" s="376">
        <f t="shared" si="31"/>
        <v>219201.369015</v>
      </c>
    </row>
    <row r="97" spans="1:18" hidden="1">
      <c r="A97" s="945" t="str">
        <f t="shared" si="30"/>
        <v>Retail: Assistant</v>
      </c>
      <c r="B97" s="374">
        <f>B86*'No. of people trained '!F96</f>
        <v>2250</v>
      </c>
      <c r="C97" s="374">
        <f>C86*'No. of people trained '!G96</f>
        <v>2250</v>
      </c>
      <c r="D97" s="374">
        <f>D86*'No. of people trained '!H96</f>
        <v>2250</v>
      </c>
      <c r="E97" s="374">
        <f>E86*'No. of people trained '!I96</f>
        <v>2250</v>
      </c>
      <c r="F97" s="374">
        <f>F86*'No. of people trained '!J96</f>
        <v>2475.0000000000005</v>
      </c>
      <c r="G97" s="374">
        <f>G86*'No. of people trained '!K96</f>
        <v>2475.0000000000005</v>
      </c>
      <c r="H97" s="374">
        <f>H86*'No. of people trained '!L96</f>
        <v>2475.0000000000005</v>
      </c>
      <c r="I97" s="374">
        <f>I86*'No. of people trained '!M96</f>
        <v>2475.0000000000005</v>
      </c>
      <c r="J97" s="374">
        <f>J86*'No. of people trained '!N96</f>
        <v>10890.000000000002</v>
      </c>
      <c r="K97" s="374">
        <f>K86*'No. of people trained '!O96</f>
        <v>19965.000000000004</v>
      </c>
      <c r="L97" s="374">
        <f>L86*'No. of people trained '!P96</f>
        <v>21961.500000000004</v>
      </c>
      <c r="M97" s="374">
        <f>M86*'No. of people trained '!Q96</f>
        <v>24157.65</v>
      </c>
      <c r="N97" s="374">
        <f>N86*'No. of people trained '!R96</f>
        <v>26573.415000000001</v>
      </c>
      <c r="O97" s="374">
        <f>O86*'No. of people trained '!S96</f>
        <v>29230.7565</v>
      </c>
      <c r="P97" s="374">
        <f>P86*'No. of people trained '!T96</f>
        <v>32153.832150000002</v>
      </c>
      <c r="Q97" s="374">
        <f>Q86*'No. of people trained '!U96</f>
        <v>35369.215365000004</v>
      </c>
      <c r="R97" s="376">
        <f t="shared" si="31"/>
        <v>219201.369015</v>
      </c>
    </row>
    <row r="98" spans="1:18" hidden="1">
      <c r="A98" s="945" t="str">
        <f t="shared" si="30"/>
        <v>Agriculture: Apiculture</v>
      </c>
      <c r="B98" s="374">
        <f>B86*'No. of people trained '!F104</f>
        <v>3750</v>
      </c>
      <c r="C98" s="374">
        <f>C86*'No. of people trained '!G104</f>
        <v>3750</v>
      </c>
      <c r="D98" s="374">
        <f>D86*'No. of people trained '!H104</f>
        <v>3750</v>
      </c>
      <c r="E98" s="374">
        <f>E86*'No. of people trained '!I104</f>
        <v>3750</v>
      </c>
      <c r="F98" s="374">
        <f>F86*'No. of people trained '!J104</f>
        <v>4125.0000000000009</v>
      </c>
      <c r="G98" s="374">
        <f>G86*'No. of people trained '!K104</f>
        <v>4125.0000000000009</v>
      </c>
      <c r="H98" s="374">
        <f>H86*'No. of people trained '!L104</f>
        <v>4125.0000000000009</v>
      </c>
      <c r="I98" s="374">
        <f>I86*'No. of people trained '!M104</f>
        <v>4125.0000000000009</v>
      </c>
      <c r="J98" s="374">
        <f>J86*'No. of people trained '!N104</f>
        <v>18150.000000000004</v>
      </c>
      <c r="K98" s="374">
        <f>K86*'No. of people trained '!O104</f>
        <v>33275.000000000007</v>
      </c>
      <c r="L98" s="374">
        <f>L86*'No. of people trained '!P104</f>
        <v>36602.500000000007</v>
      </c>
      <c r="M98" s="374">
        <f>M86*'No. of people trained '!Q104</f>
        <v>40262.750000000007</v>
      </c>
      <c r="N98" s="374">
        <f>N86*'No. of people trained '!R104</f>
        <v>44289.025000000001</v>
      </c>
      <c r="O98" s="374">
        <f>O86*'No. of people trained '!S104</f>
        <v>48717.927500000005</v>
      </c>
      <c r="P98" s="374">
        <f>P86*'No. of people trained '!T104</f>
        <v>53589.720250000006</v>
      </c>
      <c r="Q98" s="374">
        <f>Q86*'No. of people trained '!U104</f>
        <v>58948.692275000009</v>
      </c>
      <c r="R98" s="376">
        <f t="shared" si="31"/>
        <v>365335.61502500006</v>
      </c>
    </row>
    <row r="99" spans="1:18" hidden="1">
      <c r="A99" s="945" t="str">
        <f t="shared" si="30"/>
        <v>Agriculture: Mushroom Farming</v>
      </c>
      <c r="B99" s="374">
        <f>B86*'No. of people trained '!F112</f>
        <v>3750</v>
      </c>
      <c r="C99" s="374">
        <f>C86*'No. of people trained '!G112</f>
        <v>3750</v>
      </c>
      <c r="D99" s="374">
        <f>D86*'No. of people trained '!H112</f>
        <v>3750</v>
      </c>
      <c r="E99" s="374">
        <f>E86*'No. of people trained '!I112</f>
        <v>3750</v>
      </c>
      <c r="F99" s="374">
        <f>F86*'No. of people trained '!J112</f>
        <v>4125.0000000000009</v>
      </c>
      <c r="G99" s="374">
        <f>G86*'No. of people trained '!K112</f>
        <v>4125.0000000000009</v>
      </c>
      <c r="H99" s="374">
        <f>H86*'No. of people trained '!L112</f>
        <v>4125.0000000000009</v>
      </c>
      <c r="I99" s="374">
        <f>I86*'No. of people trained '!M112</f>
        <v>4125.0000000000009</v>
      </c>
      <c r="J99" s="374">
        <f>J86*'No. of people trained '!N112</f>
        <v>18150.000000000004</v>
      </c>
      <c r="K99" s="374">
        <f>K86*'No. of people trained '!O112</f>
        <v>33275.000000000007</v>
      </c>
      <c r="L99" s="374">
        <f>L86*'No. of people trained '!P112</f>
        <v>36602.500000000007</v>
      </c>
      <c r="M99" s="374">
        <f>M86*'No. of people trained '!Q112</f>
        <v>40262.750000000007</v>
      </c>
      <c r="N99" s="374">
        <f>N86*'No. of people trained '!R112</f>
        <v>44289.025000000001</v>
      </c>
      <c r="O99" s="374">
        <f>O86*'No. of people trained '!S112</f>
        <v>48717.927500000005</v>
      </c>
      <c r="P99" s="374">
        <f>P86*'No. of people trained '!T112</f>
        <v>53589.720250000006</v>
      </c>
      <c r="Q99" s="374">
        <f>Q86*'No. of people trained '!U112</f>
        <v>58948.692275000009</v>
      </c>
      <c r="R99" s="376">
        <f t="shared" si="31"/>
        <v>365335.61502500006</v>
      </c>
    </row>
    <row r="100" spans="1:18" hidden="1">
      <c r="A100" s="945" t="str">
        <f t="shared" si="30"/>
        <v>Agriculture: Floriculture</v>
      </c>
      <c r="B100" s="374">
        <f>B86*'No. of people trained '!F120</f>
        <v>3750</v>
      </c>
      <c r="C100" s="374">
        <f>C86*'No. of people trained '!G120</f>
        <v>3750</v>
      </c>
      <c r="D100" s="374">
        <f>D86*'No. of people trained '!H120</f>
        <v>3750</v>
      </c>
      <c r="E100" s="374">
        <f>E86*'No. of people trained '!I120</f>
        <v>3750</v>
      </c>
      <c r="F100" s="374">
        <f>F86*'No. of people trained '!J120</f>
        <v>4125.0000000000009</v>
      </c>
      <c r="G100" s="374">
        <f>G86*'No. of people trained '!K120</f>
        <v>4125.0000000000009</v>
      </c>
      <c r="H100" s="374">
        <f>H86*'No. of people trained '!L120</f>
        <v>4125.0000000000009</v>
      </c>
      <c r="I100" s="374">
        <f>I86*'No. of people trained '!M120</f>
        <v>4125.0000000000009</v>
      </c>
      <c r="J100" s="374">
        <f>J86*'No. of people trained '!N120</f>
        <v>18150.000000000004</v>
      </c>
      <c r="K100" s="374">
        <f>K86*'No. of people trained '!O120</f>
        <v>33275.000000000007</v>
      </c>
      <c r="L100" s="374">
        <f>L86*'No. of people trained '!P120</f>
        <v>36602.500000000007</v>
      </c>
      <c r="M100" s="374">
        <f>M86*'No. of people trained '!Q120</f>
        <v>40262.750000000007</v>
      </c>
      <c r="N100" s="374">
        <f>N86*'No. of people trained '!R120</f>
        <v>44289.025000000001</v>
      </c>
      <c r="O100" s="374">
        <f>O86*'No. of people trained '!S120</f>
        <v>48717.927500000005</v>
      </c>
      <c r="P100" s="374">
        <f>P86*'No. of people trained '!T120</f>
        <v>53589.720250000006</v>
      </c>
      <c r="Q100" s="374">
        <f>Q86*'No. of people trained '!U120</f>
        <v>58948.692275000009</v>
      </c>
      <c r="R100" s="376">
        <f t="shared" si="31"/>
        <v>365335.61502500006</v>
      </c>
    </row>
    <row r="101" spans="1:18" hidden="1">
      <c r="A101" s="945" t="str">
        <f t="shared" si="30"/>
        <v>Food Processing</v>
      </c>
      <c r="B101" s="374">
        <f>B86*'No. of people trained '!F128</f>
        <v>3750</v>
      </c>
      <c r="C101" s="374">
        <f>C86*'No. of people trained '!G128</f>
        <v>3750</v>
      </c>
      <c r="D101" s="374">
        <f>D86*'No. of people trained '!H128</f>
        <v>3750</v>
      </c>
      <c r="E101" s="374">
        <f>E86*'No. of people trained '!I128</f>
        <v>3750</v>
      </c>
      <c r="F101" s="374">
        <f>F86*'No. of people trained '!J128</f>
        <v>4125.0000000000009</v>
      </c>
      <c r="G101" s="374">
        <f>G86*'No. of people trained '!K128</f>
        <v>4125.0000000000009</v>
      </c>
      <c r="H101" s="374">
        <f>H86*'No. of people trained '!L128</f>
        <v>4125.0000000000009</v>
      </c>
      <c r="I101" s="374">
        <f>I86*'No. of people trained '!M128</f>
        <v>4125.0000000000009</v>
      </c>
      <c r="J101" s="374">
        <f>J86*'No. of people trained '!N128</f>
        <v>18150.000000000004</v>
      </c>
      <c r="K101" s="374">
        <f>K86*'No. of people trained '!O128</f>
        <v>33275.000000000007</v>
      </c>
      <c r="L101" s="374">
        <f>L86*'No. of people trained '!P128</f>
        <v>36602.500000000007</v>
      </c>
      <c r="M101" s="374">
        <f>M86*'No. of people trained '!Q128</f>
        <v>40262.750000000007</v>
      </c>
      <c r="N101" s="374">
        <f>N86*'No. of people trained '!R128</f>
        <v>44289.025000000001</v>
      </c>
      <c r="O101" s="374">
        <f>O86*'No. of people trained '!S128</f>
        <v>48717.927500000005</v>
      </c>
      <c r="P101" s="374">
        <f>P86*'No. of people trained '!T128</f>
        <v>53589.720250000006</v>
      </c>
      <c r="Q101" s="374">
        <f>Q86*'No. of people trained '!U128</f>
        <v>58948.692275000009</v>
      </c>
      <c r="R101" s="376">
        <f t="shared" si="31"/>
        <v>365335.61502500006</v>
      </c>
    </row>
    <row r="102" spans="1:18" hidden="1">
      <c r="A102" s="945" t="s">
        <v>545</v>
      </c>
      <c r="B102" s="374">
        <f>SUM(B85:B101)</f>
        <v>52600</v>
      </c>
      <c r="C102" s="374">
        <f t="shared" ref="C102:R102" si="32">SUM(C85:C101)</f>
        <v>54100</v>
      </c>
      <c r="D102" s="374">
        <f t="shared" si="32"/>
        <v>55750</v>
      </c>
      <c r="E102" s="374">
        <f t="shared" si="32"/>
        <v>57565</v>
      </c>
      <c r="F102" s="374">
        <f t="shared" si="32"/>
        <v>41360.000000000007</v>
      </c>
      <c r="G102" s="374">
        <f t="shared" si="32"/>
        <v>41360.000000000007</v>
      </c>
      <c r="H102" s="374">
        <f t="shared" si="32"/>
        <v>41360.000000000007</v>
      </c>
      <c r="I102" s="374">
        <f t="shared" si="32"/>
        <v>41360.000000000007</v>
      </c>
      <c r="J102" s="374">
        <f t="shared" si="32"/>
        <v>181621.00000000003</v>
      </c>
      <c r="K102" s="374">
        <f t="shared" si="32"/>
        <v>332883.10000000003</v>
      </c>
      <c r="L102" s="374">
        <f t="shared" si="32"/>
        <v>366171.41000000003</v>
      </c>
      <c r="M102" s="374">
        <f t="shared" si="32"/>
        <v>402788.55099999998</v>
      </c>
      <c r="N102" s="374">
        <f t="shared" si="32"/>
        <v>443067.40610000014</v>
      </c>
      <c r="O102" s="374">
        <f t="shared" si="32"/>
        <v>487374.14670999994</v>
      </c>
      <c r="P102" s="374">
        <f t="shared" si="32"/>
        <v>536111.56138100009</v>
      </c>
      <c r="Q102" s="374">
        <f t="shared" si="32"/>
        <v>589722.71751910017</v>
      </c>
      <c r="R102" s="374">
        <f t="shared" si="32"/>
        <v>3653356.1502500009</v>
      </c>
    </row>
    <row r="103" spans="1:18" hidden="1"/>
    <row r="104" spans="1:18" hidden="1"/>
  </sheetData>
  <mergeCells count="2">
    <mergeCell ref="B54:E54"/>
    <mergeCell ref="F54:I54"/>
  </mergeCells>
  <pageMargins left="0.7" right="0.7" top="0.75" bottom="0.75" header="0.3" footer="0.3"/>
  <pageSetup orientation="portrait" horizontalDpi="0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BI136"/>
  <sheetViews>
    <sheetView zoomScale="90" zoomScaleNormal="90" workbookViewId="0">
      <pane ySplit="6" topLeftCell="A101" activePane="bottomLeft" state="frozen"/>
      <selection pane="bottomLeft" activeCell="W107" sqref="W107"/>
    </sheetView>
  </sheetViews>
  <sheetFormatPr defaultRowHeight="15"/>
  <cols>
    <col min="1" max="1" width="58.140625" style="802" bestFit="1" customWidth="1"/>
    <col min="2" max="2" width="10.140625" style="802" hidden="1" customWidth="1"/>
    <col min="3" max="3" width="6.7109375" style="802" hidden="1" customWidth="1"/>
    <col min="4" max="4" width="13.5703125" style="802" hidden="1" customWidth="1"/>
    <col min="5" max="5" width="13.28515625" style="802" hidden="1" customWidth="1"/>
    <col min="6" max="6" width="10.7109375" style="802" bestFit="1" customWidth="1"/>
    <col min="7" max="9" width="7.140625" style="802" bestFit="1" customWidth="1"/>
    <col min="10" max="13" width="8.42578125" style="802" bestFit="1" customWidth="1"/>
    <col min="14" max="21" width="8.140625" style="802" bestFit="1" customWidth="1"/>
    <col min="22" max="22" width="9.28515625" style="812" bestFit="1" customWidth="1"/>
    <col min="23" max="43" width="10.5703125" style="802" bestFit="1" customWidth="1"/>
    <col min="44" max="44" width="5.7109375" style="803" bestFit="1" customWidth="1"/>
    <col min="45" max="61" width="5.7109375" style="802" bestFit="1" customWidth="1"/>
    <col min="62" max="62" width="9.140625" style="802" customWidth="1"/>
    <col min="63" max="16384" width="9.140625" style="802"/>
  </cols>
  <sheetData>
    <row r="1" spans="1:44">
      <c r="A1" s="1001" t="s">
        <v>20</v>
      </c>
      <c r="B1" s="1001"/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  <c r="N1" s="1001"/>
      <c r="O1" s="1001"/>
      <c r="P1" s="1001"/>
      <c r="Q1" s="1001"/>
      <c r="R1" s="1001"/>
      <c r="S1" s="1001"/>
      <c r="T1" s="1001"/>
      <c r="U1" s="1001"/>
      <c r="V1" s="1001"/>
    </row>
    <row r="2" spans="1:44" s="804" customFormat="1">
      <c r="A2" s="1004"/>
      <c r="B2" s="1004"/>
      <c r="C2" s="1004"/>
      <c r="D2" s="1004"/>
      <c r="E2" s="1004"/>
      <c r="F2" s="1004"/>
      <c r="G2" s="1004"/>
      <c r="H2" s="1004"/>
      <c r="I2" s="1004"/>
      <c r="J2" s="1004"/>
      <c r="K2" s="1004"/>
      <c r="L2" s="1004"/>
      <c r="M2" s="1004"/>
      <c r="N2" s="1004"/>
      <c r="O2" s="1004"/>
      <c r="P2" s="1004"/>
      <c r="Q2" s="1004"/>
      <c r="R2" s="1004"/>
      <c r="S2" s="1004"/>
      <c r="T2" s="1004"/>
      <c r="U2" s="1004"/>
      <c r="V2" s="1004"/>
      <c r="W2" s="1004"/>
      <c r="AR2" s="805"/>
    </row>
    <row r="3" spans="1:44" s="804" customFormat="1">
      <c r="A3" s="806" t="str">
        <f>'Key Assumptions'!C5</f>
        <v>Inflation Index</v>
      </c>
      <c r="B3" s="806"/>
      <c r="C3" s="806"/>
      <c r="D3" s="806"/>
      <c r="E3" s="806"/>
      <c r="F3" s="807">
        <f>'Key Assumptions'!F5</f>
        <v>1</v>
      </c>
      <c r="G3" s="807">
        <f>'Key Assumptions'!G5</f>
        <v>1</v>
      </c>
      <c r="H3" s="807">
        <f>'Key Assumptions'!H5</f>
        <v>1</v>
      </c>
      <c r="I3" s="807">
        <f>'Key Assumptions'!I5</f>
        <v>1</v>
      </c>
      <c r="J3" s="807">
        <f>'Key Assumptions'!J5</f>
        <v>1.1000000000000001</v>
      </c>
      <c r="K3" s="807">
        <f>'Key Assumptions'!K5</f>
        <v>1.1000000000000001</v>
      </c>
      <c r="L3" s="807">
        <f>'Key Assumptions'!L5</f>
        <v>1.1000000000000001</v>
      </c>
      <c r="M3" s="807">
        <f>'Key Assumptions'!M5</f>
        <v>1.1000000000000001</v>
      </c>
      <c r="N3" s="807">
        <f>'Key Assumptions'!N5</f>
        <v>1.2100000000000002</v>
      </c>
      <c r="O3" s="807">
        <f>'Key Assumptions'!O5</f>
        <v>1.3310000000000002</v>
      </c>
      <c r="P3" s="807">
        <f>'Key Assumptions'!P5</f>
        <v>1.4641000000000002</v>
      </c>
      <c r="Q3" s="807">
        <f>'Key Assumptions'!Q5</f>
        <v>1.6105100000000001</v>
      </c>
      <c r="R3" s="807">
        <f>'Key Assumptions'!R5</f>
        <v>1.7715610000000002</v>
      </c>
      <c r="S3" s="807">
        <f>'Key Assumptions'!S5</f>
        <v>1.9487171000000001</v>
      </c>
      <c r="T3" s="807">
        <f>'Key Assumptions'!T5</f>
        <v>2.1435888100000002</v>
      </c>
      <c r="U3" s="807">
        <f>'Key Assumptions'!U5</f>
        <v>2.3579476910000001</v>
      </c>
      <c r="V3" s="807"/>
      <c r="AR3" s="805"/>
    </row>
    <row r="4" spans="1:44" s="804" customFormat="1">
      <c r="A4" s="1004"/>
      <c r="B4" s="1004"/>
      <c r="C4" s="1004"/>
      <c r="D4" s="1004"/>
      <c r="E4" s="1004"/>
      <c r="F4" s="1004"/>
      <c r="G4" s="1004"/>
      <c r="H4" s="1004"/>
      <c r="I4" s="1004"/>
      <c r="J4" s="1004"/>
      <c r="K4" s="1004"/>
      <c r="L4" s="1004"/>
      <c r="M4" s="1004"/>
      <c r="N4" s="1004"/>
      <c r="O4" s="1004"/>
      <c r="P4" s="1004"/>
      <c r="Q4" s="1004"/>
      <c r="R4" s="1004"/>
      <c r="S4" s="1004"/>
      <c r="T4" s="1004"/>
      <c r="U4" s="1004"/>
      <c r="V4" s="1004"/>
      <c r="W4" s="1004"/>
      <c r="AR4" s="805"/>
    </row>
    <row r="5" spans="1:44">
      <c r="F5" s="1003" t="s">
        <v>143</v>
      </c>
      <c r="G5" s="1003"/>
      <c r="H5" s="1003"/>
      <c r="I5" s="1003"/>
      <c r="J5" s="999" t="s">
        <v>144</v>
      </c>
      <c r="K5" s="999"/>
      <c r="L5" s="999"/>
      <c r="M5" s="999"/>
      <c r="N5" s="808" t="str">
        <f>'Key Assumptions'!N3</f>
        <v>Year 3</v>
      </c>
      <c r="O5" s="808" t="str">
        <f>'Key Assumptions'!O3</f>
        <v>Year 4</v>
      </c>
      <c r="P5" s="808" t="str">
        <f>'Key Assumptions'!P3</f>
        <v>Year 5</v>
      </c>
      <c r="Q5" s="808" t="str">
        <f>'Key Assumptions'!Q3</f>
        <v>Year 6</v>
      </c>
      <c r="R5" s="808" t="str">
        <f>'Key Assumptions'!R3</f>
        <v>Year 7</v>
      </c>
      <c r="S5" s="808" t="str">
        <f>'Key Assumptions'!S3</f>
        <v>Year 8</v>
      </c>
      <c r="T5" s="808" t="str">
        <f>'Key Assumptions'!T3</f>
        <v>Year 9</v>
      </c>
      <c r="U5" s="808" t="str">
        <f>'Key Assumptions'!U3</f>
        <v>Year 10</v>
      </c>
      <c r="V5" s="809" t="s">
        <v>1</v>
      </c>
      <c r="W5" s="810"/>
      <c r="X5" s="810"/>
      <c r="Y5" s="810"/>
      <c r="Z5" s="810"/>
      <c r="AA5" s="810"/>
      <c r="AB5" s="810"/>
      <c r="AC5" s="810"/>
      <c r="AD5" s="810"/>
      <c r="AE5" s="810"/>
      <c r="AF5" s="810"/>
      <c r="AG5" s="810"/>
      <c r="AH5" s="810"/>
      <c r="AI5" s="810"/>
      <c r="AJ5" s="810"/>
      <c r="AK5" s="810"/>
      <c r="AL5" s="810"/>
      <c r="AM5" s="810"/>
      <c r="AN5" s="810"/>
      <c r="AO5" s="810"/>
      <c r="AP5" s="810"/>
      <c r="AQ5" s="810"/>
      <c r="AR5" s="808"/>
    </row>
    <row r="6" spans="1:44">
      <c r="A6" s="811"/>
      <c r="B6" s="811"/>
      <c r="C6" s="811"/>
      <c r="D6" s="811"/>
      <c r="E6" s="811"/>
      <c r="F6" s="808" t="s">
        <v>407</v>
      </c>
      <c r="G6" s="808" t="s">
        <v>408</v>
      </c>
      <c r="H6" s="808" t="s">
        <v>409</v>
      </c>
      <c r="I6" s="808" t="s">
        <v>410</v>
      </c>
      <c r="J6" s="808" t="s">
        <v>407</v>
      </c>
      <c r="K6" s="808" t="s">
        <v>408</v>
      </c>
      <c r="L6" s="808" t="s">
        <v>409</v>
      </c>
      <c r="M6" s="808" t="s">
        <v>410</v>
      </c>
      <c r="N6" s="803"/>
      <c r="O6" s="803"/>
      <c r="P6" s="803"/>
      <c r="Q6" s="803"/>
      <c r="R6" s="803"/>
      <c r="S6" s="803"/>
      <c r="T6" s="803"/>
      <c r="U6" s="803"/>
    </row>
    <row r="7" spans="1:44">
      <c r="A7" s="813" t="s">
        <v>550</v>
      </c>
      <c r="B7" s="813"/>
      <c r="C7" s="813"/>
      <c r="D7" s="813"/>
      <c r="E7" s="813"/>
      <c r="F7" s="803"/>
      <c r="G7" s="803"/>
      <c r="H7" s="803"/>
      <c r="I7" s="803"/>
      <c r="J7" s="803"/>
      <c r="K7" s="803"/>
      <c r="L7" s="803"/>
      <c r="M7" s="803"/>
      <c r="N7" s="803"/>
      <c r="O7" s="803"/>
      <c r="P7" s="803"/>
      <c r="Q7" s="803"/>
      <c r="R7" s="803"/>
      <c r="S7" s="803"/>
      <c r="T7" s="803"/>
      <c r="U7" s="803"/>
    </row>
    <row r="8" spans="1:44">
      <c r="A8" s="814" t="str">
        <f>'No. of people trained '!A158</f>
        <v>Hospitality course : House keeping (60 Days, 240 hrs)</v>
      </c>
      <c r="B8" s="814"/>
      <c r="C8" s="814"/>
      <c r="D8" s="814"/>
      <c r="E8" s="814"/>
      <c r="F8" s="815">
        <f>'No. of people trained '!F159</f>
        <v>3</v>
      </c>
      <c r="G8" s="815">
        <f>'No. of people trained '!G159</f>
        <v>3</v>
      </c>
      <c r="H8" s="815">
        <f>'No. of people trained '!H159</f>
        <v>3</v>
      </c>
      <c r="I8" s="815">
        <f>'No. of people trained '!I159</f>
        <v>3</v>
      </c>
      <c r="J8" s="815">
        <f>'No. of people trained '!J159</f>
        <v>5.7750000000000004</v>
      </c>
      <c r="K8" s="815">
        <f>'No. of people trained '!K159</f>
        <v>5.7750000000000004</v>
      </c>
      <c r="L8" s="815">
        <f>'No. of people trained '!L159</f>
        <v>5.7750000000000004</v>
      </c>
      <c r="M8" s="815">
        <f>'No. of people trained '!M159</f>
        <v>5.7750000000000004</v>
      </c>
      <c r="N8" s="815">
        <f>'No. of people trained '!N159</f>
        <v>36.300000000000004</v>
      </c>
      <c r="O8" s="815">
        <f>'No. of people trained '!O159</f>
        <v>79.860000000000014</v>
      </c>
      <c r="P8" s="815">
        <f>'No. of people trained '!P159</f>
        <v>87.846000000000018</v>
      </c>
      <c r="Q8" s="815">
        <f>'No. of people trained '!Q159</f>
        <v>96.630600000000001</v>
      </c>
      <c r="R8" s="815">
        <f>'No. of people trained '!R159</f>
        <v>106.29366</v>
      </c>
      <c r="S8" s="815">
        <f>'No. of people trained '!S159</f>
        <v>116.92302600000002</v>
      </c>
      <c r="T8" s="815">
        <f>'No. of people trained '!T159</f>
        <v>128.61532860000003</v>
      </c>
      <c r="U8" s="815">
        <f>'No. of people trained '!U159</f>
        <v>141.47686146000001</v>
      </c>
      <c r="V8" s="816">
        <f t="shared" ref="V8:V14" si="0">SUM(F8:U8)</f>
        <v>829.04547606000006</v>
      </c>
      <c r="AR8" s="817"/>
    </row>
    <row r="9" spans="1:44">
      <c r="A9" s="814" t="str">
        <f>'No. of people trained '!A161</f>
        <v>Hospitality course : Front Office Management (40Days, 180 hrs)</v>
      </c>
      <c r="B9" s="814"/>
      <c r="C9" s="814"/>
      <c r="D9" s="814"/>
      <c r="E9" s="814"/>
      <c r="F9" s="815">
        <f>'No. of people trained '!F162</f>
        <v>6.3</v>
      </c>
      <c r="G9" s="815">
        <f>'No. of people trained '!G162</f>
        <v>6.3</v>
      </c>
      <c r="H9" s="815">
        <f>'No. of people trained '!H162</f>
        <v>6.3</v>
      </c>
      <c r="I9" s="815">
        <f>'No. of people trained '!I162</f>
        <v>6.3</v>
      </c>
      <c r="J9" s="815">
        <f>'No. of people trained '!J162</f>
        <v>12.127500000000003</v>
      </c>
      <c r="K9" s="815">
        <f>'No. of people trained '!K162</f>
        <v>12.127500000000003</v>
      </c>
      <c r="L9" s="815">
        <f>'No. of people trained '!L162</f>
        <v>12.127500000000003</v>
      </c>
      <c r="M9" s="815">
        <f>'No. of people trained '!M162</f>
        <v>12.127500000000003</v>
      </c>
      <c r="N9" s="815">
        <f>'No. of people trained '!N162</f>
        <v>76.230000000000018</v>
      </c>
      <c r="O9" s="815">
        <f>'No. of people trained '!O162</f>
        <v>167.70600000000005</v>
      </c>
      <c r="P9" s="815">
        <f>'No. of people trained '!P162</f>
        <v>184.47659999999999</v>
      </c>
      <c r="Q9" s="815">
        <f>'No. of people trained '!Q162</f>
        <v>202.92426000000003</v>
      </c>
      <c r="R9" s="815">
        <f>'No. of people trained '!R162</f>
        <v>223.21668600000001</v>
      </c>
      <c r="S9" s="815">
        <f>'No. of people trained '!S162</f>
        <v>245.53835460000002</v>
      </c>
      <c r="T9" s="815">
        <f>'No. of people trained '!T162</f>
        <v>270.09219006000006</v>
      </c>
      <c r="U9" s="815">
        <f>'No. of people trained '!U162</f>
        <v>297.10140906600003</v>
      </c>
      <c r="V9" s="816">
        <f t="shared" si="0"/>
        <v>1740.9954997260002</v>
      </c>
      <c r="AR9" s="817"/>
    </row>
    <row r="10" spans="1:44">
      <c r="A10" s="814" t="str">
        <f>'No. of people trained '!A164</f>
        <v>Hospitality course : Food &amp; Beverages (40 Days, 180 hrs)</v>
      </c>
      <c r="B10" s="814"/>
      <c r="C10" s="814"/>
      <c r="D10" s="814"/>
      <c r="E10" s="814"/>
      <c r="F10" s="815">
        <f>'No. of people trained '!F165</f>
        <v>2.25</v>
      </c>
      <c r="G10" s="815">
        <f>'No. of people trained '!G165</f>
        <v>2.25</v>
      </c>
      <c r="H10" s="815">
        <f>'No. of people trained '!H165</f>
        <v>2.25</v>
      </c>
      <c r="I10" s="815">
        <f>'No. of people trained '!I165</f>
        <v>2.25</v>
      </c>
      <c r="J10" s="815">
        <f>'No. of people trained '!J165</f>
        <v>6.1875</v>
      </c>
      <c r="K10" s="815">
        <f>'No. of people trained '!K165</f>
        <v>6.1875</v>
      </c>
      <c r="L10" s="815">
        <f>'No. of people trained '!L165</f>
        <v>6.1875</v>
      </c>
      <c r="M10" s="815">
        <f>'No. of people trained '!M165</f>
        <v>6.1875</v>
      </c>
      <c r="N10" s="815">
        <f>'No. of people trained '!N165</f>
        <v>43.560000000000009</v>
      </c>
      <c r="O10" s="815">
        <f>'No. of people trained '!O165</f>
        <v>99.825000000000017</v>
      </c>
      <c r="P10" s="815">
        <f>'No. of people trained '!P165</f>
        <v>109.80750000000002</v>
      </c>
      <c r="Q10" s="815">
        <f>'No. of people trained '!Q165</f>
        <v>120.78825000000001</v>
      </c>
      <c r="R10" s="815">
        <f>'No. of people trained '!R165</f>
        <v>132.867075</v>
      </c>
      <c r="S10" s="815">
        <f>'No. of people trained '!S165</f>
        <v>146.15378250000001</v>
      </c>
      <c r="T10" s="815">
        <f>'No. of people trained '!T165</f>
        <v>160.76916075000003</v>
      </c>
      <c r="U10" s="815">
        <f>'No. of people trained '!U165</f>
        <v>176.84607682500001</v>
      </c>
      <c r="V10" s="816">
        <f t="shared" si="0"/>
        <v>1024.3668450750001</v>
      </c>
      <c r="AR10" s="817"/>
    </row>
    <row r="11" spans="1:44">
      <c r="A11" s="814" t="str">
        <f>'No. of people trained '!A167</f>
        <v>IT/ITES : BPO Voice (60 Days, 180 hrs)</v>
      </c>
      <c r="B11" s="814"/>
      <c r="C11" s="814"/>
      <c r="D11" s="814"/>
      <c r="E11" s="814"/>
      <c r="F11" s="815">
        <f>'No. of people trained '!F168</f>
        <v>4.2</v>
      </c>
      <c r="G11" s="815">
        <f>'No. of people trained '!G168</f>
        <v>4.2</v>
      </c>
      <c r="H11" s="815">
        <f>'No. of people trained '!H168</f>
        <v>4.2</v>
      </c>
      <c r="I11" s="815">
        <f>'No. of people trained '!I168</f>
        <v>4.2</v>
      </c>
      <c r="J11" s="815">
        <f>'No. of people trained '!J168</f>
        <v>6.9300000000000015</v>
      </c>
      <c r="K11" s="815">
        <f>'No. of people trained '!K168</f>
        <v>6.9300000000000015</v>
      </c>
      <c r="L11" s="815">
        <f>'No. of people trained '!L168</f>
        <v>6.9300000000000015</v>
      </c>
      <c r="M11" s="815">
        <f>'No. of people trained '!M168</f>
        <v>6.9300000000000015</v>
      </c>
      <c r="N11" s="815">
        <f>'No. of people trained '!N168</f>
        <v>45.738000000000007</v>
      </c>
      <c r="O11" s="815">
        <f>'No. of people trained '!O168</f>
        <v>102.48700000000002</v>
      </c>
      <c r="P11" s="815">
        <f>'No. of people trained '!P168</f>
        <v>112.73569999999999</v>
      </c>
      <c r="Q11" s="815">
        <f>'No. of people trained '!Q168</f>
        <v>124.00927000000001</v>
      </c>
      <c r="R11" s="815">
        <f>'No. of people trained '!R168</f>
        <v>136.41019700000001</v>
      </c>
      <c r="S11" s="815">
        <f>'No. of people trained '!S168</f>
        <v>150.0512167</v>
      </c>
      <c r="T11" s="815">
        <f>'No. of people trained '!T168</f>
        <v>165.05633837000002</v>
      </c>
      <c r="U11" s="815">
        <f>'No. of people trained '!U168</f>
        <v>181.56197220700003</v>
      </c>
      <c r="V11" s="816">
        <f t="shared" si="0"/>
        <v>1062.5696942770001</v>
      </c>
      <c r="AR11" s="817"/>
    </row>
    <row r="12" spans="1:44">
      <c r="A12" s="814" t="str">
        <f>'No. of people trained '!A170</f>
        <v>IT/ITES : BPO Non Voice (60 Days, 180 hrs)</v>
      </c>
      <c r="B12" s="814"/>
      <c r="C12" s="814"/>
      <c r="D12" s="814"/>
      <c r="E12" s="814"/>
      <c r="F12" s="815">
        <f>'No. of people trained '!F171</f>
        <v>4.2</v>
      </c>
      <c r="G12" s="815">
        <f>'No. of people trained '!G171</f>
        <v>4.2</v>
      </c>
      <c r="H12" s="815">
        <f>'No. of people trained '!H171</f>
        <v>4.2</v>
      </c>
      <c r="I12" s="815">
        <f>'No. of people trained '!I171</f>
        <v>4.2</v>
      </c>
      <c r="J12" s="815">
        <f>'No. of people trained '!J171</f>
        <v>6.9300000000000015</v>
      </c>
      <c r="K12" s="815">
        <f>'No. of people trained '!K171</f>
        <v>6.9300000000000015</v>
      </c>
      <c r="L12" s="815">
        <f>'No. of people trained '!L171</f>
        <v>6.9300000000000015</v>
      </c>
      <c r="M12" s="815">
        <f>'No. of people trained '!M171</f>
        <v>6.9300000000000015</v>
      </c>
      <c r="N12" s="815">
        <f>'No. of people trained '!N171</f>
        <v>45.738000000000007</v>
      </c>
      <c r="O12" s="815">
        <f>'No. of people trained '!O171</f>
        <v>102.48700000000002</v>
      </c>
      <c r="P12" s="815">
        <f>'No. of people trained '!P171</f>
        <v>112.73569999999999</v>
      </c>
      <c r="Q12" s="815">
        <f>'No. of people trained '!Q171</f>
        <v>124.00927000000001</v>
      </c>
      <c r="R12" s="815">
        <f>'No. of people trained '!R171</f>
        <v>136.41019700000001</v>
      </c>
      <c r="S12" s="815">
        <f>'No. of people trained '!S171</f>
        <v>150.0512167</v>
      </c>
      <c r="T12" s="815">
        <f>'No. of people trained '!T171</f>
        <v>165.05633837000002</v>
      </c>
      <c r="U12" s="815">
        <f>'No. of people trained '!U171</f>
        <v>181.56197220700003</v>
      </c>
      <c r="V12" s="816">
        <f t="shared" si="0"/>
        <v>1062.5696942770001</v>
      </c>
      <c r="AR12" s="817"/>
    </row>
    <row r="13" spans="1:44">
      <c r="A13" s="814" t="str">
        <f>'No. of people trained '!A173</f>
        <v>IT/ITES : Hardware &amp; networking (40 Days, 180 hrs)</v>
      </c>
      <c r="B13" s="814"/>
      <c r="C13" s="814"/>
      <c r="D13" s="814"/>
      <c r="E13" s="814"/>
      <c r="F13" s="815">
        <f>'No. of people trained '!F174</f>
        <v>5.4</v>
      </c>
      <c r="G13" s="815">
        <f>'No. of people trained '!G174</f>
        <v>5.4</v>
      </c>
      <c r="H13" s="815">
        <f>'No. of people trained '!H174</f>
        <v>5.4</v>
      </c>
      <c r="I13" s="815">
        <f>'No. of people trained '!I174</f>
        <v>5.4</v>
      </c>
      <c r="J13" s="815">
        <f>'No. of people trained '!J174</f>
        <v>7.92</v>
      </c>
      <c r="K13" s="815">
        <f>'No. of people trained '!K174</f>
        <v>7.92</v>
      </c>
      <c r="L13" s="815">
        <f>'No. of people trained '!L174</f>
        <v>7.92</v>
      </c>
      <c r="M13" s="815">
        <f>'No. of people trained '!M174</f>
        <v>7.92</v>
      </c>
      <c r="N13" s="815">
        <f>'No. of people trained '!N174</f>
        <v>52.272000000000013</v>
      </c>
      <c r="O13" s="815">
        <f>'No. of people trained '!O174</f>
        <v>127.77600000000002</v>
      </c>
      <c r="P13" s="815">
        <f>'No. of people trained '!P174</f>
        <v>140.55360000000002</v>
      </c>
      <c r="Q13" s="815">
        <f>'No. of people trained '!Q174</f>
        <v>154.60896000000002</v>
      </c>
      <c r="R13" s="815">
        <f>'No. of people trained '!R174</f>
        <v>170.06985600000002</v>
      </c>
      <c r="S13" s="815">
        <f>'No. of people trained '!S174</f>
        <v>187.07684159999999</v>
      </c>
      <c r="T13" s="815">
        <f>'No. of people trained '!T174</f>
        <v>205.78452576000001</v>
      </c>
      <c r="U13" s="815">
        <f>'No. of people trained '!U174</f>
        <v>226.36297833600003</v>
      </c>
      <c r="V13" s="816">
        <f t="shared" si="0"/>
        <v>1317.784761696</v>
      </c>
      <c r="AR13" s="817"/>
    </row>
    <row r="14" spans="1:44">
      <c r="A14" s="814" t="str">
        <f>'No. of people trained '!A176</f>
        <v>Health Care : General Duty Attendant (40 Days, 180 hrs)</v>
      </c>
      <c r="B14" s="814"/>
      <c r="C14" s="814"/>
      <c r="D14" s="814"/>
      <c r="E14" s="814"/>
      <c r="F14" s="815">
        <f>'No. of people trained '!F177</f>
        <v>2.25</v>
      </c>
      <c r="G14" s="815">
        <f>'No. of people trained '!G177</f>
        <v>2.25</v>
      </c>
      <c r="H14" s="815">
        <f>'No. of people trained '!H177</f>
        <v>2.25</v>
      </c>
      <c r="I14" s="815">
        <f>'No. of people trained '!I177</f>
        <v>2.25</v>
      </c>
      <c r="J14" s="815">
        <f>'No. of people trained '!J177</f>
        <v>3.7124999999999999</v>
      </c>
      <c r="K14" s="815">
        <f>'No. of people trained '!K177</f>
        <v>3.7124999999999999</v>
      </c>
      <c r="L14" s="815">
        <f>'No. of people trained '!L177</f>
        <v>3.7124999999999999</v>
      </c>
      <c r="M14" s="815">
        <f>'No. of people trained '!M177</f>
        <v>3.7124999999999999</v>
      </c>
      <c r="N14" s="815">
        <f>'No. of people trained '!N177</f>
        <v>27.225000000000005</v>
      </c>
      <c r="O14" s="815">
        <f>'No. of people trained '!O177</f>
        <v>69.877500000000012</v>
      </c>
      <c r="P14" s="815">
        <f>'No. of people trained '!P177</f>
        <v>76.865250000000003</v>
      </c>
      <c r="Q14" s="815">
        <f>'No. of people trained '!Q177</f>
        <v>84.551775000000006</v>
      </c>
      <c r="R14" s="815">
        <f>'No. of people trained '!R177</f>
        <v>93.006952499999997</v>
      </c>
      <c r="S14" s="815">
        <f>'No. of people trained '!S177</f>
        <v>102.30764775</v>
      </c>
      <c r="T14" s="815">
        <f>'No. of people trained '!T177</f>
        <v>112.53841252500001</v>
      </c>
      <c r="U14" s="815">
        <f>'No. of people trained '!U177</f>
        <v>123.79225377749999</v>
      </c>
      <c r="V14" s="816">
        <f t="shared" si="0"/>
        <v>714.01479155250013</v>
      </c>
      <c r="AR14" s="818"/>
    </row>
    <row r="15" spans="1:44">
      <c r="A15" s="814" t="str">
        <f>'No. of people trained '!A179</f>
        <v>Health Care : Asha (Health workers) (40 Days, 180 hrs)</v>
      </c>
      <c r="B15" s="814"/>
      <c r="C15" s="814"/>
      <c r="D15" s="814"/>
      <c r="E15" s="814"/>
      <c r="F15" s="815">
        <f>'No. of people trained '!F180</f>
        <v>1.8</v>
      </c>
      <c r="G15" s="815">
        <f>'No. of people trained '!G180</f>
        <v>1.8</v>
      </c>
      <c r="H15" s="815">
        <f>'No. of people trained '!H180</f>
        <v>1.8</v>
      </c>
      <c r="I15" s="815">
        <f>'No. of people trained '!I180</f>
        <v>1.8</v>
      </c>
      <c r="J15" s="815">
        <f>'No. of people trained '!J180</f>
        <v>2.97</v>
      </c>
      <c r="K15" s="815">
        <f>'No. of people trained '!K180</f>
        <v>2.97</v>
      </c>
      <c r="L15" s="815">
        <f>'No. of people trained '!L180</f>
        <v>2.97</v>
      </c>
      <c r="M15" s="815">
        <f>'No. of people trained '!M180</f>
        <v>2.97</v>
      </c>
      <c r="N15" s="815">
        <f>'No. of people trained '!N180</f>
        <v>21.780000000000005</v>
      </c>
      <c r="O15" s="815">
        <f>'No. of people trained '!O180</f>
        <v>55.902000000000008</v>
      </c>
      <c r="P15" s="815">
        <f>'No. of people trained '!P180</f>
        <v>61.492200000000011</v>
      </c>
      <c r="Q15" s="815">
        <f>'No. of people trained '!Q180</f>
        <v>67.641420000000011</v>
      </c>
      <c r="R15" s="815">
        <f>'No. of people trained '!R180</f>
        <v>74.405562000000003</v>
      </c>
      <c r="S15" s="815">
        <f>'No. of people trained '!S180</f>
        <v>81.846118200000006</v>
      </c>
      <c r="T15" s="815">
        <f>'No. of people trained '!T180</f>
        <v>90.030730020000007</v>
      </c>
      <c r="U15" s="815">
        <f>'No. of people trained '!U180</f>
        <v>99.033803022000001</v>
      </c>
      <c r="V15" s="816">
        <f>SUM(F15:U15)</f>
        <v>571.21183324200001</v>
      </c>
      <c r="AR15" s="818"/>
    </row>
    <row r="16" spans="1:44">
      <c r="A16" s="814" t="str">
        <f>'No. of people trained '!A182</f>
        <v>Health Care : Home Health Aide (40 Days, 180 hrs)</v>
      </c>
      <c r="B16" s="814"/>
      <c r="C16" s="814"/>
      <c r="D16" s="814"/>
      <c r="E16" s="814"/>
      <c r="F16" s="815">
        <f>'No. of people trained '!F183</f>
        <v>1.8</v>
      </c>
      <c r="G16" s="815">
        <f>'No. of people trained '!G183</f>
        <v>1.8</v>
      </c>
      <c r="H16" s="815">
        <f>'No. of people trained '!H183</f>
        <v>1.8</v>
      </c>
      <c r="I16" s="815">
        <f>'No. of people trained '!I183</f>
        <v>1.8</v>
      </c>
      <c r="J16" s="815">
        <f>'No. of people trained '!J183</f>
        <v>2.97</v>
      </c>
      <c r="K16" s="815">
        <f>'No. of people trained '!K183</f>
        <v>2.97</v>
      </c>
      <c r="L16" s="815">
        <f>'No. of people trained '!L183</f>
        <v>2.97</v>
      </c>
      <c r="M16" s="815">
        <f>'No. of people trained '!M183</f>
        <v>2.97</v>
      </c>
      <c r="N16" s="815">
        <f>'No. of people trained '!N183</f>
        <v>21.780000000000005</v>
      </c>
      <c r="O16" s="815">
        <f>'No. of people trained '!O183</f>
        <v>55.902000000000008</v>
      </c>
      <c r="P16" s="815">
        <f>'No. of people trained '!P183</f>
        <v>61.492200000000011</v>
      </c>
      <c r="Q16" s="815">
        <f>'No. of people trained '!Q183</f>
        <v>67.641420000000011</v>
      </c>
      <c r="R16" s="815">
        <f>'No. of people trained '!R183</f>
        <v>74.405562000000003</v>
      </c>
      <c r="S16" s="815">
        <f>'No. of people trained '!S183</f>
        <v>81.846118200000006</v>
      </c>
      <c r="T16" s="815">
        <f>'No. of people trained '!T183</f>
        <v>90.030730020000007</v>
      </c>
      <c r="U16" s="815">
        <f>'No. of people trained '!U183</f>
        <v>99.033803022000001</v>
      </c>
      <c r="V16" s="816">
        <f t="shared" ref="V16:V22" si="1">SUM(F16:U16)</f>
        <v>571.21183324200001</v>
      </c>
      <c r="AR16" s="818"/>
    </row>
    <row r="17" spans="1:44">
      <c r="A17" s="814" t="str">
        <f>'No. of people trained '!A185</f>
        <v>Retail : Cashier (40 Days, 180 hrs)</v>
      </c>
      <c r="B17" s="814"/>
      <c r="C17" s="814"/>
      <c r="D17" s="814"/>
      <c r="E17" s="814"/>
      <c r="F17" s="815">
        <f>'No. of people trained '!F186</f>
        <v>1.125</v>
      </c>
      <c r="G17" s="815">
        <f>'No. of people trained '!G186</f>
        <v>1.125</v>
      </c>
      <c r="H17" s="815">
        <f>'No. of people trained '!H186</f>
        <v>1.125</v>
      </c>
      <c r="I17" s="815">
        <f>'No. of people trained '!I186</f>
        <v>1.125</v>
      </c>
      <c r="J17" s="815">
        <f>'No. of people trained '!J186</f>
        <v>2.4750000000000001</v>
      </c>
      <c r="K17" s="815">
        <f>'No. of people trained '!K186</f>
        <v>2.4750000000000001</v>
      </c>
      <c r="L17" s="815">
        <f>'No. of people trained '!L186</f>
        <v>2.4750000000000001</v>
      </c>
      <c r="M17" s="815">
        <f>'No. of people trained '!M186</f>
        <v>2.4750000000000001</v>
      </c>
      <c r="N17" s="815">
        <f>'No. of people trained '!N186</f>
        <v>10.890000000000002</v>
      </c>
      <c r="O17" s="815">
        <f>'No. of people trained '!O186</f>
        <v>19.965000000000003</v>
      </c>
      <c r="P17" s="815">
        <f>'No. of people trained '!P186</f>
        <v>21.961500000000004</v>
      </c>
      <c r="Q17" s="815">
        <f>'No. of people trained '!Q186</f>
        <v>24.15765</v>
      </c>
      <c r="R17" s="815">
        <f>'No. of people trained '!R186</f>
        <v>26.573415000000001</v>
      </c>
      <c r="S17" s="815">
        <f>'No. of people trained '!S186</f>
        <v>29.230756500000005</v>
      </c>
      <c r="T17" s="815">
        <f>'No. of people trained '!T186</f>
        <v>32.153832150000007</v>
      </c>
      <c r="U17" s="815">
        <f>'No. of people trained '!U186</f>
        <v>35.369215365000002</v>
      </c>
      <c r="V17" s="816">
        <f t="shared" si="1"/>
        <v>214.70136901500001</v>
      </c>
      <c r="AR17" s="818"/>
    </row>
    <row r="18" spans="1:44">
      <c r="A18" s="814" t="str">
        <f>'No. of people trained '!A188</f>
        <v>Retail : Assistant (40 Days, 180 hrs)</v>
      </c>
      <c r="B18" s="814"/>
      <c r="C18" s="814"/>
      <c r="D18" s="814"/>
      <c r="E18" s="814"/>
      <c r="F18" s="815">
        <f>'No. of people trained '!F189</f>
        <v>3.375</v>
      </c>
      <c r="G18" s="815">
        <f>'No. of people trained '!G189</f>
        <v>3.375</v>
      </c>
      <c r="H18" s="815">
        <f>'No. of people trained '!H189</f>
        <v>3.375</v>
      </c>
      <c r="I18" s="815">
        <f>'No. of people trained '!I189</f>
        <v>3.375</v>
      </c>
      <c r="J18" s="815">
        <f>'No. of people trained '!J189</f>
        <v>4.95</v>
      </c>
      <c r="K18" s="815">
        <f>'No. of people trained '!K189</f>
        <v>4.95</v>
      </c>
      <c r="L18" s="815">
        <f>'No. of people trained '!L189</f>
        <v>4.95</v>
      </c>
      <c r="M18" s="815">
        <f>'No. of people trained '!M189</f>
        <v>4.95</v>
      </c>
      <c r="N18" s="815">
        <f>'No. of people trained '!N189</f>
        <v>21.780000000000005</v>
      </c>
      <c r="O18" s="815">
        <f>'No. of people trained '!O189</f>
        <v>39.930000000000007</v>
      </c>
      <c r="P18" s="815">
        <f>'No. of people trained '!P189</f>
        <v>43.923000000000009</v>
      </c>
      <c r="Q18" s="815">
        <f>'No. of people trained '!Q189</f>
        <v>48.315300000000001</v>
      </c>
      <c r="R18" s="815">
        <f>'No. of people trained '!R189</f>
        <v>53.146830000000001</v>
      </c>
      <c r="S18" s="815">
        <f>'No. of people trained '!S189</f>
        <v>58.461513000000011</v>
      </c>
      <c r="T18" s="815">
        <f>'No. of people trained '!T189</f>
        <v>64.307664300000013</v>
      </c>
      <c r="U18" s="815">
        <f>'No. of people trained '!U189</f>
        <v>70.738430730000005</v>
      </c>
      <c r="V18" s="816">
        <f t="shared" si="1"/>
        <v>433.90273803000002</v>
      </c>
      <c r="AR18" s="818"/>
    </row>
    <row r="19" spans="1:44">
      <c r="A19" s="814" t="str">
        <f>'No. of people trained '!A191</f>
        <v>Agriculture : Apiculture (16 Days, 48 hrs)</v>
      </c>
      <c r="B19" s="814"/>
      <c r="C19" s="814"/>
      <c r="D19" s="814"/>
      <c r="E19" s="814"/>
      <c r="F19" s="815">
        <f>'No. of people trained '!F192</f>
        <v>0.3</v>
      </c>
      <c r="G19" s="815">
        <f>'No. of people trained '!G192</f>
        <v>0.3</v>
      </c>
      <c r="H19" s="815">
        <f>'No. of people trained '!H192</f>
        <v>0.3</v>
      </c>
      <c r="I19" s="815">
        <f>'No. of people trained '!I192</f>
        <v>0.3</v>
      </c>
      <c r="J19" s="815">
        <f>'No. of people trained '!J192</f>
        <v>0.66000000000000014</v>
      </c>
      <c r="K19" s="815">
        <f>'No. of people trained '!K192</f>
        <v>0.66000000000000014</v>
      </c>
      <c r="L19" s="815">
        <f>'No. of people trained '!L192</f>
        <v>0.66000000000000014</v>
      </c>
      <c r="M19" s="815">
        <f>'No. of people trained '!M192</f>
        <v>0.66000000000000014</v>
      </c>
      <c r="N19" s="815">
        <f>'No. of people trained '!N192</f>
        <v>4.3560000000000008</v>
      </c>
      <c r="O19" s="815">
        <f>'No. of people trained '!O192</f>
        <v>10.648000000000001</v>
      </c>
      <c r="P19" s="815">
        <f>'No. of people trained '!P192</f>
        <v>11.712800000000003</v>
      </c>
      <c r="Q19" s="815">
        <f>'No. of people trained '!Q192</f>
        <v>12.884080000000003</v>
      </c>
      <c r="R19" s="815">
        <f>'No. of people trained '!R192</f>
        <v>14.172488000000001</v>
      </c>
      <c r="S19" s="815">
        <f>'No. of people trained '!S192</f>
        <v>15.589736800000003</v>
      </c>
      <c r="T19" s="815">
        <f>'No. of people trained '!T192</f>
        <v>17.148710480000002</v>
      </c>
      <c r="U19" s="815">
        <f>'No. of people trained '!U192</f>
        <v>18.863581528000001</v>
      </c>
      <c r="V19" s="816">
        <f t="shared" si="1"/>
        <v>109.21539680800001</v>
      </c>
      <c r="AR19" s="818"/>
    </row>
    <row r="20" spans="1:44">
      <c r="A20" s="814" t="str">
        <f>'No. of people trained '!A194</f>
        <v>Agriculture : Mushroom farming  (16 Days, 48 hrs)</v>
      </c>
      <c r="B20" s="814"/>
      <c r="C20" s="814"/>
      <c r="D20" s="814"/>
      <c r="E20" s="814"/>
      <c r="F20" s="815">
        <f>'No. of people trained '!F195</f>
        <v>0.3</v>
      </c>
      <c r="G20" s="815">
        <f>'No. of people trained '!G195</f>
        <v>0.3</v>
      </c>
      <c r="H20" s="815">
        <f>'No. of people trained '!H195</f>
        <v>0.3</v>
      </c>
      <c r="I20" s="815">
        <f>'No. of people trained '!I195</f>
        <v>0.3</v>
      </c>
      <c r="J20" s="815">
        <f>'No. of people trained '!J195</f>
        <v>0.66000000000000014</v>
      </c>
      <c r="K20" s="815">
        <f>'No. of people trained '!K195</f>
        <v>0.66000000000000014</v>
      </c>
      <c r="L20" s="815">
        <f>'No. of people trained '!L195</f>
        <v>0.66000000000000014</v>
      </c>
      <c r="M20" s="815">
        <f>'No. of people trained '!M195</f>
        <v>0.66000000000000014</v>
      </c>
      <c r="N20" s="815">
        <f>'No. of people trained '!N195</f>
        <v>4.3560000000000008</v>
      </c>
      <c r="O20" s="815">
        <f>'No. of people trained '!O195</f>
        <v>10.648000000000001</v>
      </c>
      <c r="P20" s="815">
        <f>'No. of people trained '!P195</f>
        <v>11.712800000000003</v>
      </c>
      <c r="Q20" s="815">
        <f>'No. of people trained '!Q195</f>
        <v>12.884080000000003</v>
      </c>
      <c r="R20" s="815">
        <f>'No. of people trained '!R195</f>
        <v>14.172488000000001</v>
      </c>
      <c r="S20" s="815">
        <f>'No. of people trained '!S195</f>
        <v>15.589736800000003</v>
      </c>
      <c r="T20" s="815">
        <f>'No. of people trained '!T195</f>
        <v>17.148710480000002</v>
      </c>
      <c r="U20" s="815">
        <f>'No. of people trained '!U195</f>
        <v>18.863581528000001</v>
      </c>
      <c r="V20" s="816">
        <f t="shared" si="1"/>
        <v>109.21539680800001</v>
      </c>
      <c r="AR20" s="818"/>
    </row>
    <row r="21" spans="1:44">
      <c r="A21" s="814" t="str">
        <f>'No. of people trained '!A197</f>
        <v>Agriculture : Floriculture  (16 Days, 48 hrs)</v>
      </c>
      <c r="B21" s="814"/>
      <c r="C21" s="814"/>
      <c r="D21" s="814"/>
      <c r="E21" s="814"/>
      <c r="F21" s="815">
        <f>'No. of people trained '!F198</f>
        <v>0.3</v>
      </c>
      <c r="G21" s="815">
        <f>'No. of people trained '!G198</f>
        <v>0.3</v>
      </c>
      <c r="H21" s="815">
        <f>'No. of people trained '!H198</f>
        <v>0.3</v>
      </c>
      <c r="I21" s="815">
        <f>'No. of people trained '!I198</f>
        <v>0.3</v>
      </c>
      <c r="J21" s="815">
        <f>'No. of people trained '!J198</f>
        <v>0.66000000000000014</v>
      </c>
      <c r="K21" s="815">
        <f>'No. of people trained '!K198</f>
        <v>0.66000000000000014</v>
      </c>
      <c r="L21" s="815">
        <f>'No. of people trained '!L198</f>
        <v>0.66000000000000014</v>
      </c>
      <c r="M21" s="815">
        <f>'No. of people trained '!M198</f>
        <v>0.66000000000000014</v>
      </c>
      <c r="N21" s="815">
        <f>'No. of people trained '!N198</f>
        <v>4.3560000000000008</v>
      </c>
      <c r="O21" s="815">
        <f>'No. of people trained '!O198</f>
        <v>10.648000000000001</v>
      </c>
      <c r="P21" s="815">
        <f>'No. of people trained '!P198</f>
        <v>11.712800000000003</v>
      </c>
      <c r="Q21" s="815">
        <f>'No. of people trained '!Q198</f>
        <v>12.884080000000003</v>
      </c>
      <c r="R21" s="815">
        <f>'No. of people trained '!R198</f>
        <v>14.172488000000001</v>
      </c>
      <c r="S21" s="815">
        <f>'No. of people trained '!S198</f>
        <v>15.589736800000003</v>
      </c>
      <c r="T21" s="815">
        <f>'No. of people trained '!T198</f>
        <v>17.148710480000002</v>
      </c>
      <c r="U21" s="815">
        <f>'No. of people trained '!U198</f>
        <v>18.863581528000001</v>
      </c>
      <c r="V21" s="816">
        <f t="shared" si="1"/>
        <v>109.21539680800001</v>
      </c>
      <c r="AR21" s="818"/>
    </row>
    <row r="22" spans="1:44">
      <c r="A22" s="814" t="str">
        <f>'No. of people trained '!A200</f>
        <v>Food Processing  (16 Days, 60 hrs)</v>
      </c>
      <c r="B22" s="814"/>
      <c r="C22" s="814"/>
      <c r="D22" s="814"/>
      <c r="E22" s="814"/>
      <c r="F22" s="815">
        <f>'No. of people trained '!F201</f>
        <v>0.375</v>
      </c>
      <c r="G22" s="815">
        <f>'No. of people trained '!G201</f>
        <v>0.375</v>
      </c>
      <c r="H22" s="815">
        <f>'No. of people trained '!H201</f>
        <v>0.375</v>
      </c>
      <c r="I22" s="815">
        <f>'No. of people trained '!I201</f>
        <v>0.375</v>
      </c>
      <c r="J22" s="815">
        <f>'No. of people trained '!J201</f>
        <v>0.82499999999999996</v>
      </c>
      <c r="K22" s="815">
        <f>'No. of people trained '!K201</f>
        <v>0.82499999999999996</v>
      </c>
      <c r="L22" s="815">
        <f>'No. of people trained '!L201</f>
        <v>0.82499999999999996</v>
      </c>
      <c r="M22" s="815">
        <f>'No. of people trained '!M201</f>
        <v>0.82499999999999996</v>
      </c>
      <c r="N22" s="815">
        <f>'No. of people trained '!N201</f>
        <v>5.4450000000000012</v>
      </c>
      <c r="O22" s="815">
        <f>'No. of people trained '!O201</f>
        <v>13.310000000000002</v>
      </c>
      <c r="P22" s="815">
        <f>'No. of people trained '!P201</f>
        <v>14.641000000000002</v>
      </c>
      <c r="Q22" s="815">
        <f>'No. of people trained '!Q201</f>
        <v>16.105100000000004</v>
      </c>
      <c r="R22" s="815">
        <f>'No. of people trained '!R201</f>
        <v>17.715610000000002</v>
      </c>
      <c r="S22" s="815">
        <f>'No. of people trained '!S201</f>
        <v>19.487171</v>
      </c>
      <c r="T22" s="815">
        <f>'No. of people trained '!T201</f>
        <v>21.4358881</v>
      </c>
      <c r="U22" s="815">
        <f>'No. of people trained '!U201</f>
        <v>23.57947691</v>
      </c>
      <c r="V22" s="816">
        <f t="shared" si="1"/>
        <v>136.51924601000002</v>
      </c>
      <c r="AR22" s="818"/>
    </row>
    <row r="23" spans="1:44" s="819" customFormat="1">
      <c r="F23" s="820"/>
      <c r="G23" s="820"/>
      <c r="H23" s="820"/>
      <c r="I23" s="820"/>
      <c r="J23" s="820"/>
      <c r="K23" s="820"/>
      <c r="L23" s="820"/>
      <c r="M23" s="820"/>
      <c r="N23" s="820"/>
      <c r="O23" s="820"/>
      <c r="P23" s="820"/>
      <c r="Q23" s="820"/>
      <c r="R23" s="820"/>
      <c r="S23" s="820"/>
      <c r="T23" s="820"/>
      <c r="U23" s="820"/>
      <c r="V23" s="816"/>
      <c r="X23" s="821"/>
      <c r="AR23" s="822"/>
    </row>
    <row r="24" spans="1:44" s="812" customFormat="1">
      <c r="A24" s="823" t="s">
        <v>21</v>
      </c>
      <c r="B24" s="823"/>
      <c r="C24" s="823"/>
      <c r="D24" s="823"/>
      <c r="E24" s="823"/>
      <c r="F24" s="824">
        <f t="shared" ref="F24:U24" si="2">SUM(F8:F23)</f>
        <v>36.974999999999994</v>
      </c>
      <c r="G24" s="824">
        <f t="shared" si="2"/>
        <v>36.974999999999994</v>
      </c>
      <c r="H24" s="824">
        <f t="shared" si="2"/>
        <v>36.974999999999994</v>
      </c>
      <c r="I24" s="824">
        <f t="shared" si="2"/>
        <v>36.974999999999994</v>
      </c>
      <c r="J24" s="824">
        <f t="shared" si="2"/>
        <v>65.752499999999998</v>
      </c>
      <c r="K24" s="824">
        <f t="shared" si="2"/>
        <v>65.752499999999998</v>
      </c>
      <c r="L24" s="824">
        <f t="shared" si="2"/>
        <v>65.752499999999998</v>
      </c>
      <c r="M24" s="824">
        <f t="shared" si="2"/>
        <v>65.752499999999998</v>
      </c>
      <c r="N24" s="824">
        <f t="shared" si="2"/>
        <v>421.8060000000001</v>
      </c>
      <c r="O24" s="824">
        <f t="shared" si="2"/>
        <v>966.97150000000056</v>
      </c>
      <c r="P24" s="824">
        <f t="shared" si="2"/>
        <v>1063.6686500000001</v>
      </c>
      <c r="Q24" s="824">
        <f t="shared" si="2"/>
        <v>1170.0355150000003</v>
      </c>
      <c r="R24" s="824">
        <f t="shared" si="2"/>
        <v>1287.0390664999998</v>
      </c>
      <c r="S24" s="824">
        <f t="shared" si="2"/>
        <v>1415.7429731500004</v>
      </c>
      <c r="T24" s="824">
        <f t="shared" si="2"/>
        <v>1557.3172704650003</v>
      </c>
      <c r="U24" s="824">
        <f t="shared" si="2"/>
        <v>1713.0489975114999</v>
      </c>
      <c r="V24" s="816">
        <f>SUM(F24:U24)</f>
        <v>10006.5399726265</v>
      </c>
      <c r="AR24" s="825"/>
    </row>
    <row r="25" spans="1:44" s="812" customFormat="1">
      <c r="A25" s="826"/>
      <c r="B25" s="826"/>
      <c r="C25" s="826"/>
      <c r="D25" s="826"/>
      <c r="E25" s="826"/>
      <c r="F25" s="827"/>
      <c r="G25" s="827"/>
      <c r="H25" s="827"/>
      <c r="I25" s="827"/>
      <c r="J25" s="827"/>
      <c r="K25" s="827"/>
      <c r="L25" s="827"/>
      <c r="M25" s="827"/>
      <c r="N25" s="827"/>
      <c r="O25" s="827"/>
      <c r="P25" s="827"/>
      <c r="Q25" s="827"/>
      <c r="R25" s="827"/>
      <c r="S25" s="827"/>
      <c r="T25" s="827"/>
      <c r="U25" s="827"/>
      <c r="V25" s="828"/>
      <c r="AR25" s="825"/>
    </row>
    <row r="26" spans="1:44">
      <c r="A26" s="829" t="s">
        <v>388</v>
      </c>
      <c r="B26" s="829"/>
      <c r="C26" s="829"/>
      <c r="D26" s="829"/>
      <c r="E26" s="829"/>
      <c r="F26" s="803"/>
      <c r="G26" s="803"/>
      <c r="H26" s="803"/>
      <c r="I26" s="803"/>
      <c r="J26" s="803"/>
      <c r="K26" s="803"/>
      <c r="L26" s="803"/>
      <c r="M26" s="803"/>
      <c r="N26" s="803"/>
      <c r="O26" s="803"/>
      <c r="P26" s="803"/>
      <c r="Q26" s="803"/>
      <c r="R26" s="803"/>
      <c r="S26" s="803"/>
      <c r="T26" s="803"/>
      <c r="U26" s="803"/>
      <c r="V26" s="803"/>
      <c r="W26" s="803"/>
      <c r="X26" s="803"/>
      <c r="Y26" s="803"/>
      <c r="Z26" s="803"/>
      <c r="AA26" s="803"/>
      <c r="AB26" s="803"/>
      <c r="AC26" s="803"/>
      <c r="AD26" s="803"/>
      <c r="AE26" s="803"/>
      <c r="AF26" s="803"/>
      <c r="AG26" s="803"/>
      <c r="AH26" s="803"/>
      <c r="AI26" s="803"/>
      <c r="AJ26" s="803"/>
      <c r="AK26" s="803"/>
      <c r="AL26" s="803"/>
      <c r="AM26" s="803"/>
      <c r="AN26" s="803"/>
      <c r="AO26" s="803"/>
      <c r="AP26" s="803"/>
      <c r="AQ26" s="803"/>
      <c r="AR26" s="830"/>
    </row>
    <row r="27" spans="1:44" s="812" customFormat="1">
      <c r="A27" s="831" t="s">
        <v>15</v>
      </c>
      <c r="B27" s="831"/>
      <c r="C27" s="831"/>
      <c r="D27" s="831"/>
      <c r="E27" s="831"/>
      <c r="F27" s="825">
        <f>'Opex  Assumptions'!F33</f>
        <v>32.67</v>
      </c>
      <c r="G27" s="825">
        <f>'Opex  Assumptions'!G33</f>
        <v>32.67</v>
      </c>
      <c r="H27" s="825">
        <f>'Opex  Assumptions'!H33</f>
        <v>32.67</v>
      </c>
      <c r="I27" s="825">
        <f>'Opex  Assumptions'!I33</f>
        <v>32.67</v>
      </c>
      <c r="J27" s="825">
        <f>'Opex  Assumptions'!J33</f>
        <v>51.67799999999999</v>
      </c>
      <c r="K27" s="825">
        <f>'Opex  Assumptions'!K33</f>
        <v>51.67799999999999</v>
      </c>
      <c r="L27" s="825">
        <f>'Opex  Assumptions'!L33</f>
        <v>51.67799999999999</v>
      </c>
      <c r="M27" s="825">
        <f>'Opex  Assumptions'!M33</f>
        <v>51.67799999999999</v>
      </c>
      <c r="N27" s="825">
        <f>'Opex  Assumptions'!N33</f>
        <v>305.35560000000004</v>
      </c>
      <c r="O27" s="825">
        <f>'Opex  Assumptions'!O33</f>
        <v>409.68180000000007</v>
      </c>
      <c r="P27" s="825">
        <f>'Opex  Assumptions'!P33</f>
        <v>450.64998000000008</v>
      </c>
      <c r="Q27" s="825">
        <f>'Opex  Assumptions'!Q33</f>
        <v>495.71497799999992</v>
      </c>
      <c r="R27" s="825">
        <f>'Opex  Assumptions'!R33</f>
        <v>545.28647580000018</v>
      </c>
      <c r="S27" s="825">
        <f>'Opex  Assumptions'!S33</f>
        <v>599.81512338000016</v>
      </c>
      <c r="T27" s="825">
        <f>'Opex  Assumptions'!T33</f>
        <v>659.79663571800029</v>
      </c>
      <c r="U27" s="825">
        <f>'Opex  Assumptions'!U33</f>
        <v>725.77629928980014</v>
      </c>
      <c r="V27" s="832">
        <f>SUM(F27:U27)</f>
        <v>4529.4688921878005</v>
      </c>
      <c r="AR27" s="833"/>
    </row>
    <row r="28" spans="1:44" s="812" customFormat="1">
      <c r="A28" s="831" t="s">
        <v>22</v>
      </c>
      <c r="B28" s="831"/>
      <c r="C28" s="831"/>
      <c r="D28" s="831"/>
      <c r="E28" s="831"/>
      <c r="F28" s="825">
        <f>'Opex  Assumptions'!F66</f>
        <v>25.474199999999996</v>
      </c>
      <c r="G28" s="825">
        <f>'Opex  Assumptions'!G66</f>
        <v>11.977499999999997</v>
      </c>
      <c r="H28" s="825">
        <f>'Opex  Assumptions'!H66</f>
        <v>11.977499999999997</v>
      </c>
      <c r="I28" s="825">
        <f>'Opex  Assumptions'!I66</f>
        <v>11.977499999999997</v>
      </c>
      <c r="J28" s="825">
        <f>'Opex  Assumptions'!J66</f>
        <v>25.746732000000002</v>
      </c>
      <c r="K28" s="825">
        <f>'Opex  Assumptions'!K66</f>
        <v>18.158250000000002</v>
      </c>
      <c r="L28" s="825">
        <f>'Opex  Assumptions'!L66</f>
        <v>18.158250000000002</v>
      </c>
      <c r="M28" s="825">
        <f>'Opex  Assumptions'!M66</f>
        <v>18.158250000000002</v>
      </c>
      <c r="N28" s="825">
        <f>'Opex  Assumptions'!N66</f>
        <v>111.9835398</v>
      </c>
      <c r="O28" s="825">
        <f>'Opex  Assumptions'!O66</f>
        <v>153.71543308000003</v>
      </c>
      <c r="P28" s="825">
        <f>'Opex  Assumptions'!P66</f>
        <v>159.425849</v>
      </c>
      <c r="Q28" s="825">
        <f>'Opex  Assumptions'!Q66</f>
        <v>175.36843389999999</v>
      </c>
      <c r="R28" s="825">
        <f>'Opex  Assumptions'!R66</f>
        <v>192.90527729000004</v>
      </c>
      <c r="S28" s="825">
        <f>'Opex  Assumptions'!S66</f>
        <v>212.19580501900001</v>
      </c>
      <c r="T28" s="825">
        <f>'Opex  Assumptions'!T66</f>
        <v>233.41538552090003</v>
      </c>
      <c r="U28" s="825">
        <f>'Opex  Assumptions'!U66</f>
        <v>256.75692407299005</v>
      </c>
      <c r="V28" s="832">
        <f>SUM(F28:U28)</f>
        <v>1637.3948296828903</v>
      </c>
      <c r="AR28" s="833"/>
    </row>
    <row r="29" spans="1:44" s="812" customFormat="1">
      <c r="A29" s="823" t="s">
        <v>23</v>
      </c>
      <c r="B29" s="823"/>
      <c r="C29" s="823"/>
      <c r="D29" s="823"/>
      <c r="E29" s="823"/>
      <c r="F29" s="834">
        <f t="shared" ref="F29:U29" si="3">SUM(F27:F28)</f>
        <v>58.144199999999998</v>
      </c>
      <c r="G29" s="834">
        <f t="shared" si="3"/>
        <v>44.647500000000001</v>
      </c>
      <c r="H29" s="834">
        <f t="shared" si="3"/>
        <v>44.647500000000001</v>
      </c>
      <c r="I29" s="834">
        <f t="shared" si="3"/>
        <v>44.647500000000001</v>
      </c>
      <c r="J29" s="834">
        <f t="shared" si="3"/>
        <v>77.424731999999992</v>
      </c>
      <c r="K29" s="834">
        <f t="shared" si="3"/>
        <v>69.836249999999993</v>
      </c>
      <c r="L29" s="834">
        <f t="shared" si="3"/>
        <v>69.836249999999993</v>
      </c>
      <c r="M29" s="834">
        <f t="shared" si="3"/>
        <v>69.836249999999993</v>
      </c>
      <c r="N29" s="834">
        <f t="shared" si="3"/>
        <v>417.33913980000005</v>
      </c>
      <c r="O29" s="834">
        <f t="shared" si="3"/>
        <v>563.39723308000009</v>
      </c>
      <c r="P29" s="834">
        <f t="shared" si="3"/>
        <v>610.07582900000011</v>
      </c>
      <c r="Q29" s="834">
        <f t="shared" si="3"/>
        <v>671.08341189999987</v>
      </c>
      <c r="R29" s="834">
        <f t="shared" si="3"/>
        <v>738.19175309000025</v>
      </c>
      <c r="S29" s="834">
        <f t="shared" si="3"/>
        <v>812.01092839900014</v>
      </c>
      <c r="T29" s="834">
        <f t="shared" si="3"/>
        <v>893.21202123890032</v>
      </c>
      <c r="U29" s="834">
        <f t="shared" si="3"/>
        <v>982.53322336279018</v>
      </c>
      <c r="V29" s="835">
        <f>SUM(F29:U29)</f>
        <v>6166.8637218706917</v>
      </c>
      <c r="AR29" s="833"/>
    </row>
    <row r="30" spans="1:44" s="804" customFormat="1">
      <c r="A30" s="836"/>
      <c r="B30" s="836"/>
      <c r="C30" s="836"/>
      <c r="D30" s="836"/>
      <c r="E30" s="836"/>
      <c r="F30" s="837"/>
      <c r="G30" s="837"/>
      <c r="H30" s="837"/>
      <c r="I30" s="837"/>
      <c r="J30" s="837"/>
      <c r="K30" s="837"/>
      <c r="L30" s="837"/>
      <c r="M30" s="837"/>
      <c r="N30" s="837"/>
      <c r="O30" s="837"/>
      <c r="P30" s="837"/>
      <c r="Q30" s="837"/>
      <c r="R30" s="837"/>
      <c r="S30" s="837"/>
      <c r="T30" s="837"/>
      <c r="U30" s="837"/>
      <c r="V30" s="838"/>
      <c r="AR30" s="839"/>
    </row>
    <row r="31" spans="1:44" s="812" customFormat="1">
      <c r="A31" s="826" t="s">
        <v>392</v>
      </c>
      <c r="B31" s="826"/>
      <c r="C31" s="826"/>
      <c r="D31" s="826"/>
      <c r="E31" s="826"/>
      <c r="F31" s="840">
        <f t="shared" ref="F31:V31" si="4">F29/F24</f>
        <v>1.57252738336714</v>
      </c>
      <c r="G31" s="840">
        <f t="shared" si="4"/>
        <v>1.207505070993915</v>
      </c>
      <c r="H31" s="840">
        <f t="shared" si="4"/>
        <v>1.207505070993915</v>
      </c>
      <c r="I31" s="840">
        <f t="shared" si="4"/>
        <v>1.207505070993915</v>
      </c>
      <c r="J31" s="840">
        <f t="shared" si="4"/>
        <v>1.1775176913425345</v>
      </c>
      <c r="K31" s="840">
        <f t="shared" si="4"/>
        <v>1.0621079046424089</v>
      </c>
      <c r="L31" s="840">
        <f t="shared" si="4"/>
        <v>1.0621079046424089</v>
      </c>
      <c r="M31" s="840">
        <f t="shared" si="4"/>
        <v>1.0621079046424089</v>
      </c>
      <c r="N31" s="840">
        <f t="shared" si="4"/>
        <v>0.98941015490533557</v>
      </c>
      <c r="O31" s="840">
        <f t="shared" si="4"/>
        <v>0.58264099105299361</v>
      </c>
      <c r="P31" s="840">
        <f t="shared" si="4"/>
        <v>0.57355815554026157</v>
      </c>
      <c r="Q31" s="840">
        <f t="shared" si="4"/>
        <v>0.57355815554026124</v>
      </c>
      <c r="R31" s="840">
        <f t="shared" si="4"/>
        <v>0.57355815554026179</v>
      </c>
      <c r="S31" s="840">
        <f t="shared" si="4"/>
        <v>0.57355815554026146</v>
      </c>
      <c r="T31" s="840">
        <f t="shared" si="4"/>
        <v>0.57355815554026157</v>
      </c>
      <c r="U31" s="840">
        <f t="shared" si="4"/>
        <v>0.57355815554026168</v>
      </c>
      <c r="V31" s="840">
        <f t="shared" si="4"/>
        <v>0.61628332457977708</v>
      </c>
      <c r="AR31" s="841"/>
    </row>
    <row r="32" spans="1:44" s="812" customFormat="1">
      <c r="AR32" s="842"/>
    </row>
    <row r="33" spans="1:61" s="812" customFormat="1">
      <c r="A33" s="843" t="s">
        <v>369</v>
      </c>
      <c r="B33" s="843"/>
      <c r="C33" s="843"/>
      <c r="D33" s="843"/>
      <c r="E33" s="843"/>
      <c r="F33" s="844">
        <f t="shared" ref="F33:U33" si="5">F24-F29</f>
        <v>-21.169200000000004</v>
      </c>
      <c r="G33" s="844">
        <f t="shared" si="5"/>
        <v>-7.6725000000000065</v>
      </c>
      <c r="H33" s="844">
        <f t="shared" si="5"/>
        <v>-7.6725000000000065</v>
      </c>
      <c r="I33" s="844">
        <f t="shared" si="5"/>
        <v>-7.6725000000000065</v>
      </c>
      <c r="J33" s="844">
        <f t="shared" si="5"/>
        <v>-11.672231999999994</v>
      </c>
      <c r="K33" s="844">
        <f t="shared" si="5"/>
        <v>-4.0837499999999949</v>
      </c>
      <c r="L33" s="844">
        <f t="shared" si="5"/>
        <v>-4.0837499999999949</v>
      </c>
      <c r="M33" s="844">
        <f t="shared" si="5"/>
        <v>-4.0837499999999949</v>
      </c>
      <c r="N33" s="844">
        <f t="shared" si="5"/>
        <v>4.4668602000000419</v>
      </c>
      <c r="O33" s="844">
        <f t="shared" si="5"/>
        <v>403.57426692000047</v>
      </c>
      <c r="P33" s="844">
        <f t="shared" si="5"/>
        <v>453.59282099999996</v>
      </c>
      <c r="Q33" s="844">
        <f t="shared" si="5"/>
        <v>498.95210310000039</v>
      </c>
      <c r="R33" s="844">
        <f t="shared" si="5"/>
        <v>548.84731340999951</v>
      </c>
      <c r="S33" s="844">
        <f t="shared" si="5"/>
        <v>603.73204475100022</v>
      </c>
      <c r="T33" s="844">
        <f t="shared" si="5"/>
        <v>664.1052492261</v>
      </c>
      <c r="U33" s="844">
        <f t="shared" si="5"/>
        <v>730.51577414870974</v>
      </c>
      <c r="V33" s="845">
        <f>SUM(F33:U33)</f>
        <v>3839.6762507558101</v>
      </c>
      <c r="AR33" s="841"/>
    </row>
    <row r="34" spans="1:61" s="804" customFormat="1">
      <c r="A34" s="846"/>
      <c r="B34" s="846"/>
      <c r="C34" s="846"/>
      <c r="D34" s="846"/>
      <c r="E34" s="846"/>
      <c r="F34" s="847"/>
      <c r="G34" s="847"/>
      <c r="H34" s="847"/>
      <c r="I34" s="847"/>
      <c r="J34" s="847"/>
      <c r="K34" s="847"/>
      <c r="L34" s="847"/>
      <c r="M34" s="847"/>
      <c r="N34" s="847"/>
      <c r="O34" s="847"/>
      <c r="P34" s="847"/>
      <c r="Q34" s="847"/>
      <c r="R34" s="847"/>
      <c r="S34" s="847"/>
      <c r="T34" s="847"/>
      <c r="U34" s="847"/>
      <c r="V34" s="848"/>
      <c r="AR34" s="849"/>
    </row>
    <row r="35" spans="1:61" s="852" customFormat="1">
      <c r="A35" s="850" t="s">
        <v>391</v>
      </c>
      <c r="B35" s="850"/>
      <c r="C35" s="850"/>
      <c r="D35" s="850"/>
      <c r="E35" s="850"/>
      <c r="F35" s="851">
        <f t="shared" ref="F35:V35" si="6">F33/F24</f>
        <v>-0.57252738336714015</v>
      </c>
      <c r="G35" s="851">
        <f t="shared" si="6"/>
        <v>-0.20750507099391502</v>
      </c>
      <c r="H35" s="851">
        <f t="shared" si="6"/>
        <v>-0.20750507099391502</v>
      </c>
      <c r="I35" s="851">
        <f t="shared" si="6"/>
        <v>-0.20750507099391502</v>
      </c>
      <c r="J35" s="851">
        <f t="shared" si="6"/>
        <v>-0.17751769134253442</v>
      </c>
      <c r="K35" s="851">
        <f t="shared" si="6"/>
        <v>-6.2107904642408958E-2</v>
      </c>
      <c r="L35" s="851">
        <f t="shared" si="6"/>
        <v>-6.2107904642408958E-2</v>
      </c>
      <c r="M35" s="851">
        <f t="shared" si="6"/>
        <v>-6.2107904642408958E-2</v>
      </c>
      <c r="N35" s="851">
        <f t="shared" si="6"/>
        <v>1.0589845094664469E-2</v>
      </c>
      <c r="O35" s="851">
        <f t="shared" si="6"/>
        <v>0.41735900894700645</v>
      </c>
      <c r="P35" s="851">
        <f t="shared" si="6"/>
        <v>0.42644184445973843</v>
      </c>
      <c r="Q35" s="851">
        <f t="shared" si="6"/>
        <v>0.42644184445973871</v>
      </c>
      <c r="R35" s="851">
        <f t="shared" si="6"/>
        <v>0.42644184445973815</v>
      </c>
      <c r="S35" s="851">
        <f t="shared" si="6"/>
        <v>0.42644184445973854</v>
      </c>
      <c r="T35" s="851">
        <f t="shared" si="6"/>
        <v>0.42644184445973837</v>
      </c>
      <c r="U35" s="851">
        <f t="shared" si="6"/>
        <v>0.42644184445973832</v>
      </c>
      <c r="V35" s="851">
        <f t="shared" si="6"/>
        <v>0.38371667542022303</v>
      </c>
      <c r="AR35" s="851"/>
    </row>
    <row r="36" spans="1:61" s="812" customFormat="1">
      <c r="A36" s="831"/>
      <c r="B36" s="831"/>
      <c r="C36" s="831"/>
      <c r="D36" s="831"/>
      <c r="E36" s="831"/>
      <c r="F36" s="853"/>
      <c r="G36" s="853"/>
      <c r="H36" s="853"/>
      <c r="I36" s="853"/>
      <c r="J36" s="853"/>
      <c r="K36" s="853"/>
      <c r="L36" s="853"/>
      <c r="M36" s="853"/>
      <c r="N36" s="853"/>
      <c r="O36" s="853"/>
      <c r="P36" s="853"/>
      <c r="Q36" s="853"/>
      <c r="R36" s="853"/>
      <c r="S36" s="853"/>
      <c r="T36" s="853"/>
      <c r="U36" s="853"/>
      <c r="V36" s="854"/>
      <c r="AR36" s="841"/>
    </row>
    <row r="37" spans="1:61" s="812" customFormat="1">
      <c r="A37" s="831" t="s">
        <v>24</v>
      </c>
      <c r="B37" s="831"/>
      <c r="C37" s="831"/>
      <c r="D37" s="831"/>
      <c r="E37" s="831"/>
      <c r="F37" s="825">
        <f>'Depreciation '!C34</f>
        <v>15.719760000000001</v>
      </c>
      <c r="G37" s="825">
        <f>'Depreciation '!D34</f>
        <v>11.111367982999999</v>
      </c>
      <c r="H37" s="825">
        <f>'Depreciation '!E34</f>
        <v>8.1545453796457004</v>
      </c>
      <c r="I37" s="825">
        <f>'Depreciation '!F34</f>
        <v>6.2168599757553213</v>
      </c>
      <c r="J37" s="825">
        <f>'Depreciation '!G34</f>
        <v>12.419165714838627</v>
      </c>
      <c r="K37" s="825">
        <f>'Depreciation '!H34</f>
        <v>9.3056081782527134</v>
      </c>
      <c r="L37" s="825">
        <f>'Depreciation '!I34</f>
        <v>7.2397241314598766</v>
      </c>
      <c r="M37" s="825">
        <f>'Depreciation '!J34</f>
        <v>5.8305106777058233</v>
      </c>
      <c r="N37" s="825">
        <f>'Depreciation '!K34</f>
        <v>14.436744304235075</v>
      </c>
      <c r="O37" s="825">
        <f>'Depreciation '!L34</f>
        <v>19.561560962781911</v>
      </c>
      <c r="P37" s="825">
        <f>'Depreciation '!M34</f>
        <v>14.49105909522671</v>
      </c>
      <c r="Q37" s="825">
        <f>'Depreciation '!N34</f>
        <v>11.164582378128577</v>
      </c>
      <c r="R37" s="825">
        <f>'Depreciation '!O34</f>
        <v>8.9241228360104401</v>
      </c>
      <c r="S37" s="825">
        <f>'Depreciation '!P34</f>
        <v>7.3684548589699235</v>
      </c>
      <c r="T37" s="825">
        <f>'Depreciation '!Q34</f>
        <v>6.251525442497945</v>
      </c>
      <c r="U37" s="825">
        <f>'Depreciation '!R34</f>
        <v>5.421294611972419</v>
      </c>
      <c r="V37" s="832">
        <f>SUM(F37:U37)</f>
        <v>163.61688653048108</v>
      </c>
      <c r="X37" s="1000" t="s">
        <v>143</v>
      </c>
      <c r="Y37" s="1000"/>
      <c r="Z37" s="1000"/>
      <c r="AA37" s="1000"/>
      <c r="AB37" s="1000" t="s">
        <v>144</v>
      </c>
      <c r="AC37" s="1000"/>
      <c r="AD37" s="1000"/>
      <c r="AE37" s="1000"/>
      <c r="AF37" s="855" t="s">
        <v>149</v>
      </c>
      <c r="AG37" s="855" t="s">
        <v>150</v>
      </c>
      <c r="AH37" s="855" t="s">
        <v>151</v>
      </c>
      <c r="AI37" s="855" t="s">
        <v>177</v>
      </c>
      <c r="AJ37" s="855" t="s">
        <v>178</v>
      </c>
      <c r="AK37" s="855" t="s">
        <v>179</v>
      </c>
      <c r="AL37" s="855" t="s">
        <v>180</v>
      </c>
      <c r="AM37" s="855" t="s">
        <v>181</v>
      </c>
      <c r="AN37" s="855"/>
      <c r="AR37" s="825"/>
    </row>
    <row r="38" spans="1:61" s="812" customFormat="1">
      <c r="A38" s="831" t="s">
        <v>25</v>
      </c>
      <c r="B38" s="831"/>
      <c r="C38" s="831"/>
      <c r="D38" s="831"/>
      <c r="E38" s="831"/>
      <c r="F38" s="825">
        <f>Amortisation!C15</f>
        <v>3.75</v>
      </c>
      <c r="G38" s="825">
        <f>Amortisation!D15</f>
        <v>3.75</v>
      </c>
      <c r="H38" s="825">
        <f>Amortisation!E15</f>
        <v>3.75</v>
      </c>
      <c r="I38" s="825">
        <f>Amortisation!F15</f>
        <v>3.75</v>
      </c>
      <c r="J38" s="825">
        <f>Amortisation!G15</f>
        <v>3.75</v>
      </c>
      <c r="K38" s="825">
        <f>Amortisation!H15</f>
        <v>3.75</v>
      </c>
      <c r="L38" s="825">
        <f>Amortisation!I15</f>
        <v>3.75</v>
      </c>
      <c r="M38" s="825">
        <f>Amortisation!J15</f>
        <v>3.75</v>
      </c>
      <c r="N38" s="825">
        <f>Amortisation!K15</f>
        <v>15</v>
      </c>
      <c r="O38" s="825">
        <f>Amortisation!L15</f>
        <v>15</v>
      </c>
      <c r="P38" s="825">
        <f>Amortisation!M15</f>
        <v>15</v>
      </c>
      <c r="Q38" s="825">
        <f>Amortisation!N15</f>
        <v>0</v>
      </c>
      <c r="R38" s="825">
        <f>Amortisation!O15</f>
        <v>0</v>
      </c>
      <c r="S38" s="825">
        <f>Amortisation!P15</f>
        <v>0</v>
      </c>
      <c r="T38" s="825">
        <f>Amortisation!Q15</f>
        <v>0</v>
      </c>
      <c r="U38" s="825">
        <f>Amortisation!R15</f>
        <v>0</v>
      </c>
      <c r="V38" s="832">
        <f>SUM(F38:U38)</f>
        <v>75</v>
      </c>
      <c r="X38" s="830" t="s">
        <v>407</v>
      </c>
      <c r="Y38" s="830" t="s">
        <v>408</v>
      </c>
      <c r="Z38" s="830" t="s">
        <v>409</v>
      </c>
      <c r="AA38" s="830" t="s">
        <v>410</v>
      </c>
      <c r="AB38" s="830" t="s">
        <v>407</v>
      </c>
      <c r="AC38" s="830" t="s">
        <v>408</v>
      </c>
      <c r="AD38" s="830" t="s">
        <v>409</v>
      </c>
      <c r="AE38" s="830" t="s">
        <v>410</v>
      </c>
      <c r="AF38" s="830"/>
      <c r="AG38" s="830"/>
      <c r="AH38" s="830"/>
      <c r="AI38" s="830"/>
      <c r="AJ38" s="830"/>
      <c r="AK38" s="830"/>
      <c r="AL38" s="830"/>
      <c r="AM38" s="830"/>
      <c r="AN38" s="856"/>
      <c r="AR38" s="825"/>
    </row>
    <row r="39" spans="1:61" s="812" customFormat="1">
      <c r="A39" s="850" t="s">
        <v>26</v>
      </c>
      <c r="B39" s="850"/>
      <c r="C39" s="850"/>
      <c r="D39" s="850"/>
      <c r="E39" s="850"/>
      <c r="F39" s="857">
        <v>2.9582512690356242</v>
      </c>
      <c r="G39" s="857">
        <v>2.9601616944530478</v>
      </c>
      <c r="H39" s="857">
        <v>3.0991235476706187</v>
      </c>
      <c r="I39" s="857">
        <v>3.2402015712468568</v>
      </c>
      <c r="J39" s="857">
        <v>4.201117889609888</v>
      </c>
      <c r="K39" s="857">
        <v>4.2161960097986384</v>
      </c>
      <c r="L39" s="857">
        <v>4.3085441724699081</v>
      </c>
      <c r="M39" s="857">
        <v>4.402298652414129</v>
      </c>
      <c r="N39" s="857">
        <v>19.478913925436515</v>
      </c>
      <c r="O39" s="857">
        <v>12.82596407890885</v>
      </c>
      <c r="P39" s="857">
        <v>2.1516474583005945</v>
      </c>
      <c r="Q39" s="857">
        <v>0</v>
      </c>
      <c r="R39" s="857">
        <v>0</v>
      </c>
      <c r="S39" s="857">
        <v>0</v>
      </c>
      <c r="T39" s="857">
        <v>0</v>
      </c>
      <c r="U39" s="857">
        <v>0</v>
      </c>
      <c r="V39" s="832">
        <f>SUM(F39:U39)</f>
        <v>63.842420269344679</v>
      </c>
      <c r="W39" s="858">
        <f>AN39-V39</f>
        <v>-5.373683942622165E-5</v>
      </c>
      <c r="X39" s="859">
        <f>'Interest-Principal'!C15</f>
        <v>2.9582512690355349</v>
      </c>
      <c r="Y39" s="859">
        <f>'Interest-Principal'!D15</f>
        <v>2.9601616944523306</v>
      </c>
      <c r="Z39" s="859">
        <f>'Interest-Principal'!E15</f>
        <v>3.0991235476673897</v>
      </c>
      <c r="AA39" s="859">
        <f>'Interest-Principal'!F15</f>
        <v>3.240201571236093</v>
      </c>
      <c r="AB39" s="859">
        <f>'Interest-Principal'!G15</f>
        <v>4.2011178895802415</v>
      </c>
      <c r="AC39" s="859">
        <f>'Interest-Principal'!H15</f>
        <v>4.2161960097272209</v>
      </c>
      <c r="AD39" s="859">
        <f>'Interest-Principal'!I15</f>
        <v>4.3085441723142699</v>
      </c>
      <c r="AE39" s="859">
        <f>'Interest-Principal'!J15</f>
        <v>4.4022986521004821</v>
      </c>
      <c r="AF39" s="859">
        <f>'Interest-Principal'!K15</f>
        <v>19.47891391916502</v>
      </c>
      <c r="AG39" s="859">
        <f>'Interest-Principal'!L15</f>
        <v>12.825937211095367</v>
      </c>
      <c r="AH39" s="859">
        <f>'Interest-Principal'!M15</f>
        <v>2.1516205961313095</v>
      </c>
      <c r="AI39" s="859">
        <f>'Interest-Principal'!N15</f>
        <v>0</v>
      </c>
      <c r="AJ39" s="859">
        <f>'Interest-Principal'!O15</f>
        <v>0</v>
      </c>
      <c r="AK39" s="859">
        <f>'Interest-Principal'!P15</f>
        <v>0</v>
      </c>
      <c r="AL39" s="859">
        <f>'Interest-Principal'!Q15</f>
        <v>0</v>
      </c>
      <c r="AM39" s="859">
        <f>'Interest-Principal'!R15</f>
        <v>0</v>
      </c>
      <c r="AN39" s="856">
        <f>SUM(X39:AM39)</f>
        <v>63.842366532505253</v>
      </c>
      <c r="AO39" s="856"/>
      <c r="AP39" s="856"/>
      <c r="AR39" s="825"/>
      <c r="AS39" s="856"/>
      <c r="AT39" s="856"/>
      <c r="AU39" s="856"/>
      <c r="AV39" s="856"/>
      <c r="AW39" s="856"/>
      <c r="AX39" s="856"/>
      <c r="AY39" s="856"/>
      <c r="AZ39" s="856"/>
      <c r="BA39" s="856"/>
      <c r="BB39" s="856"/>
      <c r="BC39" s="856"/>
      <c r="BD39" s="856"/>
      <c r="BE39" s="856"/>
      <c r="BF39" s="856"/>
      <c r="BG39" s="856"/>
      <c r="BH39" s="856"/>
      <c r="BI39" s="856"/>
    </row>
    <row r="40" spans="1:61" s="812" customFormat="1">
      <c r="A40" s="831"/>
      <c r="B40" s="831"/>
      <c r="C40" s="831"/>
      <c r="D40" s="831"/>
      <c r="E40" s="831"/>
      <c r="F40" s="825"/>
      <c r="G40" s="825"/>
      <c r="H40" s="825"/>
      <c r="I40" s="825"/>
      <c r="J40" s="825"/>
      <c r="K40" s="825"/>
      <c r="L40" s="825"/>
      <c r="M40" s="825"/>
      <c r="N40" s="825"/>
      <c r="O40" s="825"/>
      <c r="P40" s="825"/>
      <c r="Q40" s="825"/>
      <c r="R40" s="825"/>
      <c r="S40" s="825"/>
      <c r="T40" s="825"/>
      <c r="U40" s="825"/>
      <c r="V40" s="856"/>
      <c r="AR40" s="825"/>
    </row>
    <row r="41" spans="1:61" s="852" customFormat="1">
      <c r="A41" s="860" t="s">
        <v>27</v>
      </c>
      <c r="B41" s="860"/>
      <c r="C41" s="860"/>
      <c r="D41" s="860"/>
      <c r="E41" s="860"/>
      <c r="F41" s="861">
        <f>F33-F37-F38-F39</f>
        <v>-43.597211269035625</v>
      </c>
      <c r="G41" s="861">
        <f>G33-G37-G38-G39</f>
        <v>-25.494029677453057</v>
      </c>
      <c r="H41" s="861">
        <f t="shared" ref="H41:U41" si="7">H33-H37-H38-H39</f>
        <v>-22.676168927316326</v>
      </c>
      <c r="I41" s="861">
        <f t="shared" si="7"/>
        <v>-20.879561547002183</v>
      </c>
      <c r="J41" s="861">
        <f t="shared" si="7"/>
        <v>-32.042515604448511</v>
      </c>
      <c r="K41" s="861">
        <f t="shared" si="7"/>
        <v>-21.355554188051343</v>
      </c>
      <c r="L41" s="861">
        <f t="shared" si="7"/>
        <v>-19.38201830392978</v>
      </c>
      <c r="M41" s="861">
        <f t="shared" si="7"/>
        <v>-18.066559330119947</v>
      </c>
      <c r="N41" s="861">
        <f t="shared" si="7"/>
        <v>-44.448798029671551</v>
      </c>
      <c r="O41" s="861">
        <f t="shared" si="7"/>
        <v>356.1867418783097</v>
      </c>
      <c r="P41" s="861">
        <f t="shared" si="7"/>
        <v>421.95011444647264</v>
      </c>
      <c r="Q41" s="861">
        <f t="shared" si="7"/>
        <v>487.78752072187183</v>
      </c>
      <c r="R41" s="861">
        <f t="shared" si="7"/>
        <v>539.92319057398913</v>
      </c>
      <c r="S41" s="861">
        <f t="shared" si="7"/>
        <v>596.36358989203029</v>
      </c>
      <c r="T41" s="861">
        <f t="shared" si="7"/>
        <v>657.85372378360205</v>
      </c>
      <c r="U41" s="861">
        <f t="shared" si="7"/>
        <v>725.09447953673737</v>
      </c>
      <c r="V41" s="862">
        <f>SUM(F41:U41)</f>
        <v>3537.2169439559848</v>
      </c>
      <c r="AR41" s="851"/>
    </row>
    <row r="42" spans="1:61" s="866" customFormat="1">
      <c r="A42" s="863"/>
      <c r="B42" s="863"/>
      <c r="C42" s="863"/>
      <c r="D42" s="863"/>
      <c r="E42" s="863"/>
      <c r="F42" s="864"/>
      <c r="G42" s="864"/>
      <c r="H42" s="864"/>
      <c r="I42" s="864"/>
      <c r="J42" s="864"/>
      <c r="K42" s="864"/>
      <c r="L42" s="864"/>
      <c r="M42" s="864"/>
      <c r="N42" s="864"/>
      <c r="O42" s="864"/>
      <c r="P42" s="864"/>
      <c r="Q42" s="864"/>
      <c r="R42" s="864"/>
      <c r="S42" s="864"/>
      <c r="T42" s="864"/>
      <c r="U42" s="864"/>
      <c r="V42" s="865"/>
      <c r="AR42" s="867"/>
    </row>
    <row r="43" spans="1:61" s="852" customFormat="1">
      <c r="A43" s="868" t="s">
        <v>393</v>
      </c>
      <c r="B43" s="868"/>
      <c r="C43" s="868"/>
      <c r="D43" s="868"/>
      <c r="E43" s="868"/>
      <c r="F43" s="851">
        <f t="shared" ref="F43:U43" si="8">F41/F24</f>
        <v>-1.1790996962551896</v>
      </c>
      <c r="G43" s="851">
        <f t="shared" si="8"/>
        <v>-0.68949370324416659</v>
      </c>
      <c r="H43" s="851">
        <f t="shared" si="8"/>
        <v>-0.61328381142167221</v>
      </c>
      <c r="I43" s="851">
        <f t="shared" si="8"/>
        <v>-0.56469402425969406</v>
      </c>
      <c r="J43" s="851">
        <f t="shared" si="8"/>
        <v>-0.48732011109004997</v>
      </c>
      <c r="K43" s="851">
        <f t="shared" si="8"/>
        <v>-0.3247869539264871</v>
      </c>
      <c r="L43" s="851">
        <f t="shared" si="8"/>
        <v>-0.29477234027496718</v>
      </c>
      <c r="M43" s="851">
        <f t="shared" si="8"/>
        <v>-0.27476612037747533</v>
      </c>
      <c r="N43" s="851">
        <f t="shared" si="8"/>
        <v>-0.10537734889895246</v>
      </c>
      <c r="O43" s="851">
        <f t="shared" si="8"/>
        <v>0.3683528851453321</v>
      </c>
      <c r="P43" s="851">
        <f t="shared" si="8"/>
        <v>0.39669319430113187</v>
      </c>
      <c r="Q43" s="851">
        <f t="shared" si="8"/>
        <v>0.4168997560060147</v>
      </c>
      <c r="R43" s="851">
        <f t="shared" si="8"/>
        <v>0.41950800455674375</v>
      </c>
      <c r="S43" s="851">
        <f t="shared" si="8"/>
        <v>0.42123718867213095</v>
      </c>
      <c r="T43" s="851">
        <f t="shared" si="8"/>
        <v>0.42242755298486678</v>
      </c>
      <c r="U43" s="851">
        <f t="shared" si="8"/>
        <v>0.42327713952727714</v>
      </c>
      <c r="V43" s="851"/>
      <c r="AR43" s="851"/>
    </row>
    <row r="44" spans="1:61" s="852" customFormat="1">
      <c r="A44" s="868" t="s">
        <v>28</v>
      </c>
      <c r="B44" s="868"/>
      <c r="C44" s="868"/>
      <c r="D44" s="868"/>
      <c r="E44" s="868"/>
      <c r="F44" s="869">
        <v>0</v>
      </c>
      <c r="G44" s="869">
        <v>0</v>
      </c>
      <c r="H44" s="869">
        <v>0</v>
      </c>
      <c r="I44" s="869">
        <v>0</v>
      </c>
      <c r="J44" s="869">
        <v>0</v>
      </c>
      <c r="K44" s="869">
        <v>0</v>
      </c>
      <c r="L44" s="869">
        <v>0</v>
      </c>
      <c r="M44" s="869">
        <v>0</v>
      </c>
      <c r="N44" s="869">
        <v>0</v>
      </c>
      <c r="O44" s="869">
        <v>0</v>
      </c>
      <c r="P44" s="869">
        <v>0</v>
      </c>
      <c r="Q44" s="869">
        <v>0</v>
      </c>
      <c r="R44" s="869">
        <v>0</v>
      </c>
      <c r="S44" s="869">
        <v>0</v>
      </c>
      <c r="T44" s="869">
        <v>0</v>
      </c>
      <c r="U44" s="869">
        <v>0</v>
      </c>
      <c r="V44" s="869"/>
      <c r="AR44" s="870"/>
      <c r="AS44" s="871"/>
    </row>
    <row r="45" spans="1:61" s="852" customFormat="1">
      <c r="A45" s="868"/>
      <c r="B45" s="868"/>
      <c r="C45" s="868"/>
      <c r="D45" s="868"/>
      <c r="E45" s="868"/>
      <c r="F45" s="872"/>
      <c r="G45" s="872"/>
      <c r="H45" s="872"/>
      <c r="I45" s="872"/>
      <c r="J45" s="872"/>
      <c r="K45" s="872"/>
      <c r="L45" s="872"/>
      <c r="M45" s="872"/>
      <c r="N45" s="872"/>
      <c r="O45" s="872"/>
      <c r="P45" s="872"/>
      <c r="Q45" s="872"/>
      <c r="R45" s="872"/>
      <c r="S45" s="872"/>
      <c r="T45" s="872"/>
      <c r="U45" s="872"/>
      <c r="V45" s="873"/>
      <c r="AR45" s="870"/>
      <c r="AS45" s="871"/>
    </row>
    <row r="46" spans="1:61" s="852" customFormat="1">
      <c r="A46" s="860" t="s">
        <v>29</v>
      </c>
      <c r="B46" s="860"/>
      <c r="C46" s="860"/>
      <c r="D46" s="860"/>
      <c r="E46" s="860"/>
      <c r="F46" s="861">
        <f t="shared" ref="F46:M46" si="9">F41-F44</f>
        <v>-43.597211269035625</v>
      </c>
      <c r="G46" s="861">
        <f t="shared" si="9"/>
        <v>-25.494029677453057</v>
      </c>
      <c r="H46" s="861">
        <f t="shared" si="9"/>
        <v>-22.676168927316326</v>
      </c>
      <c r="I46" s="861">
        <f t="shared" si="9"/>
        <v>-20.879561547002183</v>
      </c>
      <c r="J46" s="861">
        <f t="shared" si="9"/>
        <v>-32.042515604448511</v>
      </c>
      <c r="K46" s="861">
        <f t="shared" si="9"/>
        <v>-21.355554188051343</v>
      </c>
      <c r="L46" s="861">
        <f t="shared" si="9"/>
        <v>-19.38201830392978</v>
      </c>
      <c r="M46" s="861">
        <f t="shared" si="9"/>
        <v>-18.066559330119947</v>
      </c>
      <c r="N46" s="861">
        <f t="shared" ref="N46:T46" si="10">N41-N44</f>
        <v>-44.448798029671551</v>
      </c>
      <c r="O46" s="861">
        <f t="shared" si="10"/>
        <v>356.1867418783097</v>
      </c>
      <c r="P46" s="861">
        <f t="shared" si="10"/>
        <v>421.95011444647264</v>
      </c>
      <c r="Q46" s="861">
        <f t="shared" si="10"/>
        <v>487.78752072187183</v>
      </c>
      <c r="R46" s="861">
        <f t="shared" si="10"/>
        <v>539.92319057398913</v>
      </c>
      <c r="S46" s="861">
        <f t="shared" si="10"/>
        <v>596.36358989203029</v>
      </c>
      <c r="T46" s="861">
        <f t="shared" si="10"/>
        <v>657.85372378360205</v>
      </c>
      <c r="U46" s="861">
        <f>U41-U44</f>
        <v>725.09447953673737</v>
      </c>
      <c r="V46" s="862">
        <f>SUM(F46:U46)</f>
        <v>3537.2169439559848</v>
      </c>
      <c r="AR46" s="851"/>
    </row>
    <row r="47" spans="1:61" s="852" customFormat="1">
      <c r="A47" s="868"/>
      <c r="B47" s="868"/>
      <c r="C47" s="868"/>
      <c r="D47" s="868"/>
      <c r="E47" s="868"/>
      <c r="F47" s="851">
        <f t="shared" ref="F47:U47" si="11">F46/F24</f>
        <v>-1.1790996962551896</v>
      </c>
      <c r="G47" s="851">
        <f t="shared" si="11"/>
        <v>-0.68949370324416659</v>
      </c>
      <c r="H47" s="851">
        <f t="shared" si="11"/>
        <v>-0.61328381142167221</v>
      </c>
      <c r="I47" s="851">
        <f t="shared" si="11"/>
        <v>-0.56469402425969406</v>
      </c>
      <c r="J47" s="851">
        <f t="shared" si="11"/>
        <v>-0.48732011109004997</v>
      </c>
      <c r="K47" s="851">
        <f t="shared" si="11"/>
        <v>-0.3247869539264871</v>
      </c>
      <c r="L47" s="851">
        <f t="shared" si="11"/>
        <v>-0.29477234027496718</v>
      </c>
      <c r="M47" s="851">
        <f t="shared" si="11"/>
        <v>-0.27476612037747533</v>
      </c>
      <c r="N47" s="851">
        <f t="shared" si="11"/>
        <v>-0.10537734889895246</v>
      </c>
      <c r="O47" s="851">
        <f t="shared" si="11"/>
        <v>0.3683528851453321</v>
      </c>
      <c r="P47" s="851">
        <f t="shared" si="11"/>
        <v>0.39669319430113187</v>
      </c>
      <c r="Q47" s="851">
        <f t="shared" si="11"/>
        <v>0.4168997560060147</v>
      </c>
      <c r="R47" s="851">
        <f t="shared" si="11"/>
        <v>0.41950800455674375</v>
      </c>
      <c r="S47" s="851">
        <f t="shared" si="11"/>
        <v>0.42123718867213095</v>
      </c>
      <c r="T47" s="851">
        <f t="shared" si="11"/>
        <v>0.42242755298486678</v>
      </c>
      <c r="U47" s="851">
        <f t="shared" si="11"/>
        <v>0.42327713952727714</v>
      </c>
      <c r="V47" s="851"/>
      <c r="AR47" s="851"/>
    </row>
    <row r="48" spans="1:61" s="852" customFormat="1">
      <c r="A48" s="868"/>
      <c r="B48" s="868"/>
      <c r="C48" s="868"/>
      <c r="D48" s="868"/>
      <c r="E48" s="868"/>
      <c r="F48" s="851"/>
      <c r="G48" s="851"/>
      <c r="H48" s="851"/>
      <c r="I48" s="851"/>
      <c r="J48" s="851"/>
      <c r="K48" s="851"/>
      <c r="L48" s="851"/>
      <c r="M48" s="851"/>
      <c r="N48" s="851"/>
      <c r="O48" s="851"/>
      <c r="P48" s="851"/>
      <c r="Q48" s="851"/>
      <c r="R48" s="851"/>
      <c r="S48" s="851"/>
      <c r="T48" s="851"/>
      <c r="U48" s="851"/>
      <c r="V48" s="851"/>
      <c r="AR48" s="851"/>
    </row>
    <row r="49" spans="1:44" s="876" customFormat="1">
      <c r="A49" s="874" t="s">
        <v>30</v>
      </c>
      <c r="B49" s="874"/>
      <c r="C49" s="874"/>
      <c r="D49" s="874"/>
      <c r="E49" s="874"/>
      <c r="F49" s="875">
        <f>F33-F39-F44</f>
        <v>-24.127451269035628</v>
      </c>
      <c r="G49" s="875">
        <f t="shared" ref="G49:U49" si="12">G33-G39-G44</f>
        <v>-10.632661694453054</v>
      </c>
      <c r="H49" s="875">
        <f t="shared" si="12"/>
        <v>-10.771623547670625</v>
      </c>
      <c r="I49" s="875">
        <f t="shared" si="12"/>
        <v>-10.912701571246863</v>
      </c>
      <c r="J49" s="875">
        <f t="shared" si="12"/>
        <v>-15.873349889609882</v>
      </c>
      <c r="K49" s="875">
        <f t="shared" si="12"/>
        <v>-8.2999460097986333</v>
      </c>
      <c r="L49" s="875">
        <f t="shared" si="12"/>
        <v>-8.3922941724699029</v>
      </c>
      <c r="M49" s="875">
        <f t="shared" si="12"/>
        <v>-8.486048652414123</v>
      </c>
      <c r="N49" s="875">
        <f t="shared" si="12"/>
        <v>-15.012053725436473</v>
      </c>
      <c r="O49" s="875">
        <f t="shared" si="12"/>
        <v>390.74830284109163</v>
      </c>
      <c r="P49" s="875">
        <f t="shared" si="12"/>
        <v>451.44117354169936</v>
      </c>
      <c r="Q49" s="875">
        <f t="shared" si="12"/>
        <v>498.95210310000039</v>
      </c>
      <c r="R49" s="875">
        <f t="shared" si="12"/>
        <v>548.84731340999951</v>
      </c>
      <c r="S49" s="875">
        <f t="shared" si="12"/>
        <v>603.73204475100022</v>
      </c>
      <c r="T49" s="875">
        <f t="shared" si="12"/>
        <v>664.1052492261</v>
      </c>
      <c r="U49" s="875">
        <f t="shared" si="12"/>
        <v>730.51577414870974</v>
      </c>
      <c r="V49" s="873">
        <f>SUM(F49:U49)</f>
        <v>3775.8338304864656</v>
      </c>
      <c r="AR49" s="877"/>
    </row>
    <row r="50" spans="1:44" s="876" customFormat="1">
      <c r="A50" s="874"/>
      <c r="B50" s="874"/>
      <c r="C50" s="874"/>
      <c r="D50" s="874"/>
      <c r="E50" s="874"/>
      <c r="F50" s="878"/>
      <c r="G50" s="878"/>
      <c r="H50" s="878"/>
      <c r="I50" s="878"/>
      <c r="J50" s="878"/>
      <c r="K50" s="878"/>
      <c r="L50" s="878"/>
      <c r="M50" s="878"/>
      <c r="N50" s="878"/>
      <c r="O50" s="878"/>
      <c r="P50" s="878"/>
      <c r="Q50" s="878"/>
      <c r="R50" s="878"/>
      <c r="S50" s="878"/>
      <c r="T50" s="878"/>
      <c r="U50" s="878"/>
      <c r="V50" s="879"/>
      <c r="AR50" s="877"/>
    </row>
    <row r="51" spans="1:44">
      <c r="A51" s="1002" t="s">
        <v>31</v>
      </c>
      <c r="B51" s="1002"/>
      <c r="C51" s="1002"/>
      <c r="D51" s="1002"/>
      <c r="E51" s="1002"/>
      <c r="F51" s="1002"/>
      <c r="G51" s="1002"/>
      <c r="H51" s="1002"/>
      <c r="I51" s="1002"/>
      <c r="J51" s="1002"/>
      <c r="K51" s="1002"/>
      <c r="L51" s="1002"/>
      <c r="M51" s="1002"/>
      <c r="N51" s="1002"/>
      <c r="O51" s="1002"/>
      <c r="P51" s="1002"/>
      <c r="Q51" s="1002"/>
      <c r="R51" s="1002"/>
      <c r="S51" s="1002"/>
      <c r="T51" s="1002"/>
      <c r="U51" s="1002"/>
    </row>
    <row r="52" spans="1:44" s="812" customFormat="1">
      <c r="A52" s="880" t="s">
        <v>483</v>
      </c>
      <c r="B52" s="880"/>
      <c r="C52" s="880"/>
      <c r="D52" s="880"/>
      <c r="E52" s="880"/>
      <c r="F52" s="881">
        <f>F83</f>
        <v>35</v>
      </c>
      <c r="G52" s="881">
        <f>G83+F52</f>
        <v>35</v>
      </c>
      <c r="H52" s="881">
        <f>H83+G52</f>
        <v>35</v>
      </c>
      <c r="I52" s="881">
        <f>I83+H52</f>
        <v>35</v>
      </c>
      <c r="J52" s="881">
        <f t="shared" ref="J52:U52" si="13">I52+J83</f>
        <v>53</v>
      </c>
      <c r="K52" s="881">
        <f t="shared" si="13"/>
        <v>53</v>
      </c>
      <c r="L52" s="881">
        <f t="shared" si="13"/>
        <v>53</v>
      </c>
      <c r="M52" s="881">
        <f t="shared" si="13"/>
        <v>53</v>
      </c>
      <c r="N52" s="881">
        <f t="shared" si="13"/>
        <v>68</v>
      </c>
      <c r="O52" s="881">
        <f t="shared" si="13"/>
        <v>68</v>
      </c>
      <c r="P52" s="881">
        <f t="shared" si="13"/>
        <v>68</v>
      </c>
      <c r="Q52" s="881">
        <f t="shared" si="13"/>
        <v>68</v>
      </c>
      <c r="R52" s="881">
        <f t="shared" si="13"/>
        <v>68</v>
      </c>
      <c r="S52" s="881">
        <f t="shared" si="13"/>
        <v>68</v>
      </c>
      <c r="T52" s="881">
        <f t="shared" si="13"/>
        <v>68</v>
      </c>
      <c r="U52" s="881">
        <f t="shared" si="13"/>
        <v>68</v>
      </c>
      <c r="AR52" s="882"/>
    </row>
    <row r="53" spans="1:44" s="812" customFormat="1">
      <c r="A53" s="880" t="s">
        <v>32</v>
      </c>
      <c r="B53" s="880"/>
      <c r="C53" s="880"/>
      <c r="D53" s="880"/>
      <c r="E53" s="880"/>
      <c r="F53" s="881">
        <f>F84</f>
        <v>0</v>
      </c>
      <c r="G53" s="881">
        <f t="shared" ref="G53:U53" si="14">G84</f>
        <v>0</v>
      </c>
      <c r="H53" s="881">
        <f t="shared" si="14"/>
        <v>0</v>
      </c>
      <c r="I53" s="881">
        <f t="shared" si="14"/>
        <v>0</v>
      </c>
      <c r="J53" s="881">
        <f t="shared" si="14"/>
        <v>0</v>
      </c>
      <c r="K53" s="881">
        <f t="shared" si="14"/>
        <v>0</v>
      </c>
      <c r="L53" s="881">
        <f t="shared" si="14"/>
        <v>0</v>
      </c>
      <c r="M53" s="881">
        <f t="shared" si="14"/>
        <v>0</v>
      </c>
      <c r="N53" s="881">
        <f t="shared" si="14"/>
        <v>0</v>
      </c>
      <c r="O53" s="881">
        <f t="shared" si="14"/>
        <v>0</v>
      </c>
      <c r="P53" s="881">
        <f t="shared" si="14"/>
        <v>0</v>
      </c>
      <c r="Q53" s="881">
        <f t="shared" si="14"/>
        <v>0</v>
      </c>
      <c r="R53" s="881">
        <f t="shared" si="14"/>
        <v>0</v>
      </c>
      <c r="S53" s="881">
        <f t="shared" si="14"/>
        <v>0</v>
      </c>
      <c r="T53" s="881">
        <f t="shared" si="14"/>
        <v>0</v>
      </c>
      <c r="U53" s="881">
        <f t="shared" si="14"/>
        <v>0</v>
      </c>
      <c r="AI53" s="856"/>
      <c r="AJ53" s="856"/>
      <c r="AK53" s="856"/>
      <c r="AL53" s="856"/>
      <c r="AM53" s="856"/>
      <c r="AR53" s="882"/>
    </row>
    <row r="54" spans="1:44" s="812" customFormat="1">
      <c r="A54" s="880" t="s">
        <v>427</v>
      </c>
      <c r="B54" s="880"/>
      <c r="C54" s="880"/>
      <c r="D54" s="880"/>
      <c r="E54" s="880"/>
      <c r="F54" s="881">
        <f>F93</f>
        <v>1.5074999999999998</v>
      </c>
      <c r="G54" s="881">
        <f t="shared" ref="G54:U54" si="15">G93</f>
        <v>3.0149999999999997</v>
      </c>
      <c r="H54" s="881">
        <f t="shared" si="15"/>
        <v>4.5224999999999991</v>
      </c>
      <c r="I54" s="881">
        <f t="shared" si="15"/>
        <v>6.0299999999999994</v>
      </c>
      <c r="J54" s="881">
        <f t="shared" si="15"/>
        <v>8.2657500000000006</v>
      </c>
      <c r="K54" s="881">
        <f t="shared" si="15"/>
        <v>10.5015</v>
      </c>
      <c r="L54" s="881">
        <f t="shared" si="15"/>
        <v>12.73725</v>
      </c>
      <c r="M54" s="881">
        <f t="shared" si="15"/>
        <v>14.972999999999999</v>
      </c>
      <c r="N54" s="881">
        <f t="shared" si="15"/>
        <v>27.714300000000001</v>
      </c>
      <c r="O54" s="881">
        <f t="shared" si="15"/>
        <v>0</v>
      </c>
      <c r="P54" s="881">
        <f t="shared" si="15"/>
        <v>0</v>
      </c>
      <c r="Q54" s="881">
        <f t="shared" si="15"/>
        <v>0</v>
      </c>
      <c r="R54" s="881">
        <f t="shared" si="15"/>
        <v>0</v>
      </c>
      <c r="S54" s="881">
        <f t="shared" si="15"/>
        <v>0</v>
      </c>
      <c r="T54" s="881">
        <f t="shared" si="15"/>
        <v>0</v>
      </c>
      <c r="U54" s="881">
        <f t="shared" si="15"/>
        <v>0</v>
      </c>
      <c r="AI54" s="856"/>
      <c r="AJ54" s="856"/>
      <c r="AK54" s="856"/>
      <c r="AL54" s="856"/>
      <c r="AM54" s="856"/>
      <c r="AR54" s="882"/>
    </row>
    <row r="55" spans="1:44" s="812" customFormat="1">
      <c r="A55" s="831" t="s">
        <v>33</v>
      </c>
      <c r="B55" s="831"/>
      <c r="C55" s="831"/>
      <c r="D55" s="831"/>
      <c r="E55" s="831"/>
      <c r="F55" s="883">
        <f>'P&amp;L Statement'!B26</f>
        <v>-43.59721126903554</v>
      </c>
      <c r="G55" s="883">
        <f>'P&amp;L Statement'!C26</f>
        <v>-69.091240946487886</v>
      </c>
      <c r="H55" s="883">
        <f>'P&amp;L Statement'!D26</f>
        <v>-91.767409873800986</v>
      </c>
      <c r="I55" s="883">
        <f>'P&amp;L Statement'!E26</f>
        <v>-112.6469714207924</v>
      </c>
      <c r="J55" s="883">
        <f>'P&amp;L Statement'!F26</f>
        <v>-144.68948702521126</v>
      </c>
      <c r="K55" s="883">
        <f>'P&amp;L Statement'!G26</f>
        <v>-166.04504121319118</v>
      </c>
      <c r="L55" s="883">
        <f>'P&amp;L Statement'!H26</f>
        <v>-185.42705951696533</v>
      </c>
      <c r="M55" s="883">
        <f>'P&amp;L Statement'!I26</f>
        <v>-203.49361884677162</v>
      </c>
      <c r="N55" s="883">
        <f>'P&amp;L Statement'!J26</f>
        <v>-247.94241687017168</v>
      </c>
      <c r="O55" s="883">
        <f>'P&amp;L Statement'!K26</f>
        <v>108.24435187595148</v>
      </c>
      <c r="P55" s="883">
        <f>'P&amp;L Statement'!L26</f>
        <v>530.1944931845934</v>
      </c>
      <c r="Q55" s="883">
        <f>'P&amp;L Statement'!M26</f>
        <v>1017.9820139064652</v>
      </c>
      <c r="R55" s="883">
        <f>'P&amp;L Statement'!N26</f>
        <v>1557.9052044804544</v>
      </c>
      <c r="S55" s="883">
        <f>'P&amp;L Statement'!O26</f>
        <v>2154.2687943724845</v>
      </c>
      <c r="T55" s="883">
        <f>'P&amp;L Statement'!P26</f>
        <v>2812.1225181560867</v>
      </c>
      <c r="U55" s="883">
        <f>'P&amp;L Statement'!Q26</f>
        <v>3537.216997692824</v>
      </c>
      <c r="V55" s="854">
        <f>T55-'Balance Sheet'!Q36</f>
        <v>0</v>
      </c>
      <c r="AR55" s="882"/>
    </row>
    <row r="56" spans="1:44" s="812" customFormat="1">
      <c r="A56" s="831" t="s">
        <v>34</v>
      </c>
      <c r="B56" s="831"/>
      <c r="C56" s="831"/>
      <c r="D56" s="831"/>
      <c r="E56" s="831"/>
      <c r="F56" s="881">
        <f t="shared" ref="F56:M56" si="16">F92+F94</f>
        <v>197.21675126903565</v>
      </c>
      <c r="G56" s="881">
        <f t="shared" si="16"/>
        <v>197.3441129634887</v>
      </c>
      <c r="H56" s="881">
        <f t="shared" si="16"/>
        <v>206.60823651115933</v>
      </c>
      <c r="I56" s="881">
        <f t="shared" si="16"/>
        <v>216.0134380824062</v>
      </c>
      <c r="J56" s="881">
        <f t="shared" si="16"/>
        <v>280.07452597201609</v>
      </c>
      <c r="K56" s="881">
        <f t="shared" si="16"/>
        <v>281.07973398181474</v>
      </c>
      <c r="L56" s="881">
        <f t="shared" si="16"/>
        <v>287.23627815428466</v>
      </c>
      <c r="M56" s="881">
        <f t="shared" si="16"/>
        <v>293.48657680669879</v>
      </c>
      <c r="N56" s="881">
        <f t="shared" ref="N56:T56" si="17">N92+N94</f>
        <v>355.81055383213527</v>
      </c>
      <c r="O56" s="881">
        <f t="shared" si="17"/>
        <v>71.720686537710321</v>
      </c>
      <c r="P56" s="881">
        <f t="shared" si="17"/>
        <v>0</v>
      </c>
      <c r="Q56" s="881">
        <f t="shared" si="17"/>
        <v>0</v>
      </c>
      <c r="R56" s="881">
        <f t="shared" si="17"/>
        <v>0</v>
      </c>
      <c r="S56" s="881">
        <f t="shared" si="17"/>
        <v>0</v>
      </c>
      <c r="T56" s="881">
        <f t="shared" si="17"/>
        <v>0</v>
      </c>
      <c r="U56" s="881">
        <f>U92+U94</f>
        <v>0</v>
      </c>
      <c r="AR56" s="882"/>
    </row>
    <row r="57" spans="1:44" s="812" customFormat="1">
      <c r="A57" s="831"/>
      <c r="B57" s="831"/>
      <c r="C57" s="831"/>
      <c r="D57" s="831"/>
      <c r="E57" s="831"/>
      <c r="F57" s="881"/>
      <c r="G57" s="881"/>
      <c r="H57" s="881"/>
      <c r="I57" s="881"/>
      <c r="J57" s="881"/>
      <c r="K57" s="881"/>
      <c r="L57" s="881"/>
      <c r="M57" s="881"/>
      <c r="N57" s="881"/>
      <c r="O57" s="881"/>
      <c r="P57" s="881"/>
      <c r="Q57" s="881"/>
      <c r="R57" s="881"/>
      <c r="S57" s="881"/>
      <c r="T57" s="881"/>
      <c r="U57" s="881"/>
      <c r="AR57" s="882"/>
    </row>
    <row r="58" spans="1:44" s="812" customFormat="1">
      <c r="A58" s="826" t="s">
        <v>35</v>
      </c>
      <c r="B58" s="826"/>
      <c r="C58" s="826"/>
      <c r="D58" s="826"/>
      <c r="E58" s="826"/>
      <c r="F58" s="884">
        <f>SUM(F52:F56)</f>
        <v>190.12704000000011</v>
      </c>
      <c r="G58" s="884">
        <f t="shared" ref="G58:U58" si="18">SUM(G52:G56)</f>
        <v>166.2678720170008</v>
      </c>
      <c r="H58" s="884">
        <f t="shared" si="18"/>
        <v>154.36332663735834</v>
      </c>
      <c r="I58" s="884">
        <f t="shared" si="18"/>
        <v>144.3964666616138</v>
      </c>
      <c r="J58" s="884">
        <f t="shared" si="18"/>
        <v>196.65078894680482</v>
      </c>
      <c r="K58" s="884">
        <f t="shared" si="18"/>
        <v>178.53619276862355</v>
      </c>
      <c r="L58" s="884">
        <f t="shared" si="18"/>
        <v>167.54646863731932</v>
      </c>
      <c r="M58" s="884">
        <f t="shared" si="18"/>
        <v>157.96595795992715</v>
      </c>
      <c r="N58" s="884">
        <f t="shared" si="18"/>
        <v>203.58243696196359</v>
      </c>
      <c r="O58" s="884">
        <f t="shared" si="18"/>
        <v>247.9650384136618</v>
      </c>
      <c r="P58" s="884">
        <f t="shared" si="18"/>
        <v>598.1944931845934</v>
      </c>
      <c r="Q58" s="884">
        <f t="shared" si="18"/>
        <v>1085.9820139064652</v>
      </c>
      <c r="R58" s="884">
        <f t="shared" si="18"/>
        <v>1625.9052044804544</v>
      </c>
      <c r="S58" s="884">
        <f t="shared" si="18"/>
        <v>2222.2687943724845</v>
      </c>
      <c r="T58" s="884">
        <f t="shared" si="18"/>
        <v>2880.1225181560867</v>
      </c>
      <c r="U58" s="884">
        <f t="shared" si="18"/>
        <v>3605.216997692824</v>
      </c>
      <c r="AR58" s="882"/>
    </row>
    <row r="59" spans="1:44" s="812" customFormat="1">
      <c r="A59" s="826"/>
      <c r="B59" s="826"/>
      <c r="C59" s="826"/>
      <c r="D59" s="826"/>
      <c r="E59" s="826"/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AR59" s="882"/>
    </row>
    <row r="60" spans="1:44" s="812" customFormat="1">
      <c r="A60" s="886" t="s">
        <v>481</v>
      </c>
      <c r="B60" s="886"/>
      <c r="C60" s="886"/>
      <c r="D60" s="886"/>
      <c r="E60" s="886"/>
      <c r="F60" s="885">
        <f>F76</f>
        <v>91.690000000000012</v>
      </c>
      <c r="G60" s="885">
        <f t="shared" ref="G60:U60" si="19">G76</f>
        <v>91.690000000000012</v>
      </c>
      <c r="H60" s="885">
        <f t="shared" si="19"/>
        <v>91.690000000000012</v>
      </c>
      <c r="I60" s="885">
        <f t="shared" si="19"/>
        <v>91.690000000000012</v>
      </c>
      <c r="J60" s="885">
        <f t="shared" si="19"/>
        <v>134.28200000000001</v>
      </c>
      <c r="K60" s="885">
        <f t="shared" si="19"/>
        <v>134.28200000000001</v>
      </c>
      <c r="L60" s="885">
        <f t="shared" si="19"/>
        <v>134.28200000000001</v>
      </c>
      <c r="M60" s="885">
        <f t="shared" si="19"/>
        <v>134.28200000000001</v>
      </c>
      <c r="N60" s="885">
        <f t="shared" si="19"/>
        <v>184.15819999999999</v>
      </c>
      <c r="O60" s="885">
        <f t="shared" si="19"/>
        <v>234.36351999999999</v>
      </c>
      <c r="P60" s="885">
        <f t="shared" si="19"/>
        <v>234.36351999999999</v>
      </c>
      <c r="Q60" s="885">
        <f t="shared" si="19"/>
        <v>234.36351999999999</v>
      </c>
      <c r="R60" s="885">
        <f t="shared" si="19"/>
        <v>234.36351999999999</v>
      </c>
      <c r="S60" s="885">
        <f t="shared" si="19"/>
        <v>234.36351999999999</v>
      </c>
      <c r="T60" s="885">
        <f t="shared" si="19"/>
        <v>234.36351999999999</v>
      </c>
      <c r="U60" s="885">
        <f t="shared" si="19"/>
        <v>234.36351999999999</v>
      </c>
      <c r="AR60" s="882"/>
    </row>
    <row r="61" spans="1:44" s="812" customFormat="1">
      <c r="A61" s="886" t="s">
        <v>36</v>
      </c>
      <c r="B61" s="886"/>
      <c r="C61" s="886"/>
      <c r="D61" s="886"/>
      <c r="E61" s="886"/>
      <c r="F61" s="885">
        <f>F78</f>
        <v>15.719760000000001</v>
      </c>
      <c r="G61" s="885">
        <f t="shared" ref="G61:U61" si="20">G78</f>
        <v>26.831127983000002</v>
      </c>
      <c r="H61" s="885">
        <f t="shared" si="20"/>
        <v>34.985673362645699</v>
      </c>
      <c r="I61" s="885">
        <f t="shared" si="20"/>
        <v>41.202533338401018</v>
      </c>
      <c r="J61" s="885">
        <f t="shared" si="20"/>
        <v>53.621699053239645</v>
      </c>
      <c r="K61" s="885">
        <f t="shared" si="20"/>
        <v>62.927307231492357</v>
      </c>
      <c r="L61" s="885">
        <f t="shared" si="20"/>
        <v>70.16703136295223</v>
      </c>
      <c r="M61" s="885">
        <f t="shared" si="20"/>
        <v>75.997542040658047</v>
      </c>
      <c r="N61" s="885">
        <f t="shared" si="20"/>
        <v>90.434286344893124</v>
      </c>
      <c r="O61" s="885">
        <f t="shared" si="20"/>
        <v>109.99584730767504</v>
      </c>
      <c r="P61" s="885">
        <f t="shared" si="20"/>
        <v>124.48690640290175</v>
      </c>
      <c r="Q61" s="885">
        <f t="shared" si="20"/>
        <v>135.65148878103034</v>
      </c>
      <c r="R61" s="885">
        <f t="shared" si="20"/>
        <v>144.57561161704078</v>
      </c>
      <c r="S61" s="885">
        <f t="shared" si="20"/>
        <v>151.9440664760107</v>
      </c>
      <c r="T61" s="885">
        <f t="shared" si="20"/>
        <v>158.19559191850865</v>
      </c>
      <c r="U61" s="885">
        <f t="shared" si="20"/>
        <v>163.61688653048108</v>
      </c>
      <c r="AR61" s="882"/>
    </row>
    <row r="62" spans="1:44" s="812" customFormat="1">
      <c r="A62" s="831" t="s">
        <v>450</v>
      </c>
      <c r="B62" s="831"/>
      <c r="C62" s="831"/>
      <c r="D62" s="831"/>
      <c r="E62" s="831"/>
      <c r="F62" s="883">
        <f>F60-F61</f>
        <v>75.970240000000018</v>
      </c>
      <c r="G62" s="883">
        <f t="shared" ref="G62:U62" si="21">G60-G61</f>
        <v>64.85887201700001</v>
      </c>
      <c r="H62" s="883">
        <f t="shared" si="21"/>
        <v>56.704326637354313</v>
      </c>
      <c r="I62" s="883">
        <f t="shared" si="21"/>
        <v>50.487466661598994</v>
      </c>
      <c r="J62" s="883">
        <f t="shared" si="21"/>
        <v>80.660300946760373</v>
      </c>
      <c r="K62" s="883">
        <f t="shared" si="21"/>
        <v>71.354692768507647</v>
      </c>
      <c r="L62" s="883">
        <f t="shared" si="21"/>
        <v>64.114968637047781</v>
      </c>
      <c r="M62" s="883">
        <f t="shared" si="21"/>
        <v>58.284457959341964</v>
      </c>
      <c r="N62" s="883">
        <f t="shared" si="21"/>
        <v>93.72391365510687</v>
      </c>
      <c r="O62" s="883">
        <f t="shared" si="21"/>
        <v>124.36767269232496</v>
      </c>
      <c r="P62" s="883">
        <f t="shared" si="21"/>
        <v>109.87661359709824</v>
      </c>
      <c r="Q62" s="883">
        <f t="shared" si="21"/>
        <v>98.712031218969656</v>
      </c>
      <c r="R62" s="883">
        <f t="shared" si="21"/>
        <v>89.787908382959216</v>
      </c>
      <c r="S62" s="883">
        <f t="shared" si="21"/>
        <v>82.41945352398929</v>
      </c>
      <c r="T62" s="883">
        <f t="shared" si="21"/>
        <v>76.16792808149134</v>
      </c>
      <c r="U62" s="883">
        <f t="shared" si="21"/>
        <v>70.746633469518912</v>
      </c>
      <c r="AR62" s="882"/>
    </row>
    <row r="63" spans="1:44" s="812" customFormat="1">
      <c r="A63" s="831" t="str">
        <f>Amortisation!A17</f>
        <v>Unamortized Cost</v>
      </c>
      <c r="B63" s="831"/>
      <c r="C63" s="831"/>
      <c r="D63" s="831"/>
      <c r="E63" s="831"/>
      <c r="F63" s="883">
        <f>Amortisation!C17</f>
        <v>71.25</v>
      </c>
      <c r="G63" s="883">
        <f>Amortisation!D17</f>
        <v>67.5</v>
      </c>
      <c r="H63" s="883">
        <f>Amortisation!E17</f>
        <v>63.75</v>
      </c>
      <c r="I63" s="883">
        <f>Amortisation!F17</f>
        <v>60</v>
      </c>
      <c r="J63" s="883">
        <f>Amortisation!G17</f>
        <v>56.25</v>
      </c>
      <c r="K63" s="883">
        <f>Amortisation!H17</f>
        <v>52.5</v>
      </c>
      <c r="L63" s="883">
        <f>Amortisation!I17</f>
        <v>48.75</v>
      </c>
      <c r="M63" s="883">
        <f>Amortisation!J17</f>
        <v>45</v>
      </c>
      <c r="N63" s="883">
        <f>Amortisation!K17</f>
        <v>30</v>
      </c>
      <c r="O63" s="883">
        <f>Amortisation!L17</f>
        <v>15</v>
      </c>
      <c r="P63" s="883">
        <f>Amortisation!M17</f>
        <v>0</v>
      </c>
      <c r="Q63" s="883">
        <f>Amortisation!N17</f>
        <v>0</v>
      </c>
      <c r="R63" s="883">
        <f>Amortisation!O17</f>
        <v>0</v>
      </c>
      <c r="S63" s="883">
        <f>Amortisation!P17</f>
        <v>0</v>
      </c>
      <c r="T63" s="883">
        <f>Amortisation!Q17</f>
        <v>0</v>
      </c>
      <c r="U63" s="883">
        <f>Amortisation!R17</f>
        <v>0</v>
      </c>
      <c r="AR63" s="882"/>
    </row>
    <row r="64" spans="1:44">
      <c r="A64" s="937" t="s">
        <v>606</v>
      </c>
      <c r="F64" s="887">
        <f>-(F89+F90)</f>
        <v>42.906799999999997</v>
      </c>
      <c r="G64" s="887">
        <f t="shared" ref="G64:U64" si="22">F64-(G89+G90)</f>
        <v>33.908999999999999</v>
      </c>
      <c r="H64" s="887">
        <f t="shared" si="22"/>
        <v>33.908999999999999</v>
      </c>
      <c r="I64" s="887">
        <f t="shared" si="22"/>
        <v>33.908999999999999</v>
      </c>
      <c r="J64" s="887">
        <f t="shared" si="22"/>
        <v>59.740487999999999</v>
      </c>
      <c r="K64" s="887">
        <f t="shared" si="22"/>
        <v>54.6815</v>
      </c>
      <c r="L64" s="887">
        <f t="shared" si="22"/>
        <v>54.6815</v>
      </c>
      <c r="M64" s="887">
        <f t="shared" si="22"/>
        <v>54.6815</v>
      </c>
      <c r="N64" s="887">
        <f t="shared" si="22"/>
        <v>79.858523300000016</v>
      </c>
      <c r="O64" s="887">
        <f t="shared" si="22"/>
        <v>108.5973388466667</v>
      </c>
      <c r="P64" s="887">
        <f t="shared" si="22"/>
        <v>116.37710483333336</v>
      </c>
      <c r="Q64" s="887">
        <f t="shared" si="22"/>
        <v>126.54503531666666</v>
      </c>
      <c r="R64" s="887">
        <f t="shared" si="22"/>
        <v>137.7297588483334</v>
      </c>
      <c r="S64" s="887">
        <f t="shared" si="22"/>
        <v>150.03295473316672</v>
      </c>
      <c r="T64" s="887">
        <f t="shared" si="22"/>
        <v>163.56647020648342</v>
      </c>
      <c r="U64" s="887">
        <f t="shared" si="22"/>
        <v>178.45333722713173</v>
      </c>
    </row>
    <row r="65" spans="1:44">
      <c r="A65" s="811" t="s">
        <v>37</v>
      </c>
      <c r="B65" s="811"/>
      <c r="C65" s="811"/>
      <c r="D65" s="811"/>
      <c r="E65" s="811"/>
      <c r="F65" s="887">
        <f>F58-SUM(F62:F64)</f>
        <v>0</v>
      </c>
      <c r="G65" s="887">
        <f t="shared" ref="G65:U65" si="23">G58-SUM(G62:G64)</f>
        <v>7.9580786405131221E-13</v>
      </c>
      <c r="H65" s="887">
        <f t="shared" si="23"/>
        <v>4.0358827391173691E-12</v>
      </c>
      <c r="I65" s="887">
        <f t="shared" si="23"/>
        <v>1.4807710613240488E-11</v>
      </c>
      <c r="J65" s="887">
        <f t="shared" si="23"/>
        <v>4.4451553549151868E-11</v>
      </c>
      <c r="K65" s="887">
        <f t="shared" si="23"/>
        <v>1.1590373105718754E-10</v>
      </c>
      <c r="L65" s="887">
        <f t="shared" si="23"/>
        <v>2.7154101189807989E-10</v>
      </c>
      <c r="M65" s="887">
        <f t="shared" si="23"/>
        <v>5.8520299717201851E-10</v>
      </c>
      <c r="N65" s="887">
        <f t="shared" si="23"/>
        <v>6.8567089783755364E-9</v>
      </c>
      <c r="O65" s="887">
        <f t="shared" si="23"/>
        <v>2.6874670140841772E-5</v>
      </c>
      <c r="P65" s="887">
        <f t="shared" si="23"/>
        <v>371.94077475416179</v>
      </c>
      <c r="Q65" s="887">
        <f t="shared" si="23"/>
        <v>860.72494737082889</v>
      </c>
      <c r="R65" s="887">
        <f t="shared" si="23"/>
        <v>1398.3875372491618</v>
      </c>
      <c r="S65" s="887">
        <f t="shared" si="23"/>
        <v>1989.8163861153284</v>
      </c>
      <c r="T65" s="887">
        <f t="shared" si="23"/>
        <v>2640.388119868112</v>
      </c>
      <c r="U65" s="887">
        <f t="shared" si="23"/>
        <v>3356.0170269961732</v>
      </c>
    </row>
    <row r="66" spans="1:44">
      <c r="A66" s="888" t="s">
        <v>38</v>
      </c>
      <c r="B66" s="888"/>
      <c r="C66" s="888"/>
      <c r="D66" s="888"/>
      <c r="E66" s="888"/>
      <c r="F66" s="884">
        <f t="shared" ref="F66:U66" si="24">SUM(F62:F65)</f>
        <v>190.12704000000002</v>
      </c>
      <c r="G66" s="884">
        <f t="shared" si="24"/>
        <v>166.2678720170008</v>
      </c>
      <c r="H66" s="884">
        <f t="shared" si="24"/>
        <v>154.36332663735834</v>
      </c>
      <c r="I66" s="884">
        <f t="shared" si="24"/>
        <v>144.3964666616138</v>
      </c>
      <c r="J66" s="884">
        <f t="shared" si="24"/>
        <v>196.65078894680482</v>
      </c>
      <c r="K66" s="884">
        <f t="shared" si="24"/>
        <v>178.53619276862355</v>
      </c>
      <c r="L66" s="884">
        <f t="shared" si="24"/>
        <v>167.54646863731932</v>
      </c>
      <c r="M66" s="884">
        <f t="shared" si="24"/>
        <v>157.96595795992715</v>
      </c>
      <c r="N66" s="884">
        <f t="shared" si="24"/>
        <v>203.58243696196359</v>
      </c>
      <c r="O66" s="884">
        <f t="shared" si="24"/>
        <v>247.9650384136618</v>
      </c>
      <c r="P66" s="884">
        <f t="shared" si="24"/>
        <v>598.1944931845934</v>
      </c>
      <c r="Q66" s="884">
        <f t="shared" si="24"/>
        <v>1085.9820139064652</v>
      </c>
      <c r="R66" s="884">
        <f t="shared" si="24"/>
        <v>1625.9052044804544</v>
      </c>
      <c r="S66" s="884">
        <f t="shared" si="24"/>
        <v>2222.2687943724845</v>
      </c>
      <c r="T66" s="884">
        <f t="shared" si="24"/>
        <v>2880.1225181560867</v>
      </c>
      <c r="U66" s="884">
        <f t="shared" si="24"/>
        <v>3605.216997692824</v>
      </c>
    </row>
    <row r="67" spans="1:44">
      <c r="A67" s="811"/>
      <c r="B67" s="811"/>
      <c r="C67" s="811"/>
      <c r="D67" s="811"/>
      <c r="E67" s="811"/>
      <c r="F67" s="830">
        <f t="shared" ref="F67:U67" si="25">F58-F66</f>
        <v>0</v>
      </c>
      <c r="G67" s="830">
        <f t="shared" si="25"/>
        <v>0</v>
      </c>
      <c r="H67" s="830">
        <f t="shared" si="25"/>
        <v>0</v>
      </c>
      <c r="I67" s="830">
        <f t="shared" si="25"/>
        <v>0</v>
      </c>
      <c r="J67" s="830">
        <f t="shared" si="25"/>
        <v>0</v>
      </c>
      <c r="K67" s="830">
        <f t="shared" si="25"/>
        <v>0</v>
      </c>
      <c r="L67" s="830">
        <f t="shared" si="25"/>
        <v>0</v>
      </c>
      <c r="M67" s="830">
        <f t="shared" si="25"/>
        <v>0</v>
      </c>
      <c r="N67" s="830">
        <f t="shared" si="25"/>
        <v>0</v>
      </c>
      <c r="O67" s="830">
        <f t="shared" si="25"/>
        <v>0</v>
      </c>
      <c r="P67" s="830">
        <f t="shared" si="25"/>
        <v>0</v>
      </c>
      <c r="Q67" s="830">
        <f t="shared" si="25"/>
        <v>0</v>
      </c>
      <c r="R67" s="830">
        <f t="shared" si="25"/>
        <v>0</v>
      </c>
      <c r="S67" s="830">
        <f t="shared" si="25"/>
        <v>0</v>
      </c>
      <c r="T67" s="830">
        <f t="shared" si="25"/>
        <v>0</v>
      </c>
      <c r="U67" s="830">
        <f t="shared" si="25"/>
        <v>0</v>
      </c>
    </row>
    <row r="68" spans="1:44">
      <c r="A68" s="811"/>
      <c r="B68" s="811"/>
      <c r="C68" s="811"/>
      <c r="D68" s="811"/>
      <c r="E68" s="811"/>
      <c r="F68" s="889"/>
      <c r="G68" s="889"/>
      <c r="H68" s="889"/>
      <c r="I68" s="889"/>
      <c r="J68" s="889"/>
      <c r="K68" s="889"/>
      <c r="L68" s="889"/>
      <c r="M68" s="889"/>
      <c r="N68" s="889"/>
      <c r="O68" s="889"/>
      <c r="P68" s="889"/>
      <c r="Q68" s="889"/>
      <c r="R68" s="889"/>
      <c r="S68" s="889"/>
      <c r="T68" s="889"/>
      <c r="U68" s="889"/>
    </row>
    <row r="69" spans="1:44" s="893" customFormat="1">
      <c r="A69" s="890" t="s">
        <v>39</v>
      </c>
      <c r="B69" s="890"/>
      <c r="C69" s="890"/>
      <c r="D69" s="890"/>
      <c r="E69" s="890"/>
      <c r="F69" s="891"/>
      <c r="G69" s="891"/>
      <c r="H69" s="891"/>
      <c r="I69" s="891"/>
      <c r="J69" s="891"/>
      <c r="K69" s="891"/>
      <c r="L69" s="891"/>
      <c r="M69" s="891"/>
      <c r="N69" s="892"/>
      <c r="O69" s="892"/>
      <c r="P69" s="892"/>
      <c r="Q69" s="892"/>
      <c r="R69" s="892"/>
      <c r="S69" s="892"/>
      <c r="T69" s="892"/>
      <c r="U69" s="892"/>
      <c r="AR69" s="894"/>
    </row>
    <row r="70" spans="1:44">
      <c r="A70" s="888"/>
      <c r="B70" s="888"/>
      <c r="C70" s="888"/>
      <c r="D70" s="888"/>
      <c r="E70" s="888"/>
      <c r="F70" s="895"/>
      <c r="G70" s="895"/>
      <c r="H70" s="895"/>
      <c r="I70" s="895"/>
      <c r="J70" s="895"/>
      <c r="K70" s="895"/>
      <c r="L70" s="895"/>
      <c r="M70" s="895"/>
      <c r="N70" s="895"/>
      <c r="O70" s="895"/>
      <c r="P70" s="895"/>
      <c r="Q70" s="895"/>
      <c r="R70" s="895"/>
      <c r="S70" s="895"/>
      <c r="T70" s="895"/>
      <c r="U70" s="895"/>
    </row>
    <row r="71" spans="1:44">
      <c r="A71" s="888" t="s">
        <v>132</v>
      </c>
      <c r="B71" s="888"/>
      <c r="C71" s="888"/>
      <c r="D71" s="888"/>
      <c r="E71" s="888"/>
      <c r="F71" s="895"/>
      <c r="G71" s="895"/>
      <c r="H71" s="895"/>
      <c r="I71" s="895"/>
      <c r="J71" s="895"/>
      <c r="K71" s="895"/>
      <c r="L71" s="895"/>
      <c r="M71" s="895"/>
      <c r="N71" s="895"/>
      <c r="O71" s="895"/>
      <c r="P71" s="895"/>
      <c r="Q71" s="895"/>
      <c r="R71" s="895"/>
      <c r="S71" s="895"/>
      <c r="T71" s="895"/>
      <c r="U71" s="895"/>
    </row>
    <row r="72" spans="1:44">
      <c r="A72" s="811" t="str">
        <f>'Depreciation '!A9</f>
        <v>Land &amp; Building</v>
      </c>
      <c r="B72" s="811"/>
      <c r="C72" s="811"/>
      <c r="D72" s="811"/>
      <c r="E72" s="811"/>
      <c r="F72" s="896">
        <f>'Depreciation '!C9</f>
        <v>44.5</v>
      </c>
      <c r="G72" s="896">
        <f>'Depreciation '!D9</f>
        <v>44.5</v>
      </c>
      <c r="H72" s="896">
        <f>'Depreciation '!E9</f>
        <v>44.5</v>
      </c>
      <c r="I72" s="896">
        <f>'Depreciation '!F9</f>
        <v>44.5</v>
      </c>
      <c r="J72" s="896">
        <f>'Depreciation '!G9</f>
        <v>64.3</v>
      </c>
      <c r="K72" s="896">
        <f>'Depreciation '!H9</f>
        <v>64.3</v>
      </c>
      <c r="L72" s="896">
        <f>'Depreciation '!I9</f>
        <v>64.3</v>
      </c>
      <c r="M72" s="896">
        <f>'Depreciation '!J9</f>
        <v>64.3</v>
      </c>
      <c r="N72" s="896">
        <f>'Depreciation '!K9</f>
        <v>86.08</v>
      </c>
      <c r="O72" s="896">
        <f>'Depreciation '!L9</f>
        <v>110.03800000000001</v>
      </c>
      <c r="P72" s="896">
        <f>'Depreciation '!M9</f>
        <v>110.03800000000001</v>
      </c>
      <c r="Q72" s="896">
        <f>'Depreciation '!N9</f>
        <v>110.03800000000001</v>
      </c>
      <c r="R72" s="896">
        <f>'Depreciation '!O9</f>
        <v>110.03800000000001</v>
      </c>
      <c r="S72" s="896">
        <f>'Depreciation '!P9</f>
        <v>110.03800000000001</v>
      </c>
      <c r="T72" s="896">
        <f>'Depreciation '!Q9</f>
        <v>110.03800000000001</v>
      </c>
      <c r="U72" s="896">
        <f>'Depreciation '!R9</f>
        <v>110.03800000000001</v>
      </c>
    </row>
    <row r="73" spans="1:44">
      <c r="A73" s="831" t="str">
        <f>'Depreciation '!A15</f>
        <v>Furniture &amp; Fixtures</v>
      </c>
      <c r="B73" s="831"/>
      <c r="C73" s="831"/>
      <c r="D73" s="831"/>
      <c r="E73" s="831"/>
      <c r="F73" s="896">
        <f>'Depreciation '!C15</f>
        <v>16.59</v>
      </c>
      <c r="G73" s="896">
        <f>'Depreciation '!D15</f>
        <v>16.59</v>
      </c>
      <c r="H73" s="896">
        <f>'Depreciation '!E15</f>
        <v>16.59</v>
      </c>
      <c r="I73" s="896">
        <f>'Depreciation '!F15</f>
        <v>16.59</v>
      </c>
      <c r="J73" s="896">
        <f>'Depreciation '!G15</f>
        <v>25.521999999999998</v>
      </c>
      <c r="K73" s="896">
        <f>'Depreciation '!H15</f>
        <v>25.521999999999998</v>
      </c>
      <c r="L73" s="896">
        <f>'Depreciation '!I15</f>
        <v>25.521999999999998</v>
      </c>
      <c r="M73" s="896">
        <f>'Depreciation '!J15</f>
        <v>25.521999999999998</v>
      </c>
      <c r="N73" s="896">
        <f>'Depreciation '!K15</f>
        <v>34.742199999999997</v>
      </c>
      <c r="O73" s="896">
        <f>'Depreciation '!L15</f>
        <v>44.218919999999997</v>
      </c>
      <c r="P73" s="896">
        <f>'Depreciation '!M15</f>
        <v>44.218919999999997</v>
      </c>
      <c r="Q73" s="896">
        <f>'Depreciation '!N15</f>
        <v>44.218919999999997</v>
      </c>
      <c r="R73" s="896">
        <f>'Depreciation '!O15</f>
        <v>44.218919999999997</v>
      </c>
      <c r="S73" s="896">
        <f>'Depreciation '!P15</f>
        <v>44.218919999999997</v>
      </c>
      <c r="T73" s="896">
        <f>'Depreciation '!Q15</f>
        <v>44.218919999999997</v>
      </c>
      <c r="U73" s="896">
        <f>'Depreciation '!R15</f>
        <v>44.218919999999997</v>
      </c>
    </row>
    <row r="74" spans="1:44">
      <c r="A74" s="831" t="str">
        <f>'Depreciation '!A21</f>
        <v>IT Equipments</v>
      </c>
      <c r="B74" s="831"/>
      <c r="C74" s="831"/>
      <c r="D74" s="831"/>
      <c r="E74" s="831"/>
      <c r="F74" s="896">
        <f>'Depreciation '!C21</f>
        <v>23.9</v>
      </c>
      <c r="G74" s="896">
        <f>'Depreciation '!D21</f>
        <v>23.9</v>
      </c>
      <c r="H74" s="896">
        <f>'Depreciation '!E21</f>
        <v>23.9</v>
      </c>
      <c r="I74" s="896">
        <f>'Depreciation '!F21</f>
        <v>23.9</v>
      </c>
      <c r="J74" s="896">
        <f>'Depreciation '!G21</f>
        <v>35.284999999999997</v>
      </c>
      <c r="K74" s="896">
        <f>'Depreciation '!H21</f>
        <v>35.284999999999997</v>
      </c>
      <c r="L74" s="896">
        <f>'Depreciation '!I21</f>
        <v>35.284999999999997</v>
      </c>
      <c r="M74" s="896">
        <f>'Depreciation '!J21</f>
        <v>35.284999999999997</v>
      </c>
      <c r="N74" s="896">
        <f>'Depreciation '!K21</f>
        <v>51.438499999999998</v>
      </c>
      <c r="O74" s="896">
        <f>'Depreciation '!L21</f>
        <v>65.214349999999996</v>
      </c>
      <c r="P74" s="896">
        <f>'Depreciation '!M21</f>
        <v>65.214349999999996</v>
      </c>
      <c r="Q74" s="896">
        <f>'Depreciation '!N21</f>
        <v>65.214349999999996</v>
      </c>
      <c r="R74" s="896">
        <f>'Depreciation '!O21</f>
        <v>65.214349999999996</v>
      </c>
      <c r="S74" s="896">
        <f>'Depreciation '!P21</f>
        <v>65.214349999999996</v>
      </c>
      <c r="T74" s="896">
        <f>'Depreciation '!Q21</f>
        <v>65.214349999999996</v>
      </c>
      <c r="U74" s="896">
        <f>'Depreciation '!R21</f>
        <v>65.214349999999996</v>
      </c>
    </row>
    <row r="75" spans="1:44">
      <c r="A75" s="831" t="str">
        <f>'Depreciation '!A27</f>
        <v>Plant &amp; Machinery</v>
      </c>
      <c r="B75" s="831"/>
      <c r="C75" s="831"/>
      <c r="D75" s="831"/>
      <c r="E75" s="831"/>
      <c r="F75" s="896">
        <f>'Depreciation '!C27</f>
        <v>6.7</v>
      </c>
      <c r="G75" s="896">
        <f>'Depreciation '!D27</f>
        <v>6.7</v>
      </c>
      <c r="H75" s="896">
        <f>'Depreciation '!E27</f>
        <v>6.7</v>
      </c>
      <c r="I75" s="896">
        <f>'Depreciation '!F27</f>
        <v>6.7</v>
      </c>
      <c r="J75" s="896">
        <f>'Depreciation '!G27</f>
        <v>9.1750000000000007</v>
      </c>
      <c r="K75" s="896">
        <f>'Depreciation '!H27</f>
        <v>9.1750000000000007</v>
      </c>
      <c r="L75" s="896">
        <f>'Depreciation '!I27</f>
        <v>9.1750000000000007</v>
      </c>
      <c r="M75" s="896">
        <f>'Depreciation '!J27</f>
        <v>9.1750000000000007</v>
      </c>
      <c r="N75" s="896">
        <f>'Depreciation '!K27</f>
        <v>11.897500000000001</v>
      </c>
      <c r="O75" s="896">
        <f>'Depreciation '!L27</f>
        <v>14.892250000000001</v>
      </c>
      <c r="P75" s="896">
        <f>'Depreciation '!M27</f>
        <v>14.892250000000001</v>
      </c>
      <c r="Q75" s="896">
        <f>'Depreciation '!N27</f>
        <v>14.892250000000001</v>
      </c>
      <c r="R75" s="896">
        <f>'Depreciation '!O27</f>
        <v>14.892250000000001</v>
      </c>
      <c r="S75" s="896">
        <f>'Depreciation '!P27</f>
        <v>14.892250000000001</v>
      </c>
      <c r="T75" s="896">
        <f>'Depreciation '!Q27</f>
        <v>14.892250000000001</v>
      </c>
      <c r="U75" s="896">
        <f>'Depreciation '!R27</f>
        <v>14.892250000000001</v>
      </c>
    </row>
    <row r="76" spans="1:44">
      <c r="A76" s="897" t="s">
        <v>40</v>
      </c>
      <c r="B76" s="897"/>
      <c r="C76" s="897"/>
      <c r="D76" s="897"/>
      <c r="E76" s="897"/>
      <c r="F76" s="898">
        <f>SUM(F72:F75)</f>
        <v>91.690000000000012</v>
      </c>
      <c r="G76" s="898">
        <f t="shared" ref="G76:U76" si="26">SUM(G72:G75)</f>
        <v>91.690000000000012</v>
      </c>
      <c r="H76" s="898">
        <f t="shared" si="26"/>
        <v>91.690000000000012</v>
      </c>
      <c r="I76" s="898">
        <f t="shared" si="26"/>
        <v>91.690000000000012</v>
      </c>
      <c r="J76" s="898">
        <f t="shared" si="26"/>
        <v>134.28200000000001</v>
      </c>
      <c r="K76" s="898">
        <f t="shared" si="26"/>
        <v>134.28200000000001</v>
      </c>
      <c r="L76" s="898">
        <f t="shared" si="26"/>
        <v>134.28200000000001</v>
      </c>
      <c r="M76" s="898">
        <f t="shared" si="26"/>
        <v>134.28200000000001</v>
      </c>
      <c r="N76" s="898">
        <f t="shared" si="26"/>
        <v>184.15819999999999</v>
      </c>
      <c r="O76" s="898">
        <f t="shared" si="26"/>
        <v>234.36351999999999</v>
      </c>
      <c r="P76" s="898">
        <f t="shared" si="26"/>
        <v>234.36351999999999</v>
      </c>
      <c r="Q76" s="898">
        <f t="shared" si="26"/>
        <v>234.36351999999999</v>
      </c>
      <c r="R76" s="898">
        <f t="shared" si="26"/>
        <v>234.36351999999999</v>
      </c>
      <c r="S76" s="898">
        <f t="shared" si="26"/>
        <v>234.36351999999999</v>
      </c>
      <c r="T76" s="898">
        <f t="shared" si="26"/>
        <v>234.36351999999999</v>
      </c>
      <c r="U76" s="898">
        <f t="shared" si="26"/>
        <v>234.36351999999999</v>
      </c>
      <c r="V76" s="856">
        <f>F76+G76+H76+I76+J76+K76+L76+M76+N76+O76+P76+Q76+R76+S76+T76+U76</f>
        <v>2728.5908399999994</v>
      </c>
    </row>
    <row r="77" spans="1:44">
      <c r="A77" s="897" t="s">
        <v>41</v>
      </c>
      <c r="B77" s="897"/>
      <c r="C77" s="897"/>
      <c r="D77" s="897"/>
      <c r="E77" s="897"/>
      <c r="F77" s="898">
        <f>'Depreciation '!C34</f>
        <v>15.719760000000001</v>
      </c>
      <c r="G77" s="898">
        <f>'Depreciation '!D34</f>
        <v>11.111367982999999</v>
      </c>
      <c r="H77" s="898">
        <f>'Depreciation '!E34</f>
        <v>8.1545453796457004</v>
      </c>
      <c r="I77" s="898">
        <f>'Depreciation '!F34</f>
        <v>6.2168599757553213</v>
      </c>
      <c r="J77" s="898">
        <f>'Depreciation '!G34</f>
        <v>12.419165714838627</v>
      </c>
      <c r="K77" s="898">
        <f>'Depreciation '!H34</f>
        <v>9.3056081782527134</v>
      </c>
      <c r="L77" s="898">
        <f>'Depreciation '!I34</f>
        <v>7.2397241314598766</v>
      </c>
      <c r="M77" s="898">
        <f>'Depreciation '!J34</f>
        <v>5.8305106777058233</v>
      </c>
      <c r="N77" s="898">
        <f>'Depreciation '!K34</f>
        <v>14.436744304235075</v>
      </c>
      <c r="O77" s="898">
        <f>'Depreciation '!L34</f>
        <v>19.561560962781911</v>
      </c>
      <c r="P77" s="898">
        <f>'Depreciation '!M34</f>
        <v>14.49105909522671</v>
      </c>
      <c r="Q77" s="898">
        <f>'Depreciation '!N34</f>
        <v>11.164582378128577</v>
      </c>
      <c r="R77" s="898">
        <f>'Depreciation '!O34</f>
        <v>8.9241228360104401</v>
      </c>
      <c r="S77" s="898">
        <f>'Depreciation '!P34</f>
        <v>7.3684548589699235</v>
      </c>
      <c r="T77" s="898">
        <f>'Depreciation '!Q34</f>
        <v>6.251525442497945</v>
      </c>
      <c r="U77" s="898">
        <f>'Depreciation '!R34</f>
        <v>5.421294611972419</v>
      </c>
      <c r="V77" s="856">
        <f>SUM(F77:U77)</f>
        <v>163.61688653048108</v>
      </c>
    </row>
    <row r="78" spans="1:44">
      <c r="A78" s="897" t="s">
        <v>42</v>
      </c>
      <c r="B78" s="897"/>
      <c r="C78" s="897"/>
      <c r="D78" s="897"/>
      <c r="E78" s="897"/>
      <c r="F78" s="898">
        <f>'Depreciation '!C35</f>
        <v>15.719760000000001</v>
      </c>
      <c r="G78" s="898">
        <f>'Depreciation '!D35</f>
        <v>26.831127983000002</v>
      </c>
      <c r="H78" s="898">
        <f>'Depreciation '!E35</f>
        <v>34.985673362645699</v>
      </c>
      <c r="I78" s="898">
        <f>'Depreciation '!F35</f>
        <v>41.202533338401018</v>
      </c>
      <c r="J78" s="898">
        <f>'Depreciation '!G35</f>
        <v>53.621699053239645</v>
      </c>
      <c r="K78" s="898">
        <f>'Depreciation '!H35</f>
        <v>62.927307231492357</v>
      </c>
      <c r="L78" s="898">
        <f>'Depreciation '!I35</f>
        <v>70.16703136295223</v>
      </c>
      <c r="M78" s="898">
        <f>'Depreciation '!J35</f>
        <v>75.997542040658047</v>
      </c>
      <c r="N78" s="898">
        <f>'Depreciation '!K35</f>
        <v>90.434286344893124</v>
      </c>
      <c r="O78" s="898">
        <f>'Depreciation '!L35</f>
        <v>109.99584730767504</v>
      </c>
      <c r="P78" s="898">
        <f>'Depreciation '!M35</f>
        <v>124.48690640290175</v>
      </c>
      <c r="Q78" s="898">
        <f>'Depreciation '!N35</f>
        <v>135.65148878103034</v>
      </c>
      <c r="R78" s="898">
        <f>'Depreciation '!O35</f>
        <v>144.57561161704078</v>
      </c>
      <c r="S78" s="898">
        <f>'Depreciation '!P35</f>
        <v>151.9440664760107</v>
      </c>
      <c r="T78" s="898">
        <f>'Depreciation '!Q35</f>
        <v>158.19559191850865</v>
      </c>
      <c r="U78" s="898">
        <f>'Depreciation '!R35</f>
        <v>163.61688653048108</v>
      </c>
    </row>
    <row r="79" spans="1:44">
      <c r="A79" s="897" t="s">
        <v>448</v>
      </c>
      <c r="B79" s="897"/>
      <c r="C79" s="897"/>
      <c r="D79" s="897"/>
      <c r="E79" s="897"/>
      <c r="F79" s="899">
        <f>'Depreciation '!C36</f>
        <v>75.97023999999999</v>
      </c>
      <c r="G79" s="899">
        <f>'Depreciation '!D36</f>
        <v>64.85887201700001</v>
      </c>
      <c r="H79" s="899">
        <f>'Depreciation '!E36</f>
        <v>56.704326637354299</v>
      </c>
      <c r="I79" s="899">
        <f>'Depreciation '!F36</f>
        <v>50.487466661598972</v>
      </c>
      <c r="J79" s="899">
        <f>'Depreciation '!G36</f>
        <v>80.660300946760358</v>
      </c>
      <c r="K79" s="899">
        <f>'Depreciation '!H36</f>
        <v>71.354692768507633</v>
      </c>
      <c r="L79" s="899">
        <f>'Depreciation '!I36</f>
        <v>64.114968637047753</v>
      </c>
      <c r="M79" s="899">
        <f>'Depreciation '!J36</f>
        <v>58.284457959341928</v>
      </c>
      <c r="N79" s="899">
        <f>'Depreciation '!K36</f>
        <v>93.723913655106855</v>
      </c>
      <c r="O79" s="899">
        <f>'Depreciation '!L36</f>
        <v>124.36767269232494</v>
      </c>
      <c r="P79" s="899">
        <f>'Depreciation '!M36</f>
        <v>109.87661359709826</v>
      </c>
      <c r="Q79" s="899">
        <f>'Depreciation '!N36</f>
        <v>98.712031218969642</v>
      </c>
      <c r="R79" s="899">
        <f>'Depreciation '!O36</f>
        <v>89.78790838295923</v>
      </c>
      <c r="S79" s="899">
        <f>'Depreciation '!P36</f>
        <v>82.419453523989333</v>
      </c>
      <c r="T79" s="899">
        <f>'Depreciation '!Q36</f>
        <v>76.167928081491368</v>
      </c>
      <c r="U79" s="899">
        <f>'Depreciation '!R36</f>
        <v>70.74663346951894</v>
      </c>
    </row>
    <row r="81" spans="1:22">
      <c r="A81" s="900" t="s">
        <v>45</v>
      </c>
      <c r="B81" s="900"/>
      <c r="C81" s="900"/>
      <c r="D81" s="900"/>
      <c r="E81" s="900"/>
      <c r="F81" s="999"/>
      <c r="G81" s="999"/>
      <c r="H81" s="999"/>
      <c r="I81" s="999"/>
      <c r="J81" s="999"/>
      <c r="K81" s="999"/>
      <c r="L81" s="999"/>
      <c r="M81" s="999"/>
      <c r="N81" s="809"/>
      <c r="O81" s="809"/>
      <c r="P81" s="809"/>
      <c r="Q81" s="809"/>
      <c r="R81" s="809"/>
      <c r="S81" s="809"/>
      <c r="T81" s="809"/>
      <c r="U81" s="809"/>
    </row>
    <row r="82" spans="1:22">
      <c r="A82" s="901"/>
      <c r="B82" s="901"/>
      <c r="C82" s="901"/>
      <c r="D82" s="901"/>
      <c r="E82" s="901"/>
      <c r="F82" s="809"/>
      <c r="G82" s="809"/>
      <c r="H82" s="809"/>
      <c r="I82" s="809"/>
      <c r="J82" s="809"/>
      <c r="K82" s="809"/>
      <c r="L82" s="809"/>
      <c r="M82" s="809"/>
      <c r="N82" s="809"/>
      <c r="O82" s="809"/>
      <c r="P82" s="809"/>
      <c r="Q82" s="809"/>
      <c r="R82" s="809"/>
      <c r="S82" s="809"/>
      <c r="T82" s="809"/>
      <c r="U82" s="809"/>
    </row>
    <row r="83" spans="1:22">
      <c r="A83" s="902" t="s">
        <v>432</v>
      </c>
      <c r="B83" s="902"/>
      <c r="C83" s="902"/>
      <c r="D83" s="902"/>
      <c r="E83" s="902"/>
      <c r="F83" s="903">
        <v>35</v>
      </c>
      <c r="G83" s="903"/>
      <c r="H83" s="903"/>
      <c r="I83" s="903"/>
      <c r="J83" s="903">
        <v>18</v>
      </c>
      <c r="K83" s="903"/>
      <c r="L83" s="903"/>
      <c r="M83" s="903"/>
      <c r="N83" s="903">
        <v>15</v>
      </c>
      <c r="O83" s="903"/>
      <c r="P83" s="903"/>
      <c r="Q83" s="903"/>
      <c r="R83" s="903"/>
      <c r="S83" s="903"/>
      <c r="T83" s="903"/>
      <c r="U83" s="903"/>
      <c r="V83" s="904">
        <f>SUM(F83:T83)</f>
        <v>68</v>
      </c>
    </row>
    <row r="84" spans="1:22">
      <c r="A84" s="902" t="s">
        <v>43</v>
      </c>
      <c r="B84" s="902"/>
      <c r="C84" s="902"/>
      <c r="D84" s="902"/>
      <c r="E84" s="902"/>
      <c r="F84" s="903"/>
      <c r="G84" s="903"/>
      <c r="H84" s="903"/>
      <c r="I84" s="903"/>
      <c r="J84" s="903"/>
      <c r="K84" s="903"/>
      <c r="L84" s="903"/>
      <c r="M84" s="903"/>
      <c r="N84" s="903"/>
      <c r="O84" s="903"/>
      <c r="P84" s="903"/>
      <c r="Q84" s="903"/>
      <c r="R84" s="903"/>
      <c r="S84" s="903"/>
      <c r="T84" s="903"/>
      <c r="U84" s="903"/>
      <c r="V84" s="904"/>
    </row>
    <row r="85" spans="1:22">
      <c r="A85" s="905" t="s">
        <v>427</v>
      </c>
      <c r="B85" s="905"/>
      <c r="C85" s="905"/>
      <c r="D85" s="905"/>
      <c r="E85" s="905"/>
      <c r="F85" s="906">
        <f>F126</f>
        <v>1.5074999999999998</v>
      </c>
      <c r="G85" s="906">
        <f t="shared" ref="G85:N85" si="27">G126</f>
        <v>1.5074999999999998</v>
      </c>
      <c r="H85" s="906">
        <f t="shared" si="27"/>
        <v>1.5074999999999998</v>
      </c>
      <c r="I85" s="906">
        <f t="shared" si="27"/>
        <v>1.5074999999999998</v>
      </c>
      <c r="J85" s="906">
        <f t="shared" si="27"/>
        <v>2.2357500000000003</v>
      </c>
      <c r="K85" s="906">
        <f t="shared" si="27"/>
        <v>2.2357500000000003</v>
      </c>
      <c r="L85" s="906">
        <f t="shared" si="27"/>
        <v>2.2357500000000003</v>
      </c>
      <c r="M85" s="906">
        <f t="shared" si="27"/>
        <v>2.2357500000000003</v>
      </c>
      <c r="N85" s="906">
        <f t="shared" si="27"/>
        <v>12.741300000000001</v>
      </c>
      <c r="O85" s="936">
        <f>-28+0.2857</f>
        <v>-27.714300000000001</v>
      </c>
      <c r="P85" s="906"/>
      <c r="Q85" s="906"/>
      <c r="R85" s="906"/>
      <c r="S85" s="906"/>
      <c r="T85" s="906"/>
      <c r="U85" s="906"/>
      <c r="V85" s="938">
        <f>SUM(F85:U85)</f>
        <v>0</v>
      </c>
    </row>
    <row r="86" spans="1:22">
      <c r="A86" s="905" t="s">
        <v>46</v>
      </c>
      <c r="B86" s="905"/>
      <c r="C86" s="905"/>
      <c r="D86" s="905"/>
      <c r="E86" s="905"/>
      <c r="F86" s="906">
        <f t="shared" ref="F86:M86" si="28">F49</f>
        <v>-24.127451269035628</v>
      </c>
      <c r="G86" s="906">
        <f t="shared" si="28"/>
        <v>-10.632661694453054</v>
      </c>
      <c r="H86" s="906">
        <f t="shared" si="28"/>
        <v>-10.771623547670625</v>
      </c>
      <c r="I86" s="906">
        <f t="shared" si="28"/>
        <v>-10.912701571246863</v>
      </c>
      <c r="J86" s="906">
        <f t="shared" si="28"/>
        <v>-15.873349889609882</v>
      </c>
      <c r="K86" s="906">
        <f t="shared" si="28"/>
        <v>-8.2999460097986333</v>
      </c>
      <c r="L86" s="906">
        <f t="shared" si="28"/>
        <v>-8.3922941724699029</v>
      </c>
      <c r="M86" s="906">
        <f t="shared" si="28"/>
        <v>-8.486048652414123</v>
      </c>
      <c r="N86" s="907">
        <f t="shared" ref="N86:U86" si="29">N49</f>
        <v>-15.012053725436473</v>
      </c>
      <c r="O86" s="906">
        <f t="shared" si="29"/>
        <v>390.74830284109163</v>
      </c>
      <c r="P86" s="906">
        <f t="shared" si="29"/>
        <v>451.44117354169936</v>
      </c>
      <c r="Q86" s="906">
        <f t="shared" si="29"/>
        <v>498.95210310000039</v>
      </c>
      <c r="R86" s="906">
        <f t="shared" si="29"/>
        <v>548.84731340999951</v>
      </c>
      <c r="S86" s="906">
        <f t="shared" si="29"/>
        <v>603.73204475100022</v>
      </c>
      <c r="T86" s="906">
        <f t="shared" si="29"/>
        <v>664.1052492261</v>
      </c>
      <c r="U86" s="906">
        <f t="shared" si="29"/>
        <v>730.51577414870974</v>
      </c>
      <c r="V86" s="904">
        <f>SUM(F86:U86)</f>
        <v>3775.8338304864656</v>
      </c>
    </row>
    <row r="87" spans="1:22">
      <c r="A87" s="905" t="s">
        <v>44</v>
      </c>
      <c r="B87" s="905"/>
      <c r="C87" s="905"/>
      <c r="D87" s="905"/>
      <c r="E87" s="905"/>
      <c r="F87" s="906">
        <f>-Capex!C15</f>
        <v>-91.690000000000012</v>
      </c>
      <c r="G87" s="906">
        <f>-Capex!D15</f>
        <v>0</v>
      </c>
      <c r="H87" s="906">
        <f>-Capex!E15</f>
        <v>0</v>
      </c>
      <c r="I87" s="906">
        <f>-Capex!F15</f>
        <v>0</v>
      </c>
      <c r="J87" s="906">
        <f>-Capex!G15</f>
        <v>-42.591999999999999</v>
      </c>
      <c r="K87" s="906">
        <f>-Capex!H15</f>
        <v>0</v>
      </c>
      <c r="L87" s="906">
        <f>-Capex!I15</f>
        <v>0</v>
      </c>
      <c r="M87" s="906">
        <f>-Capex!J15</f>
        <v>0</v>
      </c>
      <c r="N87" s="906">
        <f>-Capex!K15</f>
        <v>-49.876200000000011</v>
      </c>
      <c r="O87" s="906">
        <f>-Capex!L15</f>
        <v>-50.205320000000007</v>
      </c>
      <c r="P87" s="906">
        <f>-Capex!M15</f>
        <v>0</v>
      </c>
      <c r="Q87" s="906">
        <f>-Capex!N15</f>
        <v>0</v>
      </c>
      <c r="R87" s="906">
        <f>-Capex!O15</f>
        <v>0</v>
      </c>
      <c r="S87" s="906">
        <f>-Capex!P15</f>
        <v>0</v>
      </c>
      <c r="T87" s="906">
        <f>-Capex!Q15</f>
        <v>0</v>
      </c>
      <c r="U87" s="906">
        <f>-Capex!R15</f>
        <v>0</v>
      </c>
    </row>
    <row r="88" spans="1:22">
      <c r="A88" s="905" t="s">
        <v>488</v>
      </c>
      <c r="B88" s="905"/>
      <c r="C88" s="905"/>
      <c r="D88" s="905"/>
      <c r="E88" s="905"/>
      <c r="F88" s="906">
        <f>-Amortisation!C10</f>
        <v>-75</v>
      </c>
      <c r="G88" s="906"/>
      <c r="H88" s="906"/>
      <c r="I88" s="906"/>
      <c r="J88" s="906"/>
      <c r="K88" s="906"/>
      <c r="L88" s="906"/>
      <c r="M88" s="906"/>
      <c r="N88" s="906"/>
      <c r="O88" s="906"/>
      <c r="P88" s="906"/>
      <c r="Q88" s="906"/>
      <c r="R88" s="906"/>
      <c r="S88" s="906"/>
      <c r="T88" s="906"/>
      <c r="U88" s="906"/>
    </row>
    <row r="89" spans="1:22">
      <c r="A89" s="905" t="s">
        <v>555</v>
      </c>
      <c r="B89" s="905"/>
      <c r="C89" s="905"/>
      <c r="D89" s="905"/>
      <c r="E89" s="905"/>
      <c r="F89" s="887">
        <f>-F136</f>
        <v>-4.1440000000000001</v>
      </c>
      <c r="G89" s="887">
        <f t="shared" ref="G89:U89" si="30">-G136</f>
        <v>0</v>
      </c>
      <c r="H89" s="887">
        <f t="shared" si="30"/>
        <v>0</v>
      </c>
      <c r="I89" s="887">
        <f t="shared" si="30"/>
        <v>0</v>
      </c>
      <c r="J89" s="887">
        <f t="shared" si="30"/>
        <v>-3.98</v>
      </c>
      <c r="K89" s="887">
        <f t="shared" si="30"/>
        <v>0</v>
      </c>
      <c r="L89" s="887">
        <f t="shared" si="30"/>
        <v>0</v>
      </c>
      <c r="M89" s="887">
        <f t="shared" si="30"/>
        <v>0</v>
      </c>
      <c r="N89" s="887">
        <f t="shared" si="30"/>
        <v>-2.1779999999999999</v>
      </c>
      <c r="O89" s="887">
        <f t="shared" si="30"/>
        <v>-4.3957999999999995</v>
      </c>
      <c r="P89" s="887">
        <f t="shared" si="30"/>
        <v>0</v>
      </c>
      <c r="Q89" s="887">
        <f t="shared" si="30"/>
        <v>0</v>
      </c>
      <c r="R89" s="887">
        <f t="shared" si="30"/>
        <v>0</v>
      </c>
      <c r="S89" s="887">
        <f t="shared" si="30"/>
        <v>0</v>
      </c>
      <c r="T89" s="887">
        <f t="shared" si="30"/>
        <v>0</v>
      </c>
      <c r="U89" s="887">
        <f t="shared" si="30"/>
        <v>0</v>
      </c>
    </row>
    <row r="90" spans="1:22">
      <c r="A90" s="902" t="s">
        <v>556</v>
      </c>
      <c r="B90" s="902"/>
      <c r="C90" s="902"/>
      <c r="D90" s="902"/>
      <c r="E90" s="902"/>
      <c r="F90" s="906">
        <f>-F118</f>
        <v>-38.762799999999999</v>
      </c>
      <c r="G90" s="906">
        <f t="shared" ref="G90:U90" si="31">-G118</f>
        <v>8.997799999999998</v>
      </c>
      <c r="H90" s="906">
        <f t="shared" si="31"/>
        <v>0</v>
      </c>
      <c r="I90" s="906">
        <f t="shared" si="31"/>
        <v>0</v>
      </c>
      <c r="J90" s="906">
        <f t="shared" si="31"/>
        <v>-21.851487999999996</v>
      </c>
      <c r="K90" s="906">
        <f t="shared" si="31"/>
        <v>5.0589879999999994</v>
      </c>
      <c r="L90" s="906">
        <f t="shared" si="31"/>
        <v>0</v>
      </c>
      <c r="M90" s="906">
        <f t="shared" si="31"/>
        <v>0</v>
      </c>
      <c r="N90" s="906">
        <f t="shared" si="31"/>
        <v>-22.999023300000012</v>
      </c>
      <c r="O90" s="906">
        <f t="shared" si="31"/>
        <v>-24.343015546666678</v>
      </c>
      <c r="P90" s="906">
        <f t="shared" si="31"/>
        <v>-7.7797659866666606</v>
      </c>
      <c r="Q90" s="906">
        <f t="shared" si="31"/>
        <v>-10.167930483333294</v>
      </c>
      <c r="R90" s="906">
        <f t="shared" si="31"/>
        <v>-11.184723531666734</v>
      </c>
      <c r="S90" s="906">
        <f t="shared" si="31"/>
        <v>-12.303195884833315</v>
      </c>
      <c r="T90" s="906">
        <f t="shared" si="31"/>
        <v>-13.533515473316697</v>
      </c>
      <c r="U90" s="906">
        <f t="shared" si="31"/>
        <v>-14.88686702064831</v>
      </c>
    </row>
    <row r="91" spans="1:22">
      <c r="A91" s="908" t="s">
        <v>47</v>
      </c>
      <c r="B91" s="908"/>
      <c r="C91" s="908"/>
      <c r="D91" s="908"/>
      <c r="E91" s="908"/>
      <c r="F91" s="909">
        <f>SUM(F83:F90)</f>
        <v>-197.21675126903565</v>
      </c>
      <c r="G91" s="909">
        <f t="shared" ref="G91:U91" si="32">SUM(G83:G90)+F91</f>
        <v>-197.3441129634887</v>
      </c>
      <c r="H91" s="909">
        <f t="shared" si="32"/>
        <v>-206.60823651115933</v>
      </c>
      <c r="I91" s="909">
        <f t="shared" si="32"/>
        <v>-216.0134380824062</v>
      </c>
      <c r="J91" s="909">
        <f t="shared" si="32"/>
        <v>-280.07452597201609</v>
      </c>
      <c r="K91" s="909">
        <f t="shared" si="32"/>
        <v>-281.07973398181474</v>
      </c>
      <c r="L91" s="909">
        <f t="shared" si="32"/>
        <v>-287.23627815428466</v>
      </c>
      <c r="M91" s="909">
        <f t="shared" si="32"/>
        <v>-293.48657680669879</v>
      </c>
      <c r="N91" s="909">
        <f t="shared" si="32"/>
        <v>-355.81055383213527</v>
      </c>
      <c r="O91" s="909">
        <f t="shared" si="32"/>
        <v>-71.720686537710321</v>
      </c>
      <c r="P91" s="909">
        <f t="shared" si="32"/>
        <v>371.9407210173224</v>
      </c>
      <c r="Q91" s="909">
        <f t="shared" si="32"/>
        <v>860.7248936339895</v>
      </c>
      <c r="R91" s="909">
        <f t="shared" si="32"/>
        <v>1398.3874835123224</v>
      </c>
      <c r="S91" s="909">
        <f t="shared" si="32"/>
        <v>1989.8163323784893</v>
      </c>
      <c r="T91" s="909">
        <f t="shared" si="32"/>
        <v>2640.3880661312724</v>
      </c>
      <c r="U91" s="909">
        <f t="shared" si="32"/>
        <v>3356.016973259334</v>
      </c>
    </row>
    <row r="92" spans="1:22">
      <c r="A92" s="910" t="s">
        <v>48</v>
      </c>
      <c r="B92" s="910"/>
      <c r="C92" s="910"/>
      <c r="D92" s="910"/>
      <c r="E92" s="910"/>
      <c r="F92" s="911">
        <f>IF(F91&gt;0,0,-F91)</f>
        <v>197.21675126903565</v>
      </c>
      <c r="G92" s="911">
        <f>IF(G91&gt;0,0,-G91)</f>
        <v>197.3441129634887</v>
      </c>
      <c r="H92" s="911">
        <f>IF(H91&gt;0,0,-H91)</f>
        <v>206.60823651115933</v>
      </c>
      <c r="I92" s="911">
        <f>IF(I91&gt;0,0,-I91)</f>
        <v>216.0134380824062</v>
      </c>
      <c r="J92" s="911">
        <f t="shared" ref="J92:R92" si="33">IF(J91&gt;0,0,-J91)</f>
        <v>280.07452597201609</v>
      </c>
      <c r="K92" s="911">
        <f t="shared" si="33"/>
        <v>281.07973398181474</v>
      </c>
      <c r="L92" s="911">
        <f t="shared" si="33"/>
        <v>287.23627815428466</v>
      </c>
      <c r="M92" s="911">
        <f t="shared" si="33"/>
        <v>293.48657680669879</v>
      </c>
      <c r="N92" s="911">
        <f t="shared" si="33"/>
        <v>355.81055383213527</v>
      </c>
      <c r="O92" s="911">
        <f t="shared" si="33"/>
        <v>71.720686537710321</v>
      </c>
      <c r="P92" s="911">
        <f t="shared" si="33"/>
        <v>0</v>
      </c>
      <c r="Q92" s="911">
        <f t="shared" si="33"/>
        <v>0</v>
      </c>
      <c r="R92" s="911">
        <f t="shared" si="33"/>
        <v>0</v>
      </c>
      <c r="S92" s="911">
        <f>IF(S91&gt;0,0,-S91)</f>
        <v>0</v>
      </c>
      <c r="T92" s="911">
        <f>IF(T91&gt;0,0,-T91)</f>
        <v>0</v>
      </c>
      <c r="U92" s="911">
        <f>IF(U91&gt;0,0,-U91)</f>
        <v>0</v>
      </c>
    </row>
    <row r="93" spans="1:22">
      <c r="A93" s="910" t="s">
        <v>495</v>
      </c>
      <c r="B93" s="910"/>
      <c r="C93" s="910"/>
      <c r="D93" s="910"/>
      <c r="E93" s="910"/>
      <c r="F93" s="911">
        <f>F85</f>
        <v>1.5074999999999998</v>
      </c>
      <c r="G93" s="911">
        <f t="shared" ref="G93:U93" si="34">F93+G85</f>
        <v>3.0149999999999997</v>
      </c>
      <c r="H93" s="911">
        <f t="shared" si="34"/>
        <v>4.5224999999999991</v>
      </c>
      <c r="I93" s="911">
        <f t="shared" si="34"/>
        <v>6.0299999999999994</v>
      </c>
      <c r="J93" s="911">
        <f t="shared" si="34"/>
        <v>8.2657500000000006</v>
      </c>
      <c r="K93" s="911">
        <f t="shared" si="34"/>
        <v>10.5015</v>
      </c>
      <c r="L93" s="911">
        <f t="shared" si="34"/>
        <v>12.73725</v>
      </c>
      <c r="M93" s="911">
        <f t="shared" si="34"/>
        <v>14.972999999999999</v>
      </c>
      <c r="N93" s="911">
        <f t="shared" si="34"/>
        <v>27.714300000000001</v>
      </c>
      <c r="O93" s="911">
        <f t="shared" si="34"/>
        <v>0</v>
      </c>
      <c r="P93" s="911">
        <f t="shared" si="34"/>
        <v>0</v>
      </c>
      <c r="Q93" s="911">
        <f t="shared" si="34"/>
        <v>0</v>
      </c>
      <c r="R93" s="911">
        <f t="shared" si="34"/>
        <v>0</v>
      </c>
      <c r="S93" s="911">
        <f t="shared" si="34"/>
        <v>0</v>
      </c>
      <c r="T93" s="911">
        <f t="shared" si="34"/>
        <v>0</v>
      </c>
      <c r="U93" s="911">
        <f t="shared" si="34"/>
        <v>0</v>
      </c>
    </row>
    <row r="94" spans="1:22">
      <c r="A94" s="905"/>
      <c r="B94" s="905"/>
      <c r="C94" s="905"/>
      <c r="D94" s="905"/>
      <c r="E94" s="905"/>
      <c r="F94" s="912"/>
      <c r="G94" s="912"/>
      <c r="H94" s="912"/>
      <c r="I94" s="912"/>
      <c r="J94" s="912"/>
      <c r="K94" s="912"/>
      <c r="L94" s="912"/>
      <c r="M94" s="912"/>
      <c r="N94" s="912"/>
      <c r="O94" s="912"/>
      <c r="P94" s="912"/>
      <c r="Q94" s="912"/>
      <c r="R94" s="912"/>
      <c r="S94" s="912"/>
      <c r="T94" s="912"/>
      <c r="U94" s="912"/>
    </row>
    <row r="95" spans="1:22">
      <c r="A95" s="913" t="s">
        <v>465</v>
      </c>
      <c r="B95" s="913"/>
      <c r="C95" s="913"/>
      <c r="D95" s="913"/>
      <c r="E95" s="913"/>
      <c r="F95" s="914"/>
      <c r="G95" s="914"/>
      <c r="H95" s="914"/>
      <c r="I95" s="914"/>
      <c r="J95" s="914"/>
      <c r="K95" s="914"/>
      <c r="L95" s="914"/>
      <c r="M95" s="914"/>
      <c r="N95" s="915"/>
      <c r="O95" s="915"/>
      <c r="P95" s="915"/>
      <c r="Q95" s="915"/>
      <c r="R95" s="915"/>
      <c r="S95" s="915"/>
      <c r="T95" s="915"/>
      <c r="U95" s="915"/>
    </row>
    <row r="96" spans="1:22">
      <c r="A96" s="916" t="s">
        <v>466</v>
      </c>
      <c r="B96" s="916"/>
      <c r="C96" s="916"/>
      <c r="D96" s="916"/>
      <c r="E96" s="916"/>
      <c r="F96" s="912">
        <f>F41</f>
        <v>-43.597211269035625</v>
      </c>
      <c r="G96" s="912">
        <f t="shared" ref="G96:U96" si="35">G41</f>
        <v>-25.494029677453057</v>
      </c>
      <c r="H96" s="912">
        <f t="shared" si="35"/>
        <v>-22.676168927316326</v>
      </c>
      <c r="I96" s="912">
        <f t="shared" si="35"/>
        <v>-20.879561547002183</v>
      </c>
      <c r="J96" s="912">
        <f t="shared" si="35"/>
        <v>-32.042515604448511</v>
      </c>
      <c r="K96" s="912">
        <f t="shared" si="35"/>
        <v>-21.355554188051343</v>
      </c>
      <c r="L96" s="912">
        <f t="shared" si="35"/>
        <v>-19.38201830392978</v>
      </c>
      <c r="M96" s="912">
        <f t="shared" si="35"/>
        <v>-18.066559330119947</v>
      </c>
      <c r="N96" s="912">
        <f t="shared" si="35"/>
        <v>-44.448798029671551</v>
      </c>
      <c r="O96" s="912">
        <f t="shared" si="35"/>
        <v>356.1867418783097</v>
      </c>
      <c r="P96" s="912">
        <f t="shared" si="35"/>
        <v>421.95011444647264</v>
      </c>
      <c r="Q96" s="912">
        <f t="shared" si="35"/>
        <v>487.78752072187183</v>
      </c>
      <c r="R96" s="912">
        <f t="shared" si="35"/>
        <v>539.92319057398913</v>
      </c>
      <c r="S96" s="912">
        <f t="shared" si="35"/>
        <v>596.36358989203029</v>
      </c>
      <c r="T96" s="912">
        <f t="shared" si="35"/>
        <v>657.85372378360205</v>
      </c>
      <c r="U96" s="912">
        <f t="shared" si="35"/>
        <v>725.09447953673737</v>
      </c>
    </row>
    <row r="97" spans="1:21">
      <c r="A97" s="916" t="s">
        <v>467</v>
      </c>
      <c r="B97" s="916"/>
      <c r="C97" s="916"/>
      <c r="D97" s="916"/>
      <c r="E97" s="916"/>
      <c r="F97" s="912">
        <f>F37</f>
        <v>15.719760000000001</v>
      </c>
      <c r="G97" s="912">
        <f t="shared" ref="G97:U97" si="36">G37</f>
        <v>11.111367982999999</v>
      </c>
      <c r="H97" s="912">
        <f t="shared" si="36"/>
        <v>8.1545453796457004</v>
      </c>
      <c r="I97" s="912">
        <f t="shared" si="36"/>
        <v>6.2168599757553213</v>
      </c>
      <c r="J97" s="912">
        <f t="shared" si="36"/>
        <v>12.419165714838627</v>
      </c>
      <c r="K97" s="912">
        <f t="shared" si="36"/>
        <v>9.3056081782527134</v>
      </c>
      <c r="L97" s="912">
        <f t="shared" si="36"/>
        <v>7.2397241314598766</v>
      </c>
      <c r="M97" s="912">
        <f t="shared" si="36"/>
        <v>5.8305106777058233</v>
      </c>
      <c r="N97" s="912">
        <f t="shared" si="36"/>
        <v>14.436744304235075</v>
      </c>
      <c r="O97" s="912">
        <f t="shared" si="36"/>
        <v>19.561560962781911</v>
      </c>
      <c r="P97" s="912">
        <f t="shared" si="36"/>
        <v>14.49105909522671</v>
      </c>
      <c r="Q97" s="912">
        <f t="shared" si="36"/>
        <v>11.164582378128577</v>
      </c>
      <c r="R97" s="912">
        <f t="shared" si="36"/>
        <v>8.9241228360104401</v>
      </c>
      <c r="S97" s="912">
        <f t="shared" si="36"/>
        <v>7.3684548589699235</v>
      </c>
      <c r="T97" s="912">
        <f t="shared" si="36"/>
        <v>6.251525442497945</v>
      </c>
      <c r="U97" s="912">
        <f t="shared" si="36"/>
        <v>5.421294611972419</v>
      </c>
    </row>
    <row r="98" spans="1:21">
      <c r="A98" s="916" t="s">
        <v>468</v>
      </c>
      <c r="B98" s="916"/>
      <c r="C98" s="916"/>
      <c r="D98" s="916"/>
      <c r="E98" s="916"/>
      <c r="F98" s="912">
        <f t="shared" ref="F98:U99" si="37">F38</f>
        <v>3.75</v>
      </c>
      <c r="G98" s="912">
        <f t="shared" si="37"/>
        <v>3.75</v>
      </c>
      <c r="H98" s="912">
        <f t="shared" si="37"/>
        <v>3.75</v>
      </c>
      <c r="I98" s="912">
        <f t="shared" si="37"/>
        <v>3.75</v>
      </c>
      <c r="J98" s="912">
        <f t="shared" si="37"/>
        <v>3.75</v>
      </c>
      <c r="K98" s="912">
        <f t="shared" si="37"/>
        <v>3.75</v>
      </c>
      <c r="L98" s="912">
        <f t="shared" si="37"/>
        <v>3.75</v>
      </c>
      <c r="M98" s="912">
        <f t="shared" si="37"/>
        <v>3.75</v>
      </c>
      <c r="N98" s="912">
        <f t="shared" si="37"/>
        <v>15</v>
      </c>
      <c r="O98" s="912">
        <f t="shared" si="37"/>
        <v>15</v>
      </c>
      <c r="P98" s="912">
        <f t="shared" si="37"/>
        <v>15</v>
      </c>
      <c r="Q98" s="912">
        <f t="shared" si="37"/>
        <v>0</v>
      </c>
      <c r="R98" s="912">
        <f t="shared" si="37"/>
        <v>0</v>
      </c>
      <c r="S98" s="912">
        <f t="shared" si="37"/>
        <v>0</v>
      </c>
      <c r="T98" s="912">
        <f t="shared" si="37"/>
        <v>0</v>
      </c>
      <c r="U98" s="912">
        <f t="shared" si="37"/>
        <v>0</v>
      </c>
    </row>
    <row r="99" spans="1:21">
      <c r="A99" s="916" t="s">
        <v>469</v>
      </c>
      <c r="B99" s="916"/>
      <c r="C99" s="916"/>
      <c r="D99" s="916"/>
      <c r="E99" s="916"/>
      <c r="F99" s="912">
        <f t="shared" si="37"/>
        <v>2.9582512690356242</v>
      </c>
      <c r="G99" s="912">
        <f t="shared" si="37"/>
        <v>2.9601616944530478</v>
      </c>
      <c r="H99" s="912">
        <f t="shared" si="37"/>
        <v>3.0991235476706187</v>
      </c>
      <c r="I99" s="912">
        <f t="shared" si="37"/>
        <v>3.2402015712468568</v>
      </c>
      <c r="J99" s="912">
        <f t="shared" si="37"/>
        <v>4.201117889609888</v>
      </c>
      <c r="K99" s="912">
        <f t="shared" si="37"/>
        <v>4.2161960097986384</v>
      </c>
      <c r="L99" s="912">
        <f t="shared" si="37"/>
        <v>4.3085441724699081</v>
      </c>
      <c r="M99" s="912">
        <f t="shared" si="37"/>
        <v>4.402298652414129</v>
      </c>
      <c r="N99" s="912">
        <f t="shared" si="37"/>
        <v>19.478913925436515</v>
      </c>
      <c r="O99" s="912">
        <f t="shared" si="37"/>
        <v>12.82596407890885</v>
      </c>
      <c r="P99" s="912">
        <f t="shared" si="37"/>
        <v>2.1516474583005945</v>
      </c>
      <c r="Q99" s="912">
        <f t="shared" si="37"/>
        <v>0</v>
      </c>
      <c r="R99" s="912">
        <f t="shared" si="37"/>
        <v>0</v>
      </c>
      <c r="S99" s="912">
        <f t="shared" si="37"/>
        <v>0</v>
      </c>
      <c r="T99" s="912">
        <f t="shared" si="37"/>
        <v>0</v>
      </c>
      <c r="U99" s="912">
        <f t="shared" si="37"/>
        <v>0</v>
      </c>
    </row>
    <row r="100" spans="1:21">
      <c r="A100" s="917" t="s">
        <v>470</v>
      </c>
      <c r="B100" s="917"/>
      <c r="C100" s="917"/>
      <c r="D100" s="917"/>
      <c r="E100" s="917"/>
      <c r="F100" s="912">
        <f>F44</f>
        <v>0</v>
      </c>
      <c r="G100" s="912">
        <f t="shared" ref="G100:U100" si="38">G44</f>
        <v>0</v>
      </c>
      <c r="H100" s="912">
        <f t="shared" si="38"/>
        <v>0</v>
      </c>
      <c r="I100" s="912">
        <f t="shared" si="38"/>
        <v>0</v>
      </c>
      <c r="J100" s="912">
        <f t="shared" si="38"/>
        <v>0</v>
      </c>
      <c r="K100" s="912">
        <f t="shared" si="38"/>
        <v>0</v>
      </c>
      <c r="L100" s="912">
        <f t="shared" si="38"/>
        <v>0</v>
      </c>
      <c r="M100" s="912">
        <f t="shared" si="38"/>
        <v>0</v>
      </c>
      <c r="N100" s="912">
        <f t="shared" si="38"/>
        <v>0</v>
      </c>
      <c r="O100" s="912">
        <f t="shared" si="38"/>
        <v>0</v>
      </c>
      <c r="P100" s="912">
        <f t="shared" si="38"/>
        <v>0</v>
      </c>
      <c r="Q100" s="912">
        <f t="shared" si="38"/>
        <v>0</v>
      </c>
      <c r="R100" s="912">
        <f t="shared" si="38"/>
        <v>0</v>
      </c>
      <c r="S100" s="912">
        <f t="shared" si="38"/>
        <v>0</v>
      </c>
      <c r="T100" s="912">
        <f t="shared" si="38"/>
        <v>0</v>
      </c>
      <c r="U100" s="912">
        <f t="shared" si="38"/>
        <v>0</v>
      </c>
    </row>
    <row r="101" spans="1:21">
      <c r="A101" s="917" t="s">
        <v>471</v>
      </c>
      <c r="B101" s="917"/>
      <c r="C101" s="917"/>
      <c r="D101" s="917"/>
      <c r="E101" s="917"/>
      <c r="F101" s="912">
        <f>-(F64-0)</f>
        <v>-42.906799999999997</v>
      </c>
      <c r="G101" s="912">
        <f>-(G64-F64)</f>
        <v>8.997799999999998</v>
      </c>
      <c r="H101" s="912">
        <f t="shared" ref="H101:U101" si="39">-(H64-G64)</f>
        <v>0</v>
      </c>
      <c r="I101" s="912">
        <f t="shared" si="39"/>
        <v>0</v>
      </c>
      <c r="J101" s="912">
        <f t="shared" si="39"/>
        <v>-25.831488</v>
      </c>
      <c r="K101" s="912">
        <f t="shared" si="39"/>
        <v>5.0589879999999994</v>
      </c>
      <c r="L101" s="912">
        <f t="shared" si="39"/>
        <v>0</v>
      </c>
      <c r="M101" s="912">
        <f t="shared" si="39"/>
        <v>0</v>
      </c>
      <c r="N101" s="912">
        <f t="shared" si="39"/>
        <v>-25.177023300000016</v>
      </c>
      <c r="O101" s="912">
        <f t="shared" si="39"/>
        <v>-28.738815546666686</v>
      </c>
      <c r="P101" s="912">
        <f t="shared" si="39"/>
        <v>-7.7797659866666606</v>
      </c>
      <c r="Q101" s="912">
        <f t="shared" si="39"/>
        <v>-10.167930483333294</v>
      </c>
      <c r="R101" s="912">
        <f t="shared" si="39"/>
        <v>-11.184723531666748</v>
      </c>
      <c r="S101" s="912">
        <f t="shared" si="39"/>
        <v>-12.303195884833315</v>
      </c>
      <c r="T101" s="912">
        <f t="shared" si="39"/>
        <v>-13.533515473316697</v>
      </c>
      <c r="U101" s="912">
        <f t="shared" si="39"/>
        <v>-14.88686702064831</v>
      </c>
    </row>
    <row r="102" spans="1:21">
      <c r="A102" s="917" t="s">
        <v>472</v>
      </c>
      <c r="B102" s="917"/>
      <c r="C102" s="917"/>
      <c r="D102" s="917"/>
      <c r="E102" s="917"/>
      <c r="F102" s="912">
        <f>F96+F97+F98+F99-F100+F101</f>
        <v>-64.075999999999993</v>
      </c>
      <c r="G102" s="912">
        <f t="shared" ref="G102:U102" si="40">G96+G97+G98+G99-G100+G101</f>
        <v>1.3252999999999879</v>
      </c>
      <c r="H102" s="912">
        <f t="shared" si="40"/>
        <v>-7.6725000000000065</v>
      </c>
      <c r="I102" s="912">
        <f t="shared" si="40"/>
        <v>-7.6725000000000048</v>
      </c>
      <c r="J102" s="912">
        <f t="shared" si="40"/>
        <v>-37.503719999999994</v>
      </c>
      <c r="K102" s="912">
        <f t="shared" si="40"/>
        <v>0.97523800000000804</v>
      </c>
      <c r="L102" s="912">
        <f t="shared" si="40"/>
        <v>-4.0837499999999949</v>
      </c>
      <c r="M102" s="912">
        <f t="shared" si="40"/>
        <v>-4.083749999999994</v>
      </c>
      <c r="N102" s="912">
        <f t="shared" si="40"/>
        <v>-20.710163099999974</v>
      </c>
      <c r="O102" s="912">
        <f t="shared" si="40"/>
        <v>374.8354513733338</v>
      </c>
      <c r="P102" s="912">
        <f t="shared" si="40"/>
        <v>445.81305501333327</v>
      </c>
      <c r="Q102" s="912">
        <f t="shared" si="40"/>
        <v>488.78417261666709</v>
      </c>
      <c r="R102" s="912">
        <f t="shared" si="40"/>
        <v>537.66258987833271</v>
      </c>
      <c r="S102" s="912">
        <f t="shared" si="40"/>
        <v>591.42884886616685</v>
      </c>
      <c r="T102" s="912">
        <f t="shared" si="40"/>
        <v>650.5717337527833</v>
      </c>
      <c r="U102" s="912">
        <f t="shared" si="40"/>
        <v>715.62890712806143</v>
      </c>
    </row>
    <row r="103" spans="1:21">
      <c r="A103" s="917" t="s">
        <v>473</v>
      </c>
      <c r="B103" s="917"/>
      <c r="C103" s="917"/>
      <c r="D103" s="917"/>
      <c r="E103" s="917"/>
      <c r="F103" s="918">
        <f>IF(F56-0&gt;0,F56-0,0)</f>
        <v>197.21675126903565</v>
      </c>
      <c r="G103" s="918">
        <f>IF(G56-F56&gt;0,G56-F56,0)</f>
        <v>0.12736169445304313</v>
      </c>
      <c r="H103" s="918">
        <f t="shared" ref="H103:U103" si="41">IF(H56-G56&gt;0,H56-G56,0)</f>
        <v>9.2641235476706356</v>
      </c>
      <c r="I103" s="918">
        <f t="shared" si="41"/>
        <v>9.4052015712468631</v>
      </c>
      <c r="J103" s="918">
        <f t="shared" si="41"/>
        <v>64.061087889609894</v>
      </c>
      <c r="K103" s="918">
        <f t="shared" si="41"/>
        <v>1.0052080097986504</v>
      </c>
      <c r="L103" s="918">
        <f t="shared" si="41"/>
        <v>6.1565441724699213</v>
      </c>
      <c r="M103" s="918">
        <f t="shared" si="41"/>
        <v>6.2502986524141306</v>
      </c>
      <c r="N103" s="918">
        <f t="shared" si="41"/>
        <v>62.323977025436477</v>
      </c>
      <c r="O103" s="918">
        <f t="shared" si="41"/>
        <v>0</v>
      </c>
      <c r="P103" s="918">
        <f t="shared" si="41"/>
        <v>0</v>
      </c>
      <c r="Q103" s="918">
        <f t="shared" si="41"/>
        <v>0</v>
      </c>
      <c r="R103" s="918">
        <f t="shared" si="41"/>
        <v>0</v>
      </c>
      <c r="S103" s="918">
        <f t="shared" si="41"/>
        <v>0</v>
      </c>
      <c r="T103" s="918">
        <f t="shared" si="41"/>
        <v>0</v>
      </c>
      <c r="U103" s="918">
        <f t="shared" si="41"/>
        <v>0</v>
      </c>
    </row>
    <row r="104" spans="1:21">
      <c r="A104" s="917" t="s">
        <v>474</v>
      </c>
      <c r="B104" s="917"/>
      <c r="C104" s="917"/>
      <c r="D104" s="917"/>
      <c r="E104" s="917"/>
      <c r="F104" s="912">
        <f>F99</f>
        <v>2.9582512690356242</v>
      </c>
      <c r="G104" s="912">
        <f t="shared" ref="G104:U104" si="42">G99</f>
        <v>2.9601616944530478</v>
      </c>
      <c r="H104" s="912">
        <f t="shared" si="42"/>
        <v>3.0991235476706187</v>
      </c>
      <c r="I104" s="912">
        <f t="shared" si="42"/>
        <v>3.2402015712468568</v>
      </c>
      <c r="J104" s="912">
        <f t="shared" si="42"/>
        <v>4.201117889609888</v>
      </c>
      <c r="K104" s="912">
        <f t="shared" si="42"/>
        <v>4.2161960097986384</v>
      </c>
      <c r="L104" s="912">
        <f t="shared" si="42"/>
        <v>4.3085441724699081</v>
      </c>
      <c r="M104" s="912">
        <f t="shared" si="42"/>
        <v>4.402298652414129</v>
      </c>
      <c r="N104" s="912">
        <f t="shared" si="42"/>
        <v>19.478913925436515</v>
      </c>
      <c r="O104" s="912">
        <f t="shared" si="42"/>
        <v>12.82596407890885</v>
      </c>
      <c r="P104" s="912">
        <f t="shared" si="42"/>
        <v>2.1516474583005945</v>
      </c>
      <c r="Q104" s="912">
        <f t="shared" si="42"/>
        <v>0</v>
      </c>
      <c r="R104" s="912">
        <f t="shared" si="42"/>
        <v>0</v>
      </c>
      <c r="S104" s="912">
        <f t="shared" si="42"/>
        <v>0</v>
      </c>
      <c r="T104" s="912">
        <f t="shared" si="42"/>
        <v>0</v>
      </c>
      <c r="U104" s="912">
        <f t="shared" si="42"/>
        <v>0</v>
      </c>
    </row>
    <row r="105" spans="1:21">
      <c r="A105" s="917" t="s">
        <v>475</v>
      </c>
      <c r="B105" s="917"/>
      <c r="C105" s="917"/>
      <c r="D105" s="917"/>
      <c r="E105" s="917"/>
      <c r="F105" s="918">
        <f>IF(F58-0&lt;0,0-F56,0)</f>
        <v>0</v>
      </c>
      <c r="G105" s="918">
        <f>IF(G56-F56&lt;0,F56-G56,0)</f>
        <v>0</v>
      </c>
      <c r="H105" s="918">
        <f t="shared" ref="H105:U105" si="43">IF(H56-G56&lt;0,G56-H56,0)</f>
        <v>0</v>
      </c>
      <c r="I105" s="918">
        <f t="shared" si="43"/>
        <v>0</v>
      </c>
      <c r="J105" s="918">
        <f t="shared" si="43"/>
        <v>0</v>
      </c>
      <c r="K105" s="918">
        <f t="shared" si="43"/>
        <v>0</v>
      </c>
      <c r="L105" s="918">
        <f t="shared" si="43"/>
        <v>0</v>
      </c>
      <c r="M105" s="918">
        <f t="shared" si="43"/>
        <v>0</v>
      </c>
      <c r="N105" s="918">
        <f t="shared" si="43"/>
        <v>0</v>
      </c>
      <c r="O105" s="918">
        <f t="shared" si="43"/>
        <v>284.08986729442495</v>
      </c>
      <c r="P105" s="918">
        <f t="shared" si="43"/>
        <v>71.720686537710321</v>
      </c>
      <c r="Q105" s="918">
        <f t="shared" si="43"/>
        <v>0</v>
      </c>
      <c r="R105" s="918">
        <f t="shared" si="43"/>
        <v>0</v>
      </c>
      <c r="S105" s="918">
        <f t="shared" si="43"/>
        <v>0</v>
      </c>
      <c r="T105" s="918">
        <f t="shared" si="43"/>
        <v>0</v>
      </c>
      <c r="U105" s="918">
        <f t="shared" si="43"/>
        <v>0</v>
      </c>
    </row>
    <row r="106" spans="1:21">
      <c r="A106" s="916" t="s">
        <v>485</v>
      </c>
      <c r="B106" s="916"/>
      <c r="C106" s="916"/>
      <c r="D106" s="916"/>
      <c r="E106" s="916"/>
      <c r="F106" s="918">
        <f>F84</f>
        <v>0</v>
      </c>
      <c r="G106" s="918">
        <f t="shared" ref="G106:U106" si="44">G84</f>
        <v>0</v>
      </c>
      <c r="H106" s="918">
        <f t="shared" si="44"/>
        <v>0</v>
      </c>
      <c r="I106" s="918">
        <f t="shared" si="44"/>
        <v>0</v>
      </c>
      <c r="J106" s="918">
        <f t="shared" si="44"/>
        <v>0</v>
      </c>
      <c r="K106" s="918">
        <f t="shared" si="44"/>
        <v>0</v>
      </c>
      <c r="L106" s="918">
        <f t="shared" si="44"/>
        <v>0</v>
      </c>
      <c r="M106" s="918">
        <f t="shared" si="44"/>
        <v>0</v>
      </c>
      <c r="N106" s="918">
        <f t="shared" si="44"/>
        <v>0</v>
      </c>
      <c r="O106" s="918">
        <f t="shared" si="44"/>
        <v>0</v>
      </c>
      <c r="P106" s="918">
        <f t="shared" si="44"/>
        <v>0</v>
      </c>
      <c r="Q106" s="918">
        <f t="shared" si="44"/>
        <v>0</v>
      </c>
      <c r="R106" s="918">
        <f t="shared" si="44"/>
        <v>0</v>
      </c>
      <c r="S106" s="918">
        <f t="shared" si="44"/>
        <v>0</v>
      </c>
      <c r="T106" s="918">
        <f t="shared" si="44"/>
        <v>0</v>
      </c>
      <c r="U106" s="918">
        <f t="shared" si="44"/>
        <v>0</v>
      </c>
    </row>
    <row r="107" spans="1:21">
      <c r="A107" s="916" t="s">
        <v>486</v>
      </c>
      <c r="B107" s="916"/>
      <c r="C107" s="916"/>
      <c r="D107" s="916"/>
      <c r="E107" s="916"/>
      <c r="F107" s="918">
        <f>F85</f>
        <v>1.5074999999999998</v>
      </c>
      <c r="G107" s="918">
        <f t="shared" ref="G107:U107" si="45">G85</f>
        <v>1.5074999999999998</v>
      </c>
      <c r="H107" s="918">
        <f t="shared" si="45"/>
        <v>1.5074999999999998</v>
      </c>
      <c r="I107" s="918">
        <f t="shared" si="45"/>
        <v>1.5074999999999998</v>
      </c>
      <c r="J107" s="918">
        <f t="shared" si="45"/>
        <v>2.2357500000000003</v>
      </c>
      <c r="K107" s="918">
        <f t="shared" si="45"/>
        <v>2.2357500000000003</v>
      </c>
      <c r="L107" s="918">
        <f t="shared" si="45"/>
        <v>2.2357500000000003</v>
      </c>
      <c r="M107" s="918">
        <f t="shared" si="45"/>
        <v>2.2357500000000003</v>
      </c>
      <c r="N107" s="918">
        <f t="shared" si="45"/>
        <v>12.741300000000001</v>
      </c>
      <c r="O107" s="918">
        <f t="shared" si="45"/>
        <v>-27.714300000000001</v>
      </c>
      <c r="P107" s="918">
        <f t="shared" si="45"/>
        <v>0</v>
      </c>
      <c r="Q107" s="918">
        <f t="shared" si="45"/>
        <v>0</v>
      </c>
      <c r="R107" s="918">
        <f t="shared" si="45"/>
        <v>0</v>
      </c>
      <c r="S107" s="918">
        <f t="shared" si="45"/>
        <v>0</v>
      </c>
      <c r="T107" s="918">
        <f t="shared" si="45"/>
        <v>0</v>
      </c>
      <c r="U107" s="918">
        <f t="shared" si="45"/>
        <v>0</v>
      </c>
    </row>
    <row r="108" spans="1:21">
      <c r="A108" s="916" t="s">
        <v>484</v>
      </c>
      <c r="B108" s="916"/>
      <c r="C108" s="916"/>
      <c r="D108" s="916"/>
      <c r="E108" s="916"/>
      <c r="F108" s="912">
        <f>F52-0</f>
        <v>35</v>
      </c>
      <c r="G108" s="912">
        <f>G52-F52</f>
        <v>0</v>
      </c>
      <c r="H108" s="912">
        <f t="shared" ref="H108:U108" si="46">H52-G52</f>
        <v>0</v>
      </c>
      <c r="I108" s="912">
        <f t="shared" si="46"/>
        <v>0</v>
      </c>
      <c r="J108" s="912">
        <f t="shared" si="46"/>
        <v>18</v>
      </c>
      <c r="K108" s="912">
        <f t="shared" si="46"/>
        <v>0</v>
      </c>
      <c r="L108" s="912">
        <f t="shared" si="46"/>
        <v>0</v>
      </c>
      <c r="M108" s="912">
        <f t="shared" si="46"/>
        <v>0</v>
      </c>
      <c r="N108" s="912">
        <f t="shared" si="46"/>
        <v>15</v>
      </c>
      <c r="O108" s="912">
        <f t="shared" si="46"/>
        <v>0</v>
      </c>
      <c r="P108" s="912">
        <f t="shared" si="46"/>
        <v>0</v>
      </c>
      <c r="Q108" s="912">
        <f t="shared" si="46"/>
        <v>0</v>
      </c>
      <c r="R108" s="912">
        <f t="shared" si="46"/>
        <v>0</v>
      </c>
      <c r="S108" s="912">
        <f t="shared" si="46"/>
        <v>0</v>
      </c>
      <c r="T108" s="912">
        <f t="shared" si="46"/>
        <v>0</v>
      </c>
      <c r="U108" s="912">
        <f t="shared" si="46"/>
        <v>0</v>
      </c>
    </row>
    <row r="109" spans="1:21">
      <c r="A109" s="916" t="s">
        <v>476</v>
      </c>
      <c r="B109" s="916"/>
      <c r="C109" s="916"/>
      <c r="D109" s="916"/>
      <c r="E109" s="916"/>
      <c r="F109" s="912">
        <f>F103-F104-F105+F106+F107+F108</f>
        <v>230.76600000000002</v>
      </c>
      <c r="G109" s="912">
        <f t="shared" ref="G109:U109" si="47">G103-G104-G105+G106+G107+G108</f>
        <v>-1.3253000000000048</v>
      </c>
      <c r="H109" s="912">
        <f t="shared" si="47"/>
        <v>7.6725000000000172</v>
      </c>
      <c r="I109" s="912">
        <f t="shared" si="47"/>
        <v>7.6725000000000065</v>
      </c>
      <c r="J109" s="912">
        <f t="shared" si="47"/>
        <v>80.09572</v>
      </c>
      <c r="K109" s="912">
        <f t="shared" si="47"/>
        <v>-0.97523799999998761</v>
      </c>
      <c r="L109" s="912">
        <f t="shared" si="47"/>
        <v>4.0837500000000135</v>
      </c>
      <c r="M109" s="912">
        <f t="shared" si="47"/>
        <v>4.083750000000002</v>
      </c>
      <c r="N109" s="912">
        <f t="shared" si="47"/>
        <v>70.586363099999971</v>
      </c>
      <c r="O109" s="912">
        <f t="shared" si="47"/>
        <v>-324.63013137333377</v>
      </c>
      <c r="P109" s="912">
        <f t="shared" si="47"/>
        <v>-73.872333996010923</v>
      </c>
      <c r="Q109" s="912">
        <f t="shared" si="47"/>
        <v>0</v>
      </c>
      <c r="R109" s="912">
        <f t="shared" si="47"/>
        <v>0</v>
      </c>
      <c r="S109" s="912">
        <f t="shared" si="47"/>
        <v>0</v>
      </c>
      <c r="T109" s="912">
        <f t="shared" si="47"/>
        <v>0</v>
      </c>
      <c r="U109" s="912">
        <f t="shared" si="47"/>
        <v>0</v>
      </c>
    </row>
    <row r="110" spans="1:21">
      <c r="A110" s="916" t="s">
        <v>477</v>
      </c>
      <c r="B110" s="916"/>
      <c r="C110" s="916"/>
      <c r="D110" s="916"/>
      <c r="E110" s="916"/>
      <c r="F110" s="912">
        <f>Capex!C15</f>
        <v>91.690000000000012</v>
      </c>
      <c r="G110" s="912">
        <f>Capex!D15</f>
        <v>0</v>
      </c>
      <c r="H110" s="912">
        <f>Capex!E15</f>
        <v>0</v>
      </c>
      <c r="I110" s="912">
        <f>Capex!F15</f>
        <v>0</v>
      </c>
      <c r="J110" s="912">
        <f>Capex!G15</f>
        <v>42.591999999999999</v>
      </c>
      <c r="K110" s="912">
        <f>Capex!H15</f>
        <v>0</v>
      </c>
      <c r="L110" s="912">
        <f>Capex!I15</f>
        <v>0</v>
      </c>
      <c r="M110" s="912">
        <f>Capex!J15</f>
        <v>0</v>
      </c>
      <c r="N110" s="912">
        <f>Capex!K15</f>
        <v>49.876200000000011</v>
      </c>
      <c r="O110" s="912">
        <f>Capex!L15</f>
        <v>50.205320000000007</v>
      </c>
      <c r="P110" s="912">
        <f>Capex!M15</f>
        <v>0</v>
      </c>
      <c r="Q110" s="912">
        <f>Capex!N15</f>
        <v>0</v>
      </c>
      <c r="R110" s="912">
        <f>Capex!O15</f>
        <v>0</v>
      </c>
      <c r="S110" s="912">
        <f>Capex!P15</f>
        <v>0</v>
      </c>
      <c r="T110" s="912">
        <f>Capex!Q15</f>
        <v>0</v>
      </c>
      <c r="U110" s="912">
        <f>Capex!R15</f>
        <v>0</v>
      </c>
    </row>
    <row r="111" spans="1:21">
      <c r="A111" s="916" t="s">
        <v>487</v>
      </c>
      <c r="B111" s="916"/>
      <c r="C111" s="916"/>
      <c r="D111" s="916"/>
      <c r="E111" s="916"/>
      <c r="F111" s="912">
        <f>Amortisation!C10</f>
        <v>75</v>
      </c>
      <c r="G111" s="912"/>
      <c r="H111" s="912"/>
      <c r="I111" s="912"/>
      <c r="J111" s="912"/>
      <c r="K111" s="912"/>
      <c r="L111" s="912"/>
      <c r="M111" s="912"/>
      <c r="N111" s="912"/>
      <c r="O111" s="912"/>
      <c r="P111" s="912"/>
      <c r="Q111" s="912">
        <f>Q63</f>
        <v>0</v>
      </c>
      <c r="R111" s="912">
        <f>R63</f>
        <v>0</v>
      </c>
      <c r="S111" s="912">
        <f>S63</f>
        <v>0</v>
      </c>
      <c r="T111" s="912">
        <f>T63</f>
        <v>0</v>
      </c>
      <c r="U111" s="912">
        <f>U63</f>
        <v>0</v>
      </c>
    </row>
    <row r="112" spans="1:21">
      <c r="A112" s="916" t="s">
        <v>478</v>
      </c>
      <c r="B112" s="916"/>
      <c r="C112" s="916"/>
      <c r="D112" s="916"/>
      <c r="E112" s="916"/>
      <c r="F112" s="912">
        <f>-F110-F111</f>
        <v>-166.69</v>
      </c>
      <c r="G112" s="912">
        <f t="shared" ref="G112:U112" si="48">-G110-G111</f>
        <v>0</v>
      </c>
      <c r="H112" s="912">
        <f t="shared" si="48"/>
        <v>0</v>
      </c>
      <c r="I112" s="912">
        <f t="shared" si="48"/>
        <v>0</v>
      </c>
      <c r="J112" s="912">
        <f t="shared" si="48"/>
        <v>-42.591999999999999</v>
      </c>
      <c r="K112" s="912">
        <f t="shared" si="48"/>
        <v>0</v>
      </c>
      <c r="L112" s="912">
        <f t="shared" si="48"/>
        <v>0</v>
      </c>
      <c r="M112" s="912">
        <f t="shared" si="48"/>
        <v>0</v>
      </c>
      <c r="N112" s="912">
        <f t="shared" si="48"/>
        <v>-49.876200000000011</v>
      </c>
      <c r="O112" s="912">
        <f t="shared" si="48"/>
        <v>-50.205320000000007</v>
      </c>
      <c r="P112" s="912">
        <f t="shared" si="48"/>
        <v>0</v>
      </c>
      <c r="Q112" s="912">
        <f t="shared" si="48"/>
        <v>0</v>
      </c>
      <c r="R112" s="912">
        <f t="shared" si="48"/>
        <v>0</v>
      </c>
      <c r="S112" s="912">
        <f t="shared" si="48"/>
        <v>0</v>
      </c>
      <c r="T112" s="912">
        <f t="shared" si="48"/>
        <v>0</v>
      </c>
      <c r="U112" s="912">
        <f t="shared" si="48"/>
        <v>0</v>
      </c>
    </row>
    <row r="113" spans="1:45">
      <c r="A113" s="913" t="s">
        <v>479</v>
      </c>
      <c r="B113" s="913"/>
      <c r="C113" s="913"/>
      <c r="D113" s="913"/>
      <c r="E113" s="913"/>
      <c r="F113" s="912">
        <f t="shared" ref="F113:U113" si="49">F102+F109+F112</f>
        <v>0</v>
      </c>
      <c r="G113" s="912">
        <f t="shared" si="49"/>
        <v>-1.6875389974302379E-14</v>
      </c>
      <c r="H113" s="912">
        <f t="shared" si="49"/>
        <v>1.0658141036401503E-14</v>
      </c>
      <c r="I113" s="912">
        <f t="shared" si="49"/>
        <v>1.7763568394002505E-15</v>
      </c>
      <c r="J113" s="912">
        <f t="shared" si="49"/>
        <v>0</v>
      </c>
      <c r="K113" s="912">
        <f t="shared" si="49"/>
        <v>2.042810365310288E-14</v>
      </c>
      <c r="L113" s="912">
        <f t="shared" si="49"/>
        <v>1.865174681370263E-14</v>
      </c>
      <c r="M113" s="912">
        <f t="shared" si="49"/>
        <v>7.9936057773011271E-15</v>
      </c>
      <c r="N113" s="912">
        <f t="shared" si="49"/>
        <v>0</v>
      </c>
      <c r="O113" s="912">
        <f t="shared" si="49"/>
        <v>0</v>
      </c>
      <c r="P113" s="912">
        <f t="shared" si="49"/>
        <v>371.94072101732235</v>
      </c>
      <c r="Q113" s="912">
        <f t="shared" si="49"/>
        <v>488.78417261666709</v>
      </c>
      <c r="R113" s="912">
        <f t="shared" si="49"/>
        <v>537.66258987833271</v>
      </c>
      <c r="S113" s="912">
        <f t="shared" si="49"/>
        <v>591.42884886616685</v>
      </c>
      <c r="T113" s="912">
        <f t="shared" si="49"/>
        <v>650.5717337527833</v>
      </c>
      <c r="U113" s="912">
        <f t="shared" si="49"/>
        <v>715.62890712806143</v>
      </c>
    </row>
    <row r="114" spans="1:45">
      <c r="A114" s="913" t="s">
        <v>480</v>
      </c>
      <c r="B114" s="913"/>
      <c r="C114" s="913"/>
      <c r="D114" s="913"/>
      <c r="E114" s="913"/>
      <c r="F114" s="912">
        <f>F113</f>
        <v>0</v>
      </c>
      <c r="G114" s="912">
        <f t="shared" ref="G114:U114" si="50">F114+G113</f>
        <v>-1.6875389974302379E-14</v>
      </c>
      <c r="H114" s="912">
        <f t="shared" si="50"/>
        <v>-6.2172489379008766E-15</v>
      </c>
      <c r="I114" s="912">
        <f t="shared" si="50"/>
        <v>-4.4408920985006262E-15</v>
      </c>
      <c r="J114" s="912">
        <f t="shared" si="50"/>
        <v>-4.4408920985006262E-15</v>
      </c>
      <c r="K114" s="912">
        <f t="shared" si="50"/>
        <v>1.5987211554602254E-14</v>
      </c>
      <c r="L114" s="912">
        <f t="shared" si="50"/>
        <v>3.4638958368304884E-14</v>
      </c>
      <c r="M114" s="912">
        <f t="shared" si="50"/>
        <v>4.2632564145606011E-14</v>
      </c>
      <c r="N114" s="912">
        <f t="shared" si="50"/>
        <v>4.2632564145606011E-14</v>
      </c>
      <c r="O114" s="912">
        <f t="shared" si="50"/>
        <v>4.2632564145606011E-14</v>
      </c>
      <c r="P114" s="912">
        <f t="shared" si="50"/>
        <v>371.9407210173224</v>
      </c>
      <c r="Q114" s="912">
        <f t="shared" si="50"/>
        <v>860.7248936339895</v>
      </c>
      <c r="R114" s="912">
        <f t="shared" si="50"/>
        <v>1398.3874835123222</v>
      </c>
      <c r="S114" s="912">
        <f t="shared" si="50"/>
        <v>1989.8163323784891</v>
      </c>
      <c r="T114" s="912">
        <f t="shared" si="50"/>
        <v>2640.3880661312724</v>
      </c>
      <c r="U114" s="912">
        <f t="shared" si="50"/>
        <v>3356.016973259334</v>
      </c>
    </row>
    <row r="115" spans="1:45">
      <c r="A115" s="905"/>
      <c r="B115" s="905"/>
      <c r="C115" s="905"/>
      <c r="D115" s="905"/>
      <c r="E115" s="905"/>
      <c r="F115" s="912"/>
      <c r="G115" s="912"/>
      <c r="H115" s="912"/>
      <c r="I115" s="912"/>
      <c r="J115" s="912"/>
      <c r="K115" s="912"/>
      <c r="L115" s="912"/>
      <c r="M115" s="912"/>
      <c r="N115" s="912"/>
      <c r="O115" s="912"/>
      <c r="P115" s="912"/>
      <c r="Q115" s="912"/>
      <c r="R115" s="912"/>
      <c r="S115" s="912"/>
      <c r="T115" s="912"/>
      <c r="U115" s="912"/>
    </row>
    <row r="116" spans="1:45">
      <c r="A116" s="919" t="s">
        <v>216</v>
      </c>
      <c r="B116" s="919"/>
      <c r="C116" s="919"/>
      <c r="D116" s="919"/>
      <c r="E116" s="919"/>
      <c r="G116" s="920"/>
    </row>
    <row r="117" spans="1:45" s="920" customFormat="1">
      <c r="A117" s="920" t="s">
        <v>429</v>
      </c>
      <c r="F117" s="921">
        <f t="shared" ref="F117:M117" si="51">(F27+F28)/3*2</f>
        <v>38.762799999999999</v>
      </c>
      <c r="G117" s="921">
        <f t="shared" si="51"/>
        <v>29.765000000000001</v>
      </c>
      <c r="H117" s="921">
        <f t="shared" si="51"/>
        <v>29.765000000000001</v>
      </c>
      <c r="I117" s="921">
        <f t="shared" si="51"/>
        <v>29.765000000000001</v>
      </c>
      <c r="J117" s="921">
        <f t="shared" si="51"/>
        <v>51.616487999999997</v>
      </c>
      <c r="K117" s="921">
        <f t="shared" si="51"/>
        <v>46.557499999999997</v>
      </c>
      <c r="L117" s="921">
        <f t="shared" si="51"/>
        <v>46.557499999999997</v>
      </c>
      <c r="M117" s="921">
        <f t="shared" si="51"/>
        <v>46.557499999999997</v>
      </c>
      <c r="N117" s="921">
        <f>(N27+N28)/12*2</f>
        <v>69.556523300000009</v>
      </c>
      <c r="O117" s="921">
        <f t="shared" ref="O117:U117" si="52">(O27+O28)/12*2</f>
        <v>93.899538846666687</v>
      </c>
      <c r="P117" s="921">
        <f t="shared" si="52"/>
        <v>101.67930483333335</v>
      </c>
      <c r="Q117" s="921">
        <f t="shared" si="52"/>
        <v>111.84723531666664</v>
      </c>
      <c r="R117" s="921">
        <f t="shared" si="52"/>
        <v>123.03195884833337</v>
      </c>
      <c r="S117" s="921">
        <f t="shared" si="52"/>
        <v>135.33515473316669</v>
      </c>
      <c r="T117" s="921">
        <f t="shared" si="52"/>
        <v>148.86867020648339</v>
      </c>
      <c r="U117" s="921">
        <f t="shared" si="52"/>
        <v>163.7555372271317</v>
      </c>
      <c r="V117" s="856"/>
      <c r="AR117" s="830"/>
    </row>
    <row r="118" spans="1:45" s="920" customFormat="1">
      <c r="A118" s="922" t="s">
        <v>430</v>
      </c>
      <c r="B118" s="922"/>
      <c r="C118" s="922"/>
      <c r="D118" s="922"/>
      <c r="E118" s="922"/>
      <c r="F118" s="923">
        <f>F117</f>
        <v>38.762799999999999</v>
      </c>
      <c r="G118" s="923">
        <f>G117-F117</f>
        <v>-8.997799999999998</v>
      </c>
      <c r="H118" s="923">
        <f t="shared" ref="H118:U118" si="53">H117-G117</f>
        <v>0</v>
      </c>
      <c r="I118" s="923">
        <f t="shared" si="53"/>
        <v>0</v>
      </c>
      <c r="J118" s="923">
        <f t="shared" si="53"/>
        <v>21.851487999999996</v>
      </c>
      <c r="K118" s="923">
        <f t="shared" si="53"/>
        <v>-5.0589879999999994</v>
      </c>
      <c r="L118" s="923">
        <f t="shared" si="53"/>
        <v>0</v>
      </c>
      <c r="M118" s="923">
        <f t="shared" si="53"/>
        <v>0</v>
      </c>
      <c r="N118" s="923">
        <f t="shared" si="53"/>
        <v>22.999023300000012</v>
      </c>
      <c r="O118" s="923">
        <f t="shared" si="53"/>
        <v>24.343015546666678</v>
      </c>
      <c r="P118" s="923">
        <f t="shared" si="53"/>
        <v>7.7797659866666606</v>
      </c>
      <c r="Q118" s="923">
        <f t="shared" si="53"/>
        <v>10.167930483333294</v>
      </c>
      <c r="R118" s="923">
        <f t="shared" si="53"/>
        <v>11.184723531666734</v>
      </c>
      <c r="S118" s="923">
        <f t="shared" si="53"/>
        <v>12.303195884833315</v>
      </c>
      <c r="T118" s="923">
        <f t="shared" si="53"/>
        <v>13.533515473316697</v>
      </c>
      <c r="U118" s="923">
        <f t="shared" si="53"/>
        <v>14.88686702064831</v>
      </c>
      <c r="V118" s="856"/>
      <c r="AR118" s="830"/>
    </row>
    <row r="119" spans="1:45" s="920" customFormat="1">
      <c r="F119" s="830"/>
      <c r="G119" s="830"/>
      <c r="H119" s="830"/>
      <c r="I119" s="830"/>
      <c r="J119" s="830"/>
      <c r="K119" s="830"/>
      <c r="L119" s="830"/>
      <c r="M119" s="830"/>
      <c r="N119" s="830"/>
      <c r="O119" s="830"/>
      <c r="P119" s="830"/>
      <c r="Q119" s="830"/>
      <c r="R119" s="830"/>
      <c r="S119" s="830"/>
      <c r="T119" s="830"/>
      <c r="U119" s="830"/>
      <c r="V119" s="856"/>
      <c r="AR119" s="830"/>
    </row>
    <row r="120" spans="1:45">
      <c r="A120" s="802" t="s">
        <v>217</v>
      </c>
      <c r="F120" s="924">
        <f>F65</f>
        <v>0</v>
      </c>
      <c r="G120" s="924">
        <f t="shared" ref="G120:U120" si="54">G65</f>
        <v>7.9580786405131221E-13</v>
      </c>
      <c r="H120" s="924">
        <f t="shared" si="54"/>
        <v>4.0358827391173691E-12</v>
      </c>
      <c r="I120" s="924">
        <f t="shared" si="54"/>
        <v>1.4807710613240488E-11</v>
      </c>
      <c r="J120" s="924">
        <f t="shared" si="54"/>
        <v>4.4451553549151868E-11</v>
      </c>
      <c r="K120" s="924">
        <f t="shared" si="54"/>
        <v>1.1590373105718754E-10</v>
      </c>
      <c r="L120" s="924">
        <f t="shared" si="54"/>
        <v>2.7154101189807989E-10</v>
      </c>
      <c r="M120" s="924">
        <f t="shared" si="54"/>
        <v>5.8520299717201851E-10</v>
      </c>
      <c r="N120" s="924">
        <f t="shared" si="54"/>
        <v>6.8567089783755364E-9</v>
      </c>
      <c r="O120" s="924">
        <f t="shared" si="54"/>
        <v>2.6874670140841772E-5</v>
      </c>
      <c r="P120" s="924">
        <f t="shared" si="54"/>
        <v>371.94077475416179</v>
      </c>
      <c r="Q120" s="924">
        <f t="shared" si="54"/>
        <v>860.72494737082889</v>
      </c>
      <c r="R120" s="924">
        <f t="shared" si="54"/>
        <v>1398.3875372491618</v>
      </c>
      <c r="S120" s="924">
        <f t="shared" si="54"/>
        <v>1989.8163861153284</v>
      </c>
      <c r="T120" s="924">
        <f t="shared" si="54"/>
        <v>2640.388119868112</v>
      </c>
      <c r="U120" s="924">
        <f t="shared" si="54"/>
        <v>3356.0170269961732</v>
      </c>
      <c r="AS120" s="920"/>
    </row>
    <row r="121" spans="1:45">
      <c r="J121" s="924"/>
      <c r="K121" s="924"/>
      <c r="L121" s="924"/>
      <c r="M121" s="924"/>
      <c r="N121" s="924"/>
      <c r="O121" s="924"/>
      <c r="P121" s="924"/>
    </row>
    <row r="122" spans="1:45">
      <c r="A122" s="919" t="s">
        <v>427</v>
      </c>
      <c r="B122" s="919"/>
      <c r="C122" s="919"/>
      <c r="D122" s="919"/>
      <c r="E122" s="919"/>
    </row>
    <row r="123" spans="1:45">
      <c r="A123" s="802" t="str">
        <f>'Opex  Assumptions'!A42</f>
        <v>Advertising &amp; Marketing</v>
      </c>
      <c r="F123" s="925">
        <f>'Opex  Assumptions'!F42</f>
        <v>0.75</v>
      </c>
      <c r="G123" s="925">
        <f>'Opex  Assumptions'!G42</f>
        <v>0.75</v>
      </c>
      <c r="H123" s="925">
        <f>'Opex  Assumptions'!H42</f>
        <v>0.75</v>
      </c>
      <c r="I123" s="925">
        <f>'Opex  Assumptions'!I42</f>
        <v>0.75</v>
      </c>
      <c r="J123" s="925">
        <f>'Opex  Assumptions'!J42</f>
        <v>0.82500000000000007</v>
      </c>
      <c r="K123" s="925">
        <f>'Opex  Assumptions'!K42</f>
        <v>0.82500000000000007</v>
      </c>
      <c r="L123" s="925">
        <f>'Opex  Assumptions'!L42</f>
        <v>0.82500000000000007</v>
      </c>
      <c r="M123" s="925">
        <f>'Opex  Assumptions'!M42</f>
        <v>0.82500000000000007</v>
      </c>
      <c r="N123" s="925">
        <f>'Opex  Assumptions'!N42</f>
        <v>3.6300000000000008</v>
      </c>
      <c r="O123" s="925">
        <f>'Opex  Assumptions'!O42</f>
        <v>3.9930000000000003</v>
      </c>
      <c r="P123" s="925">
        <f>'Opex  Assumptions'!P42</f>
        <v>4.3923000000000005</v>
      </c>
      <c r="Q123" s="925">
        <f>'Opex  Assumptions'!Q42</f>
        <v>4.8315300000000008</v>
      </c>
      <c r="R123" s="925">
        <f>'Opex  Assumptions'!R42</f>
        <v>5.3146830000000005</v>
      </c>
      <c r="S123" s="925">
        <f>'Opex  Assumptions'!S42</f>
        <v>5.8461513000000007</v>
      </c>
      <c r="T123" s="925">
        <f>'Opex  Assumptions'!T42</f>
        <v>6.4307664300000003</v>
      </c>
      <c r="U123" s="925">
        <f>'Opex  Assumptions'!U42</f>
        <v>7.0738430730000008</v>
      </c>
      <c r="V123" s="906"/>
      <c r="W123" s="920"/>
      <c r="X123" s="920"/>
      <c r="Y123" s="920"/>
      <c r="Z123" s="920"/>
      <c r="AA123" s="920"/>
      <c r="AB123" s="920"/>
      <c r="AC123" s="920"/>
      <c r="AD123" s="920"/>
      <c r="AE123" s="920"/>
      <c r="AF123" s="920"/>
      <c r="AG123" s="920"/>
      <c r="AH123" s="920"/>
      <c r="AI123" s="920"/>
      <c r="AJ123" s="920"/>
      <c r="AK123" s="920"/>
      <c r="AL123" s="920"/>
      <c r="AM123" s="920"/>
      <c r="AN123" s="920"/>
      <c r="AO123" s="920"/>
      <c r="AP123" s="920"/>
      <c r="AQ123" s="920"/>
      <c r="AR123" s="830"/>
      <c r="AS123" s="920"/>
    </row>
    <row r="124" spans="1:45">
      <c r="A124" s="802" t="str">
        <f>'Opex  Assumptions'!A57</f>
        <v>Mobilization Expenses</v>
      </c>
      <c r="F124" s="925">
        <f>'Opex  Assumptions'!F57</f>
        <v>0.75749999999999984</v>
      </c>
      <c r="G124" s="925">
        <f>'Opex  Assumptions'!G57</f>
        <v>0.75749999999999984</v>
      </c>
      <c r="H124" s="925">
        <f>'Opex  Assumptions'!H57</f>
        <v>0.75749999999999984</v>
      </c>
      <c r="I124" s="925">
        <f>'Opex  Assumptions'!I57</f>
        <v>0.75749999999999984</v>
      </c>
      <c r="J124" s="925">
        <f>'Opex  Assumptions'!J57</f>
        <v>1.4107500000000002</v>
      </c>
      <c r="K124" s="925">
        <f>'Opex  Assumptions'!K57</f>
        <v>1.4107500000000002</v>
      </c>
      <c r="L124" s="925">
        <f>'Opex  Assumptions'!L57</f>
        <v>1.4107500000000002</v>
      </c>
      <c r="M124" s="925">
        <f>'Opex  Assumptions'!M57</f>
        <v>1.4107500000000002</v>
      </c>
      <c r="N124" s="925">
        <f>'Opex  Assumptions'!N57</f>
        <v>9.1113</v>
      </c>
      <c r="O124" s="925">
        <f>'Opex  Assumptions'!O57</f>
        <v>21.229450000000003</v>
      </c>
      <c r="P124" s="925">
        <f>'Opex  Assumptions'!P57</f>
        <v>23.352395000000008</v>
      </c>
      <c r="Q124" s="925">
        <f>'Opex  Assumptions'!Q57</f>
        <v>25.687634500000009</v>
      </c>
      <c r="R124" s="925">
        <f>'Opex  Assumptions'!R57</f>
        <v>28.25639795</v>
      </c>
      <c r="S124" s="925">
        <f>'Opex  Assumptions'!S57</f>
        <v>31.082037744999997</v>
      </c>
      <c r="T124" s="925">
        <f>'Opex  Assumptions'!T57</f>
        <v>34.190241519499999</v>
      </c>
      <c r="U124" s="925">
        <f>'Opex  Assumptions'!U57</f>
        <v>37.609265671450004</v>
      </c>
      <c r="V124" s="906"/>
      <c r="W124" s="920"/>
      <c r="X124" s="920"/>
      <c r="Y124" s="920"/>
      <c r="Z124" s="920"/>
      <c r="AA124" s="920"/>
      <c r="AB124" s="920"/>
      <c r="AC124" s="920"/>
      <c r="AD124" s="920"/>
      <c r="AE124" s="920"/>
      <c r="AF124" s="920"/>
      <c r="AG124" s="920"/>
      <c r="AH124" s="920"/>
      <c r="AI124" s="920"/>
      <c r="AJ124" s="920"/>
      <c r="AK124" s="920"/>
      <c r="AL124" s="920"/>
      <c r="AM124" s="920"/>
      <c r="AN124" s="920"/>
      <c r="AO124" s="920"/>
      <c r="AP124" s="920"/>
      <c r="AQ124" s="920"/>
      <c r="AR124" s="830"/>
      <c r="AS124" s="920"/>
    </row>
    <row r="125" spans="1:45">
      <c r="F125" s="925"/>
      <c r="G125" s="925"/>
      <c r="H125" s="925"/>
      <c r="I125" s="925"/>
      <c r="J125" s="925"/>
      <c r="K125" s="925"/>
      <c r="L125" s="925"/>
      <c r="M125" s="925"/>
      <c r="N125" s="925"/>
      <c r="O125" s="925"/>
      <c r="P125" s="925"/>
      <c r="Q125" s="925"/>
      <c r="R125" s="925"/>
      <c r="S125" s="925"/>
      <c r="T125" s="925"/>
      <c r="U125" s="925"/>
      <c r="V125" s="906"/>
      <c r="W125" s="920"/>
      <c r="X125" s="920"/>
      <c r="Y125" s="920"/>
      <c r="Z125" s="920"/>
      <c r="AA125" s="920"/>
      <c r="AB125" s="920"/>
      <c r="AC125" s="920"/>
      <c r="AD125" s="920"/>
      <c r="AE125" s="920"/>
      <c r="AF125" s="920"/>
      <c r="AG125" s="920"/>
      <c r="AH125" s="920"/>
      <c r="AI125" s="920"/>
      <c r="AJ125" s="920"/>
      <c r="AK125" s="920"/>
      <c r="AL125" s="920"/>
      <c r="AM125" s="920"/>
      <c r="AN125" s="920"/>
      <c r="AO125" s="920"/>
      <c r="AP125" s="920"/>
      <c r="AQ125" s="920"/>
      <c r="AR125" s="830"/>
      <c r="AS125" s="920"/>
    </row>
    <row r="126" spans="1:45">
      <c r="A126" s="919" t="s">
        <v>1</v>
      </c>
      <c r="B126" s="919"/>
      <c r="C126" s="919"/>
      <c r="D126" s="919"/>
      <c r="E126" s="919"/>
      <c r="F126" s="926">
        <f t="shared" ref="F126:U126" si="55">SUM(F123:F125)</f>
        <v>1.5074999999999998</v>
      </c>
      <c r="G126" s="926">
        <f t="shared" si="55"/>
        <v>1.5074999999999998</v>
      </c>
      <c r="H126" s="926">
        <f t="shared" si="55"/>
        <v>1.5074999999999998</v>
      </c>
      <c r="I126" s="926">
        <f t="shared" si="55"/>
        <v>1.5074999999999998</v>
      </c>
      <c r="J126" s="926">
        <f t="shared" si="55"/>
        <v>2.2357500000000003</v>
      </c>
      <c r="K126" s="926">
        <f t="shared" si="55"/>
        <v>2.2357500000000003</v>
      </c>
      <c r="L126" s="926">
        <f t="shared" si="55"/>
        <v>2.2357500000000003</v>
      </c>
      <c r="M126" s="926">
        <f t="shared" si="55"/>
        <v>2.2357500000000003</v>
      </c>
      <c r="N126" s="926">
        <f t="shared" si="55"/>
        <v>12.741300000000001</v>
      </c>
      <c r="O126" s="926">
        <f t="shared" si="55"/>
        <v>25.222450000000002</v>
      </c>
      <c r="P126" s="926">
        <f t="shared" si="55"/>
        <v>27.744695000000007</v>
      </c>
      <c r="Q126" s="926">
        <f t="shared" si="55"/>
        <v>30.519164500000009</v>
      </c>
      <c r="R126" s="926">
        <f t="shared" si="55"/>
        <v>33.571080950000002</v>
      </c>
      <c r="S126" s="926">
        <f t="shared" si="55"/>
        <v>36.928189044999996</v>
      </c>
      <c r="T126" s="926">
        <f t="shared" si="55"/>
        <v>40.621007949499997</v>
      </c>
      <c r="U126" s="926">
        <f t="shared" si="55"/>
        <v>44.683108744450003</v>
      </c>
      <c r="V126" s="926">
        <f>SUM(F126:U126)</f>
        <v>267.00399618895</v>
      </c>
      <c r="W126" s="920"/>
      <c r="X126" s="920"/>
      <c r="Y126" s="920"/>
      <c r="Z126" s="920"/>
      <c r="AA126" s="920"/>
      <c r="AB126" s="920"/>
      <c r="AC126" s="920"/>
      <c r="AD126" s="920"/>
      <c r="AE126" s="920"/>
      <c r="AF126" s="920"/>
      <c r="AG126" s="920"/>
      <c r="AH126" s="920"/>
      <c r="AI126" s="920"/>
      <c r="AJ126" s="920"/>
      <c r="AK126" s="920"/>
      <c r="AL126" s="920"/>
      <c r="AM126" s="920"/>
      <c r="AN126" s="920"/>
      <c r="AO126" s="920"/>
      <c r="AP126" s="920"/>
      <c r="AQ126" s="920"/>
      <c r="AR126" s="830"/>
      <c r="AS126" s="920"/>
    </row>
    <row r="127" spans="1:45">
      <c r="A127" s="919" t="s">
        <v>426</v>
      </c>
      <c r="B127" s="919"/>
      <c r="C127" s="919"/>
      <c r="D127" s="919"/>
      <c r="E127" s="919"/>
      <c r="F127" s="926">
        <f>F126</f>
        <v>1.5074999999999998</v>
      </c>
      <c r="G127" s="926">
        <f>F127+G126</f>
        <v>3.0149999999999997</v>
      </c>
      <c r="H127" s="926">
        <f t="shared" ref="H127:U127" si="56">G127+H126</f>
        <v>4.5224999999999991</v>
      </c>
      <c r="I127" s="926">
        <f t="shared" si="56"/>
        <v>6.0299999999999994</v>
      </c>
      <c r="J127" s="926">
        <f t="shared" si="56"/>
        <v>8.2657500000000006</v>
      </c>
      <c r="K127" s="926">
        <f t="shared" si="56"/>
        <v>10.5015</v>
      </c>
      <c r="L127" s="926">
        <f t="shared" si="56"/>
        <v>12.73725</v>
      </c>
      <c r="M127" s="926">
        <f t="shared" si="56"/>
        <v>14.972999999999999</v>
      </c>
      <c r="N127" s="926">
        <f t="shared" si="56"/>
        <v>27.714300000000001</v>
      </c>
      <c r="O127" s="926">
        <f t="shared" si="56"/>
        <v>52.936750000000004</v>
      </c>
      <c r="P127" s="926">
        <f t="shared" si="56"/>
        <v>80.681445000000011</v>
      </c>
      <c r="Q127" s="926">
        <f t="shared" si="56"/>
        <v>111.20060950000001</v>
      </c>
      <c r="R127" s="926">
        <f t="shared" si="56"/>
        <v>144.77169045000002</v>
      </c>
      <c r="S127" s="926">
        <f t="shared" si="56"/>
        <v>181.699879495</v>
      </c>
      <c r="T127" s="926">
        <f t="shared" si="56"/>
        <v>222.32088744449999</v>
      </c>
      <c r="U127" s="926">
        <f t="shared" si="56"/>
        <v>267.00399618895</v>
      </c>
      <c r="V127" s="927"/>
      <c r="W127" s="920"/>
      <c r="X127" s="920"/>
      <c r="Y127" s="920"/>
      <c r="Z127" s="920"/>
      <c r="AA127" s="920"/>
      <c r="AB127" s="920"/>
      <c r="AC127" s="920"/>
      <c r="AD127" s="920"/>
      <c r="AE127" s="920"/>
      <c r="AF127" s="920"/>
      <c r="AG127" s="920"/>
      <c r="AH127" s="920"/>
      <c r="AI127" s="920"/>
      <c r="AJ127" s="920"/>
      <c r="AK127" s="920"/>
      <c r="AL127" s="920"/>
      <c r="AM127" s="920"/>
      <c r="AN127" s="920"/>
      <c r="AO127" s="920"/>
      <c r="AP127" s="920"/>
      <c r="AQ127" s="920"/>
      <c r="AR127" s="830"/>
      <c r="AS127" s="920"/>
    </row>
    <row r="128" spans="1:45">
      <c r="F128" s="920"/>
      <c r="G128" s="920"/>
      <c r="H128" s="920"/>
      <c r="I128" s="920"/>
      <c r="J128" s="920"/>
      <c r="K128" s="920"/>
      <c r="L128" s="920"/>
      <c r="M128" s="920"/>
      <c r="N128" s="920"/>
      <c r="O128" s="920"/>
      <c r="P128" s="920"/>
      <c r="Q128" s="920"/>
      <c r="R128" s="920"/>
      <c r="S128" s="920"/>
      <c r="T128" s="920"/>
      <c r="U128" s="920"/>
      <c r="V128" s="856"/>
      <c r="W128" s="920"/>
      <c r="X128" s="920"/>
      <c r="Y128" s="920"/>
      <c r="Z128" s="920"/>
      <c r="AA128" s="920"/>
      <c r="AB128" s="920"/>
      <c r="AC128" s="920"/>
      <c r="AD128" s="920"/>
      <c r="AE128" s="920"/>
      <c r="AF128" s="920"/>
      <c r="AG128" s="920"/>
      <c r="AH128" s="920"/>
      <c r="AI128" s="920"/>
      <c r="AJ128" s="920"/>
      <c r="AK128" s="920"/>
      <c r="AL128" s="920"/>
      <c r="AM128" s="920"/>
      <c r="AN128" s="920"/>
      <c r="AO128" s="920"/>
      <c r="AP128" s="920"/>
      <c r="AQ128" s="920"/>
      <c r="AR128" s="830"/>
      <c r="AS128" s="920"/>
    </row>
    <row r="129" spans="1:22">
      <c r="A129" s="928" t="s">
        <v>582</v>
      </c>
      <c r="B129" s="928"/>
      <c r="C129" s="928"/>
      <c r="D129" s="928"/>
      <c r="E129" s="928"/>
    </row>
    <row r="130" spans="1:22">
      <c r="A130" s="929" t="s">
        <v>583</v>
      </c>
      <c r="B130" s="929"/>
      <c r="C130" s="929"/>
      <c r="D130" s="929"/>
      <c r="E130" s="929"/>
      <c r="F130" s="920">
        <f>'Opex  Assumptions'!E38</f>
        <v>0.27200000000000002</v>
      </c>
      <c r="G130" s="930">
        <v>2</v>
      </c>
      <c r="H130" s="920"/>
      <c r="I130" s="920"/>
      <c r="J130" s="920"/>
      <c r="K130" s="920"/>
      <c r="L130" s="920"/>
      <c r="M130" s="920"/>
      <c r="N130" s="920"/>
      <c r="O130" s="920"/>
      <c r="P130" s="920"/>
      <c r="Q130" s="920"/>
      <c r="R130" s="920"/>
      <c r="S130" s="920"/>
      <c r="T130" s="920"/>
      <c r="U130" s="920"/>
      <c r="V130" s="856"/>
    </row>
    <row r="131" spans="1:22">
      <c r="A131" s="931" t="s">
        <v>584</v>
      </c>
      <c r="B131" s="931"/>
      <c r="C131" s="931"/>
      <c r="D131" s="931"/>
      <c r="E131" s="931"/>
      <c r="F131" s="920">
        <f>F130*G130</f>
        <v>0.54400000000000004</v>
      </c>
      <c r="G131" s="920"/>
      <c r="H131" s="920"/>
      <c r="I131" s="920"/>
      <c r="J131" s="920"/>
      <c r="K131" s="920"/>
      <c r="L131" s="920"/>
      <c r="M131" s="920"/>
      <c r="N131" s="920"/>
      <c r="O131" s="920"/>
      <c r="P131" s="920"/>
      <c r="Q131" s="920"/>
      <c r="R131" s="920"/>
      <c r="S131" s="920"/>
      <c r="T131" s="920"/>
      <c r="U131" s="920"/>
      <c r="V131" s="856">
        <f>SUM(F131:U131)</f>
        <v>0.54400000000000004</v>
      </c>
    </row>
    <row r="132" spans="1:22">
      <c r="A132" s="929" t="s">
        <v>585</v>
      </c>
      <c r="B132" s="929"/>
      <c r="C132" s="929"/>
      <c r="D132" s="929"/>
      <c r="E132" s="929"/>
      <c r="F132" s="920">
        <f>'Key Assumptions'!F7</f>
        <v>6</v>
      </c>
      <c r="G132" s="920">
        <f>'Key Assumptions'!G7</f>
        <v>0</v>
      </c>
      <c r="H132" s="920">
        <f>'Key Assumptions'!H7</f>
        <v>0</v>
      </c>
      <c r="I132" s="920">
        <f>'Key Assumptions'!I7</f>
        <v>0</v>
      </c>
      <c r="J132" s="920">
        <f>'Key Assumptions'!J7</f>
        <v>3</v>
      </c>
      <c r="K132" s="920">
        <f>'Key Assumptions'!K7</f>
        <v>0</v>
      </c>
      <c r="L132" s="920">
        <f>'Key Assumptions'!L7</f>
        <v>0</v>
      </c>
      <c r="M132" s="920">
        <f>'Key Assumptions'!M7</f>
        <v>0</v>
      </c>
      <c r="N132" s="920">
        <f>'Key Assumptions'!N7</f>
        <v>3</v>
      </c>
      <c r="O132" s="920">
        <f>'Key Assumptions'!O7</f>
        <v>3</v>
      </c>
      <c r="P132" s="920">
        <f>'Key Assumptions'!P7</f>
        <v>0</v>
      </c>
      <c r="Q132" s="920">
        <f>'Key Assumptions'!Q7</f>
        <v>0</v>
      </c>
      <c r="R132" s="920">
        <f>'Key Assumptions'!R7</f>
        <v>0</v>
      </c>
      <c r="S132" s="920">
        <f>'Key Assumptions'!S7</f>
        <v>0</v>
      </c>
      <c r="T132" s="920">
        <f>'Key Assumptions'!T7</f>
        <v>0</v>
      </c>
      <c r="U132" s="920">
        <f>'Key Assumptions'!U7</f>
        <v>0</v>
      </c>
      <c r="V132" s="856"/>
    </row>
    <row r="133" spans="1:22">
      <c r="A133" s="929"/>
      <c r="B133" s="929"/>
      <c r="C133" s="929"/>
      <c r="D133" s="929"/>
      <c r="E133" s="929"/>
      <c r="F133" s="920">
        <f>'Opex  Assumptions'!E55</f>
        <v>0.3</v>
      </c>
      <c r="G133" s="930">
        <v>2</v>
      </c>
      <c r="H133" s="920"/>
      <c r="I133" s="920"/>
      <c r="J133" s="920"/>
      <c r="K133" s="920"/>
      <c r="L133" s="920"/>
      <c r="M133" s="920"/>
      <c r="N133" s="920"/>
      <c r="O133" s="920"/>
      <c r="P133" s="920"/>
      <c r="Q133" s="920"/>
      <c r="R133" s="920"/>
      <c r="S133" s="920"/>
      <c r="T133" s="920"/>
      <c r="U133" s="920"/>
      <c r="V133" s="856"/>
    </row>
    <row r="134" spans="1:22">
      <c r="A134" s="931" t="s">
        <v>584</v>
      </c>
      <c r="B134" s="931"/>
      <c r="C134" s="931"/>
      <c r="D134" s="931"/>
      <c r="E134" s="931"/>
      <c r="F134" s="920">
        <f t="shared" ref="F134:U134" si="57">$F$133*$G$133*F132*F3</f>
        <v>3.5999999999999996</v>
      </c>
      <c r="G134" s="920">
        <f t="shared" si="57"/>
        <v>0</v>
      </c>
      <c r="H134" s="920">
        <f t="shared" si="57"/>
        <v>0</v>
      </c>
      <c r="I134" s="920">
        <f t="shared" si="57"/>
        <v>0</v>
      </c>
      <c r="J134" s="920">
        <f t="shared" si="57"/>
        <v>1.98</v>
      </c>
      <c r="K134" s="920">
        <f t="shared" si="57"/>
        <v>0</v>
      </c>
      <c r="L134" s="920">
        <f t="shared" si="57"/>
        <v>0</v>
      </c>
      <c r="M134" s="920">
        <f t="shared" si="57"/>
        <v>0</v>
      </c>
      <c r="N134" s="920">
        <f t="shared" si="57"/>
        <v>2.1779999999999999</v>
      </c>
      <c r="O134" s="920">
        <f t="shared" si="57"/>
        <v>2.3957999999999999</v>
      </c>
      <c r="P134" s="920">
        <f t="shared" si="57"/>
        <v>0</v>
      </c>
      <c r="Q134" s="920">
        <f t="shared" si="57"/>
        <v>0</v>
      </c>
      <c r="R134" s="920">
        <f t="shared" si="57"/>
        <v>0</v>
      </c>
      <c r="S134" s="920">
        <f t="shared" si="57"/>
        <v>0</v>
      </c>
      <c r="T134" s="920">
        <f t="shared" si="57"/>
        <v>0</v>
      </c>
      <c r="U134" s="920">
        <f t="shared" si="57"/>
        <v>0</v>
      </c>
      <c r="V134" s="856">
        <f>SUM(F134:U134)</f>
        <v>10.1538</v>
      </c>
    </row>
    <row r="135" spans="1:22">
      <c r="A135" s="932" t="s">
        <v>602</v>
      </c>
      <c r="B135" s="932"/>
      <c r="C135" s="932"/>
      <c r="D135" s="932"/>
      <c r="E135" s="932"/>
      <c r="F135" s="920"/>
      <c r="G135" s="920"/>
      <c r="H135" s="920"/>
      <c r="I135" s="920"/>
      <c r="J135" s="933">
        <v>2</v>
      </c>
      <c r="K135" s="920"/>
      <c r="L135" s="920"/>
      <c r="M135" s="920"/>
      <c r="N135" s="920"/>
      <c r="O135" s="933">
        <v>2</v>
      </c>
      <c r="P135" s="920"/>
      <c r="Q135" s="920"/>
      <c r="R135" s="920"/>
      <c r="S135" s="920"/>
      <c r="T135" s="920"/>
      <c r="U135" s="920"/>
      <c r="V135" s="856">
        <f>SUM(F135:U135)</f>
        <v>4</v>
      </c>
    </row>
    <row r="136" spans="1:22">
      <c r="A136" s="928" t="s">
        <v>586</v>
      </c>
      <c r="B136" s="928"/>
      <c r="C136" s="928"/>
      <c r="D136" s="928"/>
      <c r="E136" s="928"/>
      <c r="F136" s="934">
        <f>F131+F134+F135</f>
        <v>4.1440000000000001</v>
      </c>
      <c r="G136" s="934">
        <f t="shared" ref="G136:U136" si="58">G131+G134+G135</f>
        <v>0</v>
      </c>
      <c r="H136" s="934">
        <f t="shared" si="58"/>
        <v>0</v>
      </c>
      <c r="I136" s="934">
        <f t="shared" si="58"/>
        <v>0</v>
      </c>
      <c r="J136" s="934">
        <f t="shared" si="58"/>
        <v>3.98</v>
      </c>
      <c r="K136" s="934">
        <f t="shared" si="58"/>
        <v>0</v>
      </c>
      <c r="L136" s="934">
        <f t="shared" si="58"/>
        <v>0</v>
      </c>
      <c r="M136" s="934">
        <f t="shared" si="58"/>
        <v>0</v>
      </c>
      <c r="N136" s="934">
        <f t="shared" si="58"/>
        <v>2.1779999999999999</v>
      </c>
      <c r="O136" s="934">
        <f t="shared" si="58"/>
        <v>4.3957999999999995</v>
      </c>
      <c r="P136" s="934">
        <f t="shared" si="58"/>
        <v>0</v>
      </c>
      <c r="Q136" s="934">
        <f t="shared" si="58"/>
        <v>0</v>
      </c>
      <c r="R136" s="934">
        <f t="shared" si="58"/>
        <v>0</v>
      </c>
      <c r="S136" s="934">
        <f t="shared" si="58"/>
        <v>0</v>
      </c>
      <c r="T136" s="934">
        <f t="shared" si="58"/>
        <v>0</v>
      </c>
      <c r="U136" s="934">
        <f t="shared" si="58"/>
        <v>0</v>
      </c>
      <c r="V136" s="856">
        <f>SUM(F136:U136)</f>
        <v>14.697799999999999</v>
      </c>
    </row>
  </sheetData>
  <mergeCells count="10">
    <mergeCell ref="F81:I81"/>
    <mergeCell ref="J81:M81"/>
    <mergeCell ref="X37:AA37"/>
    <mergeCell ref="AB37:AE37"/>
    <mergeCell ref="A1:V1"/>
    <mergeCell ref="A51:U51"/>
    <mergeCell ref="F5:I5"/>
    <mergeCell ref="J5:M5"/>
    <mergeCell ref="A4:W4"/>
    <mergeCell ref="A2:W2"/>
  </mergeCells>
  <pageMargins left="0.4" right="0.44" top="0.46" bottom="0.35" header="0.3" footer="0.3"/>
  <pageSetup paperSize="9" scale="14" orientation="landscape" blackAndWhite="1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B1:Z70"/>
  <sheetViews>
    <sheetView zoomScale="80" zoomScaleNormal="80" workbookViewId="0">
      <pane ySplit="6" topLeftCell="A36" activePane="bottomLeft" state="frozen"/>
      <selection pane="bottomLeft" activeCell="D2" sqref="D2"/>
    </sheetView>
  </sheetViews>
  <sheetFormatPr defaultRowHeight="15"/>
  <cols>
    <col min="1" max="2" width="0" style="533" hidden="1" customWidth="1"/>
    <col min="3" max="3" width="27.42578125" style="533" bestFit="1" customWidth="1"/>
    <col min="4" max="4" width="8.5703125" style="533" bestFit="1" customWidth="1"/>
    <col min="5" max="5" width="12.85546875" style="533" bestFit="1" customWidth="1"/>
    <col min="6" max="6" width="13.85546875" style="533" bestFit="1" customWidth="1"/>
    <col min="7" max="9" width="11.28515625" style="533" customWidth="1"/>
    <col min="10" max="13" width="9.140625" style="533" customWidth="1"/>
    <col min="14" max="14" width="10.28515625" style="533" customWidth="1"/>
    <col min="15" max="15" width="10.140625" style="533" customWidth="1"/>
    <col min="16" max="16" width="11" style="533" customWidth="1"/>
    <col min="17" max="17" width="10.7109375" style="533" customWidth="1"/>
    <col min="18" max="18" width="10" style="533" customWidth="1"/>
    <col min="19" max="19" width="10.7109375" style="533" customWidth="1"/>
    <col min="20" max="20" width="11" style="533" customWidth="1"/>
    <col min="21" max="21" width="10.140625" style="533" customWidth="1"/>
    <col min="22" max="22" width="10.140625" style="533" bestFit="1" customWidth="1"/>
    <col min="23" max="23" width="9.140625" style="533"/>
    <col min="24" max="24" width="27.42578125" style="533" customWidth="1"/>
    <col min="25" max="25" width="30.5703125" style="533" customWidth="1"/>
    <col min="26" max="26" width="37.42578125" style="533" customWidth="1"/>
    <col min="27" max="27" width="9.140625" style="533" customWidth="1"/>
    <col min="28" max="16384" width="9.140625" style="533"/>
  </cols>
  <sheetData>
    <row r="1" spans="2:26" s="657" customFormat="1" ht="21">
      <c r="B1" s="1006" t="s">
        <v>382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  <c r="Q1" s="1006"/>
      <c r="R1" s="1006"/>
      <c r="S1" s="1006"/>
      <c r="T1" s="1006"/>
      <c r="U1" s="1006"/>
    </row>
    <row r="2" spans="2:26" ht="15.75">
      <c r="B2" s="646"/>
    </row>
    <row r="4" spans="2:26">
      <c r="F4" s="1005" t="s">
        <v>143</v>
      </c>
      <c r="G4" s="1005"/>
      <c r="H4" s="1005"/>
      <c r="I4" s="1005" t="s">
        <v>144</v>
      </c>
      <c r="J4" s="1005"/>
      <c r="K4" s="1005"/>
      <c r="L4" s="1005"/>
      <c r="M4" s="1005"/>
      <c r="N4" s="647" t="s">
        <v>149</v>
      </c>
      <c r="O4" s="647" t="s">
        <v>150</v>
      </c>
      <c r="P4" s="647" t="s">
        <v>151</v>
      </c>
      <c r="Q4" s="647" t="s">
        <v>177</v>
      </c>
      <c r="R4" s="647" t="s">
        <v>178</v>
      </c>
      <c r="S4" s="647" t="s">
        <v>179</v>
      </c>
      <c r="T4" s="647" t="s">
        <v>180</v>
      </c>
      <c r="U4" s="647" t="s">
        <v>181</v>
      </c>
    </row>
    <row r="5" spans="2:26">
      <c r="D5" s="647"/>
      <c r="E5" s="647"/>
      <c r="F5" s="647" t="s">
        <v>407</v>
      </c>
      <c r="G5" s="647" t="s">
        <v>408</v>
      </c>
      <c r="H5" s="647" t="s">
        <v>409</v>
      </c>
      <c r="I5" s="647" t="s">
        <v>410</v>
      </c>
      <c r="J5" s="647" t="s">
        <v>407</v>
      </c>
      <c r="K5" s="647" t="s">
        <v>408</v>
      </c>
      <c r="L5" s="647" t="s">
        <v>409</v>
      </c>
      <c r="M5" s="647" t="s">
        <v>410</v>
      </c>
      <c r="N5" s="647"/>
      <c r="O5" s="647"/>
      <c r="P5" s="647"/>
      <c r="Q5" s="647"/>
      <c r="R5" s="647"/>
      <c r="S5" s="647"/>
      <c r="T5" s="647"/>
      <c r="U5" s="647"/>
    </row>
    <row r="6" spans="2:26">
      <c r="C6" s="540" t="s">
        <v>437</v>
      </c>
      <c r="D6" s="647"/>
      <c r="E6" s="647"/>
      <c r="F6" s="648">
        <f>'Key Assumptions'!F5</f>
        <v>1</v>
      </c>
      <c r="G6" s="648">
        <f>'Key Assumptions'!G5</f>
        <v>1</v>
      </c>
      <c r="H6" s="648">
        <f>'Key Assumptions'!H5</f>
        <v>1</v>
      </c>
      <c r="I6" s="648">
        <f>'Key Assumptions'!I5</f>
        <v>1</v>
      </c>
      <c r="J6" s="648">
        <f>'Key Assumptions'!J5</f>
        <v>1.1000000000000001</v>
      </c>
      <c r="K6" s="648">
        <f>'Key Assumptions'!K5</f>
        <v>1.1000000000000001</v>
      </c>
      <c r="L6" s="648">
        <f>'Key Assumptions'!L5</f>
        <v>1.1000000000000001</v>
      </c>
      <c r="M6" s="648">
        <f>'Key Assumptions'!M5</f>
        <v>1.1000000000000001</v>
      </c>
      <c r="N6" s="648">
        <f>'Key Assumptions'!N5</f>
        <v>1.2100000000000002</v>
      </c>
      <c r="O6" s="648">
        <f>'Key Assumptions'!O5</f>
        <v>1.3310000000000002</v>
      </c>
      <c r="P6" s="648">
        <f>'Key Assumptions'!P5</f>
        <v>1.4641000000000002</v>
      </c>
      <c r="Q6" s="648">
        <f>'Key Assumptions'!Q5</f>
        <v>1.6105100000000001</v>
      </c>
      <c r="R6" s="648">
        <f>'Key Assumptions'!R5</f>
        <v>1.7715610000000002</v>
      </c>
      <c r="S6" s="648">
        <f>'Key Assumptions'!S5</f>
        <v>1.9487171000000001</v>
      </c>
      <c r="T6" s="648">
        <f>'Key Assumptions'!T5</f>
        <v>2.1435888100000002</v>
      </c>
      <c r="U6" s="648">
        <f>'Key Assumptions'!U5</f>
        <v>2.3579476910000001</v>
      </c>
    </row>
    <row r="7" spans="2:26">
      <c r="B7" s="535" t="s">
        <v>383</v>
      </c>
      <c r="E7" s="653"/>
      <c r="F7" s="653"/>
      <c r="G7" s="653"/>
      <c r="H7" s="653"/>
      <c r="I7" s="653"/>
      <c r="J7" s="653"/>
      <c r="K7" s="653"/>
      <c r="L7" s="653"/>
      <c r="M7" s="653"/>
      <c r="N7" s="653"/>
      <c r="O7" s="653"/>
      <c r="P7" s="653"/>
      <c r="Q7" s="653"/>
      <c r="R7" s="653"/>
      <c r="S7" s="653"/>
      <c r="T7" s="653"/>
      <c r="U7" s="653"/>
    </row>
    <row r="8" spans="2:26">
      <c r="B8" s="535"/>
      <c r="E8" s="653"/>
      <c r="F8" s="653"/>
      <c r="G8" s="653"/>
      <c r="H8" s="653"/>
      <c r="I8" s="653"/>
      <c r="J8" s="653"/>
      <c r="K8" s="653"/>
      <c r="L8" s="653"/>
      <c r="M8" s="653"/>
      <c r="N8" s="653"/>
      <c r="O8" s="653"/>
      <c r="P8" s="653"/>
      <c r="Q8" s="653"/>
      <c r="R8" s="653"/>
      <c r="S8" s="653"/>
      <c r="T8" s="653"/>
      <c r="U8" s="653"/>
    </row>
    <row r="9" spans="2:26">
      <c r="B9" s="535"/>
      <c r="C9" s="535" t="s">
        <v>533</v>
      </c>
      <c r="D9" s="659" t="s">
        <v>333</v>
      </c>
      <c r="E9" s="660" t="s">
        <v>535</v>
      </c>
      <c r="F9" s="653"/>
      <c r="G9" s="653"/>
      <c r="H9" s="653"/>
      <c r="I9" s="653"/>
      <c r="J9" s="653"/>
      <c r="K9" s="653"/>
      <c r="L9" s="653"/>
      <c r="M9" s="653"/>
      <c r="N9" s="653"/>
      <c r="O9" s="653"/>
      <c r="P9" s="653"/>
      <c r="Q9" s="653"/>
      <c r="R9" s="653"/>
      <c r="S9" s="653"/>
      <c r="T9" s="653"/>
      <c r="U9" s="653"/>
    </row>
    <row r="10" spans="2:26">
      <c r="B10" s="535"/>
      <c r="C10" s="540" t="s">
        <v>534</v>
      </c>
      <c r="D10" s="668">
        <f>'Opex  Assumptions'!C38</f>
        <v>1700</v>
      </c>
      <c r="E10" s="661">
        <v>500</v>
      </c>
      <c r="F10" s="653">
        <f>D10*E10*F6/10^5</f>
        <v>8.5</v>
      </c>
      <c r="G10" s="653">
        <v>0</v>
      </c>
      <c r="H10" s="653">
        <v>0</v>
      </c>
      <c r="I10" s="653">
        <v>0</v>
      </c>
      <c r="J10" s="653">
        <v>0</v>
      </c>
      <c r="K10" s="653">
        <v>0</v>
      </c>
      <c r="L10" s="653">
        <v>0</v>
      </c>
      <c r="M10" s="653">
        <v>0</v>
      </c>
      <c r="N10" s="653">
        <v>0</v>
      </c>
      <c r="O10" s="653">
        <v>0</v>
      </c>
      <c r="P10" s="653">
        <v>0</v>
      </c>
      <c r="Q10" s="653">
        <v>0</v>
      </c>
      <c r="R10" s="653">
        <v>0</v>
      </c>
      <c r="S10" s="653">
        <v>0</v>
      </c>
      <c r="T10" s="653">
        <v>0</v>
      </c>
      <c r="U10" s="653">
        <v>0</v>
      </c>
    </row>
    <row r="11" spans="2:26">
      <c r="B11" s="535"/>
      <c r="E11" s="653"/>
      <c r="F11" s="653"/>
      <c r="G11" s="653"/>
      <c r="H11" s="653"/>
      <c r="I11" s="653"/>
      <c r="J11" s="653"/>
      <c r="K11" s="653"/>
      <c r="L11" s="653"/>
      <c r="M11" s="653"/>
      <c r="N11" s="653"/>
      <c r="O11" s="653"/>
      <c r="P11" s="653"/>
      <c r="Q11" s="653"/>
      <c r="R11" s="653"/>
      <c r="S11" s="653"/>
      <c r="T11" s="653"/>
      <c r="U11" s="653"/>
    </row>
    <row r="12" spans="2:26">
      <c r="D12" s="647" t="s">
        <v>370</v>
      </c>
      <c r="E12" s="647" t="s">
        <v>371</v>
      </c>
      <c r="F12" s="652"/>
      <c r="G12" s="652"/>
      <c r="H12" s="652"/>
      <c r="I12" s="652"/>
      <c r="J12" s="654"/>
      <c r="K12" s="654"/>
      <c r="L12" s="654"/>
      <c r="M12" s="654"/>
    </row>
    <row r="13" spans="2:26">
      <c r="C13" s="535" t="s">
        <v>553</v>
      </c>
      <c r="D13" s="649"/>
      <c r="E13" s="649" t="s">
        <v>377</v>
      </c>
      <c r="X13" s="537"/>
      <c r="Y13" s="538"/>
      <c r="Z13" s="539"/>
    </row>
    <row r="14" spans="2:26">
      <c r="C14" s="533" t="s">
        <v>374</v>
      </c>
      <c r="D14" s="655">
        <v>7</v>
      </c>
      <c r="E14" s="655">
        <v>0.05</v>
      </c>
      <c r="F14" s="656">
        <f>D14*E14*F6</f>
        <v>0.35000000000000003</v>
      </c>
      <c r="G14" s="653">
        <v>0</v>
      </c>
      <c r="H14" s="653">
        <v>0</v>
      </c>
      <c r="I14" s="653">
        <v>0</v>
      </c>
      <c r="J14" s="653">
        <v>0</v>
      </c>
      <c r="K14" s="653">
        <v>0</v>
      </c>
      <c r="L14" s="653">
        <v>0</v>
      </c>
      <c r="M14" s="653">
        <v>0</v>
      </c>
      <c r="N14" s="653">
        <v>0</v>
      </c>
      <c r="O14" s="653">
        <v>0</v>
      </c>
      <c r="P14" s="653">
        <v>0</v>
      </c>
      <c r="Q14" s="653">
        <v>0</v>
      </c>
      <c r="R14" s="653">
        <v>0</v>
      </c>
      <c r="S14" s="653">
        <v>0</v>
      </c>
      <c r="T14" s="653">
        <v>0</v>
      </c>
      <c r="U14" s="653">
        <v>0</v>
      </c>
    </row>
    <row r="15" spans="2:26">
      <c r="C15" s="533" t="s">
        <v>375</v>
      </c>
      <c r="D15" s="655">
        <v>30</v>
      </c>
      <c r="E15" s="655">
        <v>2.5000000000000001E-2</v>
      </c>
      <c r="F15" s="656">
        <f>D15*E15*F6</f>
        <v>0.75</v>
      </c>
      <c r="G15" s="653">
        <v>0</v>
      </c>
      <c r="H15" s="653">
        <v>0</v>
      </c>
      <c r="I15" s="653">
        <v>0</v>
      </c>
      <c r="J15" s="653">
        <v>0</v>
      </c>
      <c r="K15" s="653">
        <v>0</v>
      </c>
      <c r="L15" s="653">
        <v>0</v>
      </c>
      <c r="M15" s="653">
        <v>0</v>
      </c>
      <c r="N15" s="653">
        <v>0</v>
      </c>
      <c r="O15" s="653">
        <v>0</v>
      </c>
      <c r="P15" s="653">
        <v>0</v>
      </c>
      <c r="Q15" s="653">
        <v>0</v>
      </c>
      <c r="R15" s="653">
        <v>0</v>
      </c>
      <c r="S15" s="653">
        <v>0</v>
      </c>
      <c r="T15" s="653">
        <v>0</v>
      </c>
      <c r="U15" s="653">
        <v>0</v>
      </c>
    </row>
    <row r="16" spans="2:26">
      <c r="C16" s="533" t="s">
        <v>537</v>
      </c>
      <c r="D16" s="655">
        <v>1</v>
      </c>
      <c r="E16" s="655">
        <v>0.1</v>
      </c>
      <c r="F16" s="656">
        <f>D16*E16*F6</f>
        <v>0.1</v>
      </c>
      <c r="G16" s="653">
        <v>0</v>
      </c>
      <c r="H16" s="653">
        <v>0</v>
      </c>
      <c r="I16" s="653">
        <v>0</v>
      </c>
      <c r="J16" s="653">
        <v>0</v>
      </c>
      <c r="K16" s="653">
        <v>0</v>
      </c>
      <c r="L16" s="653">
        <v>0</v>
      </c>
      <c r="M16" s="653">
        <v>0</v>
      </c>
      <c r="N16" s="653">
        <v>0</v>
      </c>
      <c r="O16" s="653">
        <v>0</v>
      </c>
      <c r="P16" s="653">
        <v>0</v>
      </c>
      <c r="Q16" s="653">
        <v>0</v>
      </c>
      <c r="R16" s="653">
        <v>0</v>
      </c>
      <c r="S16" s="653">
        <v>0</v>
      </c>
      <c r="T16" s="653">
        <v>0</v>
      </c>
      <c r="U16" s="653">
        <v>0</v>
      </c>
    </row>
    <row r="17" spans="3:22">
      <c r="C17" s="533" t="s">
        <v>538</v>
      </c>
      <c r="D17" s="655">
        <v>10</v>
      </c>
      <c r="E17" s="655">
        <v>0.05</v>
      </c>
      <c r="F17" s="656">
        <f>D17*E17*F6</f>
        <v>0.5</v>
      </c>
      <c r="G17" s="653">
        <v>0</v>
      </c>
      <c r="H17" s="653">
        <v>0</v>
      </c>
      <c r="I17" s="653">
        <v>0</v>
      </c>
      <c r="J17" s="653">
        <v>0</v>
      </c>
      <c r="K17" s="653">
        <v>0</v>
      </c>
      <c r="L17" s="653">
        <v>0</v>
      </c>
      <c r="M17" s="653">
        <v>0</v>
      </c>
      <c r="N17" s="653">
        <v>0</v>
      </c>
      <c r="O17" s="653">
        <v>0</v>
      </c>
      <c r="P17" s="653">
        <v>0</v>
      </c>
      <c r="Q17" s="653">
        <v>0</v>
      </c>
      <c r="R17" s="653">
        <v>0</v>
      </c>
      <c r="S17" s="653">
        <v>0</v>
      </c>
      <c r="T17" s="653">
        <v>0</v>
      </c>
      <c r="U17" s="653">
        <v>0</v>
      </c>
    </row>
    <row r="18" spans="3:22">
      <c r="C18" s="649" t="s">
        <v>1</v>
      </c>
      <c r="F18" s="534">
        <f>SUM(F14:F17)</f>
        <v>1.7000000000000002</v>
      </c>
      <c r="G18" s="653">
        <v>0</v>
      </c>
      <c r="H18" s="653">
        <v>0</v>
      </c>
      <c r="I18" s="653">
        <v>0</v>
      </c>
      <c r="J18" s="653">
        <v>0</v>
      </c>
      <c r="K18" s="653">
        <v>0</v>
      </c>
      <c r="L18" s="653">
        <v>0</v>
      </c>
      <c r="M18" s="653">
        <v>0</v>
      </c>
      <c r="N18" s="653">
        <v>0</v>
      </c>
      <c r="O18" s="653">
        <v>0</v>
      </c>
      <c r="P18" s="653">
        <v>0</v>
      </c>
      <c r="Q18" s="653">
        <v>0</v>
      </c>
      <c r="R18" s="653">
        <v>0</v>
      </c>
      <c r="S18" s="653">
        <v>0</v>
      </c>
      <c r="T18" s="653">
        <v>0</v>
      </c>
      <c r="U18" s="653">
        <v>0</v>
      </c>
      <c r="V18" s="536"/>
    </row>
    <row r="19" spans="3:22">
      <c r="F19" s="534"/>
      <c r="G19" s="534"/>
      <c r="H19" s="534"/>
      <c r="I19" s="534"/>
      <c r="J19" s="534"/>
      <c r="K19" s="534"/>
      <c r="L19" s="534"/>
      <c r="M19" s="534"/>
      <c r="V19" s="536"/>
    </row>
    <row r="20" spans="3:22">
      <c r="C20" s="535" t="s">
        <v>494</v>
      </c>
      <c r="F20" s="534"/>
      <c r="G20" s="534"/>
      <c r="H20" s="534"/>
      <c r="I20" s="534"/>
      <c r="J20" s="534"/>
      <c r="K20" s="534"/>
      <c r="L20" s="534"/>
      <c r="M20" s="534"/>
      <c r="V20" s="536"/>
    </row>
    <row r="21" spans="3:22">
      <c r="C21" s="540" t="s">
        <v>372</v>
      </c>
      <c r="D21" s="658">
        <v>8</v>
      </c>
      <c r="E21" s="658">
        <v>0.3</v>
      </c>
      <c r="F21" s="534">
        <f>D21*E21*F6</f>
        <v>2.4</v>
      </c>
      <c r="G21" s="653">
        <v>0</v>
      </c>
      <c r="H21" s="653">
        <v>0</v>
      </c>
      <c r="I21" s="653">
        <v>0</v>
      </c>
      <c r="J21" s="653">
        <v>0</v>
      </c>
      <c r="K21" s="653">
        <v>0</v>
      </c>
      <c r="L21" s="653">
        <v>0</v>
      </c>
      <c r="M21" s="653">
        <v>0</v>
      </c>
      <c r="N21" s="653">
        <v>0</v>
      </c>
      <c r="O21" s="653">
        <v>0</v>
      </c>
      <c r="P21" s="653">
        <v>0</v>
      </c>
      <c r="Q21" s="653">
        <v>0</v>
      </c>
      <c r="R21" s="653">
        <v>0</v>
      </c>
      <c r="S21" s="653">
        <v>0</v>
      </c>
      <c r="T21" s="653">
        <v>0</v>
      </c>
      <c r="U21" s="653">
        <v>0</v>
      </c>
      <c r="V21" s="536"/>
    </row>
    <row r="22" spans="3:22">
      <c r="C22" s="540" t="s">
        <v>536</v>
      </c>
      <c r="D22" s="658">
        <v>2</v>
      </c>
      <c r="E22" s="658">
        <v>0.15</v>
      </c>
      <c r="F22" s="534">
        <f>D22*E22*F6</f>
        <v>0.3</v>
      </c>
      <c r="G22" s="653">
        <v>0</v>
      </c>
      <c r="H22" s="653">
        <v>0</v>
      </c>
      <c r="I22" s="653">
        <v>0</v>
      </c>
      <c r="J22" s="653">
        <v>0</v>
      </c>
      <c r="K22" s="653">
        <v>0</v>
      </c>
      <c r="L22" s="653">
        <v>0</v>
      </c>
      <c r="M22" s="653">
        <v>0</v>
      </c>
      <c r="N22" s="653">
        <v>0</v>
      </c>
      <c r="O22" s="653">
        <v>0</v>
      </c>
      <c r="P22" s="653">
        <v>0</v>
      </c>
      <c r="Q22" s="653">
        <v>0</v>
      </c>
      <c r="R22" s="653">
        <v>0</v>
      </c>
      <c r="S22" s="653">
        <v>0</v>
      </c>
      <c r="T22" s="653">
        <v>0</v>
      </c>
      <c r="U22" s="653">
        <v>0</v>
      </c>
      <c r="V22" s="536"/>
    </row>
    <row r="23" spans="3:22">
      <c r="C23" s="540" t="s">
        <v>508</v>
      </c>
      <c r="D23" s="658">
        <v>1</v>
      </c>
      <c r="E23" s="658">
        <v>0.5</v>
      </c>
      <c r="F23" s="534">
        <f>D23*E23*F6</f>
        <v>0.5</v>
      </c>
      <c r="G23" s="653">
        <v>0</v>
      </c>
      <c r="H23" s="653">
        <v>0</v>
      </c>
      <c r="I23" s="653">
        <v>0</v>
      </c>
      <c r="J23" s="653">
        <v>0</v>
      </c>
      <c r="K23" s="653">
        <v>0</v>
      </c>
      <c r="L23" s="653">
        <v>0</v>
      </c>
      <c r="M23" s="653">
        <v>0</v>
      </c>
      <c r="N23" s="653">
        <v>0</v>
      </c>
      <c r="O23" s="653">
        <v>0</v>
      </c>
      <c r="P23" s="653">
        <v>0</v>
      </c>
      <c r="Q23" s="653">
        <v>0</v>
      </c>
      <c r="R23" s="653">
        <v>0</v>
      </c>
      <c r="S23" s="653">
        <v>0</v>
      </c>
      <c r="T23" s="653">
        <v>0</v>
      </c>
      <c r="U23" s="653">
        <v>0</v>
      </c>
      <c r="V23" s="536"/>
    </row>
    <row r="24" spans="3:22">
      <c r="C24" s="649" t="s">
        <v>1</v>
      </c>
      <c r="D24" s="658"/>
      <c r="E24" s="658"/>
      <c r="F24" s="534">
        <f>SUM(F21:F23)</f>
        <v>3.1999999999999997</v>
      </c>
      <c r="G24" s="653"/>
      <c r="H24" s="653"/>
      <c r="I24" s="653"/>
      <c r="J24" s="653"/>
      <c r="K24" s="653"/>
      <c r="L24" s="653"/>
      <c r="M24" s="653"/>
      <c r="N24" s="653"/>
      <c r="O24" s="653"/>
      <c r="P24" s="653"/>
      <c r="Q24" s="653"/>
      <c r="R24" s="653"/>
      <c r="S24" s="653"/>
      <c r="T24" s="653"/>
      <c r="U24" s="653"/>
      <c r="V24" s="536"/>
    </row>
    <row r="26" spans="3:22">
      <c r="C26" s="535" t="s">
        <v>539</v>
      </c>
    </row>
    <row r="27" spans="3:22">
      <c r="C27" s="540" t="s">
        <v>540</v>
      </c>
      <c r="D27" s="655">
        <v>4</v>
      </c>
      <c r="E27" s="655">
        <v>0.3</v>
      </c>
      <c r="F27" s="534">
        <f>D27*E27*F6</f>
        <v>1.2</v>
      </c>
      <c r="G27" s="653">
        <v>0</v>
      </c>
      <c r="H27" s="653">
        <v>0</v>
      </c>
      <c r="I27" s="653">
        <v>0</v>
      </c>
      <c r="J27" s="653">
        <v>0</v>
      </c>
      <c r="K27" s="653">
        <v>0</v>
      </c>
      <c r="L27" s="653">
        <v>0</v>
      </c>
      <c r="M27" s="653">
        <v>0</v>
      </c>
      <c r="N27" s="653">
        <v>0</v>
      </c>
      <c r="O27" s="653">
        <v>0</v>
      </c>
      <c r="P27" s="653">
        <v>0</v>
      </c>
      <c r="Q27" s="653">
        <v>0</v>
      </c>
      <c r="R27" s="653">
        <v>0</v>
      </c>
      <c r="S27" s="653">
        <v>0</v>
      </c>
      <c r="T27" s="653">
        <v>0</v>
      </c>
      <c r="U27" s="653">
        <v>0</v>
      </c>
    </row>
    <row r="28" spans="3:22">
      <c r="C28" s="540" t="s">
        <v>541</v>
      </c>
      <c r="D28" s="655">
        <v>1</v>
      </c>
      <c r="E28" s="655">
        <v>1</v>
      </c>
      <c r="F28" s="534">
        <f>D28*E28*F6</f>
        <v>1</v>
      </c>
      <c r="G28" s="653">
        <v>0</v>
      </c>
      <c r="H28" s="653">
        <v>0</v>
      </c>
      <c r="I28" s="653">
        <v>0</v>
      </c>
      <c r="J28" s="653">
        <v>0</v>
      </c>
      <c r="K28" s="653">
        <v>0</v>
      </c>
      <c r="L28" s="653">
        <v>0</v>
      </c>
      <c r="M28" s="653">
        <v>0</v>
      </c>
      <c r="N28" s="653">
        <v>0</v>
      </c>
      <c r="O28" s="653">
        <v>0</v>
      </c>
      <c r="P28" s="653">
        <v>0</v>
      </c>
      <c r="Q28" s="653">
        <v>0</v>
      </c>
      <c r="R28" s="653">
        <v>0</v>
      </c>
      <c r="S28" s="653">
        <v>0</v>
      </c>
      <c r="T28" s="653">
        <v>0</v>
      </c>
      <c r="U28" s="653">
        <v>0</v>
      </c>
    </row>
    <row r="29" spans="3:22">
      <c r="C29" s="650" t="s">
        <v>1</v>
      </c>
      <c r="F29" s="534">
        <f>SUM(F27:F28)</f>
        <v>2.2000000000000002</v>
      </c>
      <c r="G29" s="653">
        <v>0</v>
      </c>
      <c r="H29" s="653">
        <v>0</v>
      </c>
      <c r="I29" s="653">
        <v>0</v>
      </c>
      <c r="J29" s="653">
        <v>0</v>
      </c>
      <c r="K29" s="653">
        <v>0</v>
      </c>
      <c r="L29" s="653">
        <v>0</v>
      </c>
      <c r="M29" s="653">
        <v>0</v>
      </c>
      <c r="N29" s="653">
        <v>0</v>
      </c>
      <c r="O29" s="653">
        <v>0</v>
      </c>
      <c r="P29" s="653">
        <v>0</v>
      </c>
      <c r="Q29" s="653">
        <v>0</v>
      </c>
      <c r="R29" s="653">
        <v>0</v>
      </c>
      <c r="S29" s="653">
        <v>0</v>
      </c>
      <c r="T29" s="653">
        <v>0</v>
      </c>
      <c r="U29" s="653">
        <v>0</v>
      </c>
      <c r="V29" s="536"/>
    </row>
    <row r="30" spans="3:22">
      <c r="C30" s="540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V30" s="536"/>
    </row>
    <row r="31" spans="3:22" s="662" customFormat="1">
      <c r="C31" s="663" t="s">
        <v>542</v>
      </c>
      <c r="F31" s="664">
        <f>F10+F18+F24+F29</f>
        <v>15.599999999999998</v>
      </c>
      <c r="G31" s="665">
        <v>0</v>
      </c>
      <c r="H31" s="665">
        <v>0</v>
      </c>
      <c r="I31" s="665">
        <v>0</v>
      </c>
      <c r="J31" s="665">
        <v>0</v>
      </c>
      <c r="K31" s="665">
        <v>0</v>
      </c>
      <c r="L31" s="665">
        <v>0</v>
      </c>
      <c r="M31" s="665">
        <v>0</v>
      </c>
      <c r="N31" s="665">
        <v>0</v>
      </c>
      <c r="O31" s="665">
        <v>0</v>
      </c>
      <c r="P31" s="665">
        <v>0</v>
      </c>
      <c r="Q31" s="665">
        <v>0</v>
      </c>
      <c r="R31" s="665">
        <v>0</v>
      </c>
      <c r="S31" s="665">
        <v>0</v>
      </c>
      <c r="T31" s="665">
        <v>0</v>
      </c>
      <c r="U31" s="665">
        <v>0</v>
      </c>
      <c r="V31" s="666"/>
    </row>
    <row r="32" spans="3:22">
      <c r="C32" s="540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4"/>
      <c r="S32" s="534"/>
      <c r="T32" s="534"/>
      <c r="U32" s="534"/>
      <c r="V32" s="536"/>
    </row>
    <row r="33" spans="2:22">
      <c r="B33" s="535" t="s">
        <v>460</v>
      </c>
      <c r="C33" s="540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4"/>
      <c r="S33" s="534"/>
      <c r="T33" s="534"/>
      <c r="U33" s="534"/>
      <c r="V33" s="536"/>
    </row>
    <row r="34" spans="2:22">
      <c r="C34" s="535" t="s">
        <v>455</v>
      </c>
      <c r="D34" s="535"/>
      <c r="E34" s="535"/>
      <c r="F34" s="667">
        <f>'Key Assumptions'!F7</f>
        <v>6</v>
      </c>
      <c r="G34" s="667">
        <f>'Key Assumptions'!G7</f>
        <v>0</v>
      </c>
      <c r="H34" s="667">
        <f>'Key Assumptions'!H7</f>
        <v>0</v>
      </c>
      <c r="I34" s="667">
        <f>'Key Assumptions'!I7</f>
        <v>0</v>
      </c>
      <c r="J34" s="667">
        <f>'Key Assumptions'!J7</f>
        <v>3</v>
      </c>
      <c r="K34" s="667">
        <f>'Key Assumptions'!K7</f>
        <v>0</v>
      </c>
      <c r="L34" s="667">
        <f>'Key Assumptions'!L7</f>
        <v>0</v>
      </c>
      <c r="M34" s="667">
        <f>'Key Assumptions'!M7</f>
        <v>0</v>
      </c>
      <c r="N34" s="667">
        <f>'Key Assumptions'!N7</f>
        <v>3</v>
      </c>
      <c r="O34" s="667">
        <f>'Key Assumptions'!O7</f>
        <v>3</v>
      </c>
      <c r="P34" s="667">
        <f>'Key Assumptions'!P7</f>
        <v>0</v>
      </c>
      <c r="Q34" s="667">
        <f>'Key Assumptions'!Q7</f>
        <v>0</v>
      </c>
      <c r="R34" s="667">
        <f>'Key Assumptions'!R7</f>
        <v>0</v>
      </c>
      <c r="S34" s="667">
        <f>'Key Assumptions'!S7</f>
        <v>0</v>
      </c>
      <c r="T34" s="667">
        <f>'Key Assumptions'!T7</f>
        <v>0</v>
      </c>
      <c r="U34" s="667">
        <f>'Key Assumptions'!U7</f>
        <v>0</v>
      </c>
      <c r="V34" s="536"/>
    </row>
    <row r="35" spans="2:22">
      <c r="C35" s="535"/>
      <c r="D35" s="535"/>
      <c r="E35" s="535"/>
      <c r="F35" s="667"/>
      <c r="G35" s="667"/>
      <c r="H35" s="667"/>
      <c r="I35" s="667"/>
      <c r="J35" s="667"/>
      <c r="K35" s="667"/>
      <c r="L35" s="667"/>
      <c r="M35" s="667"/>
      <c r="N35" s="667"/>
      <c r="O35" s="667"/>
      <c r="P35" s="667"/>
      <c r="Q35" s="667"/>
      <c r="R35" s="667"/>
      <c r="S35" s="667"/>
      <c r="T35" s="667"/>
      <c r="U35" s="667"/>
      <c r="V35" s="536"/>
    </row>
    <row r="36" spans="2:22">
      <c r="C36" s="535" t="s">
        <v>533</v>
      </c>
      <c r="D36" s="659" t="s">
        <v>333</v>
      </c>
      <c r="E36" s="660" t="s">
        <v>535</v>
      </c>
      <c r="F36" s="667"/>
      <c r="G36" s="667"/>
      <c r="H36" s="667"/>
      <c r="I36" s="667"/>
      <c r="J36" s="667"/>
      <c r="K36" s="667"/>
      <c r="L36" s="667"/>
      <c r="M36" s="667"/>
      <c r="N36" s="667"/>
      <c r="O36" s="667"/>
      <c r="P36" s="667"/>
      <c r="Q36" s="667"/>
      <c r="R36" s="667"/>
      <c r="S36" s="667"/>
      <c r="T36" s="667"/>
      <c r="U36" s="667"/>
      <c r="V36" s="536"/>
    </row>
    <row r="37" spans="2:22">
      <c r="C37" s="540" t="s">
        <v>507</v>
      </c>
      <c r="D37" s="668">
        <f>'Opex  Assumptions'!C55</f>
        <v>2000</v>
      </c>
      <c r="E37" s="661">
        <v>300</v>
      </c>
      <c r="F37" s="534">
        <f>$D$37*$E$37*F34*F6/10^5</f>
        <v>36</v>
      </c>
      <c r="G37" s="534">
        <f t="shared" ref="G37:U37" si="0">$D$37*$E$37*G34*G6/10^5</f>
        <v>0</v>
      </c>
      <c r="H37" s="534">
        <f t="shared" si="0"/>
        <v>0</v>
      </c>
      <c r="I37" s="534">
        <f t="shared" si="0"/>
        <v>0</v>
      </c>
      <c r="J37" s="534">
        <f t="shared" si="0"/>
        <v>19.8</v>
      </c>
      <c r="K37" s="534">
        <f t="shared" si="0"/>
        <v>0</v>
      </c>
      <c r="L37" s="534">
        <f t="shared" si="0"/>
        <v>0</v>
      </c>
      <c r="M37" s="534">
        <f t="shared" si="0"/>
        <v>0</v>
      </c>
      <c r="N37" s="534">
        <f t="shared" si="0"/>
        <v>21.780000000000005</v>
      </c>
      <c r="O37" s="534">
        <f t="shared" si="0"/>
        <v>23.958000000000006</v>
      </c>
      <c r="P37" s="534">
        <f t="shared" si="0"/>
        <v>0</v>
      </c>
      <c r="Q37" s="534">
        <f t="shared" si="0"/>
        <v>0</v>
      </c>
      <c r="R37" s="534">
        <f t="shared" si="0"/>
        <v>0</v>
      </c>
      <c r="S37" s="534">
        <f t="shared" si="0"/>
        <v>0</v>
      </c>
      <c r="T37" s="534">
        <f t="shared" si="0"/>
        <v>0</v>
      </c>
      <c r="U37" s="534">
        <f t="shared" si="0"/>
        <v>0</v>
      </c>
      <c r="V37" s="536"/>
    </row>
    <row r="38" spans="2:22">
      <c r="C38" s="650" t="s">
        <v>1</v>
      </c>
      <c r="D38" s="668"/>
      <c r="E38" s="661"/>
      <c r="F38" s="534">
        <f t="shared" ref="F38:U38" si="1">SUM(F37:F37)</f>
        <v>36</v>
      </c>
      <c r="G38" s="534">
        <f t="shared" si="1"/>
        <v>0</v>
      </c>
      <c r="H38" s="534">
        <f t="shared" si="1"/>
        <v>0</v>
      </c>
      <c r="I38" s="534">
        <f t="shared" si="1"/>
        <v>0</v>
      </c>
      <c r="J38" s="534">
        <f t="shared" si="1"/>
        <v>19.8</v>
      </c>
      <c r="K38" s="534">
        <f t="shared" si="1"/>
        <v>0</v>
      </c>
      <c r="L38" s="534">
        <f t="shared" si="1"/>
        <v>0</v>
      </c>
      <c r="M38" s="534">
        <f t="shared" si="1"/>
        <v>0</v>
      </c>
      <c r="N38" s="534">
        <f t="shared" si="1"/>
        <v>21.780000000000005</v>
      </c>
      <c r="O38" s="534">
        <f t="shared" si="1"/>
        <v>23.958000000000006</v>
      </c>
      <c r="P38" s="534">
        <f t="shared" si="1"/>
        <v>0</v>
      </c>
      <c r="Q38" s="534">
        <f t="shared" si="1"/>
        <v>0</v>
      </c>
      <c r="R38" s="534">
        <f t="shared" si="1"/>
        <v>0</v>
      </c>
      <c r="S38" s="534">
        <f t="shared" si="1"/>
        <v>0</v>
      </c>
      <c r="T38" s="534">
        <f t="shared" si="1"/>
        <v>0</v>
      </c>
      <c r="U38" s="534">
        <f t="shared" si="1"/>
        <v>0</v>
      </c>
      <c r="V38" s="536"/>
    </row>
    <row r="39" spans="2:22">
      <c r="C39" s="540"/>
      <c r="F39" s="534"/>
      <c r="G39" s="534"/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6"/>
    </row>
    <row r="40" spans="2:22">
      <c r="C40" s="535" t="s">
        <v>378</v>
      </c>
      <c r="D40" s="649" t="s">
        <v>379</v>
      </c>
      <c r="E40" s="649" t="s">
        <v>377</v>
      </c>
      <c r="V40" s="536"/>
    </row>
    <row r="41" spans="2:22">
      <c r="C41" s="533" t="s">
        <v>374</v>
      </c>
      <c r="D41" s="655">
        <v>3</v>
      </c>
      <c r="E41" s="655">
        <v>0.08</v>
      </c>
      <c r="F41" s="656">
        <f t="shared" ref="F41:U41" si="2">$E$41*$D$41*F34*F6</f>
        <v>1.44</v>
      </c>
      <c r="G41" s="656">
        <f t="shared" si="2"/>
        <v>0</v>
      </c>
      <c r="H41" s="656">
        <f t="shared" si="2"/>
        <v>0</v>
      </c>
      <c r="I41" s="656">
        <f t="shared" si="2"/>
        <v>0</v>
      </c>
      <c r="J41" s="656">
        <f t="shared" si="2"/>
        <v>0.79200000000000004</v>
      </c>
      <c r="K41" s="656">
        <f t="shared" si="2"/>
        <v>0</v>
      </c>
      <c r="L41" s="656">
        <f t="shared" si="2"/>
        <v>0</v>
      </c>
      <c r="M41" s="656">
        <f t="shared" si="2"/>
        <v>0</v>
      </c>
      <c r="N41" s="656">
        <f t="shared" si="2"/>
        <v>0.87120000000000009</v>
      </c>
      <c r="O41" s="656">
        <f t="shared" si="2"/>
        <v>0.95832000000000006</v>
      </c>
      <c r="P41" s="656">
        <f t="shared" si="2"/>
        <v>0</v>
      </c>
      <c r="Q41" s="656">
        <f t="shared" si="2"/>
        <v>0</v>
      </c>
      <c r="R41" s="656">
        <f t="shared" si="2"/>
        <v>0</v>
      </c>
      <c r="S41" s="656">
        <f t="shared" si="2"/>
        <v>0</v>
      </c>
      <c r="T41" s="656">
        <f t="shared" si="2"/>
        <v>0</v>
      </c>
      <c r="U41" s="656">
        <f t="shared" si="2"/>
        <v>0</v>
      </c>
      <c r="V41" s="536"/>
    </row>
    <row r="42" spans="2:22">
      <c r="C42" s="540" t="s">
        <v>543</v>
      </c>
      <c r="D42" s="655">
        <v>5</v>
      </c>
      <c r="E42" s="655">
        <v>0.05</v>
      </c>
      <c r="F42" s="656">
        <f t="shared" ref="F42:U42" si="3">$E$42*$D$42*F34*F6</f>
        <v>1.5</v>
      </c>
      <c r="G42" s="656">
        <f t="shared" si="3"/>
        <v>0</v>
      </c>
      <c r="H42" s="656">
        <f t="shared" si="3"/>
        <v>0</v>
      </c>
      <c r="I42" s="656">
        <f t="shared" si="3"/>
        <v>0</v>
      </c>
      <c r="J42" s="656">
        <f t="shared" si="3"/>
        <v>0.82500000000000007</v>
      </c>
      <c r="K42" s="656">
        <f t="shared" si="3"/>
        <v>0</v>
      </c>
      <c r="L42" s="656">
        <f t="shared" si="3"/>
        <v>0</v>
      </c>
      <c r="M42" s="656">
        <f t="shared" si="3"/>
        <v>0</v>
      </c>
      <c r="N42" s="656">
        <f t="shared" si="3"/>
        <v>0.9075000000000002</v>
      </c>
      <c r="O42" s="656">
        <f t="shared" si="3"/>
        <v>0.99825000000000008</v>
      </c>
      <c r="P42" s="656">
        <f t="shared" si="3"/>
        <v>0</v>
      </c>
      <c r="Q42" s="656">
        <f t="shared" si="3"/>
        <v>0</v>
      </c>
      <c r="R42" s="656">
        <f t="shared" si="3"/>
        <v>0</v>
      </c>
      <c r="S42" s="656">
        <f t="shared" si="3"/>
        <v>0</v>
      </c>
      <c r="T42" s="656">
        <f t="shared" si="3"/>
        <v>0</v>
      </c>
      <c r="U42" s="656">
        <f t="shared" si="3"/>
        <v>0</v>
      </c>
      <c r="V42" s="536"/>
    </row>
    <row r="43" spans="2:22">
      <c r="C43" s="540" t="s">
        <v>435</v>
      </c>
      <c r="D43" s="655">
        <v>3</v>
      </c>
      <c r="E43" s="655">
        <v>0.02</v>
      </c>
      <c r="F43" s="656">
        <f t="shared" ref="F43:U43" si="4">$E$43*$D$43*F34*F6</f>
        <v>0.36</v>
      </c>
      <c r="G43" s="656">
        <f t="shared" si="4"/>
        <v>0</v>
      </c>
      <c r="H43" s="656">
        <f t="shared" si="4"/>
        <v>0</v>
      </c>
      <c r="I43" s="656">
        <f t="shared" si="4"/>
        <v>0</v>
      </c>
      <c r="J43" s="656">
        <f t="shared" si="4"/>
        <v>0.19800000000000001</v>
      </c>
      <c r="K43" s="656">
        <f t="shared" si="4"/>
        <v>0</v>
      </c>
      <c r="L43" s="656">
        <f t="shared" si="4"/>
        <v>0</v>
      </c>
      <c r="M43" s="656">
        <f t="shared" si="4"/>
        <v>0</v>
      </c>
      <c r="N43" s="656">
        <f t="shared" si="4"/>
        <v>0.21780000000000002</v>
      </c>
      <c r="O43" s="656">
        <f t="shared" si="4"/>
        <v>0.23958000000000002</v>
      </c>
      <c r="P43" s="656">
        <f t="shared" si="4"/>
        <v>0</v>
      </c>
      <c r="Q43" s="656">
        <f t="shared" si="4"/>
        <v>0</v>
      </c>
      <c r="R43" s="656">
        <f t="shared" si="4"/>
        <v>0</v>
      </c>
      <c r="S43" s="656">
        <f t="shared" si="4"/>
        <v>0</v>
      </c>
      <c r="T43" s="656">
        <f t="shared" si="4"/>
        <v>0</v>
      </c>
      <c r="U43" s="656">
        <f t="shared" si="4"/>
        <v>0</v>
      </c>
      <c r="V43" s="536"/>
    </row>
    <row r="44" spans="2:22">
      <c r="C44" s="540" t="s">
        <v>544</v>
      </c>
      <c r="D44" s="655">
        <v>1</v>
      </c>
      <c r="E44" s="655">
        <v>0.2</v>
      </c>
      <c r="F44" s="656">
        <f t="shared" ref="F44:U44" si="5">$E$44*$D$44*F34*F6</f>
        <v>1.2000000000000002</v>
      </c>
      <c r="G44" s="656">
        <f t="shared" si="5"/>
        <v>0</v>
      </c>
      <c r="H44" s="656">
        <f t="shared" si="5"/>
        <v>0</v>
      </c>
      <c r="I44" s="656">
        <f t="shared" si="5"/>
        <v>0</v>
      </c>
      <c r="J44" s="656">
        <f t="shared" si="5"/>
        <v>0.66000000000000014</v>
      </c>
      <c r="K44" s="656">
        <f t="shared" si="5"/>
        <v>0</v>
      </c>
      <c r="L44" s="656">
        <f t="shared" si="5"/>
        <v>0</v>
      </c>
      <c r="M44" s="656">
        <f t="shared" si="5"/>
        <v>0</v>
      </c>
      <c r="N44" s="656">
        <f t="shared" si="5"/>
        <v>0.7260000000000002</v>
      </c>
      <c r="O44" s="656">
        <f t="shared" si="5"/>
        <v>0.7986000000000002</v>
      </c>
      <c r="P44" s="656">
        <f t="shared" si="5"/>
        <v>0</v>
      </c>
      <c r="Q44" s="656">
        <f t="shared" si="5"/>
        <v>0</v>
      </c>
      <c r="R44" s="656">
        <f t="shared" si="5"/>
        <v>0</v>
      </c>
      <c r="S44" s="656">
        <f t="shared" si="5"/>
        <v>0</v>
      </c>
      <c r="T44" s="656">
        <f t="shared" si="5"/>
        <v>0</v>
      </c>
      <c r="U44" s="656">
        <f t="shared" si="5"/>
        <v>0</v>
      </c>
      <c r="V44" s="536"/>
    </row>
    <row r="45" spans="2:22">
      <c r="C45" s="533" t="s">
        <v>375</v>
      </c>
      <c r="D45" s="655">
        <v>75</v>
      </c>
      <c r="E45" s="655">
        <v>0.01</v>
      </c>
      <c r="F45" s="656">
        <f t="shared" ref="F45:U45" si="6">$E$45*$D$45*F34*F6</f>
        <v>4.5</v>
      </c>
      <c r="G45" s="656">
        <f t="shared" si="6"/>
        <v>0</v>
      </c>
      <c r="H45" s="656">
        <f t="shared" si="6"/>
        <v>0</v>
      </c>
      <c r="I45" s="656">
        <f t="shared" si="6"/>
        <v>0</v>
      </c>
      <c r="J45" s="656">
        <f t="shared" si="6"/>
        <v>2.4750000000000001</v>
      </c>
      <c r="K45" s="656">
        <f t="shared" si="6"/>
        <v>0</v>
      </c>
      <c r="L45" s="656">
        <f t="shared" si="6"/>
        <v>0</v>
      </c>
      <c r="M45" s="656">
        <f t="shared" si="6"/>
        <v>0</v>
      </c>
      <c r="N45" s="656">
        <f t="shared" si="6"/>
        <v>2.7225000000000006</v>
      </c>
      <c r="O45" s="656">
        <f t="shared" si="6"/>
        <v>2.9947500000000002</v>
      </c>
      <c r="P45" s="656">
        <f t="shared" si="6"/>
        <v>0</v>
      </c>
      <c r="Q45" s="656">
        <f t="shared" si="6"/>
        <v>0</v>
      </c>
      <c r="R45" s="656">
        <f t="shared" si="6"/>
        <v>0</v>
      </c>
      <c r="S45" s="656">
        <f t="shared" si="6"/>
        <v>0</v>
      </c>
      <c r="T45" s="656">
        <f t="shared" si="6"/>
        <v>0</v>
      </c>
      <c r="U45" s="656">
        <f t="shared" si="6"/>
        <v>0</v>
      </c>
      <c r="V45" s="536"/>
    </row>
    <row r="46" spans="2:22">
      <c r="C46" s="533" t="s">
        <v>376</v>
      </c>
      <c r="D46" s="655">
        <v>3</v>
      </c>
      <c r="E46" s="655">
        <v>0.03</v>
      </c>
      <c r="F46" s="656">
        <f t="shared" ref="F46:U46" si="7">$E$46*$D$46*F34*F6</f>
        <v>0.54</v>
      </c>
      <c r="G46" s="656">
        <f t="shared" si="7"/>
        <v>0</v>
      </c>
      <c r="H46" s="656">
        <f t="shared" si="7"/>
        <v>0</v>
      </c>
      <c r="I46" s="656">
        <f t="shared" si="7"/>
        <v>0</v>
      </c>
      <c r="J46" s="656">
        <f t="shared" si="7"/>
        <v>0.29700000000000004</v>
      </c>
      <c r="K46" s="656">
        <f t="shared" si="7"/>
        <v>0</v>
      </c>
      <c r="L46" s="656">
        <f t="shared" si="7"/>
        <v>0</v>
      </c>
      <c r="M46" s="656">
        <f t="shared" si="7"/>
        <v>0</v>
      </c>
      <c r="N46" s="656">
        <f t="shared" si="7"/>
        <v>0.32670000000000005</v>
      </c>
      <c r="O46" s="656">
        <f t="shared" si="7"/>
        <v>0.35937000000000008</v>
      </c>
      <c r="P46" s="656">
        <f t="shared" si="7"/>
        <v>0</v>
      </c>
      <c r="Q46" s="656">
        <f t="shared" si="7"/>
        <v>0</v>
      </c>
      <c r="R46" s="656">
        <f t="shared" si="7"/>
        <v>0</v>
      </c>
      <c r="S46" s="656">
        <f t="shared" si="7"/>
        <v>0</v>
      </c>
      <c r="T46" s="656">
        <f t="shared" si="7"/>
        <v>0</v>
      </c>
      <c r="U46" s="656">
        <f t="shared" si="7"/>
        <v>0</v>
      </c>
      <c r="V46" s="536"/>
    </row>
    <row r="47" spans="2:22">
      <c r="C47" s="709" t="s">
        <v>589</v>
      </c>
      <c r="D47" s="655"/>
      <c r="E47" s="655"/>
      <c r="F47" s="656">
        <f>'Key Assumptions'!F155+'Key Assumptions'!F161+'Key Assumptions'!F164+'Key Assumptions'!F167+'Key Assumptions'!F170</f>
        <v>5.35</v>
      </c>
      <c r="G47" s="656">
        <f>'Key Assumptions'!G155+'Key Assumptions'!G161+'Key Assumptions'!G164+'Key Assumptions'!G167+'Key Assumptions'!G170</f>
        <v>0</v>
      </c>
      <c r="H47" s="656">
        <f>'Key Assumptions'!H155+'Key Assumptions'!H161+'Key Assumptions'!H164+'Key Assumptions'!H167+'Key Assumptions'!H170</f>
        <v>0</v>
      </c>
      <c r="I47" s="656">
        <f>'Key Assumptions'!I155+'Key Assumptions'!I161+'Key Assumptions'!I164+'Key Assumptions'!I167+'Key Assumptions'!I170</f>
        <v>0</v>
      </c>
      <c r="J47" s="656">
        <f>'Key Assumptions'!J155+'Key Assumptions'!J161+'Key Assumptions'!J164+'Key Assumptions'!J167+'Key Assumptions'!J170</f>
        <v>3.6850000000000001</v>
      </c>
      <c r="K47" s="656">
        <f>'Key Assumptions'!K155+'Key Assumptions'!K161+'Key Assumptions'!K164+'Key Assumptions'!K167+'Key Assumptions'!K170</f>
        <v>0</v>
      </c>
      <c r="L47" s="656">
        <f>'Key Assumptions'!L155+'Key Assumptions'!L161+'Key Assumptions'!L164+'Key Assumptions'!L167+'Key Assumptions'!L170</f>
        <v>0</v>
      </c>
      <c r="M47" s="656">
        <f>'Key Assumptions'!M155+'Key Assumptions'!M161+'Key Assumptions'!M164+'Key Assumptions'!M167+'Key Assumptions'!M170</f>
        <v>0</v>
      </c>
      <c r="N47" s="656">
        <f>'Key Assumptions'!N155+'Key Assumptions'!N161+'Key Assumptions'!N164+'Key Assumptions'!N167+'Key Assumptions'!N170</f>
        <v>3.4485000000000006</v>
      </c>
      <c r="O47" s="656">
        <f>'Key Assumptions'!O155+'Key Assumptions'!O161+'Key Assumptions'!O164+'Key Assumptions'!O167+'Key Assumptions'!O170</f>
        <v>3.1278500000000005</v>
      </c>
      <c r="P47" s="656">
        <f>'Key Assumptions'!P155+'Key Assumptions'!P161+'Key Assumptions'!P164+'Key Assumptions'!P167+'Key Assumptions'!P170</f>
        <v>0</v>
      </c>
      <c r="Q47" s="656">
        <f>'Key Assumptions'!Q155+'Key Assumptions'!Q161+'Key Assumptions'!Q164+'Key Assumptions'!Q167+'Key Assumptions'!Q170</f>
        <v>0</v>
      </c>
      <c r="R47" s="656">
        <f>'Key Assumptions'!R155+'Key Assumptions'!R161+'Key Assumptions'!R164+'Key Assumptions'!R167+'Key Assumptions'!R170</f>
        <v>0</v>
      </c>
      <c r="S47" s="656">
        <f>'Key Assumptions'!S155+'Key Assumptions'!S161+'Key Assumptions'!S164+'Key Assumptions'!S167+'Key Assumptions'!S170</f>
        <v>0</v>
      </c>
      <c r="T47" s="656">
        <f>'Key Assumptions'!T155+'Key Assumptions'!T161+'Key Assumptions'!T164+'Key Assumptions'!T167+'Key Assumptions'!T170</f>
        <v>0</v>
      </c>
      <c r="U47" s="656">
        <f>'Key Assumptions'!U155+'Key Assumptions'!U161+'Key Assumptions'!U164+'Key Assumptions'!U167+'Key Assumptions'!U170</f>
        <v>0</v>
      </c>
      <c r="V47" s="536"/>
    </row>
    <row r="48" spans="2:22">
      <c r="C48" s="649" t="s">
        <v>1</v>
      </c>
      <c r="F48" s="534">
        <f>SUM(F41:F47)</f>
        <v>14.889999999999999</v>
      </c>
      <c r="G48" s="534">
        <f t="shared" ref="G48:U48" si="8">SUM(G41:G47)</f>
        <v>0</v>
      </c>
      <c r="H48" s="534">
        <f t="shared" si="8"/>
        <v>0</v>
      </c>
      <c r="I48" s="534">
        <f t="shared" si="8"/>
        <v>0</v>
      </c>
      <c r="J48" s="534">
        <f t="shared" si="8"/>
        <v>8.9320000000000004</v>
      </c>
      <c r="K48" s="534">
        <f t="shared" si="8"/>
        <v>0</v>
      </c>
      <c r="L48" s="534">
        <f t="shared" si="8"/>
        <v>0</v>
      </c>
      <c r="M48" s="534">
        <f t="shared" si="8"/>
        <v>0</v>
      </c>
      <c r="N48" s="534">
        <f t="shared" si="8"/>
        <v>9.2202000000000002</v>
      </c>
      <c r="O48" s="534">
        <f t="shared" si="8"/>
        <v>9.476720000000002</v>
      </c>
      <c r="P48" s="534">
        <f t="shared" si="8"/>
        <v>0</v>
      </c>
      <c r="Q48" s="534">
        <f t="shared" si="8"/>
        <v>0</v>
      </c>
      <c r="R48" s="534">
        <f t="shared" si="8"/>
        <v>0</v>
      </c>
      <c r="S48" s="534">
        <f t="shared" si="8"/>
        <v>0</v>
      </c>
      <c r="T48" s="534">
        <f t="shared" si="8"/>
        <v>0</v>
      </c>
      <c r="U48" s="534">
        <f t="shared" si="8"/>
        <v>0</v>
      </c>
      <c r="V48" s="536"/>
    </row>
    <row r="49" spans="3:22">
      <c r="F49" s="534"/>
      <c r="G49" s="534"/>
      <c r="H49" s="534"/>
      <c r="I49" s="534"/>
      <c r="J49" s="534"/>
      <c r="K49" s="534"/>
      <c r="L49" s="534"/>
      <c r="M49" s="534"/>
      <c r="V49" s="536"/>
    </row>
    <row r="50" spans="3:22">
      <c r="C50" s="535" t="s">
        <v>560</v>
      </c>
      <c r="F50" s="534"/>
      <c r="G50" s="534"/>
      <c r="H50" s="534"/>
      <c r="I50" s="534"/>
      <c r="J50" s="534"/>
      <c r="K50" s="534"/>
      <c r="L50" s="534"/>
      <c r="M50" s="534"/>
      <c r="V50" s="536"/>
    </row>
    <row r="51" spans="3:22">
      <c r="C51" s="540" t="s">
        <v>372</v>
      </c>
      <c r="D51" s="658">
        <v>3</v>
      </c>
      <c r="E51" s="658">
        <v>0.3</v>
      </c>
      <c r="F51" s="534">
        <f t="shared" ref="F51:U51" si="9">$E$51*$D$51*F34*F6</f>
        <v>5.3999999999999995</v>
      </c>
      <c r="G51" s="534">
        <f t="shared" si="9"/>
        <v>0</v>
      </c>
      <c r="H51" s="534">
        <f t="shared" si="9"/>
        <v>0</v>
      </c>
      <c r="I51" s="534">
        <f t="shared" si="9"/>
        <v>0</v>
      </c>
      <c r="J51" s="534">
        <f t="shared" si="9"/>
        <v>2.9699999999999998</v>
      </c>
      <c r="K51" s="534">
        <f t="shared" si="9"/>
        <v>0</v>
      </c>
      <c r="L51" s="534">
        <f t="shared" si="9"/>
        <v>0</v>
      </c>
      <c r="M51" s="534">
        <f t="shared" si="9"/>
        <v>0</v>
      </c>
      <c r="N51" s="534">
        <f t="shared" si="9"/>
        <v>3.2670000000000003</v>
      </c>
      <c r="O51" s="534">
        <f t="shared" si="9"/>
        <v>3.5937000000000001</v>
      </c>
      <c r="P51" s="534">
        <f t="shared" si="9"/>
        <v>0</v>
      </c>
      <c r="Q51" s="534">
        <f t="shared" si="9"/>
        <v>0</v>
      </c>
      <c r="R51" s="534">
        <f t="shared" si="9"/>
        <v>0</v>
      </c>
      <c r="S51" s="534">
        <f t="shared" si="9"/>
        <v>0</v>
      </c>
      <c r="T51" s="534">
        <f t="shared" si="9"/>
        <v>0</v>
      </c>
      <c r="U51" s="534">
        <f t="shared" si="9"/>
        <v>0</v>
      </c>
      <c r="V51" s="536"/>
    </row>
    <row r="52" spans="3:22">
      <c r="C52" s="540" t="s">
        <v>373</v>
      </c>
      <c r="D52" s="658">
        <v>1</v>
      </c>
      <c r="E52" s="658">
        <v>0.15</v>
      </c>
      <c r="F52" s="534">
        <f t="shared" ref="F52:U52" si="10">$E$52*$D$52*F34*F6</f>
        <v>0.89999999999999991</v>
      </c>
      <c r="G52" s="534">
        <f t="shared" si="10"/>
        <v>0</v>
      </c>
      <c r="H52" s="534">
        <f t="shared" si="10"/>
        <v>0</v>
      </c>
      <c r="I52" s="534">
        <f t="shared" si="10"/>
        <v>0</v>
      </c>
      <c r="J52" s="534">
        <f t="shared" si="10"/>
        <v>0.495</v>
      </c>
      <c r="K52" s="534">
        <f t="shared" si="10"/>
        <v>0</v>
      </c>
      <c r="L52" s="534">
        <f t="shared" si="10"/>
        <v>0</v>
      </c>
      <c r="M52" s="534">
        <f t="shared" si="10"/>
        <v>0</v>
      </c>
      <c r="N52" s="534">
        <f t="shared" si="10"/>
        <v>0.54449999999999998</v>
      </c>
      <c r="O52" s="534">
        <f t="shared" si="10"/>
        <v>0.59894999999999998</v>
      </c>
      <c r="P52" s="534">
        <f t="shared" si="10"/>
        <v>0</v>
      </c>
      <c r="Q52" s="534">
        <f t="shared" si="10"/>
        <v>0</v>
      </c>
      <c r="R52" s="534">
        <f t="shared" si="10"/>
        <v>0</v>
      </c>
      <c r="S52" s="534">
        <f t="shared" si="10"/>
        <v>0</v>
      </c>
      <c r="T52" s="534">
        <f t="shared" si="10"/>
        <v>0</v>
      </c>
      <c r="U52" s="534">
        <f t="shared" si="10"/>
        <v>0</v>
      </c>
      <c r="V52" s="536"/>
    </row>
    <row r="53" spans="3:22">
      <c r="C53" s="540" t="s">
        <v>514</v>
      </c>
      <c r="D53" s="658">
        <v>1</v>
      </c>
      <c r="E53" s="658">
        <v>0.4</v>
      </c>
      <c r="F53" s="534">
        <f>$E$53*$D$53*F34*F6</f>
        <v>2.4000000000000004</v>
      </c>
      <c r="G53" s="534">
        <f t="shared" ref="G53:U53" si="11">$E$53*$D$53*G34*G6</f>
        <v>0</v>
      </c>
      <c r="H53" s="534">
        <f t="shared" si="11"/>
        <v>0</v>
      </c>
      <c r="I53" s="534">
        <f t="shared" si="11"/>
        <v>0</v>
      </c>
      <c r="J53" s="534">
        <f t="shared" si="11"/>
        <v>1.3200000000000003</v>
      </c>
      <c r="K53" s="534">
        <f t="shared" si="11"/>
        <v>0</v>
      </c>
      <c r="L53" s="534">
        <f t="shared" si="11"/>
        <v>0</v>
      </c>
      <c r="M53" s="534">
        <f t="shared" si="11"/>
        <v>0</v>
      </c>
      <c r="N53" s="534">
        <f t="shared" si="11"/>
        <v>1.4520000000000004</v>
      </c>
      <c r="O53" s="534">
        <f t="shared" si="11"/>
        <v>1.5972000000000004</v>
      </c>
      <c r="P53" s="534">
        <f t="shared" si="11"/>
        <v>0</v>
      </c>
      <c r="Q53" s="534">
        <f t="shared" si="11"/>
        <v>0</v>
      </c>
      <c r="R53" s="534">
        <f t="shared" si="11"/>
        <v>0</v>
      </c>
      <c r="S53" s="534">
        <f t="shared" si="11"/>
        <v>0</v>
      </c>
      <c r="T53" s="534">
        <f t="shared" si="11"/>
        <v>0</v>
      </c>
      <c r="U53" s="534">
        <f t="shared" si="11"/>
        <v>0</v>
      </c>
      <c r="V53" s="536"/>
    </row>
    <row r="54" spans="3:22">
      <c r="C54" s="709" t="s">
        <v>590</v>
      </c>
      <c r="D54" s="658"/>
      <c r="E54" s="658"/>
      <c r="F54" s="534">
        <f>'Key Assumptions'!F158</f>
        <v>12</v>
      </c>
      <c r="G54" s="534">
        <f>'Key Assumptions'!G158</f>
        <v>0</v>
      </c>
      <c r="H54" s="534">
        <f>'Key Assumptions'!H158</f>
        <v>0</v>
      </c>
      <c r="I54" s="534">
        <f>'Key Assumptions'!I158</f>
        <v>0</v>
      </c>
      <c r="J54" s="534">
        <f>'Key Assumptions'!J158</f>
        <v>6.6</v>
      </c>
      <c r="K54" s="534">
        <f>'Key Assumptions'!K158</f>
        <v>0</v>
      </c>
      <c r="L54" s="534">
        <f>'Key Assumptions'!L158</f>
        <v>0</v>
      </c>
      <c r="M54" s="534">
        <f>'Key Assumptions'!M158</f>
        <v>0</v>
      </c>
      <c r="N54" s="534">
        <f>'Key Assumptions'!N158</f>
        <v>10.890000000000002</v>
      </c>
      <c r="O54" s="534">
        <f>'Key Assumptions'!O158</f>
        <v>7.9860000000000015</v>
      </c>
      <c r="P54" s="534">
        <f>'Key Assumptions'!P158</f>
        <v>0</v>
      </c>
      <c r="Q54" s="534">
        <f>'Key Assumptions'!Q158</f>
        <v>0</v>
      </c>
      <c r="R54" s="534">
        <f>'Key Assumptions'!R158</f>
        <v>0</v>
      </c>
      <c r="S54" s="534">
        <f>'Key Assumptions'!S158</f>
        <v>0</v>
      </c>
      <c r="T54" s="534">
        <f>'Key Assumptions'!T158</f>
        <v>0</v>
      </c>
      <c r="U54" s="534">
        <f>'Key Assumptions'!U158</f>
        <v>0</v>
      </c>
      <c r="V54" s="536"/>
    </row>
    <row r="55" spans="3:22">
      <c r="C55" s="650" t="s">
        <v>1</v>
      </c>
      <c r="F55" s="534">
        <f>SUM(F51:F54)</f>
        <v>20.7</v>
      </c>
      <c r="G55" s="534">
        <f t="shared" ref="G55:U55" si="12">SUM(G51:G54)</f>
        <v>0</v>
      </c>
      <c r="H55" s="534">
        <f t="shared" si="12"/>
        <v>0</v>
      </c>
      <c r="I55" s="534">
        <f t="shared" si="12"/>
        <v>0</v>
      </c>
      <c r="J55" s="534">
        <f t="shared" si="12"/>
        <v>11.385</v>
      </c>
      <c r="K55" s="534">
        <f t="shared" si="12"/>
        <v>0</v>
      </c>
      <c r="L55" s="534">
        <f t="shared" si="12"/>
        <v>0</v>
      </c>
      <c r="M55" s="534">
        <f t="shared" si="12"/>
        <v>0</v>
      </c>
      <c r="N55" s="534">
        <f t="shared" si="12"/>
        <v>16.153500000000001</v>
      </c>
      <c r="O55" s="534">
        <f t="shared" si="12"/>
        <v>13.775850000000002</v>
      </c>
      <c r="P55" s="534">
        <f t="shared" si="12"/>
        <v>0</v>
      </c>
      <c r="Q55" s="534">
        <f t="shared" si="12"/>
        <v>0</v>
      </c>
      <c r="R55" s="534">
        <f t="shared" si="12"/>
        <v>0</v>
      </c>
      <c r="S55" s="534">
        <f t="shared" si="12"/>
        <v>0</v>
      </c>
      <c r="T55" s="534">
        <f t="shared" si="12"/>
        <v>0</v>
      </c>
      <c r="U55" s="534">
        <f t="shared" si="12"/>
        <v>0</v>
      </c>
      <c r="V55" s="536"/>
    </row>
    <row r="56" spans="3:22">
      <c r="C56" s="540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6"/>
    </row>
    <row r="57" spans="3:22">
      <c r="C57" s="535" t="s">
        <v>539</v>
      </c>
      <c r="F57" s="534"/>
      <c r="G57" s="534"/>
      <c r="H57" s="534"/>
      <c r="I57" s="534"/>
      <c r="J57" s="534"/>
      <c r="K57" s="534"/>
      <c r="L57" s="534"/>
      <c r="M57" s="534"/>
      <c r="N57" s="534"/>
      <c r="O57" s="534"/>
      <c r="P57" s="534"/>
      <c r="Q57" s="534"/>
      <c r="R57" s="534"/>
      <c r="S57" s="534"/>
      <c r="T57" s="534"/>
      <c r="U57" s="534"/>
      <c r="V57" s="536"/>
    </row>
    <row r="58" spans="3:22">
      <c r="C58" s="533" t="s">
        <v>540</v>
      </c>
      <c r="D58" s="658">
        <v>3</v>
      </c>
      <c r="E58" s="658">
        <v>0.25</v>
      </c>
      <c r="F58" s="536">
        <f>$D$58*$E$58*F6*F34</f>
        <v>4.5</v>
      </c>
      <c r="G58" s="536">
        <f t="shared" ref="G58:U58" si="13">$D$58*$E$58*G6*G34</f>
        <v>0</v>
      </c>
      <c r="H58" s="536">
        <f t="shared" si="13"/>
        <v>0</v>
      </c>
      <c r="I58" s="536">
        <f t="shared" si="13"/>
        <v>0</v>
      </c>
      <c r="J58" s="536">
        <f t="shared" si="13"/>
        <v>2.4750000000000001</v>
      </c>
      <c r="K58" s="536">
        <f t="shared" si="13"/>
        <v>0</v>
      </c>
      <c r="L58" s="536">
        <f t="shared" si="13"/>
        <v>0</v>
      </c>
      <c r="M58" s="536">
        <f t="shared" si="13"/>
        <v>0</v>
      </c>
      <c r="N58" s="536">
        <f t="shared" si="13"/>
        <v>2.7225000000000006</v>
      </c>
      <c r="O58" s="536">
        <f t="shared" si="13"/>
        <v>2.9947500000000002</v>
      </c>
      <c r="P58" s="536">
        <f t="shared" si="13"/>
        <v>0</v>
      </c>
      <c r="Q58" s="536">
        <f t="shared" si="13"/>
        <v>0</v>
      </c>
      <c r="R58" s="536">
        <f t="shared" si="13"/>
        <v>0</v>
      </c>
      <c r="S58" s="536">
        <f t="shared" si="13"/>
        <v>0</v>
      </c>
      <c r="T58" s="536">
        <f t="shared" si="13"/>
        <v>0</v>
      </c>
      <c r="U58" s="536">
        <f t="shared" si="13"/>
        <v>0</v>
      </c>
      <c r="V58" s="536"/>
    </row>
    <row r="59" spans="3:22">
      <c r="C59" s="540"/>
      <c r="F59" s="534"/>
      <c r="G59" s="534"/>
      <c r="H59" s="534"/>
      <c r="I59" s="534"/>
      <c r="J59" s="534"/>
      <c r="K59" s="534"/>
      <c r="L59" s="534"/>
      <c r="M59" s="534"/>
      <c r="N59" s="534"/>
      <c r="O59" s="534"/>
      <c r="P59" s="534"/>
      <c r="Q59" s="534"/>
      <c r="R59" s="534"/>
      <c r="S59" s="534"/>
      <c r="T59" s="534"/>
      <c r="V59" s="536"/>
    </row>
    <row r="60" spans="3:22" s="662" customFormat="1">
      <c r="C60" s="663" t="s">
        <v>461</v>
      </c>
      <c r="F60" s="664">
        <f>F38+F48+F55+F58</f>
        <v>76.09</v>
      </c>
      <c r="G60" s="664">
        <f t="shared" ref="G60:U60" si="14">G38+G48+G55+G58</f>
        <v>0</v>
      </c>
      <c r="H60" s="664">
        <f t="shared" si="14"/>
        <v>0</v>
      </c>
      <c r="I60" s="664">
        <f t="shared" si="14"/>
        <v>0</v>
      </c>
      <c r="J60" s="664">
        <f t="shared" si="14"/>
        <v>42.591999999999999</v>
      </c>
      <c r="K60" s="664">
        <f t="shared" si="14"/>
        <v>0</v>
      </c>
      <c r="L60" s="664">
        <f t="shared" si="14"/>
        <v>0</v>
      </c>
      <c r="M60" s="664">
        <f t="shared" si="14"/>
        <v>0</v>
      </c>
      <c r="N60" s="664">
        <f t="shared" si="14"/>
        <v>49.876200000000011</v>
      </c>
      <c r="O60" s="664">
        <f t="shared" si="14"/>
        <v>50.205320000000007</v>
      </c>
      <c r="P60" s="664">
        <f t="shared" si="14"/>
        <v>0</v>
      </c>
      <c r="Q60" s="664">
        <f t="shared" si="14"/>
        <v>0</v>
      </c>
      <c r="R60" s="664">
        <f t="shared" si="14"/>
        <v>0</v>
      </c>
      <c r="S60" s="664">
        <f t="shared" si="14"/>
        <v>0</v>
      </c>
      <c r="T60" s="664">
        <f t="shared" si="14"/>
        <v>0</v>
      </c>
      <c r="U60" s="664">
        <f t="shared" si="14"/>
        <v>0</v>
      </c>
      <c r="V60" s="666"/>
    </row>
    <row r="61" spans="3:22">
      <c r="C61" s="540"/>
      <c r="F61" s="534"/>
      <c r="G61" s="534"/>
      <c r="H61" s="534"/>
      <c r="I61" s="534"/>
      <c r="J61" s="534"/>
      <c r="K61" s="534"/>
      <c r="L61" s="534"/>
      <c r="M61" s="534"/>
      <c r="N61" s="534"/>
      <c r="O61" s="534"/>
      <c r="P61" s="534"/>
      <c r="Q61" s="534"/>
      <c r="R61" s="534"/>
      <c r="S61" s="534"/>
      <c r="T61" s="534"/>
      <c r="U61" s="534"/>
      <c r="V61" s="536"/>
    </row>
    <row r="63" spans="3:22" s="662" customFormat="1">
      <c r="C63" s="663" t="s">
        <v>82</v>
      </c>
      <c r="F63" s="666">
        <f t="shared" ref="F63:U63" si="15">F31+F60</f>
        <v>91.69</v>
      </c>
      <c r="G63" s="666">
        <f t="shared" si="15"/>
        <v>0</v>
      </c>
      <c r="H63" s="666">
        <f t="shared" si="15"/>
        <v>0</v>
      </c>
      <c r="I63" s="666">
        <f t="shared" si="15"/>
        <v>0</v>
      </c>
      <c r="J63" s="666">
        <f t="shared" si="15"/>
        <v>42.591999999999999</v>
      </c>
      <c r="K63" s="666">
        <f t="shared" si="15"/>
        <v>0</v>
      </c>
      <c r="L63" s="666">
        <f t="shared" si="15"/>
        <v>0</v>
      </c>
      <c r="M63" s="666">
        <f t="shared" si="15"/>
        <v>0</v>
      </c>
      <c r="N63" s="666">
        <f t="shared" si="15"/>
        <v>49.876200000000011</v>
      </c>
      <c r="O63" s="666">
        <f t="shared" si="15"/>
        <v>50.205320000000007</v>
      </c>
      <c r="P63" s="666">
        <f t="shared" si="15"/>
        <v>0</v>
      </c>
      <c r="Q63" s="666">
        <f t="shared" si="15"/>
        <v>0</v>
      </c>
      <c r="R63" s="666">
        <f t="shared" si="15"/>
        <v>0</v>
      </c>
      <c r="S63" s="666">
        <f t="shared" si="15"/>
        <v>0</v>
      </c>
      <c r="T63" s="666">
        <f t="shared" si="15"/>
        <v>0</v>
      </c>
      <c r="U63" s="666">
        <f t="shared" si="15"/>
        <v>0</v>
      </c>
      <c r="V63" s="666">
        <f>SUM(F63:U63)</f>
        <v>234.36351999999999</v>
      </c>
    </row>
    <row r="64" spans="3:22">
      <c r="F64" s="536"/>
      <c r="G64" s="536"/>
      <c r="H64" s="536"/>
      <c r="I64" s="536"/>
      <c r="J64" s="536"/>
      <c r="K64" s="536"/>
      <c r="L64" s="536"/>
      <c r="M64" s="536"/>
      <c r="N64" s="536"/>
      <c r="O64" s="536"/>
      <c r="P64" s="536"/>
      <c r="Q64" s="536"/>
      <c r="R64" s="536"/>
      <c r="S64" s="536"/>
      <c r="T64" s="536"/>
      <c r="U64" s="536"/>
      <c r="V64" s="536"/>
    </row>
    <row r="65" spans="2:24">
      <c r="C65" s="533" t="s">
        <v>380</v>
      </c>
    </row>
    <row r="66" spans="2:24">
      <c r="B66" s="533">
        <v>1</v>
      </c>
      <c r="C66" s="533" t="str">
        <f>C9</f>
        <v>Land &amp; Building</v>
      </c>
      <c r="F66" s="536">
        <f t="shared" ref="F66:U66" si="16">F10+F38</f>
        <v>44.5</v>
      </c>
      <c r="G66" s="536">
        <f t="shared" si="16"/>
        <v>0</v>
      </c>
      <c r="H66" s="536">
        <f t="shared" si="16"/>
        <v>0</v>
      </c>
      <c r="I66" s="536">
        <f t="shared" si="16"/>
        <v>0</v>
      </c>
      <c r="J66" s="536">
        <f t="shared" si="16"/>
        <v>19.8</v>
      </c>
      <c r="K66" s="536">
        <f t="shared" si="16"/>
        <v>0</v>
      </c>
      <c r="L66" s="536">
        <f t="shared" si="16"/>
        <v>0</v>
      </c>
      <c r="M66" s="536">
        <f t="shared" si="16"/>
        <v>0</v>
      </c>
      <c r="N66" s="536">
        <f t="shared" si="16"/>
        <v>21.780000000000005</v>
      </c>
      <c r="O66" s="536">
        <f t="shared" si="16"/>
        <v>23.958000000000006</v>
      </c>
      <c r="P66" s="536">
        <f t="shared" si="16"/>
        <v>0</v>
      </c>
      <c r="Q66" s="536">
        <f t="shared" si="16"/>
        <v>0</v>
      </c>
      <c r="R66" s="536">
        <f t="shared" si="16"/>
        <v>0</v>
      </c>
      <c r="S66" s="536">
        <f t="shared" si="16"/>
        <v>0</v>
      </c>
      <c r="T66" s="536">
        <f t="shared" si="16"/>
        <v>0</v>
      </c>
      <c r="U66" s="536">
        <f t="shared" si="16"/>
        <v>0</v>
      </c>
      <c r="V66" s="536"/>
    </row>
    <row r="67" spans="2:24">
      <c r="B67" s="533">
        <v>2</v>
      </c>
      <c r="C67" s="533" t="str">
        <f>C13</f>
        <v>Furniture &amp; Fixtures</v>
      </c>
      <c r="F67" s="651">
        <f t="shared" ref="F67:U67" si="17">F18+F48</f>
        <v>16.59</v>
      </c>
      <c r="G67" s="651">
        <f t="shared" si="17"/>
        <v>0</v>
      </c>
      <c r="H67" s="651">
        <f t="shared" si="17"/>
        <v>0</v>
      </c>
      <c r="I67" s="651">
        <f t="shared" si="17"/>
        <v>0</v>
      </c>
      <c r="J67" s="651">
        <f t="shared" si="17"/>
        <v>8.9320000000000004</v>
      </c>
      <c r="K67" s="651">
        <f t="shared" si="17"/>
        <v>0</v>
      </c>
      <c r="L67" s="651">
        <f t="shared" si="17"/>
        <v>0</v>
      </c>
      <c r="M67" s="651">
        <f t="shared" si="17"/>
        <v>0</v>
      </c>
      <c r="N67" s="651">
        <f t="shared" si="17"/>
        <v>9.2202000000000002</v>
      </c>
      <c r="O67" s="651">
        <f t="shared" si="17"/>
        <v>9.476720000000002</v>
      </c>
      <c r="P67" s="651">
        <f t="shared" si="17"/>
        <v>0</v>
      </c>
      <c r="Q67" s="651">
        <f t="shared" si="17"/>
        <v>0</v>
      </c>
      <c r="R67" s="651">
        <f t="shared" si="17"/>
        <v>0</v>
      </c>
      <c r="S67" s="651">
        <f t="shared" si="17"/>
        <v>0</v>
      </c>
      <c r="T67" s="651">
        <f t="shared" si="17"/>
        <v>0</v>
      </c>
      <c r="U67" s="651">
        <f t="shared" si="17"/>
        <v>0</v>
      </c>
      <c r="V67" s="651"/>
    </row>
    <row r="68" spans="2:24">
      <c r="B68" s="533">
        <v>3</v>
      </c>
      <c r="C68" s="533" t="str">
        <f>C20</f>
        <v>IT Equipments</v>
      </c>
      <c r="F68" s="651">
        <f t="shared" ref="F68:U68" si="18">F24+F55</f>
        <v>23.9</v>
      </c>
      <c r="G68" s="651">
        <f t="shared" si="18"/>
        <v>0</v>
      </c>
      <c r="H68" s="651">
        <f t="shared" si="18"/>
        <v>0</v>
      </c>
      <c r="I68" s="651">
        <f t="shared" si="18"/>
        <v>0</v>
      </c>
      <c r="J68" s="651">
        <f t="shared" si="18"/>
        <v>11.385</v>
      </c>
      <c r="K68" s="651">
        <f t="shared" si="18"/>
        <v>0</v>
      </c>
      <c r="L68" s="651">
        <f t="shared" si="18"/>
        <v>0</v>
      </c>
      <c r="M68" s="651">
        <f t="shared" si="18"/>
        <v>0</v>
      </c>
      <c r="N68" s="651">
        <f t="shared" si="18"/>
        <v>16.153500000000001</v>
      </c>
      <c r="O68" s="651">
        <f t="shared" si="18"/>
        <v>13.775850000000002</v>
      </c>
      <c r="P68" s="651">
        <f t="shared" si="18"/>
        <v>0</v>
      </c>
      <c r="Q68" s="651">
        <f t="shared" si="18"/>
        <v>0</v>
      </c>
      <c r="R68" s="651">
        <f t="shared" si="18"/>
        <v>0</v>
      </c>
      <c r="S68" s="651">
        <f t="shared" si="18"/>
        <v>0</v>
      </c>
      <c r="T68" s="651">
        <f t="shared" si="18"/>
        <v>0</v>
      </c>
      <c r="U68" s="651">
        <f t="shared" si="18"/>
        <v>0</v>
      </c>
      <c r="V68" s="651"/>
    </row>
    <row r="69" spans="2:24">
      <c r="B69" s="533">
        <v>4</v>
      </c>
      <c r="C69" s="533" t="str">
        <f>C26</f>
        <v>Plant &amp; Machinery</v>
      </c>
      <c r="F69" s="651">
        <f t="shared" ref="F69:U69" si="19">F29+F58</f>
        <v>6.7</v>
      </c>
      <c r="G69" s="651">
        <f t="shared" si="19"/>
        <v>0</v>
      </c>
      <c r="H69" s="651">
        <f t="shared" si="19"/>
        <v>0</v>
      </c>
      <c r="I69" s="651">
        <f t="shared" si="19"/>
        <v>0</v>
      </c>
      <c r="J69" s="651">
        <f t="shared" si="19"/>
        <v>2.4750000000000001</v>
      </c>
      <c r="K69" s="651">
        <f t="shared" si="19"/>
        <v>0</v>
      </c>
      <c r="L69" s="651">
        <f t="shared" si="19"/>
        <v>0</v>
      </c>
      <c r="M69" s="651">
        <f t="shared" si="19"/>
        <v>0</v>
      </c>
      <c r="N69" s="651">
        <f t="shared" si="19"/>
        <v>2.7225000000000006</v>
      </c>
      <c r="O69" s="651">
        <f t="shared" si="19"/>
        <v>2.9947500000000002</v>
      </c>
      <c r="P69" s="651">
        <f t="shared" si="19"/>
        <v>0</v>
      </c>
      <c r="Q69" s="651">
        <f t="shared" si="19"/>
        <v>0</v>
      </c>
      <c r="R69" s="651">
        <f t="shared" si="19"/>
        <v>0</v>
      </c>
      <c r="S69" s="651">
        <f t="shared" si="19"/>
        <v>0</v>
      </c>
      <c r="T69" s="651">
        <f t="shared" si="19"/>
        <v>0</v>
      </c>
      <c r="U69" s="651">
        <f t="shared" si="19"/>
        <v>0</v>
      </c>
      <c r="V69" s="651"/>
    </row>
    <row r="70" spans="2:24" s="662" customFormat="1">
      <c r="C70" s="663" t="s">
        <v>82</v>
      </c>
      <c r="D70" s="663"/>
      <c r="E70" s="663"/>
      <c r="F70" s="669">
        <f>SUM(F66:F69)</f>
        <v>91.690000000000012</v>
      </c>
      <c r="G70" s="669">
        <f t="shared" ref="G70:U70" si="20">SUM(G66:G69)</f>
        <v>0</v>
      </c>
      <c r="H70" s="669">
        <f t="shared" si="20"/>
        <v>0</v>
      </c>
      <c r="I70" s="669">
        <f t="shared" si="20"/>
        <v>0</v>
      </c>
      <c r="J70" s="669">
        <f t="shared" si="20"/>
        <v>42.591999999999999</v>
      </c>
      <c r="K70" s="669">
        <f t="shared" si="20"/>
        <v>0</v>
      </c>
      <c r="L70" s="669">
        <f t="shared" si="20"/>
        <v>0</v>
      </c>
      <c r="M70" s="669">
        <f t="shared" si="20"/>
        <v>0</v>
      </c>
      <c r="N70" s="669">
        <f t="shared" si="20"/>
        <v>49.876200000000011</v>
      </c>
      <c r="O70" s="669">
        <f t="shared" si="20"/>
        <v>50.205320000000007</v>
      </c>
      <c r="P70" s="669">
        <f t="shared" si="20"/>
        <v>0</v>
      </c>
      <c r="Q70" s="669">
        <f t="shared" si="20"/>
        <v>0</v>
      </c>
      <c r="R70" s="669">
        <f t="shared" si="20"/>
        <v>0</v>
      </c>
      <c r="S70" s="669">
        <f t="shared" si="20"/>
        <v>0</v>
      </c>
      <c r="T70" s="669">
        <f t="shared" si="20"/>
        <v>0</v>
      </c>
      <c r="U70" s="669">
        <f t="shared" si="20"/>
        <v>0</v>
      </c>
      <c r="V70" s="669">
        <f>SUM(F70:U70)</f>
        <v>234.36352000000002</v>
      </c>
      <c r="W70" s="666"/>
      <c r="X70" s="664"/>
    </row>
  </sheetData>
  <mergeCells count="3">
    <mergeCell ref="F4:H4"/>
    <mergeCell ref="I4:M4"/>
    <mergeCell ref="B1:U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2:S45"/>
  <sheetViews>
    <sheetView topLeftCell="A12" zoomScale="90" zoomScaleNormal="90" workbookViewId="0">
      <selection activeCell="B13" sqref="B13"/>
    </sheetView>
  </sheetViews>
  <sheetFormatPr defaultRowHeight="15"/>
  <cols>
    <col min="1" max="1" width="34.5703125" style="115" customWidth="1"/>
    <col min="2" max="2" width="11.5703125" style="115" customWidth="1"/>
    <col min="3" max="3" width="13.85546875" style="115" bestFit="1" customWidth="1"/>
    <col min="4" max="4" width="12.140625" style="115" bestFit="1" customWidth="1"/>
    <col min="5" max="5" width="14.85546875" style="115" bestFit="1" customWidth="1"/>
    <col min="6" max="6" width="11.85546875" style="115" bestFit="1" customWidth="1"/>
    <col min="7" max="7" width="13.85546875" style="448" customWidth="1"/>
    <col min="8" max="8" width="7.7109375" style="115" customWidth="1"/>
    <col min="9" max="9" width="7" style="115" customWidth="1"/>
    <col min="10" max="10" width="8.42578125" style="115" customWidth="1"/>
    <col min="11" max="11" width="10" style="115" bestFit="1" customWidth="1"/>
    <col min="12" max="12" width="11.28515625" style="448" customWidth="1"/>
    <col min="13" max="13" width="12.5703125" style="448" bestFit="1" customWidth="1"/>
    <col min="14" max="14" width="11.5703125" style="115" bestFit="1" customWidth="1"/>
    <col min="15" max="15" width="11.85546875" style="115" customWidth="1"/>
    <col min="16" max="16" width="12.5703125" style="115" customWidth="1"/>
    <col min="17" max="17" width="11.28515625" style="115" customWidth="1"/>
    <col min="18" max="18" width="9.28515625" style="115" bestFit="1" customWidth="1"/>
    <col min="19" max="19" width="9.140625" style="115"/>
    <col min="20" max="21" width="10.5703125" style="115" bestFit="1" customWidth="1"/>
    <col min="22" max="22" width="12.42578125" style="115" bestFit="1" customWidth="1"/>
    <col min="23" max="16384" width="9.140625" style="115"/>
  </cols>
  <sheetData>
    <row r="2" spans="1:19">
      <c r="A2" s="1007" t="s">
        <v>130</v>
      </c>
      <c r="B2" s="1007"/>
      <c r="C2" s="1007"/>
      <c r="D2" s="1007"/>
      <c r="E2" s="1007"/>
      <c r="F2" s="1007"/>
      <c r="G2" s="1007"/>
      <c r="H2" s="1007"/>
      <c r="I2" s="1007"/>
      <c r="J2" s="1007"/>
      <c r="K2" s="1007"/>
      <c r="L2" s="1007"/>
      <c r="M2" s="1007"/>
      <c r="N2" s="1007"/>
      <c r="O2" s="1007"/>
      <c r="P2" s="1007"/>
      <c r="Q2" s="1007"/>
      <c r="R2" s="1007"/>
      <c r="S2" s="1007"/>
    </row>
    <row r="3" spans="1:19">
      <c r="A3" s="116"/>
    </row>
    <row r="4" spans="1:19">
      <c r="A4" s="117" t="s">
        <v>71</v>
      </c>
      <c r="B4" s="118"/>
      <c r="C4" s="118"/>
      <c r="D4" s="118"/>
      <c r="E4" s="118"/>
      <c r="F4" s="118"/>
      <c r="G4" s="449"/>
      <c r="H4" s="118"/>
      <c r="I4" s="118"/>
      <c r="J4" s="118"/>
      <c r="K4" s="118"/>
      <c r="L4" s="449"/>
      <c r="M4" s="449"/>
      <c r="N4" s="118"/>
      <c r="O4" s="118"/>
      <c r="P4" s="118"/>
      <c r="Q4" s="118"/>
      <c r="R4" s="118"/>
    </row>
    <row r="5" spans="1:19">
      <c r="A5" s="119" t="s">
        <v>129</v>
      </c>
    </row>
    <row r="6" spans="1:19">
      <c r="A6" s="119"/>
    </row>
    <row r="7" spans="1:19">
      <c r="A7" s="120" t="s">
        <v>165</v>
      </c>
    </row>
    <row r="8" spans="1:19">
      <c r="A8" s="120" t="s">
        <v>278</v>
      </c>
    </row>
    <row r="9" spans="1:19">
      <c r="A9" s="120" t="s">
        <v>166</v>
      </c>
    </row>
    <row r="10" spans="1:19">
      <c r="A10" s="120" t="s">
        <v>167</v>
      </c>
    </row>
    <row r="11" spans="1:19">
      <c r="A11" s="121" t="s">
        <v>168</v>
      </c>
    </row>
    <row r="12" spans="1:19" ht="18.75">
      <c r="A12" s="120" t="s">
        <v>169</v>
      </c>
      <c r="B12" s="561">
        <v>0.06</v>
      </c>
      <c r="C12" s="177"/>
      <c r="D12" s="177"/>
      <c r="E12" s="560">
        <f>B12</f>
        <v>0.06</v>
      </c>
      <c r="F12" s="177"/>
      <c r="G12" s="462"/>
      <c r="H12" s="177"/>
      <c r="I12" s="177"/>
      <c r="J12" s="177"/>
      <c r="K12" s="177"/>
    </row>
    <row r="13" spans="1:19">
      <c r="A13" s="120" t="s">
        <v>170</v>
      </c>
    </row>
    <row r="14" spans="1:19">
      <c r="A14" s="120" t="s">
        <v>171</v>
      </c>
    </row>
    <row r="15" spans="1:19">
      <c r="A15" s="121"/>
    </row>
    <row r="16" spans="1:19">
      <c r="A16" s="1009" t="s">
        <v>172</v>
      </c>
      <c r="B16" s="1009"/>
      <c r="C16" s="1009"/>
      <c r="D16" s="1009"/>
      <c r="E16" s="1009"/>
      <c r="F16" s="1009"/>
      <c r="G16" s="1009"/>
      <c r="H16" s="1009"/>
      <c r="I16" s="1009"/>
    </row>
    <row r="17" spans="1:19">
      <c r="A17" s="121"/>
    </row>
    <row r="18" spans="1:19" s="122" customFormat="1" ht="12.75">
      <c r="A18" s="487"/>
      <c r="B18" s="1008" t="s">
        <v>143</v>
      </c>
      <c r="C18" s="1008"/>
      <c r="D18" s="1008"/>
      <c r="E18" s="1008"/>
      <c r="F18" s="1008" t="s">
        <v>144</v>
      </c>
      <c r="G18" s="1008"/>
      <c r="H18" s="1008"/>
      <c r="I18" s="1008"/>
      <c r="J18" s="124" t="str">
        <f>'Fin Smmry'!N5</f>
        <v>Year 3</v>
      </c>
      <c r="K18" s="124" t="str">
        <f>'Fin Smmry'!O5</f>
        <v>Year 4</v>
      </c>
      <c r="L18" s="124" t="str">
        <f>'Fin Smmry'!P5</f>
        <v>Year 5</v>
      </c>
      <c r="M18" s="124" t="str">
        <f>'Fin Smmry'!Q5</f>
        <v>Year 6</v>
      </c>
      <c r="N18" s="124" t="str">
        <f>'Fin Smmry'!R5</f>
        <v>Year 7</v>
      </c>
      <c r="O18" s="124" t="str">
        <f>'Fin Smmry'!S5</f>
        <v>Year 8</v>
      </c>
      <c r="P18" s="124" t="str">
        <f>'Fin Smmry'!T5</f>
        <v>Year 9</v>
      </c>
      <c r="Q18" s="124" t="str">
        <f>'Fin Smmry'!U5</f>
        <v>Year 10</v>
      </c>
      <c r="R18" s="459"/>
    </row>
    <row r="19" spans="1:19" s="122" customFormat="1" ht="12.75">
      <c r="A19" s="488"/>
      <c r="B19" s="447" t="s">
        <v>407</v>
      </c>
      <c r="C19" s="447" t="s">
        <v>408</v>
      </c>
      <c r="D19" s="447" t="s">
        <v>409</v>
      </c>
      <c r="E19" s="447" t="s">
        <v>410</v>
      </c>
      <c r="F19" s="447" t="s">
        <v>407</v>
      </c>
      <c r="G19" s="447" t="s">
        <v>408</v>
      </c>
      <c r="H19" s="447" t="s">
        <v>409</v>
      </c>
      <c r="I19" s="447" t="s">
        <v>410</v>
      </c>
      <c r="J19" s="124"/>
      <c r="K19" s="124"/>
      <c r="L19" s="124"/>
      <c r="M19" s="124"/>
      <c r="N19" s="124"/>
      <c r="O19" s="124"/>
      <c r="P19" s="124"/>
      <c r="Q19" s="486"/>
      <c r="R19" s="459"/>
    </row>
    <row r="20" spans="1:19" s="122" customFormat="1" ht="12.75">
      <c r="A20" s="123" t="s">
        <v>451</v>
      </c>
      <c r="B20" s="124">
        <v>0</v>
      </c>
      <c r="C20" s="124">
        <f>B22</f>
        <v>197.21675126903565</v>
      </c>
      <c r="D20" s="124">
        <f t="shared" ref="D20:Q20" si="0">C22</f>
        <v>197.3441129634887</v>
      </c>
      <c r="E20" s="124">
        <f t="shared" si="0"/>
        <v>206.60823651115933</v>
      </c>
      <c r="F20" s="124">
        <f t="shared" si="0"/>
        <v>216.0134380824062</v>
      </c>
      <c r="G20" s="124">
        <f t="shared" si="0"/>
        <v>280.07452597201609</v>
      </c>
      <c r="H20" s="124">
        <f t="shared" si="0"/>
        <v>281.07973398181474</v>
      </c>
      <c r="I20" s="124">
        <f t="shared" si="0"/>
        <v>287.23627815428466</v>
      </c>
      <c r="J20" s="124">
        <f t="shared" si="0"/>
        <v>293.48657680669879</v>
      </c>
      <c r="K20" s="124">
        <f t="shared" si="0"/>
        <v>355.81055383213527</v>
      </c>
      <c r="L20" s="124">
        <f t="shared" si="0"/>
        <v>71.720686537710321</v>
      </c>
      <c r="M20" s="124">
        <f t="shared" si="0"/>
        <v>0</v>
      </c>
      <c r="N20" s="124">
        <f t="shared" si="0"/>
        <v>0</v>
      </c>
      <c r="O20" s="124">
        <f t="shared" si="0"/>
        <v>0</v>
      </c>
      <c r="P20" s="124">
        <f t="shared" si="0"/>
        <v>0</v>
      </c>
      <c r="Q20" s="124">
        <f t="shared" si="0"/>
        <v>0</v>
      </c>
      <c r="R20" s="459"/>
      <c r="S20" s="459"/>
    </row>
    <row r="21" spans="1:19" s="126" customFormat="1" ht="12.75">
      <c r="A21" s="125" t="s">
        <v>252</v>
      </c>
      <c r="B21" s="124">
        <f>'Balance Sheet'!C29</f>
        <v>197.21675126903565</v>
      </c>
      <c r="C21" s="466">
        <f>C22-C20</f>
        <v>0.12736169445304313</v>
      </c>
      <c r="D21" s="124">
        <f>D22-D20</f>
        <v>9.2641235476706356</v>
      </c>
      <c r="E21" s="124">
        <f t="shared" ref="E21:Q21" si="1">E22-E20</f>
        <v>9.4052015712468631</v>
      </c>
      <c r="F21" s="124">
        <f t="shared" si="1"/>
        <v>64.061087889609894</v>
      </c>
      <c r="G21" s="124">
        <f t="shared" si="1"/>
        <v>1.0052080097986504</v>
      </c>
      <c r="H21" s="124">
        <f t="shared" si="1"/>
        <v>6.1565441724699213</v>
      </c>
      <c r="I21" s="124">
        <f t="shared" si="1"/>
        <v>6.2502986524141306</v>
      </c>
      <c r="J21" s="124">
        <f t="shared" si="1"/>
        <v>62.323977025436477</v>
      </c>
      <c r="K21" s="124">
        <f t="shared" si="1"/>
        <v>-284.08986729442495</v>
      </c>
      <c r="L21" s="124">
        <f t="shared" si="1"/>
        <v>-71.720686537710321</v>
      </c>
      <c r="M21" s="124">
        <f t="shared" si="1"/>
        <v>0</v>
      </c>
      <c r="N21" s="124">
        <f t="shared" si="1"/>
        <v>0</v>
      </c>
      <c r="O21" s="124">
        <f t="shared" si="1"/>
        <v>0</v>
      </c>
      <c r="P21" s="124">
        <f t="shared" si="1"/>
        <v>0</v>
      </c>
      <c r="Q21" s="124">
        <f t="shared" si="1"/>
        <v>0</v>
      </c>
      <c r="R21" s="460"/>
      <c r="S21" s="460"/>
    </row>
    <row r="22" spans="1:19">
      <c r="A22" s="127" t="s">
        <v>197</v>
      </c>
      <c r="B22" s="131">
        <f>'Fin Smmry'!F92</f>
        <v>197.21675126903565</v>
      </c>
      <c r="C22" s="131">
        <f>'Fin Smmry'!G92</f>
        <v>197.3441129634887</v>
      </c>
      <c r="D22" s="131">
        <f>'Fin Smmry'!H92</f>
        <v>206.60823651115933</v>
      </c>
      <c r="E22" s="131">
        <f>'Fin Smmry'!I92</f>
        <v>216.0134380824062</v>
      </c>
      <c r="F22" s="131">
        <f>'Fin Smmry'!J92</f>
        <v>280.07452597201609</v>
      </c>
      <c r="G22" s="131">
        <f>'Fin Smmry'!K92</f>
        <v>281.07973398181474</v>
      </c>
      <c r="H22" s="131">
        <f>'Fin Smmry'!L92</f>
        <v>287.23627815428466</v>
      </c>
      <c r="I22" s="131">
        <f>'Fin Smmry'!M92</f>
        <v>293.48657680669879</v>
      </c>
      <c r="J22" s="131">
        <f>'Fin Smmry'!N92</f>
        <v>355.81055383213527</v>
      </c>
      <c r="K22" s="131">
        <f>'Fin Smmry'!O92</f>
        <v>71.720686537710321</v>
      </c>
      <c r="L22" s="131">
        <f>'Fin Smmry'!P92</f>
        <v>0</v>
      </c>
      <c r="M22" s="131">
        <f>'Fin Smmry'!Q92</f>
        <v>0</v>
      </c>
      <c r="N22" s="131">
        <f>'Fin Smmry'!R92</f>
        <v>0</v>
      </c>
      <c r="O22" s="131">
        <f>'Fin Smmry'!S92</f>
        <v>0</v>
      </c>
      <c r="P22" s="131">
        <f>'Fin Smmry'!T92</f>
        <v>0</v>
      </c>
      <c r="Q22" s="131">
        <f>'Fin Smmry'!U92</f>
        <v>0</v>
      </c>
      <c r="R22" s="461"/>
      <c r="S22" s="461"/>
    </row>
    <row r="23" spans="1:19" s="129" customFormat="1" ht="25.5">
      <c r="A23" s="351"/>
      <c r="B23" s="457" t="s">
        <v>173</v>
      </c>
      <c r="C23" s="457" t="s">
        <v>452</v>
      </c>
      <c r="D23" s="454" t="s">
        <v>174</v>
      </c>
      <c r="E23" s="324" t="s">
        <v>175</v>
      </c>
      <c r="F23" s="323" t="s">
        <v>176</v>
      </c>
      <c r="G23" s="323"/>
      <c r="H23" s="350"/>
      <c r="I23" s="350"/>
      <c r="J23" s="350"/>
      <c r="K23" s="351"/>
      <c r="L23" s="464"/>
      <c r="M23" s="464"/>
      <c r="N23" s="464"/>
      <c r="O23" s="351"/>
      <c r="P23" s="351"/>
      <c r="Q23" s="351"/>
    </row>
    <row r="24" spans="1:19" s="129" customFormat="1">
      <c r="A24" s="468" t="s">
        <v>413</v>
      </c>
      <c r="B24" s="550">
        <f>B$20</f>
        <v>0</v>
      </c>
      <c r="C24" s="550">
        <f>B21</f>
        <v>197.21675126903565</v>
      </c>
      <c r="D24" s="455">
        <f>B24+C24</f>
        <v>197.21675126903565</v>
      </c>
      <c r="E24" s="451">
        <f t="shared" ref="E24:E31" si="2">D24*$E$12/4</f>
        <v>2.9582512690355349</v>
      </c>
      <c r="F24" s="450">
        <f t="shared" ref="F24:F31" si="3">E24</f>
        <v>2.9582512690355349</v>
      </c>
      <c r="G24" s="450"/>
      <c r="H24" s="350"/>
      <c r="I24" s="350"/>
      <c r="J24" s="350"/>
      <c r="K24" s="351"/>
      <c r="L24" s="464"/>
      <c r="M24" s="464"/>
      <c r="N24" s="464"/>
      <c r="O24" s="351"/>
      <c r="P24" s="351"/>
      <c r="Q24" s="351"/>
    </row>
    <row r="25" spans="1:19" s="129" customFormat="1">
      <c r="A25" s="468" t="s">
        <v>412</v>
      </c>
      <c r="B25" s="551">
        <f>D24</f>
        <v>197.21675126903565</v>
      </c>
      <c r="C25" s="450">
        <f>C21</f>
        <v>0.12736169445304313</v>
      </c>
      <c r="D25" s="455">
        <f t="shared" ref="D25:D39" si="4">B25+C25</f>
        <v>197.3441129634887</v>
      </c>
      <c r="E25" s="451">
        <f t="shared" si="2"/>
        <v>2.9601616944523306</v>
      </c>
      <c r="F25" s="450">
        <f t="shared" si="3"/>
        <v>2.9601616944523306</v>
      </c>
      <c r="G25" s="528"/>
      <c r="H25" s="350"/>
      <c r="I25" s="350"/>
      <c r="J25" s="350"/>
      <c r="K25" s="351"/>
      <c r="L25" s="351"/>
      <c r="M25" s="464"/>
      <c r="N25" s="464"/>
      <c r="O25" s="351"/>
      <c r="P25" s="351"/>
      <c r="Q25" s="351"/>
    </row>
    <row r="26" spans="1:19" s="129" customFormat="1">
      <c r="A26" s="468" t="s">
        <v>414</v>
      </c>
      <c r="B26" s="551">
        <f>D25</f>
        <v>197.3441129634887</v>
      </c>
      <c r="C26" s="450">
        <f>D21</f>
        <v>9.2641235476706356</v>
      </c>
      <c r="D26" s="455">
        <f t="shared" si="4"/>
        <v>206.60823651115933</v>
      </c>
      <c r="E26" s="451">
        <f t="shared" si="2"/>
        <v>3.0991235476673897</v>
      </c>
      <c r="F26" s="450">
        <f t="shared" si="3"/>
        <v>3.0991235476673897</v>
      </c>
      <c r="G26" s="528"/>
      <c r="H26" s="350"/>
      <c r="I26" s="350"/>
      <c r="J26" s="350"/>
      <c r="K26" s="351"/>
      <c r="L26" s="351"/>
      <c r="M26" s="464"/>
      <c r="N26" s="464"/>
      <c r="O26" s="351"/>
      <c r="P26" s="351"/>
      <c r="Q26" s="351"/>
    </row>
    <row r="27" spans="1:19" s="129" customFormat="1">
      <c r="A27" s="468" t="s">
        <v>415</v>
      </c>
      <c r="B27" s="551">
        <f t="shared" ref="B27:B39" si="5">D26</f>
        <v>206.60823651115933</v>
      </c>
      <c r="C27" s="450">
        <f>E21</f>
        <v>9.4052015712468631</v>
      </c>
      <c r="D27" s="552">
        <f t="shared" si="4"/>
        <v>216.0134380824062</v>
      </c>
      <c r="E27" s="434">
        <f t="shared" si="2"/>
        <v>3.240201571236093</v>
      </c>
      <c r="F27" s="434">
        <f t="shared" si="3"/>
        <v>3.240201571236093</v>
      </c>
      <c r="G27" s="528"/>
      <c r="H27" s="350"/>
      <c r="I27" s="350"/>
      <c r="J27" s="350"/>
      <c r="K27" s="351"/>
      <c r="L27" s="351"/>
      <c r="M27" s="464"/>
      <c r="N27" s="464"/>
      <c r="O27" s="351"/>
      <c r="P27" s="351"/>
      <c r="Q27" s="351"/>
    </row>
    <row r="28" spans="1:19">
      <c r="A28" s="468" t="s">
        <v>416</v>
      </c>
      <c r="B28" s="551">
        <f t="shared" si="5"/>
        <v>216.0134380824062</v>
      </c>
      <c r="C28" s="450">
        <f>F21</f>
        <v>64.061087889609894</v>
      </c>
      <c r="D28" s="552">
        <f t="shared" si="4"/>
        <v>280.07452597201609</v>
      </c>
      <c r="E28" s="434">
        <f t="shared" si="2"/>
        <v>4.2011178895802415</v>
      </c>
      <c r="F28" s="434">
        <f t="shared" si="3"/>
        <v>4.2011178895802415</v>
      </c>
      <c r="G28" s="528"/>
      <c r="H28" s="128"/>
      <c r="I28" s="130"/>
      <c r="J28" s="128"/>
      <c r="K28" s="128"/>
      <c r="L28" s="128"/>
      <c r="M28" s="465"/>
      <c r="N28" s="465"/>
      <c r="O28" s="128"/>
      <c r="P28" s="128"/>
      <c r="Q28" s="128"/>
    </row>
    <row r="29" spans="1:19">
      <c r="A29" s="468" t="s">
        <v>417</v>
      </c>
      <c r="B29" s="551">
        <f t="shared" si="5"/>
        <v>280.07452597201609</v>
      </c>
      <c r="C29" s="450">
        <f>G21</f>
        <v>1.0052080097986504</v>
      </c>
      <c r="D29" s="552">
        <f t="shared" si="4"/>
        <v>281.07973398181474</v>
      </c>
      <c r="E29" s="434">
        <f t="shared" si="2"/>
        <v>4.2161960097272209</v>
      </c>
      <c r="F29" s="434">
        <f t="shared" si="3"/>
        <v>4.2161960097272209</v>
      </c>
      <c r="G29" s="528"/>
      <c r="H29" s="128"/>
      <c r="I29" s="130"/>
      <c r="J29" s="128"/>
      <c r="K29" s="128"/>
      <c r="L29" s="128"/>
      <c r="M29" s="465"/>
      <c r="N29" s="465"/>
      <c r="O29" s="128"/>
      <c r="P29" s="128"/>
      <c r="Q29" s="128"/>
    </row>
    <row r="30" spans="1:19">
      <c r="A30" s="468" t="s">
        <v>419</v>
      </c>
      <c r="B30" s="551">
        <f t="shared" si="5"/>
        <v>281.07973398181474</v>
      </c>
      <c r="C30" s="450">
        <f>H21</f>
        <v>6.1565441724699213</v>
      </c>
      <c r="D30" s="552">
        <f t="shared" si="4"/>
        <v>287.23627815428466</v>
      </c>
      <c r="E30" s="434">
        <f t="shared" si="2"/>
        <v>4.3085441723142699</v>
      </c>
      <c r="F30" s="434">
        <f t="shared" si="3"/>
        <v>4.3085441723142699</v>
      </c>
      <c r="G30" s="528"/>
      <c r="H30" s="128"/>
      <c r="I30" s="130"/>
      <c r="J30" s="128"/>
      <c r="K30" s="128"/>
      <c r="L30" s="128"/>
      <c r="M30" s="465"/>
      <c r="N30" s="465"/>
      <c r="O30" s="465"/>
      <c r="P30" s="128"/>
      <c r="Q30" s="128"/>
    </row>
    <row r="31" spans="1:19">
      <c r="A31" s="468" t="s">
        <v>418</v>
      </c>
      <c r="B31" s="551">
        <f t="shared" si="5"/>
        <v>287.23627815428466</v>
      </c>
      <c r="C31" s="450">
        <f>I21</f>
        <v>6.2502986524141306</v>
      </c>
      <c r="D31" s="552">
        <f t="shared" si="4"/>
        <v>293.48657680669879</v>
      </c>
      <c r="E31" s="434">
        <f t="shared" si="2"/>
        <v>4.4022986521004821</v>
      </c>
      <c r="F31" s="434">
        <f t="shared" si="3"/>
        <v>4.4022986521004821</v>
      </c>
      <c r="G31" s="528"/>
      <c r="H31" s="128"/>
      <c r="I31" s="130"/>
      <c r="J31" s="128"/>
      <c r="K31" s="128"/>
      <c r="L31" s="128"/>
      <c r="M31" s="465"/>
      <c r="N31" s="465"/>
      <c r="O31" s="465"/>
      <c r="P31" s="128"/>
      <c r="Q31" s="128"/>
    </row>
    <row r="32" spans="1:19">
      <c r="A32" s="142" t="s">
        <v>149</v>
      </c>
      <c r="B32" s="551">
        <f t="shared" si="5"/>
        <v>293.48657680669879</v>
      </c>
      <c r="C32" s="450">
        <f>J21</f>
        <v>62.323977025436477</v>
      </c>
      <c r="D32" s="552">
        <f t="shared" si="4"/>
        <v>355.81055383213527</v>
      </c>
      <c r="E32" s="434">
        <f>(D32+B32)/2*E12</f>
        <v>19.47891391916502</v>
      </c>
      <c r="F32" s="434">
        <f t="shared" ref="F32:F38" si="6">E32</f>
        <v>19.47891391916502</v>
      </c>
      <c r="G32" s="528"/>
      <c r="H32" s="128"/>
      <c r="I32" s="130"/>
      <c r="J32" s="128"/>
      <c r="K32" s="128"/>
      <c r="L32" s="128"/>
      <c r="M32" s="465"/>
      <c r="N32" s="465"/>
      <c r="O32" s="465"/>
      <c r="P32" s="128"/>
      <c r="Q32" s="128"/>
    </row>
    <row r="33" spans="1:19">
      <c r="A33" s="142" t="s">
        <v>150</v>
      </c>
      <c r="B33" s="551">
        <f t="shared" si="5"/>
        <v>355.81055383213527</v>
      </c>
      <c r="C33" s="450">
        <f>K21</f>
        <v>-284.08986729442495</v>
      </c>
      <c r="D33" s="552">
        <f t="shared" si="4"/>
        <v>71.720686537710321</v>
      </c>
      <c r="E33" s="434">
        <f t="shared" ref="E33:E39" si="7">(D33+B33)/2*$E$12</f>
        <v>12.825937211095367</v>
      </c>
      <c r="F33" s="434">
        <f t="shared" si="6"/>
        <v>12.825937211095367</v>
      </c>
      <c r="G33" s="528"/>
      <c r="H33" s="128"/>
      <c r="I33" s="130"/>
      <c r="J33" s="128"/>
      <c r="K33" s="128"/>
      <c r="L33" s="128"/>
      <c r="M33" s="465"/>
      <c r="N33" s="465"/>
      <c r="O33" s="465"/>
      <c r="P33" s="128"/>
      <c r="Q33" s="128"/>
    </row>
    <row r="34" spans="1:19">
      <c r="A34" s="142" t="s">
        <v>151</v>
      </c>
      <c r="B34" s="551">
        <f t="shared" si="5"/>
        <v>71.720686537710321</v>
      </c>
      <c r="C34" s="450">
        <f>L21</f>
        <v>-71.720686537710321</v>
      </c>
      <c r="D34" s="552">
        <f t="shared" si="4"/>
        <v>0</v>
      </c>
      <c r="E34" s="434">
        <f t="shared" si="7"/>
        <v>2.1516205961313095</v>
      </c>
      <c r="F34" s="434">
        <f t="shared" si="6"/>
        <v>2.1516205961313095</v>
      </c>
      <c r="G34" s="528"/>
      <c r="H34" s="128"/>
      <c r="I34" s="130"/>
      <c r="J34" s="128"/>
      <c r="K34" s="128"/>
      <c r="L34" s="128"/>
      <c r="M34" s="465"/>
      <c r="N34" s="465"/>
      <c r="O34" s="465"/>
      <c r="P34" s="128"/>
      <c r="Q34" s="128"/>
    </row>
    <row r="35" spans="1:19">
      <c r="A35" s="142" t="s">
        <v>177</v>
      </c>
      <c r="B35" s="551">
        <f t="shared" si="5"/>
        <v>0</v>
      </c>
      <c r="C35" s="450">
        <f>M21</f>
        <v>0</v>
      </c>
      <c r="D35" s="552">
        <f t="shared" si="4"/>
        <v>0</v>
      </c>
      <c r="E35" s="434">
        <f t="shared" si="7"/>
        <v>0</v>
      </c>
      <c r="F35" s="553">
        <f t="shared" si="6"/>
        <v>0</v>
      </c>
      <c r="G35" s="529"/>
      <c r="H35" s="128"/>
      <c r="I35" s="130"/>
      <c r="J35" s="128"/>
      <c r="K35" s="128"/>
      <c r="L35" s="128"/>
      <c r="M35" s="465"/>
      <c r="N35" s="465"/>
      <c r="O35" s="465"/>
      <c r="P35" s="128"/>
      <c r="Q35" s="128"/>
    </row>
    <row r="36" spans="1:19">
      <c r="A36" s="142" t="s">
        <v>178</v>
      </c>
      <c r="B36" s="551">
        <f t="shared" si="5"/>
        <v>0</v>
      </c>
      <c r="C36" s="450">
        <f>N21</f>
        <v>0</v>
      </c>
      <c r="D36" s="552">
        <f t="shared" si="4"/>
        <v>0</v>
      </c>
      <c r="E36" s="434">
        <f t="shared" si="7"/>
        <v>0</v>
      </c>
      <c r="F36" s="553">
        <f t="shared" si="6"/>
        <v>0</v>
      </c>
      <c r="G36" s="529"/>
      <c r="H36" s="128"/>
      <c r="I36" s="130"/>
      <c r="J36" s="128"/>
      <c r="K36" s="128"/>
      <c r="L36" s="128"/>
      <c r="M36" s="465"/>
      <c r="N36" s="465"/>
      <c r="O36" s="465"/>
      <c r="P36" s="128"/>
      <c r="Q36" s="128"/>
    </row>
    <row r="37" spans="1:19">
      <c r="A37" s="142" t="s">
        <v>179</v>
      </c>
      <c r="B37" s="551">
        <f t="shared" si="5"/>
        <v>0</v>
      </c>
      <c r="C37" s="450">
        <f>O21</f>
        <v>0</v>
      </c>
      <c r="D37" s="554">
        <f t="shared" si="4"/>
        <v>0</v>
      </c>
      <c r="E37" s="434">
        <f t="shared" si="7"/>
        <v>0</v>
      </c>
      <c r="F37" s="131">
        <f t="shared" si="6"/>
        <v>0</v>
      </c>
      <c r="G37" s="529"/>
      <c r="H37" s="128"/>
      <c r="I37" s="130"/>
      <c r="J37" s="128"/>
      <c r="K37" s="128"/>
      <c r="L37" s="128"/>
      <c r="M37" s="465"/>
      <c r="N37" s="465"/>
      <c r="O37" s="465"/>
      <c r="P37" s="128"/>
      <c r="Q37" s="128"/>
    </row>
    <row r="38" spans="1:19">
      <c r="A38" s="142" t="s">
        <v>180</v>
      </c>
      <c r="B38" s="551">
        <f t="shared" si="5"/>
        <v>0</v>
      </c>
      <c r="C38" s="450">
        <f>P21</f>
        <v>0</v>
      </c>
      <c r="D38" s="455">
        <f t="shared" si="4"/>
        <v>0</v>
      </c>
      <c r="E38" s="434">
        <f t="shared" si="7"/>
        <v>0</v>
      </c>
      <c r="F38" s="131">
        <f t="shared" si="6"/>
        <v>0</v>
      </c>
      <c r="G38" s="529"/>
      <c r="H38" s="128"/>
      <c r="I38" s="130"/>
      <c r="J38" s="128"/>
      <c r="K38" s="128"/>
      <c r="L38" s="128"/>
      <c r="M38" s="128"/>
      <c r="N38" s="128"/>
      <c r="O38" s="128"/>
      <c r="P38" s="128"/>
      <c r="Q38" s="128"/>
    </row>
    <row r="39" spans="1:19">
      <c r="A39" s="142" t="s">
        <v>181</v>
      </c>
      <c r="B39" s="551">
        <f t="shared" si="5"/>
        <v>0</v>
      </c>
      <c r="C39" s="450">
        <f>Q21</f>
        <v>0</v>
      </c>
      <c r="D39" s="455">
        <f t="shared" si="4"/>
        <v>0</v>
      </c>
      <c r="E39" s="434">
        <f t="shared" si="7"/>
        <v>0</v>
      </c>
      <c r="F39" s="131">
        <f>E39</f>
        <v>0</v>
      </c>
      <c r="G39" s="529"/>
      <c r="H39" s="128"/>
      <c r="I39" s="130"/>
      <c r="J39" s="128"/>
      <c r="K39" s="128"/>
      <c r="L39" s="128"/>
      <c r="M39" s="128"/>
      <c r="N39" s="128"/>
      <c r="O39" s="128"/>
      <c r="P39" s="128"/>
      <c r="Q39" s="128"/>
    </row>
    <row r="40" spans="1:19">
      <c r="A40" s="467" t="s">
        <v>1</v>
      </c>
      <c r="B40" s="555"/>
      <c r="C40" s="556">
        <f>SUM(C24:C39)</f>
        <v>0</v>
      </c>
      <c r="D40" s="556"/>
      <c r="E40" s="556">
        <f>SUM(E24:E39)</f>
        <v>63.842366532505253</v>
      </c>
      <c r="F40" s="556">
        <f>SUM(F24:F39)</f>
        <v>63.842366532505253</v>
      </c>
      <c r="G40" s="530"/>
      <c r="H40" s="452"/>
      <c r="I40" s="452"/>
      <c r="J40" s="452"/>
      <c r="K40" s="452"/>
      <c r="L40" s="453"/>
      <c r="M40" s="456"/>
      <c r="N40" s="453"/>
      <c r="O40" s="453"/>
      <c r="P40" s="453"/>
      <c r="Q40" s="458"/>
      <c r="R40" s="448"/>
      <c r="S40" s="448"/>
    </row>
    <row r="41" spans="1:19">
      <c r="A41" s="132"/>
      <c r="H41" s="448"/>
      <c r="I41" s="448"/>
      <c r="J41" s="448"/>
      <c r="K41" s="448"/>
    </row>
    <row r="42" spans="1:19">
      <c r="A42" s="132"/>
      <c r="H42" s="448"/>
      <c r="I42" s="448"/>
      <c r="J42" s="448"/>
      <c r="K42" s="448"/>
    </row>
    <row r="43" spans="1:19">
      <c r="A43" s="132"/>
      <c r="H43" s="448"/>
      <c r="I43" s="448"/>
      <c r="J43" s="448"/>
      <c r="K43" s="448"/>
    </row>
    <row r="44" spans="1:19">
      <c r="A44" s="117" t="s">
        <v>71</v>
      </c>
      <c r="B44" s="132"/>
      <c r="C44" s="132"/>
      <c r="D44" s="132"/>
      <c r="E44" s="132"/>
      <c r="F44" s="132"/>
      <c r="G44" s="463"/>
      <c r="H44" s="132"/>
      <c r="I44" s="132"/>
      <c r="J44" s="132"/>
      <c r="K44" s="132"/>
      <c r="L44" s="449"/>
      <c r="M44" s="449"/>
      <c r="N44" s="118"/>
      <c r="O44" s="118"/>
      <c r="P44" s="118"/>
      <c r="Q44" s="118"/>
      <c r="R44" s="118"/>
    </row>
    <row r="45" spans="1:19">
      <c r="L45" s="448" t="s">
        <v>70</v>
      </c>
    </row>
  </sheetData>
  <mergeCells count="4">
    <mergeCell ref="A2:S2"/>
    <mergeCell ref="B18:E18"/>
    <mergeCell ref="F18:I18"/>
    <mergeCell ref="A16:I16"/>
  </mergeCells>
  <hyperlinks>
    <hyperlink ref="A4" location="Index!A1" display="BACK TO INDEX"/>
    <hyperlink ref="A44" location="Index!A1" display="BACK TO INDEX"/>
  </hyperlinks>
  <pageMargins left="0.17" right="0.23" top="0.54" bottom="0.4" header="0.31496062992126" footer="0.19"/>
  <pageSetup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C2:S24"/>
  <sheetViews>
    <sheetView topLeftCell="A10" workbookViewId="0">
      <selection activeCell="R21" sqref="R21"/>
    </sheetView>
  </sheetViews>
  <sheetFormatPr defaultRowHeight="15"/>
  <cols>
    <col min="1" max="2" width="9.140625" style="165"/>
    <col min="3" max="3" width="16.28515625" style="165" customWidth="1"/>
    <col min="4" max="16384" width="9.140625" style="165"/>
  </cols>
  <sheetData>
    <row r="2" spans="3:19">
      <c r="S2" s="166" t="s">
        <v>246</v>
      </c>
    </row>
    <row r="3" spans="3:19">
      <c r="C3" s="167" t="s">
        <v>247</v>
      </c>
      <c r="D3" s="165">
        <v>2008</v>
      </c>
      <c r="E3" s="165">
        <v>2009</v>
      </c>
      <c r="F3" s="165">
        <v>2010</v>
      </c>
      <c r="G3" s="165">
        <v>2011</v>
      </c>
      <c r="H3" s="168">
        <v>2012</v>
      </c>
      <c r="I3" s="165">
        <v>2013</v>
      </c>
      <c r="J3" s="165">
        <v>2014</v>
      </c>
      <c r="K3" s="165">
        <v>2015</v>
      </c>
      <c r="L3" s="165">
        <v>2016</v>
      </c>
      <c r="M3" s="165">
        <v>2017</v>
      </c>
      <c r="N3" s="169">
        <v>2018</v>
      </c>
      <c r="O3" s="165">
        <v>2019</v>
      </c>
      <c r="P3" s="165">
        <v>2020</v>
      </c>
      <c r="Q3" s="165">
        <v>2021</v>
      </c>
      <c r="R3" s="165">
        <v>2022</v>
      </c>
      <c r="S3" s="166"/>
    </row>
    <row r="4" spans="3:19">
      <c r="C4" s="167"/>
      <c r="H4" s="168"/>
      <c r="N4" s="169"/>
      <c r="S4" s="166"/>
    </row>
    <row r="5" spans="3:19">
      <c r="C5" s="167" t="s">
        <v>248</v>
      </c>
      <c r="D5" s="165">
        <v>7.7</v>
      </c>
      <c r="E5" s="165">
        <f>D5</f>
        <v>7.7</v>
      </c>
      <c r="F5" s="165">
        <f t="shared" ref="F5:R6" si="0">E5</f>
        <v>7.7</v>
      </c>
      <c r="G5" s="165">
        <f t="shared" si="0"/>
        <v>7.7</v>
      </c>
      <c r="H5" s="168">
        <f t="shared" si="0"/>
        <v>7.7</v>
      </c>
      <c r="I5" s="165">
        <v>5.7</v>
      </c>
      <c r="J5" s="165">
        <f t="shared" si="0"/>
        <v>5.7</v>
      </c>
      <c r="K5" s="165">
        <f t="shared" si="0"/>
        <v>5.7</v>
      </c>
      <c r="L5" s="165">
        <f t="shared" si="0"/>
        <v>5.7</v>
      </c>
      <c r="M5" s="165">
        <f t="shared" si="0"/>
        <v>5.7</v>
      </c>
      <c r="N5" s="169">
        <f t="shared" si="0"/>
        <v>5.7</v>
      </c>
      <c r="O5" s="165">
        <v>4.7</v>
      </c>
      <c r="P5" s="165">
        <f t="shared" si="0"/>
        <v>4.7</v>
      </c>
      <c r="Q5" s="165">
        <f t="shared" si="0"/>
        <v>4.7</v>
      </c>
      <c r="R5" s="165">
        <f t="shared" si="0"/>
        <v>4.7</v>
      </c>
      <c r="S5" s="166"/>
    </row>
    <row r="6" spans="3:19">
      <c r="C6" s="167"/>
      <c r="D6" s="165">
        <v>7.7</v>
      </c>
      <c r="E6" s="165">
        <f>D6</f>
        <v>7.7</v>
      </c>
      <c r="F6" s="165">
        <f t="shared" si="0"/>
        <v>7.7</v>
      </c>
      <c r="G6" s="165">
        <f t="shared" si="0"/>
        <v>7.7</v>
      </c>
      <c r="H6" s="168">
        <f t="shared" si="0"/>
        <v>7.7</v>
      </c>
      <c r="I6" s="165">
        <v>5.7</v>
      </c>
      <c r="J6" s="165">
        <f t="shared" si="0"/>
        <v>5.7</v>
      </c>
      <c r="K6" s="165">
        <f t="shared" si="0"/>
        <v>5.7</v>
      </c>
      <c r="L6" s="165">
        <f t="shared" si="0"/>
        <v>5.7</v>
      </c>
      <c r="M6" s="165">
        <f t="shared" si="0"/>
        <v>5.7</v>
      </c>
      <c r="N6" s="169">
        <f t="shared" si="0"/>
        <v>5.7</v>
      </c>
      <c r="O6" s="165">
        <v>4.7</v>
      </c>
      <c r="P6" s="165">
        <f t="shared" si="0"/>
        <v>4.7</v>
      </c>
      <c r="Q6" s="165">
        <f t="shared" si="0"/>
        <v>4.7</v>
      </c>
      <c r="R6" s="165">
        <f t="shared" si="0"/>
        <v>4.7</v>
      </c>
      <c r="S6" s="166"/>
    </row>
    <row r="7" spans="3:19">
      <c r="C7" s="167"/>
      <c r="H7" s="168"/>
      <c r="N7" s="169"/>
      <c r="S7" s="166"/>
    </row>
    <row r="8" spans="3:19">
      <c r="C8" s="167"/>
      <c r="H8" s="168"/>
      <c r="N8" s="169"/>
      <c r="S8" s="166"/>
    </row>
    <row r="9" spans="3:19" ht="45">
      <c r="C9" s="167" t="s">
        <v>249</v>
      </c>
      <c r="D9" s="170">
        <v>36</v>
      </c>
      <c r="E9" s="172">
        <f>(D9*D5%)+D9</f>
        <v>38.771999999999998</v>
      </c>
      <c r="F9" s="172">
        <f>(E9*E5%)+E9</f>
        <v>41.757444</v>
      </c>
      <c r="G9" s="172">
        <f t="shared" ref="F9:R10" si="1">(F9*F5%)+F9</f>
        <v>44.972767187999999</v>
      </c>
      <c r="H9" s="173">
        <f t="shared" si="1"/>
        <v>48.435670261475998</v>
      </c>
      <c r="I9" s="172">
        <f t="shared" si="1"/>
        <v>52.165216871609651</v>
      </c>
      <c r="J9" s="172">
        <f t="shared" si="1"/>
        <v>55.138634233291398</v>
      </c>
      <c r="K9" s="172">
        <f t="shared" si="1"/>
        <v>58.28153638458901</v>
      </c>
      <c r="L9" s="172">
        <f t="shared" si="1"/>
        <v>61.603583958510583</v>
      </c>
      <c r="M9" s="172">
        <f t="shared" si="1"/>
        <v>65.114988244145692</v>
      </c>
      <c r="N9" s="174">
        <f t="shared" si="1"/>
        <v>68.826542574062003</v>
      </c>
      <c r="O9" s="172">
        <f t="shared" si="1"/>
        <v>72.749655500783533</v>
      </c>
      <c r="P9" s="172">
        <f t="shared" si="1"/>
        <v>76.168889309320363</v>
      </c>
      <c r="Q9" s="172">
        <f t="shared" si="1"/>
        <v>79.748827106858414</v>
      </c>
      <c r="R9" s="172">
        <f t="shared" si="1"/>
        <v>83.49702198088076</v>
      </c>
      <c r="S9" s="171">
        <f>R9-D9</f>
        <v>47.49702198088076</v>
      </c>
    </row>
    <row r="10" spans="3:19" ht="45">
      <c r="C10" s="167" t="s">
        <v>250</v>
      </c>
      <c r="D10" s="172">
        <v>0.89664568901064179</v>
      </c>
      <c r="E10" s="172">
        <f>(D10*D6%)+D10</f>
        <v>0.96568740706446121</v>
      </c>
      <c r="F10" s="172">
        <f t="shared" si="1"/>
        <v>1.0400453374084246</v>
      </c>
      <c r="G10" s="172">
        <f t="shared" si="1"/>
        <v>1.1201288283888733</v>
      </c>
      <c r="H10" s="173">
        <f t="shared" si="1"/>
        <v>1.2063787481748165</v>
      </c>
      <c r="I10" s="172">
        <f t="shared" si="1"/>
        <v>1.2992699117842774</v>
      </c>
      <c r="J10" s="172">
        <f t="shared" si="1"/>
        <v>1.3733282967559812</v>
      </c>
      <c r="K10" s="172">
        <f t="shared" si="1"/>
        <v>1.4516080096710722</v>
      </c>
      <c r="L10" s="172">
        <f t="shared" si="1"/>
        <v>1.5343496662223233</v>
      </c>
      <c r="M10" s="172">
        <f t="shared" si="1"/>
        <v>1.6218075971969956</v>
      </c>
      <c r="N10" s="174">
        <f t="shared" si="1"/>
        <v>1.7142506302372245</v>
      </c>
      <c r="O10" s="172">
        <f t="shared" si="1"/>
        <v>1.8119629161607462</v>
      </c>
      <c r="P10" s="172">
        <f t="shared" si="1"/>
        <v>1.8971251732203014</v>
      </c>
      <c r="Q10" s="172">
        <f t="shared" si="1"/>
        <v>1.9862900563616555</v>
      </c>
      <c r="R10" s="175">
        <f t="shared" si="1"/>
        <v>2.0796456890106532</v>
      </c>
      <c r="S10" s="171">
        <f>R10-D10</f>
        <v>1.1830000000000114</v>
      </c>
    </row>
    <row r="11" spans="3:19">
      <c r="S11" s="166"/>
    </row>
    <row r="12" spans="3:19">
      <c r="S12" s="166"/>
    </row>
    <row r="13" spans="3:19">
      <c r="D13" s="175"/>
      <c r="E13" s="172"/>
    </row>
    <row r="15" spans="3:19">
      <c r="D15" s="176" t="e">
        <f>D9*10-#REF!</f>
        <v>#REF!</v>
      </c>
      <c r="E15" s="176" t="e">
        <f>E9*10-#REF!</f>
        <v>#REF!</v>
      </c>
      <c r="F15" s="176" t="e">
        <f>F9*10-#REF!</f>
        <v>#REF!</v>
      </c>
      <c r="G15" s="176" t="e">
        <f>G9*10-#REF!</f>
        <v>#REF!</v>
      </c>
      <c r="H15" s="176" t="e">
        <f>H9*10-#REF!</f>
        <v>#REF!</v>
      </c>
      <c r="I15" s="176" t="e">
        <f>I9*10-#REF!</f>
        <v>#REF!</v>
      </c>
      <c r="J15" s="176" t="e">
        <f>J9*10-#REF!</f>
        <v>#REF!</v>
      </c>
      <c r="K15" s="176" t="e">
        <f>K9*10-#REF!</f>
        <v>#REF!</v>
      </c>
      <c r="L15" s="176" t="e">
        <f>L9*10-#REF!</f>
        <v>#REF!</v>
      </c>
      <c r="M15" s="176" t="e">
        <f>M9*10-#REF!</f>
        <v>#REF!</v>
      </c>
      <c r="N15" s="176" t="e">
        <f>N9*10-#REF!</f>
        <v>#REF!</v>
      </c>
      <c r="O15" s="176" t="e">
        <f>O9*10-#REF!</f>
        <v>#REF!</v>
      </c>
      <c r="P15" s="176" t="e">
        <f>P9*10-#REF!</f>
        <v>#REF!</v>
      </c>
      <c r="Q15" s="176" t="e">
        <f>Q9*10-#REF!</f>
        <v>#REF!</v>
      </c>
      <c r="R15" s="176" t="e">
        <f>R9*10-#REF!</f>
        <v>#REF!</v>
      </c>
    </row>
    <row r="17" spans="3:18">
      <c r="D17" s="176" t="e">
        <f>D10*10-#REF!</f>
        <v>#REF!</v>
      </c>
      <c r="E17" s="176" t="e">
        <f>E10*10-#REF!</f>
        <v>#REF!</v>
      </c>
      <c r="F17" s="176" t="e">
        <f>F10*10-#REF!</f>
        <v>#REF!</v>
      </c>
      <c r="G17" s="176" t="e">
        <f>G10*10-#REF!</f>
        <v>#REF!</v>
      </c>
      <c r="H17" s="176" t="e">
        <f>H10*10-#REF!</f>
        <v>#REF!</v>
      </c>
      <c r="I17" s="176" t="e">
        <f>I10*10-#REF!</f>
        <v>#REF!</v>
      </c>
      <c r="J17" s="176" t="e">
        <f>J10*10-#REF!</f>
        <v>#REF!</v>
      </c>
      <c r="K17" s="176" t="e">
        <f>K10*10-#REF!</f>
        <v>#REF!</v>
      </c>
      <c r="L17" s="176" t="e">
        <f>L10*10-#REF!</f>
        <v>#REF!</v>
      </c>
      <c r="M17" s="176" t="e">
        <f>M10*10-#REF!</f>
        <v>#REF!</v>
      </c>
      <c r="N17" s="176" t="e">
        <f>N10*10-#REF!</f>
        <v>#REF!</v>
      </c>
      <c r="O17" s="176" t="e">
        <f>O10*10-#REF!</f>
        <v>#REF!</v>
      </c>
      <c r="P17" s="176" t="e">
        <f>P10*10-#REF!</f>
        <v>#REF!</v>
      </c>
      <c r="Q17" s="176" t="e">
        <f>Q10*10-#REF!</f>
        <v>#REF!</v>
      </c>
      <c r="R17" s="176" t="e">
        <f>R10*10-#REF!</f>
        <v>#REF!</v>
      </c>
    </row>
    <row r="19" spans="3:18">
      <c r="C19" s="184" t="s">
        <v>253</v>
      </c>
    </row>
    <row r="21" spans="3:18" ht="60">
      <c r="C21" s="167" t="s">
        <v>254</v>
      </c>
      <c r="D21" s="165">
        <v>0.5</v>
      </c>
      <c r="E21" s="176">
        <f>D21*(1+$D$22)</f>
        <v>0.51749999999999996</v>
      </c>
      <c r="F21" s="176">
        <f t="shared" ref="F21:R21" si="2">E21*(1+$D$22)</f>
        <v>0.53561249999999994</v>
      </c>
      <c r="G21" s="176">
        <f t="shared" si="2"/>
        <v>0.55435893749999987</v>
      </c>
      <c r="H21" s="176">
        <f t="shared" si="2"/>
        <v>0.57376150031249984</v>
      </c>
      <c r="I21" s="176">
        <f t="shared" si="2"/>
        <v>0.59384315282343725</v>
      </c>
      <c r="J21" s="176">
        <f t="shared" si="2"/>
        <v>0.61462766317225748</v>
      </c>
      <c r="K21" s="176">
        <f t="shared" si="2"/>
        <v>0.63613963138328644</v>
      </c>
      <c r="L21" s="176">
        <f t="shared" si="2"/>
        <v>0.65840451848170145</v>
      </c>
      <c r="M21" s="176">
        <f t="shared" si="2"/>
        <v>0.6814486766285609</v>
      </c>
      <c r="N21" s="176">
        <f t="shared" si="2"/>
        <v>0.7052993803105605</v>
      </c>
      <c r="O21" s="176">
        <f t="shared" si="2"/>
        <v>0.72998485862143003</v>
      </c>
      <c r="P21" s="176">
        <f t="shared" si="2"/>
        <v>0.75553432867318004</v>
      </c>
      <c r="Q21" s="176">
        <f t="shared" si="2"/>
        <v>0.78197803017674128</v>
      </c>
      <c r="R21" s="186">
        <f t="shared" si="2"/>
        <v>0.80934726123292711</v>
      </c>
    </row>
    <row r="22" spans="3:18">
      <c r="C22" s="184" t="s">
        <v>255</v>
      </c>
      <c r="D22" s="185">
        <v>3.5000000000000003E-2</v>
      </c>
    </row>
    <row r="24" spans="3:18">
      <c r="C24" s="184" t="s">
        <v>256</v>
      </c>
      <c r="D24" s="172">
        <f>D10+D21</f>
        <v>1.3966456890106418</v>
      </c>
      <c r="E24" s="172">
        <f t="shared" ref="E24:R24" si="3">E10+E21</f>
        <v>1.4831874070644613</v>
      </c>
      <c r="F24" s="172">
        <f t="shared" si="3"/>
        <v>1.5756578374084245</v>
      </c>
      <c r="G24" s="172">
        <f t="shared" si="3"/>
        <v>1.6744877658888733</v>
      </c>
      <c r="H24" s="172">
        <f t="shared" si="3"/>
        <v>1.7801402484873163</v>
      </c>
      <c r="I24" s="172">
        <f t="shared" si="3"/>
        <v>1.8931130646077148</v>
      </c>
      <c r="J24" s="172">
        <f t="shared" si="3"/>
        <v>1.9879559599282386</v>
      </c>
      <c r="K24" s="172">
        <f t="shared" si="3"/>
        <v>2.0877476410543587</v>
      </c>
      <c r="L24" s="172">
        <f t="shared" si="3"/>
        <v>2.1927541847040248</v>
      </c>
      <c r="M24" s="172">
        <f t="shared" si="3"/>
        <v>2.3032562738255566</v>
      </c>
      <c r="N24" s="172">
        <f t="shared" si="3"/>
        <v>2.419550010547785</v>
      </c>
      <c r="O24" s="172">
        <f t="shared" si="3"/>
        <v>2.5419477747821762</v>
      </c>
      <c r="P24" s="172">
        <f t="shared" si="3"/>
        <v>2.6526595018934813</v>
      </c>
      <c r="Q24" s="172">
        <f t="shared" si="3"/>
        <v>2.7682680865383968</v>
      </c>
      <c r="R24" s="172">
        <f t="shared" si="3"/>
        <v>2.8889929502435803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U42"/>
  <sheetViews>
    <sheetView topLeftCell="A7" zoomScale="70" zoomScaleNormal="70" workbookViewId="0">
      <selection activeCell="C10" sqref="C10"/>
    </sheetView>
  </sheetViews>
  <sheetFormatPr defaultRowHeight="15"/>
  <cols>
    <col min="1" max="1" width="35" style="45" bestFit="1" customWidth="1"/>
    <col min="2" max="6" width="10" style="45" customWidth="1"/>
    <col min="7" max="12" width="9.42578125" style="45" customWidth="1"/>
    <col min="13" max="13" width="10.140625" style="45" customWidth="1"/>
    <col min="14" max="14" width="9.7109375" style="45" customWidth="1"/>
    <col min="15" max="15" width="9.85546875" style="45" customWidth="1"/>
    <col min="16" max="16" width="10.140625" style="45" customWidth="1"/>
    <col min="17" max="17" width="9.7109375" style="45" customWidth="1"/>
    <col min="18" max="18" width="10.42578125" style="45" bestFit="1" customWidth="1"/>
    <col min="19" max="19" width="10.140625" style="45" bestFit="1" customWidth="1"/>
    <col min="20" max="20" width="9.140625" style="45"/>
    <col min="21" max="21" width="13.28515625" style="45" bestFit="1" customWidth="1"/>
    <col min="22" max="16384" width="9.140625" style="45"/>
  </cols>
  <sheetData>
    <row r="1" spans="1:18">
      <c r="A1" s="1010" t="s">
        <v>92</v>
      </c>
      <c r="B1" s="1010"/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</row>
    <row r="2" spans="1:18">
      <c r="A2" s="71"/>
    </row>
    <row r="3" spans="1:18">
      <c r="A3" s="44" t="s">
        <v>71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8">
      <c r="A4" s="43" t="s">
        <v>91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8">
      <c r="A5" s="43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8">
      <c r="B6" s="70"/>
      <c r="C6" s="1011" t="s">
        <v>143</v>
      </c>
      <c r="D6" s="1011"/>
      <c r="E6" s="1011"/>
      <c r="F6" s="1011"/>
      <c r="G6" s="1011" t="s">
        <v>144</v>
      </c>
      <c r="H6" s="1011"/>
      <c r="I6" s="1011"/>
      <c r="J6" s="1011"/>
      <c r="K6" s="70" t="str">
        <f>'Fin Smmry'!N5</f>
        <v>Year 3</v>
      </c>
      <c r="L6" s="70" t="str">
        <f>'Fin Smmry'!O5</f>
        <v>Year 4</v>
      </c>
      <c r="M6" s="70" t="str">
        <f>'Fin Smmry'!P5</f>
        <v>Year 5</v>
      </c>
      <c r="N6" s="70" t="str">
        <f>'Fin Smmry'!Q5</f>
        <v>Year 6</v>
      </c>
      <c r="O6" s="70" t="str">
        <f>'Fin Smmry'!R5</f>
        <v>Year 7</v>
      </c>
      <c r="P6" s="70" t="str">
        <f>'Fin Smmry'!S5</f>
        <v>Year 8</v>
      </c>
      <c r="Q6" s="70" t="str">
        <f>'Fin Smmry'!T5</f>
        <v>Year 9</v>
      </c>
      <c r="R6" s="70" t="str">
        <f>'Fin Smmry'!U5</f>
        <v>Year 10</v>
      </c>
    </row>
    <row r="7" spans="1:18" s="53" customFormat="1">
      <c r="B7" s="69"/>
      <c r="C7" s="446" t="s">
        <v>407</v>
      </c>
      <c r="D7" s="446" t="s">
        <v>408</v>
      </c>
      <c r="E7" s="446" t="s">
        <v>409</v>
      </c>
      <c r="F7" s="446" t="s">
        <v>410</v>
      </c>
      <c r="G7" s="446" t="s">
        <v>407</v>
      </c>
      <c r="H7" s="446" t="s">
        <v>408</v>
      </c>
      <c r="I7" s="446" t="s">
        <v>409</v>
      </c>
      <c r="J7" s="446" t="s">
        <v>410</v>
      </c>
      <c r="K7" s="69"/>
      <c r="L7" s="69"/>
      <c r="M7" s="69"/>
      <c r="N7" s="69"/>
      <c r="O7" s="69"/>
      <c r="P7" s="69"/>
      <c r="Q7" s="69"/>
    </row>
    <row r="8" spans="1:18">
      <c r="A8" s="62" t="s">
        <v>90</v>
      </c>
      <c r="B8" s="68"/>
      <c r="C8" s="68"/>
      <c r="D8" s="68"/>
      <c r="E8" s="68"/>
      <c r="F8" s="68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spans="1:18">
      <c r="A9" s="61" t="s">
        <v>89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</row>
    <row r="10" spans="1:18">
      <c r="A10" s="59" t="s">
        <v>37</v>
      </c>
      <c r="B10" s="51"/>
      <c r="C10" s="51">
        <f>'Fin Smmry'!F65</f>
        <v>0</v>
      </c>
      <c r="D10" s="51">
        <f>'Fin Smmry'!G65</f>
        <v>7.9580786405131221E-13</v>
      </c>
      <c r="E10" s="51">
        <f>'Fin Smmry'!H65</f>
        <v>4.0358827391173691E-12</v>
      </c>
      <c r="F10" s="51">
        <f>'Fin Smmry'!I65</f>
        <v>1.4807710613240488E-11</v>
      </c>
      <c r="G10" s="51">
        <f>'Fin Smmry'!J65</f>
        <v>4.4451553549151868E-11</v>
      </c>
      <c r="H10" s="51">
        <f>'Fin Smmry'!K65</f>
        <v>1.1590373105718754E-10</v>
      </c>
      <c r="I10" s="51">
        <f>'Fin Smmry'!L65</f>
        <v>2.7154101189807989E-10</v>
      </c>
      <c r="J10" s="51">
        <f>'Fin Smmry'!M65</f>
        <v>5.8520299717201851E-10</v>
      </c>
      <c r="K10" s="51">
        <f>'Fin Smmry'!N65</f>
        <v>6.8567089783755364E-9</v>
      </c>
      <c r="L10" s="51">
        <f>'Fin Smmry'!O65</f>
        <v>2.6874670140841772E-5</v>
      </c>
      <c r="M10" s="51">
        <f>'Fin Smmry'!P65</f>
        <v>371.94077475416179</v>
      </c>
      <c r="N10" s="51">
        <f>'Fin Smmry'!Q65</f>
        <v>860.72494737082889</v>
      </c>
      <c r="O10" s="51">
        <f>'Fin Smmry'!R65</f>
        <v>1398.3875372491618</v>
      </c>
      <c r="P10" s="51">
        <f>'Fin Smmry'!S65</f>
        <v>1989.8163861153284</v>
      </c>
      <c r="Q10" s="51">
        <f>'Fin Smmry'!T65</f>
        <v>2640.388119868112</v>
      </c>
      <c r="R10" s="51">
        <f>'Fin Smmry'!U65</f>
        <v>3356.0170269961732</v>
      </c>
    </row>
    <row r="11" spans="1:18">
      <c r="A11" s="59" t="s">
        <v>88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</row>
    <row r="12" spans="1:18">
      <c r="A12" s="59" t="s">
        <v>87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>
      <c r="A13" s="59" t="s">
        <v>86</v>
      </c>
      <c r="B13" s="51"/>
      <c r="C13" s="51">
        <f>'Fin Smmry'!F64</f>
        <v>42.906799999999997</v>
      </c>
      <c r="D13" s="51">
        <f>'Fin Smmry'!G64</f>
        <v>33.908999999999999</v>
      </c>
      <c r="E13" s="51">
        <f>'Fin Smmry'!H64</f>
        <v>33.908999999999999</v>
      </c>
      <c r="F13" s="51">
        <f>'Fin Smmry'!I64</f>
        <v>33.908999999999999</v>
      </c>
      <c r="G13" s="51">
        <f>'Fin Smmry'!J64</f>
        <v>59.740487999999999</v>
      </c>
      <c r="H13" s="51">
        <f>'Fin Smmry'!K64</f>
        <v>54.6815</v>
      </c>
      <c r="I13" s="51">
        <f>'Fin Smmry'!L64</f>
        <v>54.6815</v>
      </c>
      <c r="J13" s="51">
        <f>'Fin Smmry'!M64</f>
        <v>54.6815</v>
      </c>
      <c r="K13" s="51">
        <f>'Fin Smmry'!N64</f>
        <v>79.858523300000016</v>
      </c>
      <c r="L13" s="51">
        <f>'Fin Smmry'!O64</f>
        <v>108.5973388466667</v>
      </c>
      <c r="M13" s="51">
        <f>'Fin Smmry'!P64</f>
        <v>116.37710483333336</v>
      </c>
      <c r="N13" s="51">
        <f>'Fin Smmry'!Q64</f>
        <v>126.54503531666666</v>
      </c>
      <c r="O13" s="51">
        <f>'Fin Smmry'!R64</f>
        <v>137.7297588483334</v>
      </c>
      <c r="P13" s="51">
        <f>'Fin Smmry'!S64</f>
        <v>150.03295473316672</v>
      </c>
      <c r="Q13" s="51">
        <f>'Fin Smmry'!T64</f>
        <v>163.56647020648342</v>
      </c>
      <c r="R13" s="51">
        <f>'Fin Smmry'!U64</f>
        <v>178.45333722713173</v>
      </c>
    </row>
    <row r="14" spans="1:18">
      <c r="A14" s="61" t="s">
        <v>85</v>
      </c>
      <c r="B14" s="51"/>
      <c r="C14" s="51">
        <f>SUM(C10:C13)</f>
        <v>42.906799999999997</v>
      </c>
      <c r="D14" s="51">
        <f>SUM(D10:D13)</f>
        <v>33.909000000000795</v>
      </c>
      <c r="E14" s="51">
        <f>SUM(E10:E13)</f>
        <v>33.909000000004035</v>
      </c>
      <c r="F14" s="51">
        <f>SUM(F10:F13)</f>
        <v>33.909000000014807</v>
      </c>
      <c r="G14" s="51">
        <f t="shared" ref="G14:Q14" si="0">SUM(G10:G13)</f>
        <v>59.740488000044451</v>
      </c>
      <c r="H14" s="51">
        <f t="shared" si="0"/>
        <v>54.681500000115904</v>
      </c>
      <c r="I14" s="51">
        <f t="shared" si="0"/>
        <v>54.681500000271541</v>
      </c>
      <c r="J14" s="51">
        <f t="shared" si="0"/>
        <v>54.681500000585203</v>
      </c>
      <c r="K14" s="51">
        <f t="shared" si="0"/>
        <v>79.858523306856725</v>
      </c>
      <c r="L14" s="51">
        <f t="shared" si="0"/>
        <v>108.59736572133684</v>
      </c>
      <c r="M14" s="51">
        <f t="shared" si="0"/>
        <v>488.31787958749516</v>
      </c>
      <c r="N14" s="51">
        <f t="shared" si="0"/>
        <v>987.26998268749549</v>
      </c>
      <c r="O14" s="51">
        <f t="shared" si="0"/>
        <v>1536.1172960974952</v>
      </c>
      <c r="P14" s="51">
        <f t="shared" si="0"/>
        <v>2139.8493408484951</v>
      </c>
      <c r="Q14" s="51">
        <f t="shared" si="0"/>
        <v>2803.9545900745952</v>
      </c>
      <c r="R14" s="51">
        <f>SUM(R10:R13)</f>
        <v>3534.4703642233048</v>
      </c>
    </row>
    <row r="15" spans="1:18">
      <c r="A15" s="6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</row>
    <row r="16" spans="1:18">
      <c r="A16" s="52" t="s">
        <v>84</v>
      </c>
      <c r="B16" s="51"/>
      <c r="C16" s="51">
        <f>'Depreciation '!C33</f>
        <v>91.690000000000012</v>
      </c>
      <c r="D16" s="51">
        <f>'Depreciation '!D33</f>
        <v>91.690000000000012</v>
      </c>
      <c r="E16" s="51">
        <f>'Depreciation '!E33</f>
        <v>91.690000000000012</v>
      </c>
      <c r="F16" s="51">
        <f>'Depreciation '!F33</f>
        <v>91.690000000000012</v>
      </c>
      <c r="G16" s="51">
        <f>'Depreciation '!G33</f>
        <v>134.28200000000001</v>
      </c>
      <c r="H16" s="51">
        <f>'Depreciation '!H33</f>
        <v>134.28200000000001</v>
      </c>
      <c r="I16" s="51">
        <f>'Depreciation '!I33</f>
        <v>134.28200000000001</v>
      </c>
      <c r="J16" s="51">
        <f>'Depreciation '!J33</f>
        <v>134.28200000000001</v>
      </c>
      <c r="K16" s="51">
        <f>'Depreciation '!K33</f>
        <v>184.15819999999999</v>
      </c>
      <c r="L16" s="51">
        <f>'Depreciation '!L33</f>
        <v>234.36351999999999</v>
      </c>
      <c r="M16" s="51">
        <f>'Depreciation '!M33</f>
        <v>234.36351999999999</v>
      </c>
      <c r="N16" s="51">
        <f>'Depreciation '!N33</f>
        <v>234.36351999999999</v>
      </c>
      <c r="O16" s="51">
        <f>'Depreciation '!O33</f>
        <v>234.36351999999999</v>
      </c>
      <c r="P16" s="51">
        <f>'Depreciation '!P33</f>
        <v>234.36351999999999</v>
      </c>
      <c r="Q16" s="51">
        <f>'Depreciation '!Q33</f>
        <v>234.36351999999999</v>
      </c>
      <c r="R16" s="51">
        <f>'Depreciation '!R33</f>
        <v>234.36351999999999</v>
      </c>
    </row>
    <row r="17" spans="1:21">
      <c r="A17" s="52" t="s">
        <v>145</v>
      </c>
      <c r="B17" s="51"/>
      <c r="C17" s="51">
        <f>'Depreciation '!C35</f>
        <v>15.719760000000001</v>
      </c>
      <c r="D17" s="51">
        <f>'Depreciation '!D35</f>
        <v>26.831127983000002</v>
      </c>
      <c r="E17" s="51">
        <f>'Depreciation '!E35</f>
        <v>34.985673362645699</v>
      </c>
      <c r="F17" s="51">
        <f>'Depreciation '!F35</f>
        <v>41.202533338401018</v>
      </c>
      <c r="G17" s="51">
        <f>'Depreciation '!G35</f>
        <v>53.621699053239645</v>
      </c>
      <c r="H17" s="51">
        <f>'Depreciation '!H35</f>
        <v>62.927307231492357</v>
      </c>
      <c r="I17" s="51">
        <f>'Depreciation '!I35</f>
        <v>70.16703136295223</v>
      </c>
      <c r="J17" s="51">
        <f>'Depreciation '!J35</f>
        <v>75.997542040658047</v>
      </c>
      <c r="K17" s="51">
        <f>'Depreciation '!K35</f>
        <v>90.434286344893124</v>
      </c>
      <c r="L17" s="51">
        <f>'Depreciation '!L35</f>
        <v>109.99584730767504</v>
      </c>
      <c r="M17" s="51">
        <f>'Depreciation '!M35</f>
        <v>124.48690640290175</v>
      </c>
      <c r="N17" s="51">
        <f>'Depreciation '!N35</f>
        <v>135.65148878103034</v>
      </c>
      <c r="O17" s="51">
        <f>'Depreciation '!O35</f>
        <v>144.57561161704078</v>
      </c>
      <c r="P17" s="51">
        <f>'Depreciation '!P35</f>
        <v>151.9440664760107</v>
      </c>
      <c r="Q17" s="51">
        <f>'Depreciation '!Q35</f>
        <v>158.19559191850865</v>
      </c>
      <c r="R17" s="51">
        <f>'Depreciation '!R35</f>
        <v>163.61688653048108</v>
      </c>
    </row>
    <row r="18" spans="1:21" s="50" customFormat="1">
      <c r="A18" s="61" t="s">
        <v>83</v>
      </c>
      <c r="B18" s="64"/>
      <c r="C18" s="64">
        <f t="shared" ref="C18:J18" si="1">C16-C17</f>
        <v>75.970240000000018</v>
      </c>
      <c r="D18" s="64">
        <f t="shared" si="1"/>
        <v>64.85887201700001</v>
      </c>
      <c r="E18" s="64">
        <f t="shared" si="1"/>
        <v>56.704326637354313</v>
      </c>
      <c r="F18" s="64">
        <f t="shared" si="1"/>
        <v>50.487466661598994</v>
      </c>
      <c r="G18" s="64">
        <f t="shared" si="1"/>
        <v>80.660300946760373</v>
      </c>
      <c r="H18" s="64">
        <f t="shared" si="1"/>
        <v>71.354692768507647</v>
      </c>
      <c r="I18" s="64">
        <f t="shared" si="1"/>
        <v>64.114968637047781</v>
      </c>
      <c r="J18" s="64">
        <f t="shared" si="1"/>
        <v>58.284457959341964</v>
      </c>
      <c r="K18" s="64">
        <f t="shared" ref="K18:Q18" si="2">K16-K17</f>
        <v>93.72391365510687</v>
      </c>
      <c r="L18" s="64">
        <f t="shared" si="2"/>
        <v>124.36767269232496</v>
      </c>
      <c r="M18" s="64">
        <f t="shared" si="2"/>
        <v>109.87661359709824</v>
      </c>
      <c r="N18" s="64">
        <f t="shared" si="2"/>
        <v>98.712031218969656</v>
      </c>
      <c r="O18" s="64">
        <f t="shared" si="2"/>
        <v>89.787908382959216</v>
      </c>
      <c r="P18" s="64">
        <f t="shared" si="2"/>
        <v>82.41945352398929</v>
      </c>
      <c r="Q18" s="64">
        <f t="shared" si="2"/>
        <v>76.16792808149134</v>
      </c>
      <c r="R18" s="64">
        <f>R16-R17</f>
        <v>70.746633469518912</v>
      </c>
    </row>
    <row r="19" spans="1:21" s="50" customFormat="1">
      <c r="A19" s="61" t="s">
        <v>453</v>
      </c>
      <c r="B19" s="51"/>
      <c r="C19" s="51">
        <f>Amortisation!C17</f>
        <v>71.25</v>
      </c>
      <c r="D19" s="51">
        <f>Amortisation!D17</f>
        <v>67.5</v>
      </c>
      <c r="E19" s="51">
        <f>Amortisation!E17</f>
        <v>63.75</v>
      </c>
      <c r="F19" s="51">
        <f>Amortisation!F17</f>
        <v>60</v>
      </c>
      <c r="G19" s="51">
        <f>Amortisation!G17</f>
        <v>56.25</v>
      </c>
      <c r="H19" s="51">
        <f>Amortisation!H17</f>
        <v>52.5</v>
      </c>
      <c r="I19" s="51">
        <f>Amortisation!I17</f>
        <v>48.75</v>
      </c>
      <c r="J19" s="51">
        <f>Amortisation!J17</f>
        <v>45</v>
      </c>
      <c r="K19" s="51">
        <f>Amortisation!K17</f>
        <v>30</v>
      </c>
      <c r="L19" s="51">
        <f>Amortisation!L17</f>
        <v>15</v>
      </c>
      <c r="M19" s="51">
        <f>Amortisation!M17</f>
        <v>0</v>
      </c>
      <c r="N19" s="51">
        <f>Amortisation!N17</f>
        <v>0</v>
      </c>
      <c r="O19" s="51">
        <f>Amortisation!O17</f>
        <v>0</v>
      </c>
      <c r="P19" s="51">
        <f>Amortisation!P17</f>
        <v>0</v>
      </c>
      <c r="Q19" s="51">
        <f>Amortisation!Q17</f>
        <v>0</v>
      </c>
      <c r="R19" s="51">
        <f>Amortisation!R17</f>
        <v>0</v>
      </c>
    </row>
    <row r="20" spans="1:21">
      <c r="A20" s="52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21">
      <c r="A21" s="330" t="s">
        <v>82</v>
      </c>
      <c r="B21" s="337"/>
      <c r="C21" s="337">
        <f t="shared" ref="C21:J21" si="3">C14+C18+C19</f>
        <v>190.12704000000002</v>
      </c>
      <c r="D21" s="337">
        <f t="shared" si="3"/>
        <v>166.2678720170008</v>
      </c>
      <c r="E21" s="337">
        <f t="shared" si="3"/>
        <v>154.36332663735834</v>
      </c>
      <c r="F21" s="337">
        <f t="shared" si="3"/>
        <v>144.3964666616138</v>
      </c>
      <c r="G21" s="337">
        <f t="shared" si="3"/>
        <v>196.65078894680482</v>
      </c>
      <c r="H21" s="337">
        <f t="shared" si="3"/>
        <v>178.53619276862355</v>
      </c>
      <c r="I21" s="337">
        <f t="shared" si="3"/>
        <v>167.54646863731932</v>
      </c>
      <c r="J21" s="337">
        <f t="shared" si="3"/>
        <v>157.96595795992715</v>
      </c>
      <c r="K21" s="337">
        <f t="shared" ref="K21:R21" si="4">K14+K18+K19</f>
        <v>203.58243696196359</v>
      </c>
      <c r="L21" s="337">
        <f t="shared" si="4"/>
        <v>247.9650384136618</v>
      </c>
      <c r="M21" s="337">
        <f t="shared" si="4"/>
        <v>598.1944931845934</v>
      </c>
      <c r="N21" s="337">
        <f t="shared" si="4"/>
        <v>1085.9820139064652</v>
      </c>
      <c r="O21" s="337">
        <f t="shared" si="4"/>
        <v>1625.9052044804544</v>
      </c>
      <c r="P21" s="337">
        <f t="shared" si="4"/>
        <v>2222.2687943724845</v>
      </c>
      <c r="Q21" s="337">
        <f t="shared" si="4"/>
        <v>2880.1225181560867</v>
      </c>
      <c r="R21" s="337">
        <f t="shared" si="4"/>
        <v>3605.216997692824</v>
      </c>
    </row>
    <row r="22" spans="1:21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21">
      <c r="A23" s="62" t="s">
        <v>81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</row>
    <row r="24" spans="1:21">
      <c r="A24" s="61" t="s">
        <v>80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21">
      <c r="A25" s="59" t="s">
        <v>79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21">
      <c r="A26" s="59" t="s">
        <v>78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21" s="53" customFormat="1">
      <c r="A27" s="58" t="s">
        <v>77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21" s="53" customFormat="1">
      <c r="A28" s="55" t="s">
        <v>146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21" s="53" customFormat="1">
      <c r="A29" s="55" t="s">
        <v>76</v>
      </c>
      <c r="B29" s="51"/>
      <c r="C29" s="51">
        <f>'Interest-Principal'!C9</f>
        <v>197.21675126903565</v>
      </c>
      <c r="D29" s="51">
        <f>'Interest-Principal'!D9</f>
        <v>197.3441129634887</v>
      </c>
      <c r="E29" s="51">
        <f>'Interest-Principal'!E9</f>
        <v>206.60823651115933</v>
      </c>
      <c r="F29" s="51">
        <f>'Interest-Principal'!F9</f>
        <v>216.0134380824062</v>
      </c>
      <c r="G29" s="51">
        <f>'Interest-Principal'!G9</f>
        <v>280.07452597201609</v>
      </c>
      <c r="H29" s="51">
        <f>'Interest-Principal'!H9</f>
        <v>281.07973398181474</v>
      </c>
      <c r="I29" s="51">
        <f>'Interest-Principal'!I9</f>
        <v>287.23627815428466</v>
      </c>
      <c r="J29" s="51">
        <f>'Interest-Principal'!J9</f>
        <v>293.48657680669879</v>
      </c>
      <c r="K29" s="51">
        <f>'Interest-Principal'!K9</f>
        <v>355.81055383213527</v>
      </c>
      <c r="L29" s="51">
        <f>'Interest-Principal'!L9</f>
        <v>71.720686537710321</v>
      </c>
      <c r="M29" s="51">
        <f>'Interest-Principal'!M9</f>
        <v>0</v>
      </c>
      <c r="N29" s="51">
        <f>'Interest-Principal'!N9</f>
        <v>0</v>
      </c>
      <c r="O29" s="51">
        <f>'Interest-Principal'!O9</f>
        <v>0</v>
      </c>
      <c r="P29" s="51">
        <f>'Interest-Principal'!P9</f>
        <v>0</v>
      </c>
      <c r="Q29" s="51">
        <f>'Interest-Principal'!Q9</f>
        <v>0</v>
      </c>
      <c r="R29" s="51">
        <f>'Interest-Principal'!R9</f>
        <v>0</v>
      </c>
    </row>
    <row r="30" spans="1:21" s="53" customFormat="1">
      <c r="A30" s="55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21">
      <c r="A31" s="330" t="s">
        <v>75</v>
      </c>
      <c r="B31" s="337"/>
      <c r="C31" s="337">
        <f t="shared" ref="C31:Q31" si="5">C28+C29</f>
        <v>197.21675126903565</v>
      </c>
      <c r="D31" s="337">
        <f t="shared" si="5"/>
        <v>197.3441129634887</v>
      </c>
      <c r="E31" s="337">
        <f t="shared" si="5"/>
        <v>206.60823651115933</v>
      </c>
      <c r="F31" s="337">
        <f t="shared" si="5"/>
        <v>216.0134380824062</v>
      </c>
      <c r="G31" s="337">
        <f t="shared" si="5"/>
        <v>280.07452597201609</v>
      </c>
      <c r="H31" s="337">
        <f t="shared" si="5"/>
        <v>281.07973398181474</v>
      </c>
      <c r="I31" s="337">
        <f t="shared" si="5"/>
        <v>287.23627815428466</v>
      </c>
      <c r="J31" s="337">
        <f t="shared" si="5"/>
        <v>293.48657680669879</v>
      </c>
      <c r="K31" s="337">
        <f t="shared" si="5"/>
        <v>355.81055383213527</v>
      </c>
      <c r="L31" s="337">
        <f t="shared" si="5"/>
        <v>71.720686537710321</v>
      </c>
      <c r="M31" s="337">
        <f t="shared" si="5"/>
        <v>0</v>
      </c>
      <c r="N31" s="337">
        <f t="shared" si="5"/>
        <v>0</v>
      </c>
      <c r="O31" s="337">
        <f t="shared" si="5"/>
        <v>0</v>
      </c>
      <c r="P31" s="337">
        <f t="shared" si="5"/>
        <v>0</v>
      </c>
      <c r="Q31" s="337">
        <f t="shared" si="5"/>
        <v>0</v>
      </c>
      <c r="R31" s="337">
        <f>R28+R29</f>
        <v>0</v>
      </c>
    </row>
    <row r="32" spans="1:21">
      <c r="U32" s="51"/>
    </row>
    <row r="33" spans="1:21">
      <c r="A33" s="52" t="s">
        <v>19</v>
      </c>
      <c r="B33" s="51"/>
      <c r="C33" s="51">
        <f>'Fin Smmry'!F52</f>
        <v>35</v>
      </c>
      <c r="D33" s="51">
        <f>'Fin Smmry'!G52</f>
        <v>35</v>
      </c>
      <c r="E33" s="51">
        <f>'Fin Smmry'!H52</f>
        <v>35</v>
      </c>
      <c r="F33" s="51">
        <f>'Fin Smmry'!I52</f>
        <v>35</v>
      </c>
      <c r="G33" s="51">
        <f>'Fin Smmry'!J52</f>
        <v>53</v>
      </c>
      <c r="H33" s="51">
        <f>'Fin Smmry'!K52</f>
        <v>53</v>
      </c>
      <c r="I33" s="51">
        <f>'Fin Smmry'!L52</f>
        <v>53</v>
      </c>
      <c r="J33" s="51">
        <f>'Fin Smmry'!M52</f>
        <v>53</v>
      </c>
      <c r="K33" s="51">
        <f>'Fin Smmry'!N52</f>
        <v>68</v>
      </c>
      <c r="L33" s="51">
        <f>'Fin Smmry'!O52</f>
        <v>68</v>
      </c>
      <c r="M33" s="51">
        <f>'Fin Smmry'!P52</f>
        <v>68</v>
      </c>
      <c r="N33" s="51">
        <f>'Fin Smmry'!Q52</f>
        <v>68</v>
      </c>
      <c r="O33" s="51">
        <f>'Fin Smmry'!R52</f>
        <v>68</v>
      </c>
      <c r="P33" s="51">
        <f>'Fin Smmry'!S52</f>
        <v>68</v>
      </c>
      <c r="Q33" s="51">
        <f>'Fin Smmry'!T52</f>
        <v>68</v>
      </c>
      <c r="R33" s="51">
        <f>'Fin Smmry'!U52</f>
        <v>68</v>
      </c>
      <c r="U33" s="51"/>
    </row>
    <row r="34" spans="1:21">
      <c r="A34" s="52" t="s">
        <v>43</v>
      </c>
      <c r="B34" s="52"/>
      <c r="C34" s="51">
        <f>'Fin Smmry'!F53</f>
        <v>0</v>
      </c>
      <c r="D34" s="51">
        <f>'Fin Smmry'!G53</f>
        <v>0</v>
      </c>
      <c r="E34" s="51">
        <f>'Fin Smmry'!H53</f>
        <v>0</v>
      </c>
      <c r="F34" s="51">
        <f>'Fin Smmry'!I53</f>
        <v>0</v>
      </c>
      <c r="G34" s="51">
        <f>'Fin Smmry'!J53</f>
        <v>0</v>
      </c>
      <c r="H34" s="51">
        <f>'Fin Smmry'!K53</f>
        <v>0</v>
      </c>
      <c r="I34" s="51">
        <f>'Fin Smmry'!L53</f>
        <v>0</v>
      </c>
      <c r="J34" s="51">
        <f>'Fin Smmry'!M53</f>
        <v>0</v>
      </c>
      <c r="K34" s="51">
        <f>'Fin Smmry'!N53</f>
        <v>0</v>
      </c>
      <c r="L34" s="51">
        <f>'Fin Smmry'!O53</f>
        <v>0</v>
      </c>
      <c r="M34" s="51">
        <f>'Fin Smmry'!P53</f>
        <v>0</v>
      </c>
      <c r="N34" s="51">
        <f>'Fin Smmry'!Q53</f>
        <v>0</v>
      </c>
      <c r="O34" s="51">
        <f>'Fin Smmry'!R53</f>
        <v>0</v>
      </c>
      <c r="P34" s="51">
        <f>'Fin Smmry'!S53</f>
        <v>0</v>
      </c>
      <c r="Q34" s="51">
        <f>'Fin Smmry'!T53</f>
        <v>0</v>
      </c>
      <c r="R34" s="51">
        <f>'Fin Smmry'!U53</f>
        <v>0</v>
      </c>
      <c r="U34" s="51"/>
    </row>
    <row r="35" spans="1:21">
      <c r="A35" s="490" t="str">
        <f>'Fin Smmry'!A85</f>
        <v>MDA from NSDC</v>
      </c>
      <c r="B35" s="490"/>
      <c r="C35" s="51">
        <f>'Fin Smmry'!F54</f>
        <v>1.5074999999999998</v>
      </c>
      <c r="D35" s="51">
        <f>'Fin Smmry'!G54</f>
        <v>3.0149999999999997</v>
      </c>
      <c r="E35" s="51">
        <f>'Fin Smmry'!H54</f>
        <v>4.5224999999999991</v>
      </c>
      <c r="F35" s="51">
        <f>'Fin Smmry'!I54</f>
        <v>6.0299999999999994</v>
      </c>
      <c r="G35" s="51">
        <f>'Fin Smmry'!J54</f>
        <v>8.2657500000000006</v>
      </c>
      <c r="H35" s="51">
        <f>'Fin Smmry'!K54</f>
        <v>10.5015</v>
      </c>
      <c r="I35" s="51">
        <f>'Fin Smmry'!L54</f>
        <v>12.73725</v>
      </c>
      <c r="J35" s="51">
        <f>'Fin Smmry'!M54</f>
        <v>14.972999999999999</v>
      </c>
      <c r="K35" s="51">
        <f>'Fin Smmry'!N54</f>
        <v>27.714300000000001</v>
      </c>
      <c r="L35" s="51">
        <f>'Fin Smmry'!O54</f>
        <v>0</v>
      </c>
      <c r="M35" s="51">
        <f>'Fin Smmry'!P54</f>
        <v>0</v>
      </c>
      <c r="N35" s="51">
        <f>'Fin Smmry'!Q54</f>
        <v>0</v>
      </c>
      <c r="O35" s="51">
        <f>'Fin Smmry'!R54</f>
        <v>0</v>
      </c>
      <c r="P35" s="51">
        <f>'Fin Smmry'!S54</f>
        <v>0</v>
      </c>
      <c r="Q35" s="51">
        <f>'Fin Smmry'!T54</f>
        <v>0</v>
      </c>
      <c r="R35" s="51">
        <f>'Fin Smmry'!U54</f>
        <v>0</v>
      </c>
      <c r="S35" s="490"/>
      <c r="U35" s="51"/>
    </row>
    <row r="36" spans="1:21">
      <c r="A36" s="52" t="s">
        <v>74</v>
      </c>
      <c r="B36" s="51"/>
      <c r="C36" s="51">
        <f>'P&amp;L Statement'!B22</f>
        <v>-43.59721126903554</v>
      </c>
      <c r="D36" s="51">
        <f>'P&amp;L Statement'!C22+C36</f>
        <v>-69.091240946487886</v>
      </c>
      <c r="E36" s="51">
        <f>'P&amp;L Statement'!D22+D36</f>
        <v>-91.767409873800986</v>
      </c>
      <c r="F36" s="51">
        <f>'P&amp;L Statement'!E22+E36</f>
        <v>-112.6469714207924</v>
      </c>
      <c r="G36" s="51">
        <f>F36+'P&amp;L Statement'!F22</f>
        <v>-144.68948702521126</v>
      </c>
      <c r="H36" s="51">
        <f>G36+'P&amp;L Statement'!G22</f>
        <v>-166.04504121319118</v>
      </c>
      <c r="I36" s="51">
        <f>H36+'P&amp;L Statement'!H22</f>
        <v>-185.42705951696533</v>
      </c>
      <c r="J36" s="51">
        <f>I36+'P&amp;L Statement'!I22</f>
        <v>-203.49361884677162</v>
      </c>
      <c r="K36" s="51">
        <f>J36+'P&amp;L Statement'!J22</f>
        <v>-247.94241687017168</v>
      </c>
      <c r="L36" s="51">
        <f>K36+'P&amp;L Statement'!K22</f>
        <v>108.24435187595148</v>
      </c>
      <c r="M36" s="51">
        <f>L36+'P&amp;L Statement'!L22</f>
        <v>530.1944931845934</v>
      </c>
      <c r="N36" s="51">
        <f>M36+'P&amp;L Statement'!M22</f>
        <v>1017.9820139064652</v>
      </c>
      <c r="O36" s="51">
        <f>N36+'P&amp;L Statement'!N22</f>
        <v>1557.9052044804544</v>
      </c>
      <c r="P36" s="51">
        <f>O36+'P&amp;L Statement'!O22</f>
        <v>2154.2687943724845</v>
      </c>
      <c r="Q36" s="51">
        <f>P36+'P&amp;L Statement'!P22</f>
        <v>2812.1225181560867</v>
      </c>
      <c r="R36" s="51">
        <f>Q36+'P&amp;L Statement'!Q22</f>
        <v>3537.216997692824</v>
      </c>
    </row>
    <row r="37" spans="1:21">
      <c r="A37" s="50" t="s">
        <v>73</v>
      </c>
      <c r="B37" s="49"/>
      <c r="C37" s="49">
        <f t="shared" ref="C37:J37" si="6">SUM(C33:C36)</f>
        <v>-7.0897112690355399</v>
      </c>
      <c r="D37" s="49">
        <f t="shared" si="6"/>
        <v>-31.076240946487886</v>
      </c>
      <c r="E37" s="49">
        <f t="shared" si="6"/>
        <v>-52.244909873800985</v>
      </c>
      <c r="F37" s="49">
        <f t="shared" si="6"/>
        <v>-71.616971420792396</v>
      </c>
      <c r="G37" s="49">
        <f t="shared" si="6"/>
        <v>-83.423737025211267</v>
      </c>
      <c r="H37" s="49">
        <f t="shared" si="6"/>
        <v>-102.54354121319119</v>
      </c>
      <c r="I37" s="49">
        <f t="shared" si="6"/>
        <v>-119.68980951696533</v>
      </c>
      <c r="J37" s="49">
        <f t="shared" si="6"/>
        <v>-135.52061884677164</v>
      </c>
      <c r="K37" s="49">
        <f t="shared" ref="K37:Q37" si="7">SUM(K33:K36)</f>
        <v>-152.22811687017168</v>
      </c>
      <c r="L37" s="49">
        <f t="shared" si="7"/>
        <v>176.24435187595148</v>
      </c>
      <c r="M37" s="49">
        <f t="shared" si="7"/>
        <v>598.1944931845934</v>
      </c>
      <c r="N37" s="49">
        <f t="shared" si="7"/>
        <v>1085.9820139064652</v>
      </c>
      <c r="O37" s="49">
        <f t="shared" si="7"/>
        <v>1625.9052044804544</v>
      </c>
      <c r="P37" s="49">
        <f t="shared" si="7"/>
        <v>2222.2687943724845</v>
      </c>
      <c r="Q37" s="49">
        <f t="shared" si="7"/>
        <v>2880.1225181560867</v>
      </c>
      <c r="R37" s="49">
        <f>SUM(R33:R36)</f>
        <v>3605.216997692824</v>
      </c>
    </row>
    <row r="38" spans="1:2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</row>
    <row r="39" spans="1:21">
      <c r="A39" s="330" t="s">
        <v>72</v>
      </c>
      <c r="B39" s="337">
        <f>B31+B37-0.1</f>
        <v>-0.1</v>
      </c>
      <c r="C39" s="337">
        <f t="shared" ref="C39:J39" si="8">C31+C37</f>
        <v>190.12704000000011</v>
      </c>
      <c r="D39" s="337">
        <f t="shared" si="8"/>
        <v>166.2678720170008</v>
      </c>
      <c r="E39" s="337">
        <f t="shared" si="8"/>
        <v>154.36332663735834</v>
      </c>
      <c r="F39" s="337">
        <f t="shared" si="8"/>
        <v>144.3964666616138</v>
      </c>
      <c r="G39" s="337">
        <f t="shared" si="8"/>
        <v>196.65078894680482</v>
      </c>
      <c r="H39" s="337">
        <f t="shared" si="8"/>
        <v>178.53619276862355</v>
      </c>
      <c r="I39" s="337">
        <f t="shared" si="8"/>
        <v>167.54646863731932</v>
      </c>
      <c r="J39" s="337">
        <f t="shared" si="8"/>
        <v>157.96595795992715</v>
      </c>
      <c r="K39" s="337">
        <f t="shared" ref="K39:Q39" si="9">K31+K37</f>
        <v>203.58243696196359</v>
      </c>
      <c r="L39" s="337">
        <f t="shared" si="9"/>
        <v>247.9650384136618</v>
      </c>
      <c r="M39" s="337">
        <f t="shared" si="9"/>
        <v>598.1944931845934</v>
      </c>
      <c r="N39" s="337">
        <f t="shared" si="9"/>
        <v>1085.9820139064652</v>
      </c>
      <c r="O39" s="337">
        <f t="shared" si="9"/>
        <v>1625.9052044804544</v>
      </c>
      <c r="P39" s="337">
        <f>P31+P37</f>
        <v>2222.2687943724845</v>
      </c>
      <c r="Q39" s="337">
        <f t="shared" si="9"/>
        <v>2880.1225181560867</v>
      </c>
      <c r="R39" s="337">
        <f>R31+R37</f>
        <v>3605.216997692824</v>
      </c>
    </row>
    <row r="40" spans="1:21">
      <c r="B40" s="354">
        <f t="shared" ref="B40:R40" si="10">B39-B21</f>
        <v>-0.1</v>
      </c>
      <c r="C40" s="354">
        <f t="shared" si="10"/>
        <v>0</v>
      </c>
      <c r="D40" s="354">
        <f t="shared" si="10"/>
        <v>0</v>
      </c>
      <c r="E40" s="354">
        <f t="shared" si="10"/>
        <v>0</v>
      </c>
      <c r="F40" s="354">
        <f t="shared" si="10"/>
        <v>0</v>
      </c>
      <c r="G40" s="354">
        <f>G39-G21</f>
        <v>0</v>
      </c>
      <c r="H40" s="354">
        <f>H39-H21</f>
        <v>0</v>
      </c>
      <c r="I40" s="354">
        <f>I39-I21</f>
        <v>0</v>
      </c>
      <c r="J40" s="354">
        <f>J39-J21</f>
        <v>0</v>
      </c>
      <c r="K40" s="354">
        <f t="shared" si="10"/>
        <v>0</v>
      </c>
      <c r="L40" s="354">
        <f t="shared" si="10"/>
        <v>0</v>
      </c>
      <c r="M40" s="354">
        <f t="shared" si="10"/>
        <v>0</v>
      </c>
      <c r="N40" s="354">
        <f>N39-N21</f>
        <v>0</v>
      </c>
      <c r="O40" s="354">
        <f t="shared" si="10"/>
        <v>0</v>
      </c>
      <c r="P40" s="354">
        <f t="shared" si="10"/>
        <v>0</v>
      </c>
      <c r="Q40" s="354">
        <f t="shared" si="10"/>
        <v>0</v>
      </c>
      <c r="R40" s="354">
        <f t="shared" si="10"/>
        <v>0</v>
      </c>
      <c r="S40" s="269"/>
    </row>
    <row r="41" spans="1:21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21">
      <c r="A42" s="44" t="s">
        <v>71</v>
      </c>
    </row>
  </sheetData>
  <mergeCells count="3">
    <mergeCell ref="A1:R1"/>
    <mergeCell ref="C6:F6"/>
    <mergeCell ref="G6:J6"/>
  </mergeCells>
  <hyperlinks>
    <hyperlink ref="A3" location="Index!A1" display="BACK TO INDEX"/>
    <hyperlink ref="A42" location="Index!A1" display="BACK TO INDEX"/>
  </hyperlinks>
  <pageMargins left="0.7" right="0.7" top="0.75" bottom="0.75" header="0.3" footer="0.3"/>
  <pageSetup scale="8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U26"/>
  <sheetViews>
    <sheetView topLeftCell="A3" zoomScale="90" zoomScaleNormal="90" workbookViewId="0">
      <selection activeCell="X27" sqref="X27"/>
    </sheetView>
  </sheetViews>
  <sheetFormatPr defaultRowHeight="15"/>
  <cols>
    <col min="1" max="1" width="36.140625" style="45" customWidth="1"/>
    <col min="2" max="2" width="8" style="45" customWidth="1"/>
    <col min="3" max="3" width="8.140625" style="45" customWidth="1"/>
    <col min="4" max="5" width="7.7109375" style="45" bestFit="1" customWidth="1"/>
    <col min="6" max="6" width="9.140625" style="45" customWidth="1"/>
    <col min="7" max="7" width="8.7109375" style="45" customWidth="1"/>
    <col min="8" max="8" width="8.42578125" style="45" customWidth="1"/>
    <col min="9" max="9" width="8.7109375" style="45" customWidth="1"/>
    <col min="10" max="10" width="9.7109375" style="45" customWidth="1"/>
    <col min="11" max="11" width="9.85546875" style="45" customWidth="1"/>
    <col min="12" max="12" width="10.42578125" style="45" customWidth="1"/>
    <col min="13" max="13" width="10" style="45" customWidth="1"/>
    <col min="14" max="14" width="9.7109375" style="45" customWidth="1"/>
    <col min="15" max="15" width="9.85546875" style="45" customWidth="1"/>
    <col min="16" max="17" width="10" style="45" customWidth="1"/>
    <col min="18" max="18" width="9.28515625" style="45" bestFit="1" customWidth="1"/>
    <col min="19" max="19" width="0" style="45" hidden="1" customWidth="1"/>
    <col min="20" max="20" width="9.85546875" style="45" hidden="1" customWidth="1"/>
    <col min="21" max="23" width="0" style="45" hidden="1" customWidth="1"/>
    <col min="24" max="16384" width="9.140625" style="45"/>
  </cols>
  <sheetData>
    <row r="1" spans="1:18">
      <c r="A1" s="1010" t="s">
        <v>101</v>
      </c>
      <c r="B1" s="1010"/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</row>
    <row r="2" spans="1:18">
      <c r="A2" s="71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8">
      <c r="A3" s="44" t="s">
        <v>71</v>
      </c>
    </row>
    <row r="4" spans="1:18">
      <c r="A4" s="43" t="s">
        <v>91</v>
      </c>
      <c r="B4" s="73"/>
      <c r="C4" s="73"/>
      <c r="D4" s="73"/>
      <c r="E4" s="73"/>
    </row>
    <row r="5" spans="1:18">
      <c r="A5" s="43"/>
      <c r="B5" s="1012" t="s">
        <v>143</v>
      </c>
      <c r="C5" s="1012"/>
      <c r="D5" s="1012"/>
      <c r="E5" s="1012"/>
      <c r="F5" s="1011" t="s">
        <v>144</v>
      </c>
      <c r="G5" s="1011"/>
      <c r="H5" s="1011"/>
      <c r="I5" s="1011"/>
      <c r="J5" s="70" t="str">
        <f>'Balance Sheet'!K6</f>
        <v>Year 3</v>
      </c>
      <c r="K5" s="70" t="str">
        <f>'Balance Sheet'!L6</f>
        <v>Year 4</v>
      </c>
      <c r="L5" s="70" t="str">
        <f>'Balance Sheet'!M6</f>
        <v>Year 5</v>
      </c>
      <c r="M5" s="70" t="str">
        <f>'Balance Sheet'!N6</f>
        <v>Year 6</v>
      </c>
      <c r="N5" s="70" t="str">
        <f>'Balance Sheet'!O6</f>
        <v>Year 7</v>
      </c>
      <c r="O5" s="70" t="str">
        <f>'Balance Sheet'!P6</f>
        <v>Year 8</v>
      </c>
      <c r="P5" s="70" t="str">
        <f>'Balance Sheet'!Q6</f>
        <v>Year 9</v>
      </c>
      <c r="Q5" s="70" t="str">
        <f>'Balance Sheet'!R6</f>
        <v>Year 10</v>
      </c>
    </row>
    <row r="6" spans="1:18" s="53" customFormat="1">
      <c r="A6" s="72"/>
      <c r="B6" s="446" t="s">
        <v>407</v>
      </c>
      <c r="C6" s="446" t="s">
        <v>408</v>
      </c>
      <c r="D6" s="446" t="s">
        <v>409</v>
      </c>
      <c r="E6" s="446" t="s">
        <v>410</v>
      </c>
      <c r="F6" s="446" t="s">
        <v>407</v>
      </c>
      <c r="G6" s="446" t="s">
        <v>408</v>
      </c>
      <c r="H6" s="446" t="s">
        <v>409</v>
      </c>
      <c r="I6" s="446" t="s">
        <v>410</v>
      </c>
    </row>
    <row r="7" spans="1:18">
      <c r="A7" s="52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</row>
    <row r="8" spans="1:18">
      <c r="A8" s="330" t="s">
        <v>100</v>
      </c>
      <c r="B8" s="541">
        <f>'Revenue Schedule'!C25</f>
        <v>36.974999999999994</v>
      </c>
      <c r="C8" s="541">
        <f>'Revenue Schedule'!D25</f>
        <v>36.974999999999994</v>
      </c>
      <c r="D8" s="541">
        <f>'Revenue Schedule'!E25</f>
        <v>36.974999999999994</v>
      </c>
      <c r="E8" s="541">
        <f>'Revenue Schedule'!F25</f>
        <v>36.974999999999994</v>
      </c>
      <c r="F8" s="541">
        <f>'Revenue Schedule'!G25</f>
        <v>65.752499999999998</v>
      </c>
      <c r="G8" s="541">
        <f>'Revenue Schedule'!H25</f>
        <v>65.752499999999998</v>
      </c>
      <c r="H8" s="541">
        <f>'Revenue Schedule'!I25</f>
        <v>65.752499999999998</v>
      </c>
      <c r="I8" s="541">
        <f>'Revenue Schedule'!J25</f>
        <v>65.752499999999998</v>
      </c>
      <c r="J8" s="541">
        <f>'Revenue Schedule'!K25</f>
        <v>421.8060000000001</v>
      </c>
      <c r="K8" s="541">
        <f>'Revenue Schedule'!L25</f>
        <v>966.97150000000056</v>
      </c>
      <c r="L8" s="541">
        <f>'Revenue Schedule'!M25</f>
        <v>1063.6686500000001</v>
      </c>
      <c r="M8" s="541">
        <f>'Revenue Schedule'!N25</f>
        <v>1170.0355150000003</v>
      </c>
      <c r="N8" s="541">
        <f>'Revenue Schedule'!O25</f>
        <v>1287.0390664999998</v>
      </c>
      <c r="O8" s="541">
        <f>'Revenue Schedule'!P25</f>
        <v>1415.7429731500004</v>
      </c>
      <c r="P8" s="541">
        <f>'Revenue Schedule'!Q25</f>
        <v>1557.3172704650003</v>
      </c>
      <c r="Q8" s="541">
        <f>'Revenue Schedule'!R25</f>
        <v>1713.0489975114999</v>
      </c>
      <c r="R8" s="542">
        <f>SUM(B8:Q8)</f>
        <v>10006.5399726265</v>
      </c>
    </row>
    <row r="9" spans="1:18">
      <c r="A9" s="52"/>
      <c r="B9" s="543"/>
      <c r="C9" s="543"/>
      <c r="D9" s="543"/>
      <c r="E9" s="543"/>
      <c r="F9" s="543"/>
      <c r="G9" s="543"/>
      <c r="H9" s="543"/>
      <c r="I9" s="543"/>
      <c r="J9" s="543"/>
      <c r="K9" s="543"/>
      <c r="L9" s="543"/>
      <c r="M9" s="543"/>
      <c r="N9" s="543"/>
      <c r="O9" s="543"/>
      <c r="P9" s="544"/>
      <c r="Q9" s="544"/>
      <c r="R9" s="544"/>
    </row>
    <row r="10" spans="1:18">
      <c r="A10" s="330" t="s">
        <v>99</v>
      </c>
      <c r="B10" s="541">
        <f>'Operational Expenses'!C14</f>
        <v>58.144199999999998</v>
      </c>
      <c r="C10" s="541">
        <f>'Operational Expenses'!D14</f>
        <v>44.647500000000001</v>
      </c>
      <c r="D10" s="541">
        <f>'Operational Expenses'!E14</f>
        <v>44.647500000000001</v>
      </c>
      <c r="E10" s="541">
        <f>'Operational Expenses'!F14</f>
        <v>44.647500000000001</v>
      </c>
      <c r="F10" s="541">
        <f>'Operational Expenses'!G14</f>
        <v>77.424731999999992</v>
      </c>
      <c r="G10" s="541">
        <f>'Operational Expenses'!H14</f>
        <v>69.836249999999993</v>
      </c>
      <c r="H10" s="541">
        <f>'Operational Expenses'!I14</f>
        <v>69.836249999999993</v>
      </c>
      <c r="I10" s="541">
        <f>'Operational Expenses'!J14</f>
        <v>69.836249999999993</v>
      </c>
      <c r="J10" s="541">
        <f>'Operational Expenses'!K14</f>
        <v>417.33913980000005</v>
      </c>
      <c r="K10" s="541">
        <f>'Operational Expenses'!L14</f>
        <v>563.39723308000009</v>
      </c>
      <c r="L10" s="541">
        <f>'Operational Expenses'!M14</f>
        <v>610.07582900000011</v>
      </c>
      <c r="M10" s="541">
        <f>'Operational Expenses'!N14</f>
        <v>671.08341189999987</v>
      </c>
      <c r="N10" s="541">
        <f>'Operational Expenses'!O14</f>
        <v>738.19175309000025</v>
      </c>
      <c r="O10" s="541">
        <f>'Operational Expenses'!P14</f>
        <v>812.01092839900014</v>
      </c>
      <c r="P10" s="541">
        <f>'Operational Expenses'!Q14</f>
        <v>893.21202123890032</v>
      </c>
      <c r="Q10" s="541">
        <f>'Operational Expenses'!R14</f>
        <v>982.53322336279018</v>
      </c>
      <c r="R10" s="542">
        <f>SUM(B10:Q10)</f>
        <v>6166.8637218706917</v>
      </c>
    </row>
    <row r="11" spans="1:18" s="53" customFormat="1">
      <c r="B11" s="545"/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6"/>
    </row>
    <row r="12" spans="1:18" ht="47.25" customHeight="1">
      <c r="A12" s="336" t="s">
        <v>98</v>
      </c>
      <c r="B12" s="541">
        <f t="shared" ref="B12:I12" si="0">B8-B10</f>
        <v>-21.169200000000004</v>
      </c>
      <c r="C12" s="541">
        <f t="shared" si="0"/>
        <v>-7.6725000000000065</v>
      </c>
      <c r="D12" s="541">
        <f t="shared" si="0"/>
        <v>-7.6725000000000065</v>
      </c>
      <c r="E12" s="541">
        <f t="shared" si="0"/>
        <v>-7.6725000000000065</v>
      </c>
      <c r="F12" s="541">
        <f t="shared" si="0"/>
        <v>-11.672231999999994</v>
      </c>
      <c r="G12" s="541">
        <f t="shared" si="0"/>
        <v>-4.0837499999999949</v>
      </c>
      <c r="H12" s="541">
        <f t="shared" si="0"/>
        <v>-4.0837499999999949</v>
      </c>
      <c r="I12" s="541">
        <f t="shared" si="0"/>
        <v>-4.0837499999999949</v>
      </c>
      <c r="J12" s="541">
        <f t="shared" ref="J12:P12" si="1">J8-J10</f>
        <v>4.4668602000000419</v>
      </c>
      <c r="K12" s="541">
        <f t="shared" si="1"/>
        <v>403.57426692000047</v>
      </c>
      <c r="L12" s="541">
        <f t="shared" si="1"/>
        <v>453.59282099999996</v>
      </c>
      <c r="M12" s="541">
        <f t="shared" si="1"/>
        <v>498.95210310000039</v>
      </c>
      <c r="N12" s="541">
        <f t="shared" si="1"/>
        <v>548.84731340999951</v>
      </c>
      <c r="O12" s="541">
        <f t="shared" si="1"/>
        <v>603.73204475100022</v>
      </c>
      <c r="P12" s="541">
        <f t="shared" si="1"/>
        <v>664.1052492261</v>
      </c>
      <c r="Q12" s="541">
        <f>Q8-Q10</f>
        <v>730.51577414870974</v>
      </c>
      <c r="R12" s="542">
        <f>SUM(B12:Q12)</f>
        <v>3839.6762507558101</v>
      </c>
    </row>
    <row r="13" spans="1:18">
      <c r="A13" s="52" t="s">
        <v>24</v>
      </c>
      <c r="B13" s="547">
        <f>'Depreciation '!C34</f>
        <v>15.719760000000001</v>
      </c>
      <c r="C13" s="547">
        <f>'Depreciation '!D34</f>
        <v>11.111367982999999</v>
      </c>
      <c r="D13" s="547">
        <f>'Depreciation '!E34</f>
        <v>8.1545453796457004</v>
      </c>
      <c r="E13" s="547">
        <f>'Depreciation '!F34</f>
        <v>6.2168599757553213</v>
      </c>
      <c r="F13" s="547">
        <f>'Depreciation '!G34</f>
        <v>12.419165714838627</v>
      </c>
      <c r="G13" s="547">
        <f>'Depreciation '!H34</f>
        <v>9.3056081782527134</v>
      </c>
      <c r="H13" s="547">
        <f>'Depreciation '!I34</f>
        <v>7.2397241314598766</v>
      </c>
      <c r="I13" s="547">
        <f>'Depreciation '!J34</f>
        <v>5.8305106777058233</v>
      </c>
      <c r="J13" s="547">
        <f>'Depreciation '!K34</f>
        <v>14.436744304235075</v>
      </c>
      <c r="K13" s="547">
        <f>'Depreciation '!L34</f>
        <v>19.561560962781911</v>
      </c>
      <c r="L13" s="547">
        <f>'Depreciation '!M34</f>
        <v>14.49105909522671</v>
      </c>
      <c r="M13" s="547">
        <f>'Depreciation '!N34</f>
        <v>11.164582378128577</v>
      </c>
      <c r="N13" s="547">
        <f>'Depreciation '!O34</f>
        <v>8.9241228360104401</v>
      </c>
      <c r="O13" s="547">
        <f>'Depreciation '!P34</f>
        <v>7.3684548589699235</v>
      </c>
      <c r="P13" s="547">
        <f>'Depreciation '!Q34</f>
        <v>6.251525442497945</v>
      </c>
      <c r="Q13" s="547">
        <f>'Depreciation '!R34</f>
        <v>5.421294611972419</v>
      </c>
      <c r="R13" s="542">
        <f>SUM(B13:Q13)</f>
        <v>163.61688653048108</v>
      </c>
    </row>
    <row r="14" spans="1:18">
      <c r="A14" s="52" t="s">
        <v>97</v>
      </c>
      <c r="B14" s="547">
        <f>Amortisation!C15</f>
        <v>3.75</v>
      </c>
      <c r="C14" s="547">
        <f>Amortisation!D15</f>
        <v>3.75</v>
      </c>
      <c r="D14" s="547">
        <f>Amortisation!E15</f>
        <v>3.75</v>
      </c>
      <c r="E14" s="547">
        <f>Amortisation!F15</f>
        <v>3.75</v>
      </c>
      <c r="F14" s="547">
        <f>Amortisation!G15</f>
        <v>3.75</v>
      </c>
      <c r="G14" s="547">
        <f>Amortisation!H15</f>
        <v>3.75</v>
      </c>
      <c r="H14" s="547">
        <f>Amortisation!I15</f>
        <v>3.75</v>
      </c>
      <c r="I14" s="547">
        <f>Amortisation!J15</f>
        <v>3.75</v>
      </c>
      <c r="J14" s="547">
        <f>Amortisation!K15</f>
        <v>15</v>
      </c>
      <c r="K14" s="547">
        <f>Amortisation!L15</f>
        <v>15</v>
      </c>
      <c r="L14" s="547">
        <f>Amortisation!M15</f>
        <v>15</v>
      </c>
      <c r="M14" s="547">
        <f>Amortisation!N15</f>
        <v>0</v>
      </c>
      <c r="N14" s="547">
        <f>Amortisation!O15</f>
        <v>0</v>
      </c>
      <c r="O14" s="547">
        <f>Amortisation!P15</f>
        <v>0</v>
      </c>
      <c r="P14" s="547">
        <f>Amortisation!Q15</f>
        <v>0</v>
      </c>
      <c r="Q14" s="547">
        <f>Amortisation!R15</f>
        <v>0</v>
      </c>
      <c r="R14" s="542">
        <f>SUM(B14:Q14)</f>
        <v>75</v>
      </c>
    </row>
    <row r="15" spans="1:18">
      <c r="A15" s="52"/>
      <c r="B15" s="547"/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4"/>
      <c r="Q15" s="544"/>
      <c r="R15" s="544"/>
    </row>
    <row r="16" spans="1:18">
      <c r="A16" s="330" t="s">
        <v>96</v>
      </c>
      <c r="B16" s="541">
        <f t="shared" ref="B16:I16" si="2">B12-B13-B14</f>
        <v>-40.638960000000004</v>
      </c>
      <c r="C16" s="541">
        <f t="shared" si="2"/>
        <v>-22.533867983000007</v>
      </c>
      <c r="D16" s="541">
        <f t="shared" si="2"/>
        <v>-19.577045379645707</v>
      </c>
      <c r="E16" s="541">
        <f t="shared" si="2"/>
        <v>-17.639359975755326</v>
      </c>
      <c r="F16" s="541">
        <f t="shared" si="2"/>
        <v>-27.841397714838621</v>
      </c>
      <c r="G16" s="541">
        <f t="shared" si="2"/>
        <v>-17.139358178252706</v>
      </c>
      <c r="H16" s="541">
        <f t="shared" si="2"/>
        <v>-15.073474131459871</v>
      </c>
      <c r="I16" s="541">
        <f t="shared" si="2"/>
        <v>-13.664260677705819</v>
      </c>
      <c r="J16" s="541">
        <f t="shared" ref="J16:P16" si="3">J12-J13-J14</f>
        <v>-24.969884104235035</v>
      </c>
      <c r="K16" s="541">
        <f t="shared" si="3"/>
        <v>369.01270595721854</v>
      </c>
      <c r="L16" s="541">
        <f t="shared" si="3"/>
        <v>424.10176190477324</v>
      </c>
      <c r="M16" s="541">
        <f t="shared" si="3"/>
        <v>487.78752072187183</v>
      </c>
      <c r="N16" s="541">
        <f t="shared" si="3"/>
        <v>539.92319057398913</v>
      </c>
      <c r="O16" s="541">
        <f t="shared" si="3"/>
        <v>596.36358989203029</v>
      </c>
      <c r="P16" s="541">
        <f t="shared" si="3"/>
        <v>657.85372378360205</v>
      </c>
      <c r="Q16" s="541">
        <f>Q12-Q13-Q14</f>
        <v>725.09447953673737</v>
      </c>
      <c r="R16" s="542">
        <f>SUM(B16:Q16)</f>
        <v>3601.0593642253293</v>
      </c>
    </row>
    <row r="17" spans="1:21">
      <c r="A17" s="52" t="s">
        <v>95</v>
      </c>
      <c r="B17" s="547">
        <f>'Interest-Principal'!C15</f>
        <v>2.9582512690355349</v>
      </c>
      <c r="C17" s="547">
        <f>'Interest-Principal'!D15</f>
        <v>2.9601616944523306</v>
      </c>
      <c r="D17" s="547">
        <f>'Interest-Principal'!E15</f>
        <v>3.0991235476673897</v>
      </c>
      <c r="E17" s="547">
        <f>'Interest-Principal'!F15</f>
        <v>3.240201571236093</v>
      </c>
      <c r="F17" s="547">
        <f>'Interest-Principal'!G15</f>
        <v>4.2011178895802415</v>
      </c>
      <c r="G17" s="547">
        <f>'Interest-Principal'!H15</f>
        <v>4.2161960097272209</v>
      </c>
      <c r="H17" s="547">
        <f>'Interest-Principal'!I15</f>
        <v>4.3085441723142699</v>
      </c>
      <c r="I17" s="547">
        <f>'Interest-Principal'!J15</f>
        <v>4.4022986521004821</v>
      </c>
      <c r="J17" s="547">
        <f>'Interest-Principal'!K15</f>
        <v>19.47891391916502</v>
      </c>
      <c r="K17" s="547">
        <f>'Interest-Principal'!L15</f>
        <v>12.825937211095367</v>
      </c>
      <c r="L17" s="547">
        <f>'Interest-Principal'!M15</f>
        <v>2.1516205961313095</v>
      </c>
      <c r="M17" s="547">
        <f>'Interest-Principal'!N15</f>
        <v>0</v>
      </c>
      <c r="N17" s="547">
        <f>'Interest-Principal'!O15</f>
        <v>0</v>
      </c>
      <c r="O17" s="547">
        <f>'Interest-Principal'!P15</f>
        <v>0</v>
      </c>
      <c r="P17" s="547">
        <f>'Interest-Principal'!Q15</f>
        <v>0</v>
      </c>
      <c r="Q17" s="547">
        <f>'Interest-Principal'!R15</f>
        <v>0</v>
      </c>
      <c r="R17" s="542">
        <f>SUM(B17:Q17)</f>
        <v>63.842366532505253</v>
      </c>
    </row>
    <row r="18" spans="1:21">
      <c r="A18" s="52"/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47"/>
      <c r="O18" s="547"/>
      <c r="P18" s="544"/>
      <c r="Q18" s="544"/>
      <c r="R18" s="544"/>
    </row>
    <row r="19" spans="1:21">
      <c r="A19" s="330" t="s">
        <v>94</v>
      </c>
      <c r="B19" s="541">
        <f t="shared" ref="B19:O19" si="4">B16-B17</f>
        <v>-43.59721126903554</v>
      </c>
      <c r="C19" s="541">
        <f t="shared" si="4"/>
        <v>-25.494029677452339</v>
      </c>
      <c r="D19" s="541">
        <f t="shared" si="4"/>
        <v>-22.676168927313096</v>
      </c>
      <c r="E19" s="541">
        <f t="shared" si="4"/>
        <v>-20.879561546991418</v>
      </c>
      <c r="F19" s="541">
        <f>F16-F17</f>
        <v>-32.04251560441886</v>
      </c>
      <c r="G19" s="541">
        <f>G16-G17</f>
        <v>-21.355554187979926</v>
      </c>
      <c r="H19" s="541">
        <f>H16-H17</f>
        <v>-19.382018303774142</v>
      </c>
      <c r="I19" s="541">
        <f>I16-I17</f>
        <v>-18.066559329806303</v>
      </c>
      <c r="J19" s="541">
        <f t="shared" si="4"/>
        <v>-44.448798023400059</v>
      </c>
      <c r="K19" s="541">
        <f t="shared" si="4"/>
        <v>356.18676874612316</v>
      </c>
      <c r="L19" s="541">
        <f t="shared" si="4"/>
        <v>421.95014130864195</v>
      </c>
      <c r="M19" s="541">
        <f t="shared" si="4"/>
        <v>487.78752072187183</v>
      </c>
      <c r="N19" s="541">
        <f t="shared" si="4"/>
        <v>539.92319057398913</v>
      </c>
      <c r="O19" s="541">
        <f t="shared" si="4"/>
        <v>596.36358989203029</v>
      </c>
      <c r="P19" s="541">
        <f>P16-P17</f>
        <v>657.85372378360205</v>
      </c>
      <c r="Q19" s="541">
        <f>Q16-Q17</f>
        <v>725.09447953673737</v>
      </c>
      <c r="R19" s="542">
        <f>SUM(B19:Q19)</f>
        <v>3537.216997692824</v>
      </c>
      <c r="T19" s="189">
        <f>SUM(B19:P19)*0.3*1.03-R20</f>
        <v>868.9458581102308</v>
      </c>
    </row>
    <row r="20" spans="1:21">
      <c r="A20" s="45" t="s">
        <v>28</v>
      </c>
      <c r="B20" s="548">
        <f>'Fin Smmry'!F44</f>
        <v>0</v>
      </c>
      <c r="C20" s="548">
        <f>'Fin Smmry'!G44</f>
        <v>0</v>
      </c>
      <c r="D20" s="548">
        <f>'Fin Smmry'!H44</f>
        <v>0</v>
      </c>
      <c r="E20" s="548">
        <f>'Fin Smmry'!I44</f>
        <v>0</v>
      </c>
      <c r="F20" s="548">
        <f>'Fin Smmry'!J44</f>
        <v>0</v>
      </c>
      <c r="G20" s="548">
        <f>'Fin Smmry'!K44</f>
        <v>0</v>
      </c>
      <c r="H20" s="548">
        <f>'Fin Smmry'!L44</f>
        <v>0</v>
      </c>
      <c r="I20" s="548">
        <f>'Fin Smmry'!M44</f>
        <v>0</v>
      </c>
      <c r="J20" s="548">
        <f>'Fin Smmry'!N44</f>
        <v>0</v>
      </c>
      <c r="K20" s="548">
        <f>'Fin Smmry'!O44</f>
        <v>0</v>
      </c>
      <c r="L20" s="548">
        <f>'Fin Smmry'!P44</f>
        <v>0</v>
      </c>
      <c r="M20" s="548">
        <f>'Fin Smmry'!Q44</f>
        <v>0</v>
      </c>
      <c r="N20" s="548">
        <f>'Fin Smmry'!R44</f>
        <v>0</v>
      </c>
      <c r="O20" s="548">
        <f>'Fin Smmry'!S44</f>
        <v>0</v>
      </c>
      <c r="P20" s="548">
        <f>'Fin Smmry'!T44</f>
        <v>0</v>
      </c>
      <c r="Q20" s="548">
        <f>'Fin Smmry'!U44</f>
        <v>0</v>
      </c>
      <c r="R20" s="542">
        <f>SUM(B20:Q20)</f>
        <v>0</v>
      </c>
      <c r="S20" s="187" t="s">
        <v>265</v>
      </c>
      <c r="T20" s="187"/>
      <c r="U20" s="187"/>
    </row>
    <row r="21" spans="1:21"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549"/>
      <c r="P21" s="544"/>
      <c r="Q21" s="544"/>
      <c r="R21" s="544"/>
    </row>
    <row r="22" spans="1:21">
      <c r="A22" s="330" t="s">
        <v>93</v>
      </c>
      <c r="B22" s="541">
        <f t="shared" ref="B22:P22" si="5">B19-B20</f>
        <v>-43.59721126903554</v>
      </c>
      <c r="C22" s="541">
        <f t="shared" si="5"/>
        <v>-25.494029677452339</v>
      </c>
      <c r="D22" s="541">
        <f t="shared" si="5"/>
        <v>-22.676168927313096</v>
      </c>
      <c r="E22" s="541">
        <f t="shared" si="5"/>
        <v>-20.879561546991418</v>
      </c>
      <c r="F22" s="541">
        <f>F19-F20</f>
        <v>-32.04251560441886</v>
      </c>
      <c r="G22" s="541">
        <f>G19-G20</f>
        <v>-21.355554187979926</v>
      </c>
      <c r="H22" s="541">
        <f>H19-H20</f>
        <v>-19.382018303774142</v>
      </c>
      <c r="I22" s="541">
        <f>I19-I20</f>
        <v>-18.066559329806303</v>
      </c>
      <c r="J22" s="541">
        <f t="shared" si="5"/>
        <v>-44.448798023400059</v>
      </c>
      <c r="K22" s="541">
        <f t="shared" si="5"/>
        <v>356.18676874612316</v>
      </c>
      <c r="L22" s="541">
        <f t="shared" si="5"/>
        <v>421.95014130864195</v>
      </c>
      <c r="M22" s="541">
        <f t="shared" si="5"/>
        <v>487.78752072187183</v>
      </c>
      <c r="N22" s="541">
        <f t="shared" si="5"/>
        <v>539.92319057398913</v>
      </c>
      <c r="O22" s="541">
        <f t="shared" si="5"/>
        <v>596.36358989203029</v>
      </c>
      <c r="P22" s="541">
        <f t="shared" si="5"/>
        <v>657.85372378360205</v>
      </c>
      <c r="Q22" s="541">
        <f>Q19-Q20</f>
        <v>725.09447953673737</v>
      </c>
      <c r="R22" s="542">
        <f>SUM(B22:Q22)</f>
        <v>3537.216997692824</v>
      </c>
    </row>
    <row r="23" spans="1:21">
      <c r="B23" s="544">
        <f>B22-'Fin Smmry'!F46</f>
        <v>8.5265128291212022E-14</v>
      </c>
      <c r="C23" s="544">
        <f>C22-'Fin Smmry'!G46</f>
        <v>7.1764816311770119E-13</v>
      </c>
      <c r="D23" s="544">
        <f>D22-'Fin Smmry'!H46</f>
        <v>3.2294167340296553E-12</v>
      </c>
      <c r="E23" s="544">
        <f>E22-'Fin Smmry'!I46</f>
        <v>1.0764722446765518E-11</v>
      </c>
      <c r="F23" s="544">
        <f>F22-'Fin Smmry'!J46</f>
        <v>2.9650948363268981E-11</v>
      </c>
      <c r="G23" s="544">
        <f>G22-'Fin Smmry'!K46</f>
        <v>7.141665037124767E-11</v>
      </c>
      <c r="H23" s="544">
        <f>H22-'Fin Smmry'!L46</f>
        <v>1.5563728084089234E-10</v>
      </c>
      <c r="I23" s="544">
        <f>I22-'Fin Smmry'!M46</f>
        <v>3.1364422170554462E-10</v>
      </c>
      <c r="J23" s="544">
        <f>J22-'Fin Smmry'!N46</f>
        <v>6.2714917703488027E-9</v>
      </c>
      <c r="K23" s="544">
        <f>K22-'Fin Smmry'!O46</f>
        <v>2.6867813460285106E-5</v>
      </c>
      <c r="L23" s="544">
        <f>L22-'Fin Smmry'!P46</f>
        <v>2.686216930669616E-5</v>
      </c>
      <c r="M23" s="544">
        <f>M22-'Fin Smmry'!Q46</f>
        <v>0</v>
      </c>
      <c r="N23" s="544">
        <f>N22-'Fin Smmry'!R46</f>
        <v>0</v>
      </c>
      <c r="O23" s="544">
        <f>O22-'Fin Smmry'!S46</f>
        <v>0</v>
      </c>
      <c r="P23" s="544">
        <f>P22-'Fin Smmry'!T46</f>
        <v>0</v>
      </c>
      <c r="Q23" s="544">
        <f>Q22-'Fin Smmry'!U46</f>
        <v>0</v>
      </c>
      <c r="R23" s="542">
        <f>SUM(B23:Q23)</f>
        <v>5.3736839404905368E-5</v>
      </c>
    </row>
    <row r="24" spans="1:21">
      <c r="A24" s="44" t="s">
        <v>71</v>
      </c>
    </row>
    <row r="26" spans="1:21">
      <c r="A26" s="45" t="s">
        <v>462</v>
      </c>
      <c r="B26" s="544">
        <f>B22</f>
        <v>-43.59721126903554</v>
      </c>
      <c r="C26" s="544">
        <f>B26+C22</f>
        <v>-69.091240946487886</v>
      </c>
      <c r="D26" s="544">
        <f t="shared" ref="D26:Q26" si="6">C26+D22</f>
        <v>-91.767409873800986</v>
      </c>
      <c r="E26" s="544">
        <f t="shared" si="6"/>
        <v>-112.6469714207924</v>
      </c>
      <c r="F26" s="544">
        <f t="shared" si="6"/>
        <v>-144.68948702521126</v>
      </c>
      <c r="G26" s="544">
        <f t="shared" si="6"/>
        <v>-166.04504121319118</v>
      </c>
      <c r="H26" s="544">
        <f t="shared" si="6"/>
        <v>-185.42705951696533</v>
      </c>
      <c r="I26" s="544">
        <f t="shared" si="6"/>
        <v>-203.49361884677162</v>
      </c>
      <c r="J26" s="544">
        <f t="shared" si="6"/>
        <v>-247.94241687017168</v>
      </c>
      <c r="K26" s="544">
        <f t="shared" si="6"/>
        <v>108.24435187595148</v>
      </c>
      <c r="L26" s="544">
        <f t="shared" si="6"/>
        <v>530.1944931845934</v>
      </c>
      <c r="M26" s="544">
        <f t="shared" si="6"/>
        <v>1017.9820139064652</v>
      </c>
      <c r="N26" s="544">
        <f t="shared" si="6"/>
        <v>1557.9052044804544</v>
      </c>
      <c r="O26" s="544">
        <f t="shared" si="6"/>
        <v>2154.2687943724845</v>
      </c>
      <c r="P26" s="544">
        <f t="shared" si="6"/>
        <v>2812.1225181560867</v>
      </c>
      <c r="Q26" s="544">
        <f t="shared" si="6"/>
        <v>3537.216997692824</v>
      </c>
    </row>
  </sheetData>
  <mergeCells count="3">
    <mergeCell ref="A1:Q1"/>
    <mergeCell ref="B5:E5"/>
    <mergeCell ref="F5:I5"/>
  </mergeCells>
  <hyperlinks>
    <hyperlink ref="A3" location="Index!A1" display="BACK TO INDEX"/>
    <hyperlink ref="A24" location="Index!A1" display="BACK TO INDEX"/>
  </hyperlinks>
  <pageMargins left="0.54" right="0.51" top="0.75" bottom="0.75" header="0.3" footer="0.3"/>
  <pageSetup scale="71" orientation="landscape" horizont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A1:S41"/>
  <sheetViews>
    <sheetView topLeftCell="A10" zoomScale="80" zoomScaleNormal="80" workbookViewId="0">
      <selection activeCell="D41" sqref="D41"/>
    </sheetView>
  </sheetViews>
  <sheetFormatPr defaultRowHeight="15"/>
  <cols>
    <col min="1" max="1" width="37.42578125" style="45" customWidth="1"/>
    <col min="2" max="2" width="18.85546875" style="45" bestFit="1" customWidth="1"/>
    <col min="3" max="6" width="9.42578125" style="45" customWidth="1"/>
    <col min="7" max="10" width="10" style="45" customWidth="1"/>
    <col min="11" max="11" width="10.140625" style="45" customWidth="1"/>
    <col min="12" max="12" width="9.85546875" style="45" customWidth="1"/>
    <col min="13" max="13" width="10.42578125" style="45" customWidth="1"/>
    <col min="14" max="14" width="9.7109375" style="45" customWidth="1"/>
    <col min="15" max="15" width="10.28515625" style="45" customWidth="1"/>
    <col min="16" max="16" width="10.42578125" style="45" customWidth="1"/>
    <col min="17" max="17" width="10.140625" style="45" customWidth="1"/>
    <col min="18" max="19" width="11.42578125" style="45" bestFit="1" customWidth="1"/>
    <col min="20" max="16384" width="9.140625" style="45"/>
  </cols>
  <sheetData>
    <row r="1" spans="1:19">
      <c r="A1" s="1010" t="s">
        <v>117</v>
      </c>
      <c r="B1" s="1010"/>
      <c r="C1" s="1010"/>
      <c r="D1" s="1010"/>
      <c r="E1" s="1010"/>
      <c r="F1" s="1010"/>
      <c r="G1" s="1010"/>
      <c r="H1" s="1010"/>
      <c r="I1" s="1010"/>
      <c r="J1" s="1010"/>
      <c r="K1" s="1010"/>
      <c r="L1" s="1010"/>
      <c r="M1" s="1010"/>
      <c r="N1" s="1010"/>
      <c r="O1" s="1010"/>
      <c r="P1" s="1010"/>
      <c r="Q1" s="1010"/>
      <c r="R1" s="1010"/>
    </row>
    <row r="2" spans="1:19">
      <c r="A2" s="71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9">
      <c r="A3" s="526" t="s">
        <v>71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9">
      <c r="A4" s="516" t="s">
        <v>91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9">
      <c r="A5" s="516"/>
      <c r="B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9" s="53" customFormat="1">
      <c r="A6" s="71"/>
      <c r="B6" s="527"/>
      <c r="C6" s="1013" t="s">
        <v>143</v>
      </c>
      <c r="D6" s="1013"/>
      <c r="E6" s="1013"/>
      <c r="F6" s="1013"/>
      <c r="G6" s="1013" t="s">
        <v>144</v>
      </c>
      <c r="H6" s="1013"/>
      <c r="I6" s="1013"/>
      <c r="J6" s="1013"/>
      <c r="K6" s="527" t="str">
        <f>'Balance Sheet'!K6</f>
        <v>Year 3</v>
      </c>
      <c r="L6" s="527" t="str">
        <f>'Balance Sheet'!L6</f>
        <v>Year 4</v>
      </c>
      <c r="M6" s="527" t="str">
        <f>'Balance Sheet'!M6</f>
        <v>Year 5</v>
      </c>
      <c r="N6" s="527" t="str">
        <f>'Balance Sheet'!N6</f>
        <v>Year 6</v>
      </c>
      <c r="O6" s="527" t="str">
        <f>'Balance Sheet'!O6</f>
        <v>Year 7</v>
      </c>
      <c r="P6" s="527" t="str">
        <f>'Balance Sheet'!P6</f>
        <v>Year 8</v>
      </c>
      <c r="Q6" s="527" t="str">
        <f>'Balance Sheet'!Q6</f>
        <v>Year 9</v>
      </c>
      <c r="R6" s="527" t="str">
        <f>'Balance Sheet'!R6</f>
        <v>Year 10</v>
      </c>
    </row>
    <row r="7" spans="1:19">
      <c r="B7" s="77"/>
      <c r="C7" s="438" t="s">
        <v>407</v>
      </c>
      <c r="D7" s="438" t="s">
        <v>408</v>
      </c>
      <c r="E7" s="438" t="s">
        <v>409</v>
      </c>
      <c r="F7" s="438" t="s">
        <v>410</v>
      </c>
      <c r="G7" s="438" t="s">
        <v>407</v>
      </c>
      <c r="H7" s="438" t="s">
        <v>408</v>
      </c>
      <c r="I7" s="438" t="s">
        <v>409</v>
      </c>
      <c r="J7" s="438" t="s">
        <v>410</v>
      </c>
      <c r="K7" s="77"/>
      <c r="L7" s="77"/>
      <c r="M7" s="77"/>
      <c r="N7" s="77"/>
      <c r="O7" s="77"/>
      <c r="P7" s="77"/>
      <c r="Q7" s="77"/>
    </row>
    <row r="8" spans="1:19">
      <c r="A8" s="80" t="s">
        <v>116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9">
      <c r="A9" s="59" t="s">
        <v>29</v>
      </c>
      <c r="B9" s="77"/>
      <c r="C9" s="77">
        <f>'Fin Smmry'!F46</f>
        <v>-43.597211269035625</v>
      </c>
      <c r="D9" s="77">
        <f>'Fin Smmry'!G46</f>
        <v>-25.494029677453057</v>
      </c>
      <c r="E9" s="77">
        <f>'Fin Smmry'!H46</f>
        <v>-22.676168927316326</v>
      </c>
      <c r="F9" s="77">
        <f>'Fin Smmry'!I46</f>
        <v>-20.879561547002183</v>
      </c>
      <c r="G9" s="77">
        <f>'Fin Smmry'!J46</f>
        <v>-32.042515604448511</v>
      </c>
      <c r="H9" s="77">
        <f>'Fin Smmry'!K46</f>
        <v>-21.355554188051343</v>
      </c>
      <c r="I9" s="77">
        <f>'Fin Smmry'!L46</f>
        <v>-19.38201830392978</v>
      </c>
      <c r="J9" s="77">
        <f>'Fin Smmry'!M46</f>
        <v>-18.066559330119947</v>
      </c>
      <c r="K9" s="77">
        <f>'Fin Smmry'!N46</f>
        <v>-44.448798029671551</v>
      </c>
      <c r="L9" s="77">
        <f>'Fin Smmry'!O46</f>
        <v>356.1867418783097</v>
      </c>
      <c r="M9" s="77">
        <f>'Fin Smmry'!P46</f>
        <v>421.95011444647264</v>
      </c>
      <c r="N9" s="77">
        <f>'Fin Smmry'!Q46</f>
        <v>487.78752072187183</v>
      </c>
      <c r="O9" s="77">
        <f>'Fin Smmry'!R46</f>
        <v>539.92319057398913</v>
      </c>
      <c r="P9" s="77">
        <f>'Fin Smmry'!S46</f>
        <v>596.36358989203029</v>
      </c>
      <c r="Q9" s="77">
        <f>'Fin Smmry'!T46</f>
        <v>657.85372378360205</v>
      </c>
      <c r="R9" s="77">
        <f>'Fin Smmry'!U46</f>
        <v>725.09447953673737</v>
      </c>
    </row>
    <row r="10" spans="1:19">
      <c r="A10" s="59" t="s">
        <v>115</v>
      </c>
      <c r="B10" s="77"/>
      <c r="C10" s="77">
        <f>'Depreciation '!C34</f>
        <v>15.719760000000001</v>
      </c>
      <c r="D10" s="77">
        <f>'Depreciation '!D34</f>
        <v>11.111367982999999</v>
      </c>
      <c r="E10" s="77">
        <f>'Depreciation '!E34</f>
        <v>8.1545453796457004</v>
      </c>
      <c r="F10" s="77">
        <f>'Depreciation '!F34</f>
        <v>6.2168599757553213</v>
      </c>
      <c r="G10" s="77">
        <f>'Depreciation '!G34</f>
        <v>12.419165714838627</v>
      </c>
      <c r="H10" s="77">
        <f>'Depreciation '!H34</f>
        <v>9.3056081782527134</v>
      </c>
      <c r="I10" s="77">
        <f>'Depreciation '!I34</f>
        <v>7.2397241314598766</v>
      </c>
      <c r="J10" s="77">
        <f>'Depreciation '!J34</f>
        <v>5.8305106777058233</v>
      </c>
      <c r="K10" s="77">
        <f>'Depreciation '!K34</f>
        <v>14.436744304235075</v>
      </c>
      <c r="L10" s="77">
        <f>'Depreciation '!L34</f>
        <v>19.561560962781911</v>
      </c>
      <c r="M10" s="77">
        <f>'Depreciation '!M34</f>
        <v>14.49105909522671</v>
      </c>
      <c r="N10" s="77">
        <f>'Depreciation '!N34</f>
        <v>11.164582378128577</v>
      </c>
      <c r="O10" s="77">
        <f>'Depreciation '!O34</f>
        <v>8.9241228360104401</v>
      </c>
      <c r="P10" s="77">
        <f>'Depreciation '!P34</f>
        <v>7.3684548589699235</v>
      </c>
      <c r="Q10" s="77">
        <f>'Depreciation '!Q34</f>
        <v>6.251525442497945</v>
      </c>
      <c r="R10" s="77">
        <f>'Depreciation '!R34</f>
        <v>5.421294611972419</v>
      </c>
      <c r="S10" s="77"/>
    </row>
    <row r="11" spans="1:19">
      <c r="A11" s="59" t="s">
        <v>463</v>
      </c>
      <c r="B11" s="77"/>
      <c r="C11" s="77">
        <f>'Fin Smmry'!F39</f>
        <v>2.9582512690356242</v>
      </c>
      <c r="D11" s="77">
        <f>'Fin Smmry'!G39</f>
        <v>2.9601616944530478</v>
      </c>
      <c r="E11" s="77">
        <f>'Fin Smmry'!H39</f>
        <v>3.0991235476706187</v>
      </c>
      <c r="F11" s="77">
        <f>'Fin Smmry'!I39</f>
        <v>3.2402015712468568</v>
      </c>
      <c r="G11" s="77">
        <f>'Fin Smmry'!J39</f>
        <v>4.201117889609888</v>
      </c>
      <c r="H11" s="77">
        <f>'Fin Smmry'!K39</f>
        <v>4.2161960097986384</v>
      </c>
      <c r="I11" s="77">
        <f>'Fin Smmry'!L39</f>
        <v>4.3085441724699081</v>
      </c>
      <c r="J11" s="77">
        <f>'Fin Smmry'!M39</f>
        <v>4.402298652414129</v>
      </c>
      <c r="K11" s="77">
        <f>'Fin Smmry'!N39</f>
        <v>19.478913925436515</v>
      </c>
      <c r="L11" s="77">
        <f>'Fin Smmry'!O39</f>
        <v>12.82596407890885</v>
      </c>
      <c r="M11" s="77">
        <f>'Fin Smmry'!P39</f>
        <v>2.1516474583005945</v>
      </c>
      <c r="N11" s="77">
        <f>'Fin Smmry'!Q39</f>
        <v>0</v>
      </c>
      <c r="O11" s="77">
        <f>'Fin Smmry'!R39</f>
        <v>0</v>
      </c>
      <c r="P11" s="77">
        <f>'Fin Smmry'!S39</f>
        <v>0</v>
      </c>
      <c r="Q11" s="77">
        <f>'Fin Smmry'!T39</f>
        <v>0</v>
      </c>
      <c r="R11" s="77">
        <f>'Fin Smmry'!U39</f>
        <v>0</v>
      </c>
      <c r="S11" s="77"/>
    </row>
    <row r="12" spans="1:19">
      <c r="A12" s="59" t="s">
        <v>114</v>
      </c>
      <c r="B12" s="77"/>
      <c r="C12" s="77">
        <f>Amortisation!C15</f>
        <v>3.75</v>
      </c>
      <c r="D12" s="77">
        <f>Amortisation!D15</f>
        <v>3.75</v>
      </c>
      <c r="E12" s="77">
        <f>Amortisation!E15</f>
        <v>3.75</v>
      </c>
      <c r="F12" s="77">
        <f>Amortisation!F15</f>
        <v>3.75</v>
      </c>
      <c r="G12" s="77">
        <f>Amortisation!G15</f>
        <v>3.75</v>
      </c>
      <c r="H12" s="77">
        <f>Amortisation!H15</f>
        <v>3.75</v>
      </c>
      <c r="I12" s="77">
        <f>Amortisation!I15</f>
        <v>3.75</v>
      </c>
      <c r="J12" s="77">
        <f>Amortisation!J15</f>
        <v>3.75</v>
      </c>
      <c r="K12" s="77">
        <f>Amortisation!K15</f>
        <v>15</v>
      </c>
      <c r="L12" s="77">
        <f>Amortisation!L15</f>
        <v>15</v>
      </c>
      <c r="M12" s="77">
        <f>Amortisation!M15</f>
        <v>15</v>
      </c>
      <c r="N12" s="77">
        <f>Amortisation!N15</f>
        <v>0</v>
      </c>
      <c r="O12" s="77">
        <f>Amortisation!O15</f>
        <v>0</v>
      </c>
      <c r="P12" s="77">
        <f>Amortisation!P15</f>
        <v>0</v>
      </c>
      <c r="Q12" s="77">
        <f>Amortisation!Q15</f>
        <v>0</v>
      </c>
      <c r="R12" s="77">
        <f>Amortisation!R15</f>
        <v>0</v>
      </c>
    </row>
    <row r="13" spans="1:19">
      <c r="A13" s="59" t="s">
        <v>449</v>
      </c>
      <c r="B13" s="77"/>
      <c r="C13" s="77">
        <f>'Fin Smmry'!F101</f>
        <v>-42.906799999999997</v>
      </c>
      <c r="D13" s="77">
        <f>'Fin Smmry'!G101</f>
        <v>8.997799999999998</v>
      </c>
      <c r="E13" s="77">
        <f>'Fin Smmry'!H101</f>
        <v>0</v>
      </c>
      <c r="F13" s="77">
        <f>'Fin Smmry'!I101</f>
        <v>0</v>
      </c>
      <c r="G13" s="77">
        <f>'Fin Smmry'!J101</f>
        <v>-25.831488</v>
      </c>
      <c r="H13" s="77">
        <f>'Fin Smmry'!K101</f>
        <v>5.0589879999999994</v>
      </c>
      <c r="I13" s="77">
        <f>'Fin Smmry'!L101</f>
        <v>0</v>
      </c>
      <c r="J13" s="77">
        <f>'Fin Smmry'!M101</f>
        <v>0</v>
      </c>
      <c r="K13" s="77">
        <f>'Fin Smmry'!N101</f>
        <v>-25.177023300000016</v>
      </c>
      <c r="L13" s="77">
        <f>'Fin Smmry'!O101</f>
        <v>-28.738815546666686</v>
      </c>
      <c r="M13" s="77">
        <f>'Fin Smmry'!P101</f>
        <v>-7.7797659866666606</v>
      </c>
      <c r="N13" s="77">
        <f>'Fin Smmry'!Q101</f>
        <v>-10.167930483333294</v>
      </c>
      <c r="O13" s="77">
        <f>'Fin Smmry'!R101</f>
        <v>-11.184723531666748</v>
      </c>
      <c r="P13" s="77">
        <f>'Fin Smmry'!S101</f>
        <v>-12.303195884833315</v>
      </c>
      <c r="Q13" s="77">
        <f>'Fin Smmry'!T101</f>
        <v>-13.533515473316697</v>
      </c>
      <c r="R13" s="77">
        <f>'Fin Smmry'!U101</f>
        <v>-14.88686702064831</v>
      </c>
      <c r="S13" s="77"/>
    </row>
    <row r="14" spans="1:19">
      <c r="A14" s="330" t="s">
        <v>113</v>
      </c>
      <c r="B14" s="335"/>
      <c r="C14" s="335">
        <f t="shared" ref="C14:R14" si="0">SUM(C9:C13)</f>
        <v>-64.075999999999993</v>
      </c>
      <c r="D14" s="335">
        <f t="shared" si="0"/>
        <v>1.3252999999999879</v>
      </c>
      <c r="E14" s="335">
        <f t="shared" si="0"/>
        <v>-7.6725000000000065</v>
      </c>
      <c r="F14" s="335">
        <f t="shared" si="0"/>
        <v>-7.6725000000000048</v>
      </c>
      <c r="G14" s="335">
        <f t="shared" si="0"/>
        <v>-37.503719999999994</v>
      </c>
      <c r="H14" s="335">
        <f t="shared" si="0"/>
        <v>0.97523800000000804</v>
      </c>
      <c r="I14" s="335">
        <f t="shared" si="0"/>
        <v>-4.0837499999999949</v>
      </c>
      <c r="J14" s="335">
        <f t="shared" si="0"/>
        <v>-4.083749999999994</v>
      </c>
      <c r="K14" s="335">
        <f t="shared" si="0"/>
        <v>-20.710163099999974</v>
      </c>
      <c r="L14" s="335">
        <f t="shared" si="0"/>
        <v>374.8354513733338</v>
      </c>
      <c r="M14" s="335">
        <f t="shared" si="0"/>
        <v>445.81305501333327</v>
      </c>
      <c r="N14" s="335">
        <f t="shared" si="0"/>
        <v>488.78417261666709</v>
      </c>
      <c r="O14" s="335">
        <f t="shared" si="0"/>
        <v>537.66258987833271</v>
      </c>
      <c r="P14" s="335">
        <f t="shared" si="0"/>
        <v>591.42884886616685</v>
      </c>
      <c r="Q14" s="335">
        <f t="shared" si="0"/>
        <v>650.5717337527833</v>
      </c>
      <c r="R14" s="335">
        <f t="shared" si="0"/>
        <v>715.62890712806143</v>
      </c>
      <c r="S14" s="75">
        <f>SUM(C14:R14)</f>
        <v>3661.2229135286789</v>
      </c>
    </row>
    <row r="15" spans="1:19"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77"/>
      <c r="N15" s="77"/>
      <c r="O15" s="77"/>
      <c r="P15" s="77"/>
      <c r="Q15" s="77"/>
    </row>
    <row r="16" spans="1:19">
      <c r="A16" s="80" t="s">
        <v>112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</row>
    <row r="17" spans="1:19">
      <c r="A17" s="52" t="s">
        <v>111</v>
      </c>
      <c r="B17" s="77"/>
      <c r="C17" s="77">
        <f>'Fin Smmry'!F87</f>
        <v>-91.690000000000012</v>
      </c>
      <c r="D17" s="77">
        <f>'Fin Smmry'!G87</f>
        <v>0</v>
      </c>
      <c r="E17" s="77">
        <f>'Fin Smmry'!H87</f>
        <v>0</v>
      </c>
      <c r="F17" s="77">
        <f>'Fin Smmry'!I87</f>
        <v>0</v>
      </c>
      <c r="G17" s="77">
        <f>'Fin Smmry'!J87</f>
        <v>-42.591999999999999</v>
      </c>
      <c r="H17" s="77">
        <f>'Fin Smmry'!K87</f>
        <v>0</v>
      </c>
      <c r="I17" s="77">
        <f>'Fin Smmry'!L87</f>
        <v>0</v>
      </c>
      <c r="J17" s="77">
        <f>'Fin Smmry'!M87</f>
        <v>0</v>
      </c>
      <c r="K17" s="77">
        <f>'Fin Smmry'!N87</f>
        <v>-49.876200000000011</v>
      </c>
      <c r="L17" s="77">
        <f>'Fin Smmry'!O87</f>
        <v>-50.205320000000007</v>
      </c>
      <c r="M17" s="77">
        <f>'Fin Smmry'!P87</f>
        <v>0</v>
      </c>
      <c r="N17" s="77">
        <f>'Fin Smmry'!Q87</f>
        <v>0</v>
      </c>
      <c r="O17" s="77">
        <f>'Fin Smmry'!R87</f>
        <v>0</v>
      </c>
      <c r="P17" s="77">
        <f>'Fin Smmry'!S87</f>
        <v>0</v>
      </c>
      <c r="Q17" s="77">
        <f>'Fin Smmry'!T87</f>
        <v>0</v>
      </c>
      <c r="R17" s="77">
        <f>'Fin Smmry'!U87</f>
        <v>0</v>
      </c>
    </row>
    <row r="18" spans="1:19">
      <c r="A18" s="52" t="s">
        <v>482</v>
      </c>
      <c r="B18" s="77"/>
      <c r="C18" s="77">
        <f>-'Fin Smmry'!F111</f>
        <v>-75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9">
      <c r="A19" s="330" t="s">
        <v>110</v>
      </c>
      <c r="B19" s="335"/>
      <c r="C19" s="335">
        <f t="shared" ref="C19:R19" si="1">SUM(C17:C18)</f>
        <v>-166.69</v>
      </c>
      <c r="D19" s="335">
        <f t="shared" si="1"/>
        <v>0</v>
      </c>
      <c r="E19" s="335">
        <f t="shared" si="1"/>
        <v>0</v>
      </c>
      <c r="F19" s="335">
        <f t="shared" si="1"/>
        <v>0</v>
      </c>
      <c r="G19" s="335">
        <f t="shared" si="1"/>
        <v>-42.591999999999999</v>
      </c>
      <c r="H19" s="335">
        <f t="shared" si="1"/>
        <v>0</v>
      </c>
      <c r="I19" s="335">
        <f t="shared" si="1"/>
        <v>0</v>
      </c>
      <c r="J19" s="335">
        <f t="shared" si="1"/>
        <v>0</v>
      </c>
      <c r="K19" s="335">
        <f t="shared" si="1"/>
        <v>-49.876200000000011</v>
      </c>
      <c r="L19" s="335">
        <f t="shared" si="1"/>
        <v>-50.205320000000007</v>
      </c>
      <c r="M19" s="335">
        <f t="shared" si="1"/>
        <v>0</v>
      </c>
      <c r="N19" s="335">
        <f t="shared" si="1"/>
        <v>0</v>
      </c>
      <c r="O19" s="335">
        <f t="shared" si="1"/>
        <v>0</v>
      </c>
      <c r="P19" s="335">
        <f t="shared" si="1"/>
        <v>0</v>
      </c>
      <c r="Q19" s="335">
        <f t="shared" si="1"/>
        <v>0</v>
      </c>
      <c r="R19" s="335">
        <f t="shared" si="1"/>
        <v>0</v>
      </c>
      <c r="S19" s="558">
        <f>SUM(C19:R19)</f>
        <v>-309.36351999999999</v>
      </c>
    </row>
    <row r="20" spans="1:19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9">
      <c r="A21" s="80" t="s">
        <v>109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</row>
    <row r="22" spans="1:19">
      <c r="A22" s="52" t="s">
        <v>108</v>
      </c>
      <c r="B22" s="56"/>
      <c r="C22" s="56">
        <f>'Fin Smmry'!F83</f>
        <v>35</v>
      </c>
      <c r="D22" s="56">
        <f>'Fin Smmry'!G83</f>
        <v>0</v>
      </c>
      <c r="E22" s="56">
        <f>'Fin Smmry'!H83</f>
        <v>0</v>
      </c>
      <c r="F22" s="56">
        <f>'Fin Smmry'!I83</f>
        <v>0</v>
      </c>
      <c r="G22" s="56">
        <f>'Fin Smmry'!J83</f>
        <v>18</v>
      </c>
      <c r="H22" s="56">
        <f>'Fin Smmry'!K83</f>
        <v>0</v>
      </c>
      <c r="I22" s="56">
        <f>'Fin Smmry'!L83</f>
        <v>0</v>
      </c>
      <c r="J22" s="56">
        <f>'Fin Smmry'!M83</f>
        <v>0</v>
      </c>
      <c r="K22" s="56">
        <f>'Fin Smmry'!N83</f>
        <v>15</v>
      </c>
      <c r="L22" s="56">
        <f>'Fin Smmry'!O83</f>
        <v>0</v>
      </c>
      <c r="M22" s="56">
        <f>'Fin Smmry'!P83</f>
        <v>0</v>
      </c>
      <c r="N22" s="56">
        <f>'Fin Smmry'!Q83</f>
        <v>0</v>
      </c>
      <c r="O22" s="56">
        <f>'Fin Smmry'!R83</f>
        <v>0</v>
      </c>
      <c r="P22" s="56">
        <f>'Fin Smmry'!S83</f>
        <v>0</v>
      </c>
      <c r="Q22" s="56">
        <f>'Fin Smmry'!T83</f>
        <v>0</v>
      </c>
      <c r="R22" s="56">
        <f>'Fin Smmry'!U83</f>
        <v>0</v>
      </c>
    </row>
    <row r="23" spans="1:19">
      <c r="A23" s="52" t="s">
        <v>43</v>
      </c>
      <c r="B23" s="56"/>
      <c r="C23" s="56">
        <f>'Balance Sheet'!C34</f>
        <v>0</v>
      </c>
      <c r="D23" s="56">
        <f>'Balance Sheet'!D34-'Balance Sheet'!C34</f>
        <v>0</v>
      </c>
      <c r="E23" s="56">
        <f>'Balance Sheet'!E34-'Balance Sheet'!D34</f>
        <v>0</v>
      </c>
      <c r="F23" s="56">
        <f>'Balance Sheet'!F34-'Balance Sheet'!E34</f>
        <v>0</v>
      </c>
      <c r="G23" s="56">
        <f>'Balance Sheet'!G34-'Balance Sheet'!F34</f>
        <v>0</v>
      </c>
      <c r="H23" s="56">
        <f>'Balance Sheet'!H34-'Balance Sheet'!G34</f>
        <v>0</v>
      </c>
      <c r="I23" s="56">
        <f>'Balance Sheet'!I34-'Balance Sheet'!H34</f>
        <v>0</v>
      </c>
      <c r="J23" s="56">
        <f>'Balance Sheet'!J34-'Balance Sheet'!I34</f>
        <v>0</v>
      </c>
      <c r="K23" s="56">
        <f>'Balance Sheet'!K34-'Balance Sheet'!J34</f>
        <v>0</v>
      </c>
      <c r="L23" s="56">
        <f>'Balance Sheet'!L34-'Balance Sheet'!K34</f>
        <v>0</v>
      </c>
      <c r="M23" s="56">
        <f>'Balance Sheet'!M34-'Balance Sheet'!L34</f>
        <v>0</v>
      </c>
      <c r="N23" s="56">
        <f>'Balance Sheet'!N34-'Balance Sheet'!M34</f>
        <v>0</v>
      </c>
      <c r="O23" s="56">
        <f>'Balance Sheet'!O34-'Balance Sheet'!N34</f>
        <v>0</v>
      </c>
      <c r="P23" s="56">
        <f>'Balance Sheet'!P34-'Balance Sheet'!O34</f>
        <v>0</v>
      </c>
      <c r="Q23" s="56">
        <f>'Balance Sheet'!Q34-'Balance Sheet'!P34</f>
        <v>0</v>
      </c>
      <c r="R23" s="56">
        <f>'Balance Sheet'!R34-'Balance Sheet'!Q34</f>
        <v>0</v>
      </c>
    </row>
    <row r="24" spans="1:19">
      <c r="A24" s="52" t="s">
        <v>427</v>
      </c>
      <c r="B24" s="56"/>
      <c r="C24" s="56">
        <f>'Fin Smmry'!F85</f>
        <v>1.5074999999999998</v>
      </c>
      <c r="D24" s="56">
        <f>'Fin Smmry'!G85</f>
        <v>1.5074999999999998</v>
      </c>
      <c r="E24" s="56">
        <f>'Fin Smmry'!H85</f>
        <v>1.5074999999999998</v>
      </c>
      <c r="F24" s="56">
        <f>'Fin Smmry'!I85</f>
        <v>1.5074999999999998</v>
      </c>
      <c r="G24" s="56">
        <f>'Fin Smmry'!J85</f>
        <v>2.2357500000000003</v>
      </c>
      <c r="H24" s="56">
        <f>'Fin Smmry'!K85</f>
        <v>2.2357500000000003</v>
      </c>
      <c r="I24" s="56">
        <f>'Fin Smmry'!L85</f>
        <v>2.2357500000000003</v>
      </c>
      <c r="J24" s="56">
        <f>'Fin Smmry'!M85</f>
        <v>2.2357500000000003</v>
      </c>
      <c r="K24" s="56">
        <f>'Fin Smmry'!N85</f>
        <v>12.741300000000001</v>
      </c>
      <c r="L24" s="56">
        <f>'Fin Smmry'!O85</f>
        <v>-27.714300000000001</v>
      </c>
      <c r="M24" s="56">
        <f>'Fin Smmry'!P85</f>
        <v>0</v>
      </c>
      <c r="N24" s="56">
        <f>'Fin Smmry'!Q85</f>
        <v>0</v>
      </c>
      <c r="O24" s="56">
        <f>'Fin Smmry'!R85</f>
        <v>0</v>
      </c>
      <c r="P24" s="56">
        <f>'Fin Smmry'!S85</f>
        <v>0</v>
      </c>
      <c r="Q24" s="56">
        <f>'Fin Smmry'!T85</f>
        <v>0</v>
      </c>
      <c r="R24" s="56">
        <f>'Fin Smmry'!U85</f>
        <v>0</v>
      </c>
    </row>
    <row r="25" spans="1:19">
      <c r="A25" s="52" t="s">
        <v>107</v>
      </c>
      <c r="B25" s="56"/>
      <c r="C25" s="56">
        <f>'Loan-Int'!C24</f>
        <v>197.21675126903565</v>
      </c>
      <c r="D25" s="56">
        <f>'Loan-Int'!C25</f>
        <v>0.12736169445304313</v>
      </c>
      <c r="E25" s="56">
        <f>'Loan-Int'!C26</f>
        <v>9.2641235476706356</v>
      </c>
      <c r="F25" s="56">
        <f>'Loan-Int'!C27</f>
        <v>9.4052015712468631</v>
      </c>
      <c r="G25" s="56">
        <f>'Loan-Int'!C28</f>
        <v>64.061087889609894</v>
      </c>
      <c r="H25" s="56">
        <f>'Loan-Int'!C29</f>
        <v>1.0052080097986504</v>
      </c>
      <c r="I25" s="56">
        <f>'Loan-Int'!C30</f>
        <v>6.1565441724699213</v>
      </c>
      <c r="J25" s="56">
        <f>'Loan-Int'!C31</f>
        <v>6.2502986524141306</v>
      </c>
      <c r="K25" s="56">
        <f>'Loan-Int'!C32</f>
        <v>62.323977025436477</v>
      </c>
      <c r="L25" s="56">
        <f>'Loan-Int'!C33</f>
        <v>-284.08986729442495</v>
      </c>
      <c r="M25" s="56">
        <f>'Loan-Int'!C34</f>
        <v>-71.720686537710321</v>
      </c>
      <c r="N25" s="56">
        <f>'Loan-Int'!C35</f>
        <v>0</v>
      </c>
      <c r="O25" s="56">
        <f>'Loan-Int'!C36</f>
        <v>0</v>
      </c>
      <c r="P25" s="56">
        <f>'Loan-Int'!C37</f>
        <v>0</v>
      </c>
      <c r="Q25" s="56">
        <f>'Loan-Int'!C38</f>
        <v>0</v>
      </c>
      <c r="R25" s="56">
        <f>'Loan-Int'!C39</f>
        <v>0</v>
      </c>
    </row>
    <row r="26" spans="1:19">
      <c r="A26" s="52" t="s">
        <v>464</v>
      </c>
      <c r="B26" s="56"/>
      <c r="C26" s="56">
        <f>'Fin Smmry'!F39</f>
        <v>2.9582512690356242</v>
      </c>
      <c r="D26" s="56">
        <f>'Fin Smmry'!G39</f>
        <v>2.9601616944530478</v>
      </c>
      <c r="E26" s="56">
        <f>'Fin Smmry'!H39</f>
        <v>3.0991235476706187</v>
      </c>
      <c r="F26" s="56">
        <f>'Fin Smmry'!I39</f>
        <v>3.2402015712468568</v>
      </c>
      <c r="G26" s="56">
        <f>'Fin Smmry'!J39</f>
        <v>4.201117889609888</v>
      </c>
      <c r="H26" s="56">
        <f>'Fin Smmry'!K39</f>
        <v>4.2161960097986384</v>
      </c>
      <c r="I26" s="56">
        <f>'Fin Smmry'!L39</f>
        <v>4.3085441724699081</v>
      </c>
      <c r="J26" s="56">
        <f>'Fin Smmry'!M39</f>
        <v>4.402298652414129</v>
      </c>
      <c r="K26" s="56">
        <f>'Fin Smmry'!N39</f>
        <v>19.478913925436515</v>
      </c>
      <c r="L26" s="56">
        <f>'Fin Smmry'!O39</f>
        <v>12.82596407890885</v>
      </c>
      <c r="M26" s="56">
        <f>'Fin Smmry'!P39</f>
        <v>2.1516474583005945</v>
      </c>
      <c r="N26" s="56">
        <f>'Fin Smmry'!Q39</f>
        <v>0</v>
      </c>
      <c r="O26" s="56">
        <f>'Fin Smmry'!R39</f>
        <v>0</v>
      </c>
      <c r="P26" s="56">
        <f>'Fin Smmry'!S39</f>
        <v>0</v>
      </c>
      <c r="Q26" s="56">
        <f>'Fin Smmry'!T39</f>
        <v>0</v>
      </c>
      <c r="R26" s="56">
        <f>'Fin Smmry'!U39</f>
        <v>0</v>
      </c>
    </row>
    <row r="27" spans="1:19">
      <c r="A27" s="78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spans="1:19">
      <c r="A28" s="330" t="s">
        <v>106</v>
      </c>
      <c r="B28" s="335"/>
      <c r="C28" s="335">
        <f>SUM(C22:C25)-C26</f>
        <v>230.76600000000002</v>
      </c>
      <c r="D28" s="335">
        <f t="shared" ref="D28:R28" si="2">SUM(D22:D25)-D26</f>
        <v>-1.3253000000000048</v>
      </c>
      <c r="E28" s="335">
        <f t="shared" si="2"/>
        <v>7.6725000000000172</v>
      </c>
      <c r="F28" s="335">
        <f t="shared" si="2"/>
        <v>7.6725000000000065</v>
      </c>
      <c r="G28" s="335">
        <f t="shared" si="2"/>
        <v>80.09572</v>
      </c>
      <c r="H28" s="335">
        <f t="shared" si="2"/>
        <v>-0.97523799999998761</v>
      </c>
      <c r="I28" s="335">
        <f>SUM(I22:I25)-I26</f>
        <v>4.0837500000000126</v>
      </c>
      <c r="J28" s="335">
        <f t="shared" si="2"/>
        <v>4.0837500000000011</v>
      </c>
      <c r="K28" s="335">
        <f t="shared" si="2"/>
        <v>70.586363099999957</v>
      </c>
      <c r="L28" s="335">
        <f t="shared" si="2"/>
        <v>-324.63013137333377</v>
      </c>
      <c r="M28" s="335">
        <f t="shared" si="2"/>
        <v>-73.872333996010923</v>
      </c>
      <c r="N28" s="335">
        <f t="shared" si="2"/>
        <v>0</v>
      </c>
      <c r="O28" s="335">
        <f t="shared" si="2"/>
        <v>0</v>
      </c>
      <c r="P28" s="335">
        <f t="shared" si="2"/>
        <v>0</v>
      </c>
      <c r="Q28" s="335">
        <f t="shared" si="2"/>
        <v>0</v>
      </c>
      <c r="R28" s="335">
        <f t="shared" si="2"/>
        <v>0</v>
      </c>
      <c r="S28" s="558">
        <f>SUM(C28:R28)</f>
        <v>4.1575797306553568</v>
      </c>
    </row>
    <row r="29" spans="1:19"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</row>
    <row r="30" spans="1:19">
      <c r="A30" s="330" t="s">
        <v>105</v>
      </c>
      <c r="B30" s="335"/>
      <c r="C30" s="335">
        <f t="shared" ref="C30:R30" si="3">C14+C19+C28</f>
        <v>0</v>
      </c>
      <c r="D30" s="335">
        <f t="shared" si="3"/>
        <v>-1.6875389974302379E-14</v>
      </c>
      <c r="E30" s="335">
        <f t="shared" si="3"/>
        <v>1.0658141036401503E-14</v>
      </c>
      <c r="F30" s="335">
        <f t="shared" si="3"/>
        <v>0</v>
      </c>
      <c r="G30" s="335">
        <f t="shared" si="3"/>
        <v>0</v>
      </c>
      <c r="H30" s="335">
        <f t="shared" si="3"/>
        <v>2.042810365310288E-14</v>
      </c>
      <c r="I30" s="335">
        <f t="shared" si="3"/>
        <v>1.7763568394002505E-14</v>
      </c>
      <c r="J30" s="335">
        <f t="shared" si="3"/>
        <v>7.1054273576010019E-15</v>
      </c>
      <c r="K30" s="335">
        <f t="shared" si="3"/>
        <v>0</v>
      </c>
      <c r="L30" s="335">
        <f t="shared" si="3"/>
        <v>0</v>
      </c>
      <c r="M30" s="335">
        <f t="shared" si="3"/>
        <v>371.94072101732235</v>
      </c>
      <c r="N30" s="335">
        <f t="shared" si="3"/>
        <v>488.78417261666709</v>
      </c>
      <c r="O30" s="335">
        <f t="shared" si="3"/>
        <v>537.66258987833271</v>
      </c>
      <c r="P30" s="335">
        <f t="shared" si="3"/>
        <v>591.42884886616685</v>
      </c>
      <c r="Q30" s="335">
        <f t="shared" si="3"/>
        <v>650.5717337527833</v>
      </c>
      <c r="R30" s="335">
        <f t="shared" si="3"/>
        <v>715.62890712806143</v>
      </c>
    </row>
    <row r="31" spans="1:19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9">
      <c r="A32" s="330" t="s">
        <v>104</v>
      </c>
      <c r="B32" s="335"/>
      <c r="C32" s="335">
        <f>C30</f>
        <v>0</v>
      </c>
      <c r="D32" s="335">
        <f t="shared" ref="D32:K32" si="4">C32+D30</f>
        <v>-1.6875389974302379E-14</v>
      </c>
      <c r="E32" s="335">
        <f t="shared" si="4"/>
        <v>-6.2172489379008766E-15</v>
      </c>
      <c r="F32" s="335">
        <f t="shared" si="4"/>
        <v>-6.2172489379008766E-15</v>
      </c>
      <c r="G32" s="335">
        <f t="shared" si="4"/>
        <v>-6.2172489379008766E-15</v>
      </c>
      <c r="H32" s="335">
        <f t="shared" si="4"/>
        <v>1.4210854715202004E-14</v>
      </c>
      <c r="I32" s="335">
        <f t="shared" si="4"/>
        <v>3.1974423109204508E-14</v>
      </c>
      <c r="J32" s="335">
        <f t="shared" si="4"/>
        <v>3.907985046680551E-14</v>
      </c>
      <c r="K32" s="335">
        <f t="shared" si="4"/>
        <v>3.907985046680551E-14</v>
      </c>
      <c r="L32" s="335">
        <f t="shared" ref="L32:R32" si="5">K32+L30</f>
        <v>3.907985046680551E-14</v>
      </c>
      <c r="M32" s="335">
        <f t="shared" si="5"/>
        <v>371.9407210173224</v>
      </c>
      <c r="N32" s="335">
        <f t="shared" si="5"/>
        <v>860.7248936339895</v>
      </c>
      <c r="O32" s="335">
        <f t="shared" si="5"/>
        <v>1398.3874835123222</v>
      </c>
      <c r="P32" s="335">
        <f t="shared" si="5"/>
        <v>1989.8163323784891</v>
      </c>
      <c r="Q32" s="335">
        <f t="shared" si="5"/>
        <v>2640.3880661312724</v>
      </c>
      <c r="R32" s="335">
        <f t="shared" si="5"/>
        <v>3356.016973259334</v>
      </c>
    </row>
    <row r="33" spans="1:18">
      <c r="B33" s="76"/>
      <c r="C33" s="76">
        <f>C32-'Balance Sheet'!C10</f>
        <v>0</v>
      </c>
      <c r="D33" s="76">
        <f>D32-'Balance Sheet'!D10</f>
        <v>-8.1268325402561459E-13</v>
      </c>
      <c r="E33" s="76">
        <f>E32-'Balance Sheet'!E10</f>
        <v>-4.0420999880552699E-12</v>
      </c>
      <c r="F33" s="76">
        <f>F32-'Balance Sheet'!F10</f>
        <v>-1.4813927862178389E-11</v>
      </c>
      <c r="G33" s="76">
        <f>G32-'Balance Sheet'!G10</f>
        <v>-4.4457770798089769E-11</v>
      </c>
      <c r="H33" s="76">
        <f>H32-'Balance Sheet'!H10</f>
        <v>-1.1588952020247234E-10</v>
      </c>
      <c r="I33" s="76">
        <f>I32-'Balance Sheet'!I10</f>
        <v>-2.7150903747497068E-10</v>
      </c>
      <c r="J33" s="76">
        <f>J32-'Balance Sheet'!J10</f>
        <v>-5.8516391732155171E-10</v>
      </c>
      <c r="K33" s="76">
        <f>K32-'Balance Sheet'!K10</f>
        <v>-6.8566698985250696E-9</v>
      </c>
      <c r="L33" s="76">
        <f>L32-'Balance Sheet'!L10</f>
        <v>-2.6874670101761922E-5</v>
      </c>
      <c r="M33" s="76">
        <f>M32-'Balance Sheet'!M10</f>
        <v>-5.3736839390694513E-5</v>
      </c>
      <c r="N33" s="76">
        <f>N32-'Balance Sheet'!N10</f>
        <v>-5.3736839390694513E-5</v>
      </c>
      <c r="O33" s="76">
        <f>O32-'Balance Sheet'!O10</f>
        <v>-5.3736839618068188E-5</v>
      </c>
      <c r="P33" s="76">
        <f>P32-'Balance Sheet'!P10</f>
        <v>-5.3736839390694513E-5</v>
      </c>
      <c r="Q33" s="76">
        <f>Q32-'Balance Sheet'!Q10</f>
        <v>-5.3736839618068188E-5</v>
      </c>
      <c r="R33" s="76">
        <f>R32-'Balance Sheet'!R10</f>
        <v>-5.3736839163320838E-5</v>
      </c>
    </row>
    <row r="34" spans="1:18">
      <c r="A34" s="45" t="s">
        <v>70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8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1:18">
      <c r="A36" s="47" t="s">
        <v>103</v>
      </c>
      <c r="B36" s="75"/>
      <c r="C36" s="75">
        <f t="shared" ref="C36:R36" si="6">C14+C19</f>
        <v>-230.76599999999999</v>
      </c>
      <c r="D36" s="75">
        <f t="shared" si="6"/>
        <v>1.3252999999999879</v>
      </c>
      <c r="E36" s="75">
        <f t="shared" si="6"/>
        <v>-7.6725000000000065</v>
      </c>
      <c r="F36" s="75">
        <f t="shared" si="6"/>
        <v>-7.6725000000000048</v>
      </c>
      <c r="G36" s="75">
        <f t="shared" si="6"/>
        <v>-80.09572</v>
      </c>
      <c r="H36" s="75">
        <f t="shared" si="6"/>
        <v>0.97523800000000804</v>
      </c>
      <c r="I36" s="75">
        <f t="shared" si="6"/>
        <v>-4.0837499999999949</v>
      </c>
      <c r="J36" s="75">
        <f t="shared" si="6"/>
        <v>-4.083749999999994</v>
      </c>
      <c r="K36" s="75">
        <f t="shared" si="6"/>
        <v>-70.586363099999986</v>
      </c>
      <c r="L36" s="75">
        <f t="shared" si="6"/>
        <v>324.63013137333377</v>
      </c>
      <c r="M36" s="75">
        <f t="shared" si="6"/>
        <v>445.81305501333327</v>
      </c>
      <c r="N36" s="75">
        <f t="shared" si="6"/>
        <v>488.78417261666709</v>
      </c>
      <c r="O36" s="75">
        <f t="shared" si="6"/>
        <v>537.66258987833271</v>
      </c>
      <c r="P36" s="75">
        <f t="shared" si="6"/>
        <v>591.42884886616685</v>
      </c>
      <c r="Q36" s="75">
        <f t="shared" si="6"/>
        <v>650.5717337527833</v>
      </c>
      <c r="R36" s="75">
        <f t="shared" si="6"/>
        <v>715.62890712806143</v>
      </c>
    </row>
    <row r="37" spans="1:18">
      <c r="B37" s="56"/>
      <c r="C37" s="56"/>
      <c r="D37" s="56"/>
      <c r="E37" s="56"/>
      <c r="F37" s="56"/>
      <c r="G37" s="56"/>
      <c r="H37" s="56"/>
      <c r="I37" s="56"/>
      <c r="J37" s="494"/>
      <c r="K37" s="494"/>
      <c r="L37" s="494"/>
      <c r="M37" s="494"/>
      <c r="N37" s="494"/>
      <c r="O37" s="494"/>
      <c r="P37" s="494"/>
      <c r="Q37" s="494"/>
      <c r="R37" s="494"/>
    </row>
    <row r="38" spans="1:18">
      <c r="A38" s="47" t="s">
        <v>102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4"/>
      <c r="R38" s="74">
        <f>IRR(C36:R36,0.01)</f>
        <v>0.23790486784649031</v>
      </c>
    </row>
    <row r="39" spans="1:18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495"/>
    </row>
    <row r="40" spans="1:18">
      <c r="A40" s="526" t="s">
        <v>71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1:18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</row>
  </sheetData>
  <mergeCells count="3">
    <mergeCell ref="A1:R1"/>
    <mergeCell ref="C6:F6"/>
    <mergeCell ref="G6:J6"/>
  </mergeCells>
  <hyperlinks>
    <hyperlink ref="A3" location="Index!A1" display="BACK TO INDEX"/>
    <hyperlink ref="A40" location="Index!A1" display="BACK TO INDEX"/>
  </hyperlinks>
  <pageMargins left="0.55000000000000004" right="0.56000000000000005" top="0.45" bottom="0.52" header="0.3" footer="0.3"/>
  <pageSetup scale="9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S29"/>
  <sheetViews>
    <sheetView topLeftCell="A5" zoomScale="80" zoomScaleNormal="80" workbookViewId="0">
      <selection activeCell="V22" sqref="V22"/>
    </sheetView>
  </sheetViews>
  <sheetFormatPr defaultRowHeight="15"/>
  <cols>
    <col min="1" max="1" width="82" style="672" bestFit="1" customWidth="1"/>
    <col min="2" max="2" width="9.85546875" style="672" customWidth="1"/>
    <col min="3" max="10" width="5" style="672" bestFit="1" customWidth="1"/>
    <col min="11" max="17" width="6.7109375" style="672" bestFit="1" customWidth="1"/>
    <col min="18" max="18" width="7.85546875" style="672" bestFit="1" customWidth="1"/>
    <col min="19" max="19" width="5" style="672" bestFit="1" customWidth="1"/>
    <col min="20" max="16384" width="9.140625" style="672"/>
  </cols>
  <sheetData>
    <row r="1" spans="1:18">
      <c r="A1" s="1016" t="s">
        <v>121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6"/>
      <c r="R1" s="1016"/>
    </row>
    <row r="2" spans="1:18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>
      <c r="A3" s="83" t="s">
        <v>71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673" t="s">
        <v>120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673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B6" s="674"/>
      <c r="C6" s="1015" t="s">
        <v>143</v>
      </c>
      <c r="D6" s="1015"/>
      <c r="E6" s="1015"/>
      <c r="F6" s="1015"/>
      <c r="G6" s="1015" t="s">
        <v>144</v>
      </c>
      <c r="H6" s="1015"/>
      <c r="I6" s="1015"/>
      <c r="J6" s="1015"/>
      <c r="K6" s="674" t="str">
        <f>'Balance Sheet'!K6</f>
        <v>Year 3</v>
      </c>
      <c r="L6" s="674" t="str">
        <f>'Balance Sheet'!L6</f>
        <v>Year 4</v>
      </c>
      <c r="M6" s="674" t="str">
        <f>'Balance Sheet'!M6</f>
        <v>Year 5</v>
      </c>
      <c r="N6" s="674" t="str">
        <f>'Balance Sheet'!N6</f>
        <v>Year 6</v>
      </c>
      <c r="O6" s="674" t="str">
        <f>'Balance Sheet'!O6</f>
        <v>Year 7</v>
      </c>
      <c r="P6" s="674" t="str">
        <f>'Balance Sheet'!P6</f>
        <v>Year 8</v>
      </c>
      <c r="Q6" s="674" t="str">
        <f>'Balance Sheet'!Q6</f>
        <v>Year 9</v>
      </c>
      <c r="R6" s="674" t="str">
        <f>'Balance Sheet'!R6</f>
        <v>Year 10</v>
      </c>
    </row>
    <row r="7" spans="1:18">
      <c r="B7" s="675"/>
      <c r="C7" s="676" t="s">
        <v>407</v>
      </c>
      <c r="D7" s="676" t="s">
        <v>408</v>
      </c>
      <c r="E7" s="676" t="s">
        <v>409</v>
      </c>
      <c r="F7" s="676" t="s">
        <v>410</v>
      </c>
      <c r="G7" s="676" t="s">
        <v>407</v>
      </c>
      <c r="H7" s="676" t="s">
        <v>408</v>
      </c>
      <c r="I7" s="676" t="s">
        <v>409</v>
      </c>
      <c r="J7" s="676" t="s">
        <v>410</v>
      </c>
      <c r="K7" s="675"/>
      <c r="L7" s="675"/>
      <c r="M7" s="675"/>
      <c r="N7" s="675"/>
      <c r="O7" s="675"/>
      <c r="P7" s="675"/>
      <c r="Q7" s="675"/>
      <c r="R7" s="675"/>
    </row>
    <row r="8" spans="1:18" s="678" customFormat="1">
      <c r="A8" s="677" t="s">
        <v>119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</row>
    <row r="9" spans="1:18">
      <c r="A9" s="429" t="str">
        <f>'Fin Smmry'!A8</f>
        <v>Hospitality course : House keeping (60 Days, 240 hrs)</v>
      </c>
      <c r="B9" s="679"/>
      <c r="C9" s="679">
        <f>'Fin Smmry'!F8</f>
        <v>3</v>
      </c>
      <c r="D9" s="679">
        <f>'Fin Smmry'!G8</f>
        <v>3</v>
      </c>
      <c r="E9" s="679">
        <f>'Fin Smmry'!H8</f>
        <v>3</v>
      </c>
      <c r="F9" s="679">
        <f>'Fin Smmry'!I8</f>
        <v>3</v>
      </c>
      <c r="G9" s="679">
        <f>'Fin Smmry'!J8</f>
        <v>5.7750000000000004</v>
      </c>
      <c r="H9" s="679">
        <f>'Fin Smmry'!K8</f>
        <v>5.7750000000000004</v>
      </c>
      <c r="I9" s="679">
        <f>'Fin Smmry'!L8</f>
        <v>5.7750000000000004</v>
      </c>
      <c r="J9" s="679">
        <f>'Fin Smmry'!M8</f>
        <v>5.7750000000000004</v>
      </c>
      <c r="K9" s="679">
        <f>'Fin Smmry'!N8</f>
        <v>36.300000000000004</v>
      </c>
      <c r="L9" s="679">
        <f>'Fin Smmry'!O8</f>
        <v>79.860000000000014</v>
      </c>
      <c r="M9" s="679">
        <f>'Fin Smmry'!P8</f>
        <v>87.846000000000018</v>
      </c>
      <c r="N9" s="679">
        <f>'Fin Smmry'!Q8</f>
        <v>96.630600000000001</v>
      </c>
      <c r="O9" s="679">
        <f>'Fin Smmry'!R8</f>
        <v>106.29366</v>
      </c>
      <c r="P9" s="679">
        <f>'Fin Smmry'!S8</f>
        <v>116.92302600000002</v>
      </c>
      <c r="Q9" s="679">
        <f>'Fin Smmry'!T8</f>
        <v>128.61532860000003</v>
      </c>
      <c r="R9" s="679">
        <f>'Fin Smmry'!U8</f>
        <v>141.47686146000001</v>
      </c>
    </row>
    <row r="10" spans="1:18">
      <c r="A10" s="429" t="str">
        <f>'Fin Smmry'!A9</f>
        <v>Hospitality course : Front Office Management (40Days, 180 hrs)</v>
      </c>
      <c r="B10" s="679"/>
      <c r="C10" s="679">
        <f>'Fin Smmry'!F9</f>
        <v>6.3</v>
      </c>
      <c r="D10" s="679">
        <f>'Fin Smmry'!G9</f>
        <v>6.3</v>
      </c>
      <c r="E10" s="679">
        <f>'Fin Smmry'!H9</f>
        <v>6.3</v>
      </c>
      <c r="F10" s="679">
        <f>'Fin Smmry'!I9</f>
        <v>6.3</v>
      </c>
      <c r="G10" s="679">
        <f>'Fin Smmry'!J9</f>
        <v>12.127500000000003</v>
      </c>
      <c r="H10" s="679">
        <f>'Fin Smmry'!K9</f>
        <v>12.127500000000003</v>
      </c>
      <c r="I10" s="679">
        <f>'Fin Smmry'!L9</f>
        <v>12.127500000000003</v>
      </c>
      <c r="J10" s="679">
        <f>'Fin Smmry'!M9</f>
        <v>12.127500000000003</v>
      </c>
      <c r="K10" s="679">
        <f>'Fin Smmry'!N9</f>
        <v>76.230000000000018</v>
      </c>
      <c r="L10" s="679">
        <f>'Fin Smmry'!O9</f>
        <v>167.70600000000005</v>
      </c>
      <c r="M10" s="679">
        <f>'Fin Smmry'!P9</f>
        <v>184.47659999999999</v>
      </c>
      <c r="N10" s="679">
        <f>'Fin Smmry'!Q9</f>
        <v>202.92426000000003</v>
      </c>
      <c r="O10" s="679">
        <f>'Fin Smmry'!R9</f>
        <v>223.21668600000001</v>
      </c>
      <c r="P10" s="679">
        <f>'Fin Smmry'!S9</f>
        <v>245.53835460000002</v>
      </c>
      <c r="Q10" s="679">
        <f>'Fin Smmry'!T9</f>
        <v>270.09219006000006</v>
      </c>
      <c r="R10" s="679">
        <f>'Fin Smmry'!U9</f>
        <v>297.10140906600003</v>
      </c>
    </row>
    <row r="11" spans="1:18">
      <c r="A11" s="429" t="str">
        <f>'Fin Smmry'!A10</f>
        <v>Hospitality course : Food &amp; Beverages (40 Days, 180 hrs)</v>
      </c>
      <c r="B11" s="679"/>
      <c r="C11" s="679">
        <f>'Fin Smmry'!F10</f>
        <v>2.25</v>
      </c>
      <c r="D11" s="679">
        <f>'Fin Smmry'!G10</f>
        <v>2.25</v>
      </c>
      <c r="E11" s="679">
        <f>'Fin Smmry'!H10</f>
        <v>2.25</v>
      </c>
      <c r="F11" s="679">
        <f>'Fin Smmry'!I10</f>
        <v>2.25</v>
      </c>
      <c r="G11" s="679">
        <f>'Fin Smmry'!J10</f>
        <v>6.1875</v>
      </c>
      <c r="H11" s="679">
        <f>'Fin Smmry'!K10</f>
        <v>6.1875</v>
      </c>
      <c r="I11" s="679">
        <f>'Fin Smmry'!L10</f>
        <v>6.1875</v>
      </c>
      <c r="J11" s="679">
        <f>'Fin Smmry'!M10</f>
        <v>6.1875</v>
      </c>
      <c r="K11" s="679">
        <f>'Fin Smmry'!N10</f>
        <v>43.560000000000009</v>
      </c>
      <c r="L11" s="679">
        <f>'Fin Smmry'!O10</f>
        <v>99.825000000000017</v>
      </c>
      <c r="M11" s="679">
        <f>'Fin Smmry'!P10</f>
        <v>109.80750000000002</v>
      </c>
      <c r="N11" s="679">
        <f>'Fin Smmry'!Q10</f>
        <v>120.78825000000001</v>
      </c>
      <c r="O11" s="679">
        <f>'Fin Smmry'!R10</f>
        <v>132.867075</v>
      </c>
      <c r="P11" s="679">
        <f>'Fin Smmry'!S10</f>
        <v>146.15378250000001</v>
      </c>
      <c r="Q11" s="679">
        <f>'Fin Smmry'!T10</f>
        <v>160.76916075000003</v>
      </c>
      <c r="R11" s="679">
        <f>'Fin Smmry'!U10</f>
        <v>176.84607682500001</v>
      </c>
    </row>
    <row r="12" spans="1:18">
      <c r="A12" s="429" t="str">
        <f>'Fin Smmry'!A11</f>
        <v>IT/ITES : BPO Voice (60 Days, 180 hrs)</v>
      </c>
      <c r="B12" s="679"/>
      <c r="C12" s="679">
        <f>'Fin Smmry'!F11</f>
        <v>4.2</v>
      </c>
      <c r="D12" s="679">
        <f>'Fin Smmry'!G11</f>
        <v>4.2</v>
      </c>
      <c r="E12" s="679">
        <f>'Fin Smmry'!H11</f>
        <v>4.2</v>
      </c>
      <c r="F12" s="679">
        <f>'Fin Smmry'!I11</f>
        <v>4.2</v>
      </c>
      <c r="G12" s="679">
        <f>'Fin Smmry'!J11</f>
        <v>6.9300000000000015</v>
      </c>
      <c r="H12" s="679">
        <f>'Fin Smmry'!K11</f>
        <v>6.9300000000000015</v>
      </c>
      <c r="I12" s="679">
        <f>'Fin Smmry'!L11</f>
        <v>6.9300000000000015</v>
      </c>
      <c r="J12" s="679">
        <f>'Fin Smmry'!M11</f>
        <v>6.9300000000000015</v>
      </c>
      <c r="K12" s="679">
        <f>'Fin Smmry'!N11</f>
        <v>45.738000000000007</v>
      </c>
      <c r="L12" s="679">
        <f>'Fin Smmry'!O11</f>
        <v>102.48700000000002</v>
      </c>
      <c r="M12" s="679">
        <f>'Fin Smmry'!P11</f>
        <v>112.73569999999999</v>
      </c>
      <c r="N12" s="679">
        <f>'Fin Smmry'!Q11</f>
        <v>124.00927000000001</v>
      </c>
      <c r="O12" s="679">
        <f>'Fin Smmry'!R11</f>
        <v>136.41019700000001</v>
      </c>
      <c r="P12" s="679">
        <f>'Fin Smmry'!S11</f>
        <v>150.0512167</v>
      </c>
      <c r="Q12" s="679">
        <f>'Fin Smmry'!T11</f>
        <v>165.05633837000002</v>
      </c>
      <c r="R12" s="679">
        <f>'Fin Smmry'!U11</f>
        <v>181.56197220700003</v>
      </c>
    </row>
    <row r="13" spans="1:18">
      <c r="A13" s="429" t="str">
        <f>'Fin Smmry'!A12</f>
        <v>IT/ITES : BPO Non Voice (60 Days, 180 hrs)</v>
      </c>
      <c r="B13" s="679"/>
      <c r="C13" s="679">
        <f>'Fin Smmry'!F12</f>
        <v>4.2</v>
      </c>
      <c r="D13" s="679">
        <f>'Fin Smmry'!G12</f>
        <v>4.2</v>
      </c>
      <c r="E13" s="679">
        <f>'Fin Smmry'!H12</f>
        <v>4.2</v>
      </c>
      <c r="F13" s="679">
        <f>'Fin Smmry'!I12</f>
        <v>4.2</v>
      </c>
      <c r="G13" s="679">
        <f>'Fin Smmry'!J12</f>
        <v>6.9300000000000015</v>
      </c>
      <c r="H13" s="679">
        <f>'Fin Smmry'!K12</f>
        <v>6.9300000000000015</v>
      </c>
      <c r="I13" s="679">
        <f>'Fin Smmry'!L12</f>
        <v>6.9300000000000015</v>
      </c>
      <c r="J13" s="679">
        <f>'Fin Smmry'!M12</f>
        <v>6.9300000000000015</v>
      </c>
      <c r="K13" s="679">
        <f>'Fin Smmry'!N12</f>
        <v>45.738000000000007</v>
      </c>
      <c r="L13" s="679">
        <f>'Fin Smmry'!O12</f>
        <v>102.48700000000002</v>
      </c>
      <c r="M13" s="679">
        <f>'Fin Smmry'!P12</f>
        <v>112.73569999999999</v>
      </c>
      <c r="N13" s="679">
        <f>'Fin Smmry'!Q12</f>
        <v>124.00927000000001</v>
      </c>
      <c r="O13" s="679">
        <f>'Fin Smmry'!R12</f>
        <v>136.41019700000001</v>
      </c>
      <c r="P13" s="679">
        <f>'Fin Smmry'!S12</f>
        <v>150.0512167</v>
      </c>
      <c r="Q13" s="679">
        <f>'Fin Smmry'!T12</f>
        <v>165.05633837000002</v>
      </c>
      <c r="R13" s="679">
        <f>'Fin Smmry'!U12</f>
        <v>181.56197220700003</v>
      </c>
    </row>
    <row r="14" spans="1:18">
      <c r="A14" s="429" t="str">
        <f>'Fin Smmry'!A13</f>
        <v>IT/ITES : Hardware &amp; networking (40 Days, 180 hrs)</v>
      </c>
      <c r="B14" s="679"/>
      <c r="C14" s="679">
        <f>'Fin Smmry'!F13</f>
        <v>5.4</v>
      </c>
      <c r="D14" s="679">
        <f>'Fin Smmry'!G13</f>
        <v>5.4</v>
      </c>
      <c r="E14" s="679">
        <f>'Fin Smmry'!H13</f>
        <v>5.4</v>
      </c>
      <c r="F14" s="679">
        <f>'Fin Smmry'!I13</f>
        <v>5.4</v>
      </c>
      <c r="G14" s="679">
        <f>'Fin Smmry'!J13</f>
        <v>7.92</v>
      </c>
      <c r="H14" s="679">
        <f>'Fin Smmry'!K13</f>
        <v>7.92</v>
      </c>
      <c r="I14" s="679">
        <f>'Fin Smmry'!L13</f>
        <v>7.92</v>
      </c>
      <c r="J14" s="679">
        <f>'Fin Smmry'!M13</f>
        <v>7.92</v>
      </c>
      <c r="K14" s="679">
        <f>'Fin Smmry'!N13</f>
        <v>52.272000000000013</v>
      </c>
      <c r="L14" s="679">
        <f>'Fin Smmry'!O13</f>
        <v>127.77600000000002</v>
      </c>
      <c r="M14" s="679">
        <f>'Fin Smmry'!P13</f>
        <v>140.55360000000002</v>
      </c>
      <c r="N14" s="679">
        <f>'Fin Smmry'!Q13</f>
        <v>154.60896000000002</v>
      </c>
      <c r="O14" s="679">
        <f>'Fin Smmry'!R13</f>
        <v>170.06985600000002</v>
      </c>
      <c r="P14" s="679">
        <f>'Fin Smmry'!S13</f>
        <v>187.07684159999999</v>
      </c>
      <c r="Q14" s="679">
        <f>'Fin Smmry'!T13</f>
        <v>205.78452576000001</v>
      </c>
      <c r="R14" s="679">
        <f>'Fin Smmry'!U13</f>
        <v>226.36297833600003</v>
      </c>
    </row>
    <row r="15" spans="1:18">
      <c r="A15" s="429" t="str">
        <f>'Fin Smmry'!A14</f>
        <v>Health Care : General Duty Attendant (40 Days, 180 hrs)</v>
      </c>
      <c r="B15" s="679"/>
      <c r="C15" s="679">
        <f>'Fin Smmry'!F14</f>
        <v>2.25</v>
      </c>
      <c r="D15" s="679">
        <f>'Fin Smmry'!G14</f>
        <v>2.25</v>
      </c>
      <c r="E15" s="679">
        <f>'Fin Smmry'!H14</f>
        <v>2.25</v>
      </c>
      <c r="F15" s="679">
        <f>'Fin Smmry'!I14</f>
        <v>2.25</v>
      </c>
      <c r="G15" s="679">
        <f>'Fin Smmry'!J14</f>
        <v>3.7124999999999999</v>
      </c>
      <c r="H15" s="679">
        <f>'Fin Smmry'!K14</f>
        <v>3.7124999999999999</v>
      </c>
      <c r="I15" s="679">
        <f>'Fin Smmry'!L14</f>
        <v>3.7124999999999999</v>
      </c>
      <c r="J15" s="679">
        <f>'Fin Smmry'!M14</f>
        <v>3.7124999999999999</v>
      </c>
      <c r="K15" s="679">
        <f>'Fin Smmry'!N14</f>
        <v>27.225000000000005</v>
      </c>
      <c r="L15" s="679">
        <f>'Fin Smmry'!O14</f>
        <v>69.877500000000012</v>
      </c>
      <c r="M15" s="679">
        <f>'Fin Smmry'!P14</f>
        <v>76.865250000000003</v>
      </c>
      <c r="N15" s="679">
        <f>'Fin Smmry'!Q14</f>
        <v>84.551775000000006</v>
      </c>
      <c r="O15" s="679">
        <f>'Fin Smmry'!R14</f>
        <v>93.006952499999997</v>
      </c>
      <c r="P15" s="679">
        <f>'Fin Smmry'!S14</f>
        <v>102.30764775</v>
      </c>
      <c r="Q15" s="679">
        <f>'Fin Smmry'!T14</f>
        <v>112.53841252500001</v>
      </c>
      <c r="R15" s="679">
        <f>'Fin Smmry'!U14</f>
        <v>123.79225377749999</v>
      </c>
    </row>
    <row r="16" spans="1:18">
      <c r="A16" s="429" t="str">
        <f>'Fin Smmry'!A15</f>
        <v>Health Care : Asha (Health workers) (40 Days, 180 hrs)</v>
      </c>
      <c r="B16" s="679"/>
      <c r="C16" s="679">
        <f>'Fin Smmry'!F15</f>
        <v>1.8</v>
      </c>
      <c r="D16" s="679">
        <f>'Fin Smmry'!G15</f>
        <v>1.8</v>
      </c>
      <c r="E16" s="679">
        <f>'Fin Smmry'!H15</f>
        <v>1.8</v>
      </c>
      <c r="F16" s="679">
        <f>'Fin Smmry'!I15</f>
        <v>1.8</v>
      </c>
      <c r="G16" s="679">
        <f>'Fin Smmry'!J15</f>
        <v>2.97</v>
      </c>
      <c r="H16" s="679">
        <f>'Fin Smmry'!K15</f>
        <v>2.97</v>
      </c>
      <c r="I16" s="679">
        <f>'Fin Smmry'!L15</f>
        <v>2.97</v>
      </c>
      <c r="J16" s="679">
        <f>'Fin Smmry'!M15</f>
        <v>2.97</v>
      </c>
      <c r="K16" s="679">
        <f>'Fin Smmry'!N15</f>
        <v>21.780000000000005</v>
      </c>
      <c r="L16" s="679">
        <f>'Fin Smmry'!O15</f>
        <v>55.902000000000008</v>
      </c>
      <c r="M16" s="679">
        <f>'Fin Smmry'!P15</f>
        <v>61.492200000000011</v>
      </c>
      <c r="N16" s="679">
        <f>'Fin Smmry'!Q15</f>
        <v>67.641420000000011</v>
      </c>
      <c r="O16" s="679">
        <f>'Fin Smmry'!R15</f>
        <v>74.405562000000003</v>
      </c>
      <c r="P16" s="679">
        <f>'Fin Smmry'!S15</f>
        <v>81.846118200000006</v>
      </c>
      <c r="Q16" s="679">
        <f>'Fin Smmry'!T15</f>
        <v>90.030730020000007</v>
      </c>
      <c r="R16" s="679">
        <f>'Fin Smmry'!U15</f>
        <v>99.033803022000001</v>
      </c>
    </row>
    <row r="17" spans="1:19">
      <c r="A17" s="429" t="str">
        <f>'Fin Smmry'!A16</f>
        <v>Health Care : Home Health Aide (40 Days, 180 hrs)</v>
      </c>
      <c r="B17" s="679"/>
      <c r="C17" s="679">
        <f>'Fin Smmry'!F16</f>
        <v>1.8</v>
      </c>
      <c r="D17" s="679">
        <f>'Fin Smmry'!G16</f>
        <v>1.8</v>
      </c>
      <c r="E17" s="679">
        <f>'Fin Smmry'!H16</f>
        <v>1.8</v>
      </c>
      <c r="F17" s="679">
        <f>'Fin Smmry'!I16</f>
        <v>1.8</v>
      </c>
      <c r="G17" s="679">
        <f>'Fin Smmry'!J16</f>
        <v>2.97</v>
      </c>
      <c r="H17" s="679">
        <f>'Fin Smmry'!K16</f>
        <v>2.97</v>
      </c>
      <c r="I17" s="679">
        <f>'Fin Smmry'!L16</f>
        <v>2.97</v>
      </c>
      <c r="J17" s="679">
        <f>'Fin Smmry'!M16</f>
        <v>2.97</v>
      </c>
      <c r="K17" s="679">
        <f>'Fin Smmry'!N16</f>
        <v>21.780000000000005</v>
      </c>
      <c r="L17" s="679">
        <f>'Fin Smmry'!O16</f>
        <v>55.902000000000008</v>
      </c>
      <c r="M17" s="679">
        <f>'Fin Smmry'!P16</f>
        <v>61.492200000000011</v>
      </c>
      <c r="N17" s="679">
        <f>'Fin Smmry'!Q16</f>
        <v>67.641420000000011</v>
      </c>
      <c r="O17" s="679">
        <f>'Fin Smmry'!R16</f>
        <v>74.405562000000003</v>
      </c>
      <c r="P17" s="679">
        <f>'Fin Smmry'!S16</f>
        <v>81.846118200000006</v>
      </c>
      <c r="Q17" s="679">
        <f>'Fin Smmry'!T16</f>
        <v>90.030730020000007</v>
      </c>
      <c r="R17" s="679">
        <f>'Fin Smmry'!U16</f>
        <v>99.033803022000001</v>
      </c>
    </row>
    <row r="18" spans="1:19">
      <c r="A18" s="429" t="str">
        <f>'Fin Smmry'!A17</f>
        <v>Retail : Cashier (40 Days, 180 hrs)</v>
      </c>
      <c r="B18" s="679"/>
      <c r="C18" s="679">
        <f>'Fin Smmry'!F17</f>
        <v>1.125</v>
      </c>
      <c r="D18" s="679">
        <f>'Fin Smmry'!G17</f>
        <v>1.125</v>
      </c>
      <c r="E18" s="679">
        <f>'Fin Smmry'!H17</f>
        <v>1.125</v>
      </c>
      <c r="F18" s="679">
        <f>'Fin Smmry'!I17</f>
        <v>1.125</v>
      </c>
      <c r="G18" s="679">
        <f>'Fin Smmry'!J17</f>
        <v>2.4750000000000001</v>
      </c>
      <c r="H18" s="679">
        <f>'Fin Smmry'!K17</f>
        <v>2.4750000000000001</v>
      </c>
      <c r="I18" s="679">
        <f>'Fin Smmry'!L17</f>
        <v>2.4750000000000001</v>
      </c>
      <c r="J18" s="679">
        <f>'Fin Smmry'!M17</f>
        <v>2.4750000000000001</v>
      </c>
      <c r="K18" s="679">
        <f>'Fin Smmry'!N17</f>
        <v>10.890000000000002</v>
      </c>
      <c r="L18" s="679">
        <f>'Fin Smmry'!O17</f>
        <v>19.965000000000003</v>
      </c>
      <c r="M18" s="679">
        <f>'Fin Smmry'!P17</f>
        <v>21.961500000000004</v>
      </c>
      <c r="N18" s="679">
        <f>'Fin Smmry'!Q17</f>
        <v>24.15765</v>
      </c>
      <c r="O18" s="679">
        <f>'Fin Smmry'!R17</f>
        <v>26.573415000000001</v>
      </c>
      <c r="P18" s="679">
        <f>'Fin Smmry'!S17</f>
        <v>29.230756500000005</v>
      </c>
      <c r="Q18" s="679">
        <f>'Fin Smmry'!T17</f>
        <v>32.153832150000007</v>
      </c>
      <c r="R18" s="679">
        <f>'Fin Smmry'!U17</f>
        <v>35.369215365000002</v>
      </c>
    </row>
    <row r="19" spans="1:19">
      <c r="A19" s="429" t="str">
        <f>'Fin Smmry'!A18</f>
        <v>Retail : Assistant (40 Days, 180 hrs)</v>
      </c>
      <c r="B19" s="679"/>
      <c r="C19" s="679">
        <f>'Fin Smmry'!F18</f>
        <v>3.375</v>
      </c>
      <c r="D19" s="679">
        <f>'Fin Smmry'!G18</f>
        <v>3.375</v>
      </c>
      <c r="E19" s="679">
        <f>'Fin Smmry'!H18</f>
        <v>3.375</v>
      </c>
      <c r="F19" s="679">
        <f>'Fin Smmry'!I18</f>
        <v>3.375</v>
      </c>
      <c r="G19" s="679">
        <f>'Fin Smmry'!J18</f>
        <v>4.95</v>
      </c>
      <c r="H19" s="679">
        <f>'Fin Smmry'!K18</f>
        <v>4.95</v>
      </c>
      <c r="I19" s="679">
        <f>'Fin Smmry'!L18</f>
        <v>4.95</v>
      </c>
      <c r="J19" s="679">
        <f>'Fin Smmry'!M18</f>
        <v>4.95</v>
      </c>
      <c r="K19" s="679">
        <f>'Fin Smmry'!N18</f>
        <v>21.780000000000005</v>
      </c>
      <c r="L19" s="679">
        <f>'Fin Smmry'!O18</f>
        <v>39.930000000000007</v>
      </c>
      <c r="M19" s="679">
        <f>'Fin Smmry'!P18</f>
        <v>43.923000000000009</v>
      </c>
      <c r="N19" s="679">
        <f>'Fin Smmry'!Q18</f>
        <v>48.315300000000001</v>
      </c>
      <c r="O19" s="679">
        <f>'Fin Smmry'!R18</f>
        <v>53.146830000000001</v>
      </c>
      <c r="P19" s="679">
        <f>'Fin Smmry'!S18</f>
        <v>58.461513000000011</v>
      </c>
      <c r="Q19" s="679">
        <f>'Fin Smmry'!T18</f>
        <v>64.307664300000013</v>
      </c>
      <c r="R19" s="679">
        <f>'Fin Smmry'!U18</f>
        <v>70.738430730000005</v>
      </c>
    </row>
    <row r="20" spans="1:19">
      <c r="A20" s="429" t="str">
        <f>'Fin Smmry'!A19</f>
        <v>Agriculture : Apiculture (16 Days, 48 hrs)</v>
      </c>
      <c r="B20" s="679"/>
      <c r="C20" s="679">
        <f>'Fin Smmry'!F19</f>
        <v>0.3</v>
      </c>
      <c r="D20" s="679">
        <f>'Fin Smmry'!G19</f>
        <v>0.3</v>
      </c>
      <c r="E20" s="679">
        <f>'Fin Smmry'!H19</f>
        <v>0.3</v>
      </c>
      <c r="F20" s="679">
        <f>'Fin Smmry'!I19</f>
        <v>0.3</v>
      </c>
      <c r="G20" s="679">
        <f>'Fin Smmry'!J19</f>
        <v>0.66000000000000014</v>
      </c>
      <c r="H20" s="679">
        <f>'Fin Smmry'!K19</f>
        <v>0.66000000000000014</v>
      </c>
      <c r="I20" s="679">
        <f>'Fin Smmry'!L19</f>
        <v>0.66000000000000014</v>
      </c>
      <c r="J20" s="679">
        <f>'Fin Smmry'!M19</f>
        <v>0.66000000000000014</v>
      </c>
      <c r="K20" s="679">
        <f>'Fin Smmry'!N19</f>
        <v>4.3560000000000008</v>
      </c>
      <c r="L20" s="679">
        <f>'Fin Smmry'!O19</f>
        <v>10.648000000000001</v>
      </c>
      <c r="M20" s="679">
        <f>'Fin Smmry'!P19</f>
        <v>11.712800000000003</v>
      </c>
      <c r="N20" s="679">
        <f>'Fin Smmry'!Q19</f>
        <v>12.884080000000003</v>
      </c>
      <c r="O20" s="679">
        <f>'Fin Smmry'!R19</f>
        <v>14.172488000000001</v>
      </c>
      <c r="P20" s="679">
        <f>'Fin Smmry'!S19</f>
        <v>15.589736800000003</v>
      </c>
      <c r="Q20" s="679">
        <f>'Fin Smmry'!T19</f>
        <v>17.148710480000002</v>
      </c>
      <c r="R20" s="679">
        <f>'Fin Smmry'!U19</f>
        <v>18.863581528000001</v>
      </c>
    </row>
    <row r="21" spans="1:19">
      <c r="A21" s="429" t="str">
        <f>'Fin Smmry'!A20</f>
        <v>Agriculture : Mushroom farming  (16 Days, 48 hrs)</v>
      </c>
      <c r="B21" s="679"/>
      <c r="C21" s="679">
        <f>'Fin Smmry'!F20</f>
        <v>0.3</v>
      </c>
      <c r="D21" s="679">
        <f>'Fin Smmry'!G20</f>
        <v>0.3</v>
      </c>
      <c r="E21" s="679">
        <f>'Fin Smmry'!H20</f>
        <v>0.3</v>
      </c>
      <c r="F21" s="679">
        <f>'Fin Smmry'!I20</f>
        <v>0.3</v>
      </c>
      <c r="G21" s="679">
        <f>'Fin Smmry'!J20</f>
        <v>0.66000000000000014</v>
      </c>
      <c r="H21" s="679">
        <f>'Fin Smmry'!K20</f>
        <v>0.66000000000000014</v>
      </c>
      <c r="I21" s="679">
        <f>'Fin Smmry'!L20</f>
        <v>0.66000000000000014</v>
      </c>
      <c r="J21" s="679">
        <f>'Fin Smmry'!M20</f>
        <v>0.66000000000000014</v>
      </c>
      <c r="K21" s="679">
        <f>'Fin Smmry'!N20</f>
        <v>4.3560000000000008</v>
      </c>
      <c r="L21" s="679">
        <f>'Fin Smmry'!O20</f>
        <v>10.648000000000001</v>
      </c>
      <c r="M21" s="679">
        <f>'Fin Smmry'!P20</f>
        <v>11.712800000000003</v>
      </c>
      <c r="N21" s="679">
        <f>'Fin Smmry'!Q20</f>
        <v>12.884080000000003</v>
      </c>
      <c r="O21" s="679">
        <f>'Fin Smmry'!R20</f>
        <v>14.172488000000001</v>
      </c>
      <c r="P21" s="679">
        <f>'Fin Smmry'!S20</f>
        <v>15.589736800000003</v>
      </c>
      <c r="Q21" s="679">
        <f>'Fin Smmry'!T20</f>
        <v>17.148710480000002</v>
      </c>
      <c r="R21" s="679">
        <f>'Fin Smmry'!U20</f>
        <v>18.863581528000001</v>
      </c>
    </row>
    <row r="22" spans="1:19">
      <c r="A22" s="429" t="str">
        <f>'Fin Smmry'!A21</f>
        <v>Agriculture : Floriculture  (16 Days, 48 hrs)</v>
      </c>
      <c r="B22" s="679"/>
      <c r="C22" s="679">
        <f>'Fin Smmry'!F21</f>
        <v>0.3</v>
      </c>
      <c r="D22" s="679">
        <f>'Fin Smmry'!G21</f>
        <v>0.3</v>
      </c>
      <c r="E22" s="679">
        <f>'Fin Smmry'!H21</f>
        <v>0.3</v>
      </c>
      <c r="F22" s="679">
        <f>'Fin Smmry'!I21</f>
        <v>0.3</v>
      </c>
      <c r="G22" s="679">
        <f>'Fin Smmry'!J21</f>
        <v>0.66000000000000014</v>
      </c>
      <c r="H22" s="679">
        <f>'Fin Smmry'!K21</f>
        <v>0.66000000000000014</v>
      </c>
      <c r="I22" s="679">
        <f>'Fin Smmry'!L21</f>
        <v>0.66000000000000014</v>
      </c>
      <c r="J22" s="679">
        <f>'Fin Smmry'!M21</f>
        <v>0.66000000000000014</v>
      </c>
      <c r="K22" s="679">
        <f>'Fin Smmry'!N21</f>
        <v>4.3560000000000008</v>
      </c>
      <c r="L22" s="679">
        <f>'Fin Smmry'!O21</f>
        <v>10.648000000000001</v>
      </c>
      <c r="M22" s="679">
        <f>'Fin Smmry'!P21</f>
        <v>11.712800000000003</v>
      </c>
      <c r="N22" s="679">
        <f>'Fin Smmry'!Q21</f>
        <v>12.884080000000003</v>
      </c>
      <c r="O22" s="679">
        <f>'Fin Smmry'!R21</f>
        <v>14.172488000000001</v>
      </c>
      <c r="P22" s="679">
        <f>'Fin Smmry'!S21</f>
        <v>15.589736800000003</v>
      </c>
      <c r="Q22" s="679">
        <f>'Fin Smmry'!T21</f>
        <v>17.148710480000002</v>
      </c>
      <c r="R22" s="679">
        <f>'Fin Smmry'!U21</f>
        <v>18.863581528000001</v>
      </c>
    </row>
    <row r="23" spans="1:19">
      <c r="A23" s="429" t="str">
        <f>'Fin Smmry'!A22</f>
        <v>Food Processing  (16 Days, 60 hrs)</v>
      </c>
      <c r="B23" s="679"/>
      <c r="C23" s="679">
        <f>'Fin Smmry'!F22</f>
        <v>0.375</v>
      </c>
      <c r="D23" s="679">
        <f>'Fin Smmry'!G22</f>
        <v>0.375</v>
      </c>
      <c r="E23" s="679">
        <f>'Fin Smmry'!H22</f>
        <v>0.375</v>
      </c>
      <c r="F23" s="679">
        <f>'Fin Smmry'!I22</f>
        <v>0.375</v>
      </c>
      <c r="G23" s="679">
        <f>'Fin Smmry'!J22</f>
        <v>0.82499999999999996</v>
      </c>
      <c r="H23" s="679">
        <f>'Fin Smmry'!K22</f>
        <v>0.82499999999999996</v>
      </c>
      <c r="I23" s="679">
        <f>'Fin Smmry'!L22</f>
        <v>0.82499999999999996</v>
      </c>
      <c r="J23" s="679">
        <f>'Fin Smmry'!M22</f>
        <v>0.82499999999999996</v>
      </c>
      <c r="K23" s="679">
        <f>'Fin Smmry'!N22</f>
        <v>5.4450000000000012</v>
      </c>
      <c r="L23" s="679">
        <f>'Fin Smmry'!O22</f>
        <v>13.310000000000002</v>
      </c>
      <c r="M23" s="679">
        <f>'Fin Smmry'!P22</f>
        <v>14.641000000000002</v>
      </c>
      <c r="N23" s="679">
        <f>'Fin Smmry'!Q22</f>
        <v>16.105100000000004</v>
      </c>
      <c r="O23" s="679">
        <f>'Fin Smmry'!R22</f>
        <v>17.715610000000002</v>
      </c>
      <c r="P23" s="679">
        <f>'Fin Smmry'!S22</f>
        <v>19.487171</v>
      </c>
      <c r="Q23" s="679">
        <f>'Fin Smmry'!T22</f>
        <v>21.4358881</v>
      </c>
      <c r="R23" s="679">
        <f>'Fin Smmry'!U22</f>
        <v>23.57947691</v>
      </c>
    </row>
    <row r="24" spans="1:19">
      <c r="A24" s="680"/>
      <c r="B24" s="681"/>
      <c r="C24" s="681"/>
      <c r="D24" s="681"/>
      <c r="E24" s="681"/>
      <c r="F24" s="681"/>
      <c r="G24" s="681"/>
      <c r="H24" s="681"/>
      <c r="I24" s="681"/>
      <c r="J24" s="681"/>
      <c r="K24" s="681"/>
      <c r="L24" s="681"/>
      <c r="M24" s="681"/>
      <c r="N24" s="681"/>
      <c r="O24" s="681"/>
      <c r="P24" s="681"/>
      <c r="Q24" s="681"/>
      <c r="R24" s="681"/>
    </row>
    <row r="25" spans="1:19" s="678" customFormat="1">
      <c r="A25" s="682" t="s">
        <v>118</v>
      </c>
      <c r="B25" s="683"/>
      <c r="C25" s="683">
        <f t="shared" ref="C25:R25" si="0">SUM(C9:C24)</f>
        <v>36.974999999999994</v>
      </c>
      <c r="D25" s="683">
        <f t="shared" si="0"/>
        <v>36.974999999999994</v>
      </c>
      <c r="E25" s="683">
        <f t="shared" si="0"/>
        <v>36.974999999999994</v>
      </c>
      <c r="F25" s="683">
        <f t="shared" si="0"/>
        <v>36.974999999999994</v>
      </c>
      <c r="G25" s="683">
        <f t="shared" si="0"/>
        <v>65.752499999999998</v>
      </c>
      <c r="H25" s="683">
        <f t="shared" si="0"/>
        <v>65.752499999999998</v>
      </c>
      <c r="I25" s="683">
        <f t="shared" si="0"/>
        <v>65.752499999999998</v>
      </c>
      <c r="J25" s="683">
        <f t="shared" si="0"/>
        <v>65.752499999999998</v>
      </c>
      <c r="K25" s="683">
        <f t="shared" si="0"/>
        <v>421.8060000000001</v>
      </c>
      <c r="L25" s="683">
        <f t="shared" si="0"/>
        <v>966.97150000000056</v>
      </c>
      <c r="M25" s="683">
        <f t="shared" si="0"/>
        <v>1063.6686500000001</v>
      </c>
      <c r="N25" s="683">
        <f t="shared" si="0"/>
        <v>1170.0355150000003</v>
      </c>
      <c r="O25" s="683">
        <f t="shared" si="0"/>
        <v>1287.0390664999998</v>
      </c>
      <c r="P25" s="683">
        <f t="shared" si="0"/>
        <v>1415.7429731500004</v>
      </c>
      <c r="Q25" s="683">
        <f t="shared" si="0"/>
        <v>1557.3172704650003</v>
      </c>
      <c r="R25" s="683">
        <f t="shared" si="0"/>
        <v>1713.0489975114999</v>
      </c>
      <c r="S25" s="684">
        <f>SUM(C25:R25)-'Fin Smmry'!V24</f>
        <v>0</v>
      </c>
    </row>
    <row r="26" spans="1:19">
      <c r="A26" s="84"/>
      <c r="B26" s="685"/>
      <c r="C26" s="685"/>
      <c r="D26" s="685"/>
      <c r="E26" s="685"/>
      <c r="F26" s="685"/>
      <c r="G26" s="685"/>
      <c r="H26" s="685"/>
      <c r="I26" s="685"/>
      <c r="J26" s="685"/>
      <c r="K26" s="685"/>
      <c r="L26" s="685"/>
      <c r="M26" s="685"/>
      <c r="N26" s="685"/>
      <c r="O26" s="685"/>
      <c r="P26" s="685"/>
      <c r="Q26" s="685"/>
      <c r="R26" s="685"/>
    </row>
    <row r="27" spans="1:19">
      <c r="A27" s="1014"/>
      <c r="B27" s="1014"/>
      <c r="C27" s="437"/>
      <c r="D27" s="437"/>
      <c r="E27" s="437"/>
      <c r="F27" s="437"/>
      <c r="G27" s="685"/>
      <c r="H27" s="685"/>
      <c r="I27" s="685"/>
      <c r="J27" s="685"/>
      <c r="K27" s="685"/>
      <c r="L27" s="685"/>
      <c r="M27" s="685"/>
      <c r="N27" s="685"/>
      <c r="O27" s="685"/>
      <c r="P27" s="685"/>
      <c r="Q27" s="685"/>
      <c r="R27" s="685"/>
    </row>
    <row r="28" spans="1:19">
      <c r="A28" s="686"/>
      <c r="B28" s="685"/>
      <c r="C28" s="685"/>
      <c r="D28" s="685"/>
      <c r="E28" s="685"/>
      <c r="F28" s="685"/>
      <c r="G28" s="685"/>
      <c r="H28" s="685"/>
      <c r="I28" s="685"/>
      <c r="J28" s="685"/>
      <c r="K28" s="685"/>
      <c r="L28" s="685"/>
      <c r="M28" s="685"/>
      <c r="N28" s="685"/>
      <c r="O28" s="685"/>
      <c r="P28" s="685"/>
      <c r="Q28" s="685"/>
      <c r="R28" s="685"/>
    </row>
    <row r="29" spans="1:19">
      <c r="A29" s="83" t="s">
        <v>71</v>
      </c>
      <c r="B29" s="685"/>
      <c r="C29" s="685"/>
      <c r="D29" s="685"/>
      <c r="E29" s="685"/>
      <c r="F29" s="685"/>
      <c r="G29" s="685"/>
      <c r="H29" s="685"/>
      <c r="I29" s="685"/>
      <c r="J29" s="685"/>
      <c r="K29" s="685"/>
      <c r="L29" s="685"/>
      <c r="M29" s="685"/>
      <c r="N29" s="685"/>
      <c r="O29" s="685"/>
      <c r="P29" s="685"/>
      <c r="Q29" s="685"/>
      <c r="R29" s="685"/>
    </row>
  </sheetData>
  <mergeCells count="4">
    <mergeCell ref="A27:B27"/>
    <mergeCell ref="C6:F6"/>
    <mergeCell ref="G6:J6"/>
    <mergeCell ref="A1:R1"/>
  </mergeCells>
  <hyperlinks>
    <hyperlink ref="A3" location="Index!A1" display="BACK TO INDEX"/>
    <hyperlink ref="A29" location="Index!A1" display="BACK TO INDEX"/>
  </hyperlinks>
  <pageMargins left="0.5" right="0.5" top="0.75" bottom="0.75" header="0.3" footer="0.3"/>
  <pageSetup scale="87" orientation="landscape" horizontalDpi="3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1:S17"/>
  <sheetViews>
    <sheetView zoomScale="90" zoomScaleNormal="90" workbookViewId="0">
      <selection activeCell="D20" sqref="D20"/>
    </sheetView>
  </sheetViews>
  <sheetFormatPr defaultRowHeight="15"/>
  <cols>
    <col min="1" max="1" width="27.5703125" style="36" customWidth="1"/>
    <col min="2" max="6" width="9.85546875" style="36" customWidth="1"/>
    <col min="7" max="10" width="10.28515625" style="36" customWidth="1"/>
    <col min="11" max="11" width="9.7109375" style="36" customWidth="1"/>
    <col min="12" max="12" width="9.42578125" style="36" customWidth="1"/>
    <col min="13" max="14" width="10.28515625" style="36" customWidth="1"/>
    <col min="15" max="15" width="9.5703125" style="36" customWidth="1"/>
    <col min="16" max="16" width="10" style="36" customWidth="1"/>
    <col min="17" max="17" width="10.42578125" style="36" customWidth="1"/>
    <col min="18" max="18" width="10.140625" style="36" bestFit="1" customWidth="1"/>
    <col min="19" max="19" width="9.7109375" style="36" bestFit="1" customWidth="1"/>
    <col min="20" max="16384" width="9.140625" style="36"/>
  </cols>
  <sheetData>
    <row r="1" spans="1:19">
      <c r="A1" s="1016" t="s">
        <v>125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6"/>
      <c r="R1" s="1016"/>
    </row>
    <row r="2" spans="1:19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9">
      <c r="A3" s="90" t="s">
        <v>71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9">
      <c r="A4" s="1018" t="s">
        <v>124</v>
      </c>
      <c r="B4" s="1018"/>
      <c r="C4" s="1018"/>
      <c r="D4" s="1018"/>
      <c r="E4" s="1018"/>
      <c r="F4" s="1018"/>
      <c r="G4" s="1018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9">
      <c r="A5" s="90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9">
      <c r="B6" s="70"/>
      <c r="C6" s="1017" t="s">
        <v>143</v>
      </c>
      <c r="D6" s="1017"/>
      <c r="E6" s="1017"/>
      <c r="F6" s="1017"/>
      <c r="G6" s="1017" t="s">
        <v>144</v>
      </c>
      <c r="H6" s="1017"/>
      <c r="I6" s="1017"/>
      <c r="J6" s="1017"/>
      <c r="K6" s="70" t="str">
        <f>'Revenue Schedule'!K6</f>
        <v>Year 3</v>
      </c>
      <c r="L6" s="70" t="str">
        <f>'Revenue Schedule'!L6</f>
        <v>Year 4</v>
      </c>
      <c r="M6" s="70" t="str">
        <f>'Revenue Schedule'!M6</f>
        <v>Year 5</v>
      </c>
      <c r="N6" s="70" t="str">
        <f>'Revenue Schedule'!N6</f>
        <v>Year 6</v>
      </c>
      <c r="O6" s="70" t="str">
        <f>'Revenue Schedule'!O6</f>
        <v>Year 7</v>
      </c>
      <c r="P6" s="70" t="str">
        <f>'Revenue Schedule'!P6</f>
        <v>Year 8</v>
      </c>
      <c r="Q6" s="70" t="str">
        <f>'Revenue Schedule'!Q6</f>
        <v>Year 9</v>
      </c>
      <c r="R6" s="70" t="str">
        <f>'Revenue Schedule'!R6</f>
        <v>Year 10</v>
      </c>
    </row>
    <row r="7" spans="1:19">
      <c r="B7" s="95"/>
      <c r="C7" s="439" t="s">
        <v>407</v>
      </c>
      <c r="D7" s="439" t="s">
        <v>408</v>
      </c>
      <c r="E7" s="439" t="s">
        <v>409</v>
      </c>
      <c r="F7" s="439" t="s">
        <v>410</v>
      </c>
      <c r="G7" s="439" t="s">
        <v>407</v>
      </c>
      <c r="H7" s="439" t="s">
        <v>408</v>
      </c>
      <c r="I7" s="439" t="s">
        <v>409</v>
      </c>
      <c r="J7" s="439" t="s">
        <v>410</v>
      </c>
      <c r="K7" s="95"/>
      <c r="L7" s="95"/>
      <c r="M7" s="95"/>
      <c r="N7" s="95"/>
      <c r="O7" s="95"/>
      <c r="P7" s="95"/>
      <c r="Q7" s="95"/>
    </row>
    <row r="8" spans="1:19">
      <c r="A8" s="88" t="s">
        <v>123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</row>
    <row r="9" spans="1:19">
      <c r="A9" s="221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</row>
    <row r="10" spans="1:19">
      <c r="A10" s="221" t="str">
        <f>'Fin Smmry'!A27</f>
        <v xml:space="preserve">Salaries </v>
      </c>
      <c r="B10" s="94"/>
      <c r="C10" s="94">
        <f>'Fin Smmry'!F27</f>
        <v>32.67</v>
      </c>
      <c r="D10" s="94">
        <f>'Fin Smmry'!G27</f>
        <v>32.67</v>
      </c>
      <c r="E10" s="94">
        <f>'Fin Smmry'!H27</f>
        <v>32.67</v>
      </c>
      <c r="F10" s="94">
        <f>'Fin Smmry'!I27</f>
        <v>32.67</v>
      </c>
      <c r="G10" s="94">
        <f>'Fin Smmry'!J27</f>
        <v>51.67799999999999</v>
      </c>
      <c r="H10" s="94">
        <f>'Fin Smmry'!K27</f>
        <v>51.67799999999999</v>
      </c>
      <c r="I10" s="94">
        <f>'Fin Smmry'!L27</f>
        <v>51.67799999999999</v>
      </c>
      <c r="J10" s="94">
        <f>'Fin Smmry'!M27</f>
        <v>51.67799999999999</v>
      </c>
      <c r="K10" s="94">
        <f>'Fin Smmry'!N27</f>
        <v>305.35560000000004</v>
      </c>
      <c r="L10" s="94">
        <f>'Fin Smmry'!O27</f>
        <v>409.68180000000007</v>
      </c>
      <c r="M10" s="94">
        <f>'Fin Smmry'!P27</f>
        <v>450.64998000000008</v>
      </c>
      <c r="N10" s="94">
        <f>'Fin Smmry'!Q27</f>
        <v>495.71497799999992</v>
      </c>
      <c r="O10" s="94">
        <f>'Fin Smmry'!R27</f>
        <v>545.28647580000018</v>
      </c>
      <c r="P10" s="94">
        <f>'Fin Smmry'!S27</f>
        <v>599.81512338000016</v>
      </c>
      <c r="Q10" s="94">
        <f>'Fin Smmry'!T27</f>
        <v>659.79663571800029</v>
      </c>
      <c r="R10" s="94">
        <f>'Fin Smmry'!U27</f>
        <v>725.77629928980014</v>
      </c>
    </row>
    <row r="11" spans="1:19">
      <c r="A11" s="221" t="str">
        <f>'Fin Smmry'!A28</f>
        <v>Admin</v>
      </c>
      <c r="B11" s="94"/>
      <c r="C11" s="94">
        <f>'Fin Smmry'!F28</f>
        <v>25.474199999999996</v>
      </c>
      <c r="D11" s="94">
        <f>'Fin Smmry'!G28</f>
        <v>11.977499999999997</v>
      </c>
      <c r="E11" s="94">
        <f>'Fin Smmry'!H28</f>
        <v>11.977499999999997</v>
      </c>
      <c r="F11" s="94">
        <f>'Fin Smmry'!I28</f>
        <v>11.977499999999997</v>
      </c>
      <c r="G11" s="94">
        <f>'Fin Smmry'!J28</f>
        <v>25.746732000000002</v>
      </c>
      <c r="H11" s="94">
        <f>'Fin Smmry'!K28</f>
        <v>18.158250000000002</v>
      </c>
      <c r="I11" s="94">
        <f>'Fin Smmry'!L28</f>
        <v>18.158250000000002</v>
      </c>
      <c r="J11" s="94">
        <f>'Fin Smmry'!M28</f>
        <v>18.158250000000002</v>
      </c>
      <c r="K11" s="94">
        <f>'Fin Smmry'!N28</f>
        <v>111.9835398</v>
      </c>
      <c r="L11" s="94">
        <f>'Fin Smmry'!O28</f>
        <v>153.71543308000003</v>
      </c>
      <c r="M11" s="94">
        <f>'Fin Smmry'!P28</f>
        <v>159.425849</v>
      </c>
      <c r="N11" s="94">
        <f>'Fin Smmry'!Q28</f>
        <v>175.36843389999999</v>
      </c>
      <c r="O11" s="94">
        <f>'Fin Smmry'!R28</f>
        <v>192.90527729000004</v>
      </c>
      <c r="P11" s="94">
        <f>'Fin Smmry'!S28</f>
        <v>212.19580501900001</v>
      </c>
      <c r="Q11" s="94">
        <f>'Fin Smmry'!T28</f>
        <v>233.41538552090003</v>
      </c>
      <c r="R11" s="94">
        <f>'Fin Smmry'!U28</f>
        <v>256.75692407299005</v>
      </c>
    </row>
    <row r="12" spans="1:19">
      <c r="A12" s="221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</row>
    <row r="13" spans="1:19">
      <c r="A13" s="93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9">
      <c r="A14" s="330" t="s">
        <v>122</v>
      </c>
      <c r="B14" s="334"/>
      <c r="C14" s="334">
        <f t="shared" ref="C14:R14" si="0">SUM(C9:C13)</f>
        <v>58.144199999999998</v>
      </c>
      <c r="D14" s="334">
        <f t="shared" si="0"/>
        <v>44.647500000000001</v>
      </c>
      <c r="E14" s="334">
        <f t="shared" si="0"/>
        <v>44.647500000000001</v>
      </c>
      <c r="F14" s="334">
        <f t="shared" si="0"/>
        <v>44.647500000000001</v>
      </c>
      <c r="G14" s="334">
        <f t="shared" si="0"/>
        <v>77.424731999999992</v>
      </c>
      <c r="H14" s="334">
        <f t="shared" si="0"/>
        <v>69.836249999999993</v>
      </c>
      <c r="I14" s="334">
        <f t="shared" si="0"/>
        <v>69.836249999999993</v>
      </c>
      <c r="J14" s="334">
        <f t="shared" si="0"/>
        <v>69.836249999999993</v>
      </c>
      <c r="K14" s="334">
        <f t="shared" si="0"/>
        <v>417.33913980000005</v>
      </c>
      <c r="L14" s="334">
        <f t="shared" si="0"/>
        <v>563.39723308000009</v>
      </c>
      <c r="M14" s="334">
        <f t="shared" si="0"/>
        <v>610.07582900000011</v>
      </c>
      <c r="N14" s="334">
        <f t="shared" si="0"/>
        <v>671.08341189999987</v>
      </c>
      <c r="O14" s="334">
        <f t="shared" si="0"/>
        <v>738.19175309000025</v>
      </c>
      <c r="P14" s="334">
        <f t="shared" si="0"/>
        <v>812.01092839900014</v>
      </c>
      <c r="Q14" s="334">
        <f t="shared" si="0"/>
        <v>893.21202123890032</v>
      </c>
      <c r="R14" s="334">
        <f t="shared" si="0"/>
        <v>982.53322336279018</v>
      </c>
      <c r="S14" s="520">
        <f>SUM(C14:R14)</f>
        <v>6166.8637218706917</v>
      </c>
    </row>
    <row r="15" spans="1:19">
      <c r="A15" s="91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</row>
    <row r="16" spans="1:19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</row>
    <row r="17" spans="1:17">
      <c r="A17" s="90" t="s">
        <v>71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</row>
  </sheetData>
  <mergeCells count="4">
    <mergeCell ref="C6:F6"/>
    <mergeCell ref="G6:J6"/>
    <mergeCell ref="A1:R1"/>
    <mergeCell ref="A4:G4"/>
  </mergeCells>
  <hyperlinks>
    <hyperlink ref="A3" location="Index!A1" display="BACK TO INDEX"/>
    <hyperlink ref="A17" location="Index!A1" display="BACK TO INDEX"/>
  </hyperlinks>
  <pageMargins left="0.48" right="0.53" top="0.75" bottom="0.75" header="0.3" footer="0.3"/>
  <pageSetup scale="87" orientation="landscape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15"/>
  <dimension ref="A1:R28"/>
  <sheetViews>
    <sheetView workbookViewId="0">
      <selection activeCell="O12" sqref="O12"/>
    </sheetView>
  </sheetViews>
  <sheetFormatPr defaultRowHeight="15"/>
  <cols>
    <col min="1" max="1" width="31.7109375" style="36" customWidth="1"/>
    <col min="2" max="2" width="10.42578125" style="36" hidden="1" customWidth="1"/>
    <col min="3" max="6" width="10.42578125" style="36" customWidth="1"/>
    <col min="7" max="11" width="10" style="36" customWidth="1"/>
    <col min="12" max="12" width="9.7109375" style="36" customWidth="1"/>
    <col min="13" max="13" width="9.42578125" style="36" customWidth="1"/>
    <col min="14" max="15" width="10" style="36" customWidth="1"/>
    <col min="16" max="16" width="10.28515625" style="36" customWidth="1"/>
    <col min="17" max="17" width="10.42578125" style="36" customWidth="1"/>
    <col min="18" max="16384" width="9.140625" style="36"/>
  </cols>
  <sheetData>
    <row r="1" spans="1:18">
      <c r="A1" s="1016" t="s">
        <v>138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6"/>
      <c r="R1" s="1016"/>
    </row>
    <row r="2" spans="1:18">
      <c r="A2" s="84"/>
    </row>
    <row r="3" spans="1:18">
      <c r="A3" s="90" t="s">
        <v>71</v>
      </c>
    </row>
    <row r="4" spans="1:18">
      <c r="A4" s="43" t="s">
        <v>137</v>
      </c>
    </row>
    <row r="5" spans="1:18">
      <c r="A5" s="329" t="s">
        <v>136</v>
      </c>
    </row>
    <row r="6" spans="1:18">
      <c r="B6" s="70"/>
      <c r="C6" s="1019" t="s">
        <v>143</v>
      </c>
      <c r="D6" s="1019"/>
      <c r="E6" s="1019"/>
      <c r="F6" s="1019"/>
      <c r="G6" s="1019" t="s">
        <v>144</v>
      </c>
      <c r="H6" s="1019"/>
      <c r="I6" s="1019"/>
      <c r="J6" s="1019"/>
      <c r="K6" s="70" t="str">
        <f>'Depreciation '!K6</f>
        <v>Year 3</v>
      </c>
      <c r="L6" s="70" t="str">
        <f>'Depreciation '!L6</f>
        <v>Year 4</v>
      </c>
      <c r="M6" s="70" t="str">
        <f>'Depreciation '!M6</f>
        <v>Year 5</v>
      </c>
      <c r="N6" s="70" t="str">
        <f>'Depreciation '!N6</f>
        <v>Year 6</v>
      </c>
      <c r="O6" s="70" t="str">
        <f>'Depreciation '!O6</f>
        <v>Year 7</v>
      </c>
      <c r="P6" s="70" t="str">
        <f>'Depreciation '!P6</f>
        <v>Year 8</v>
      </c>
      <c r="Q6" s="70" t="str">
        <f>'Depreciation '!Q6</f>
        <v>Year 9</v>
      </c>
      <c r="R6" s="70" t="str">
        <f>'Depreciation '!R6</f>
        <v>Year 10</v>
      </c>
    </row>
    <row r="7" spans="1:18">
      <c r="B7" s="70"/>
      <c r="C7" s="439" t="s">
        <v>407</v>
      </c>
      <c r="D7" s="439" t="s">
        <v>408</v>
      </c>
      <c r="E7" s="439" t="s">
        <v>409</v>
      </c>
      <c r="F7" s="439" t="s">
        <v>410</v>
      </c>
      <c r="G7" s="439" t="s">
        <v>407</v>
      </c>
      <c r="H7" s="439" t="s">
        <v>408</v>
      </c>
      <c r="I7" s="439" t="s">
        <v>409</v>
      </c>
      <c r="J7" s="439" t="s">
        <v>410</v>
      </c>
      <c r="K7" s="70"/>
      <c r="L7" s="70"/>
      <c r="M7" s="70"/>
      <c r="N7" s="70"/>
      <c r="O7" s="70"/>
      <c r="P7" s="70"/>
      <c r="Q7" s="70"/>
      <c r="R7" s="70"/>
    </row>
    <row r="8" spans="1:18">
      <c r="A8" s="95" t="s">
        <v>482</v>
      </c>
      <c r="B8" s="70"/>
      <c r="C8" s="439"/>
      <c r="D8" s="439"/>
      <c r="E8" s="439"/>
      <c r="F8" s="439"/>
      <c r="G8" s="439"/>
      <c r="H8" s="439"/>
      <c r="I8" s="439"/>
      <c r="J8" s="439"/>
      <c r="K8" s="70"/>
      <c r="L8" s="70"/>
      <c r="M8" s="70"/>
      <c r="N8" s="70"/>
      <c r="O8" s="70"/>
      <c r="P8" s="70"/>
      <c r="Q8" s="70"/>
      <c r="R8" s="70"/>
    </row>
    <row r="9" spans="1:18">
      <c r="A9" s="36" t="s">
        <v>445</v>
      </c>
      <c r="B9" s="70"/>
      <c r="C9" s="557">
        <f>'Content Development Cost'!$C26</f>
        <v>75</v>
      </c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70"/>
      <c r="P9" s="70"/>
      <c r="Q9" s="70"/>
      <c r="R9" s="70"/>
    </row>
    <row r="10" spans="1:18">
      <c r="A10" s="36" t="s">
        <v>489</v>
      </c>
      <c r="B10" s="70"/>
      <c r="C10" s="523">
        <f>SUM(C9:C9)</f>
        <v>75</v>
      </c>
      <c r="D10" s="523">
        <f>C17</f>
        <v>71.25</v>
      </c>
      <c r="E10" s="523">
        <f t="shared" ref="E10:M10" si="0">D17</f>
        <v>67.5</v>
      </c>
      <c r="F10" s="523">
        <f t="shared" si="0"/>
        <v>63.75</v>
      </c>
      <c r="G10" s="523">
        <f t="shared" si="0"/>
        <v>60</v>
      </c>
      <c r="H10" s="523">
        <f t="shared" si="0"/>
        <v>56.25</v>
      </c>
      <c r="I10" s="523">
        <f t="shared" si="0"/>
        <v>52.5</v>
      </c>
      <c r="J10" s="523">
        <f t="shared" si="0"/>
        <v>48.75</v>
      </c>
      <c r="K10" s="523">
        <f t="shared" si="0"/>
        <v>45</v>
      </c>
      <c r="L10" s="523">
        <f t="shared" si="0"/>
        <v>30</v>
      </c>
      <c r="M10" s="523">
        <f t="shared" si="0"/>
        <v>15</v>
      </c>
      <c r="N10" s="70"/>
      <c r="O10" s="70"/>
      <c r="P10" s="70"/>
      <c r="Q10" s="70"/>
      <c r="R10" s="70"/>
    </row>
    <row r="11" spans="1:18">
      <c r="B11" s="70"/>
      <c r="C11" s="523"/>
      <c r="D11" s="523"/>
      <c r="E11" s="523"/>
      <c r="F11" s="523"/>
      <c r="G11" s="523"/>
      <c r="H11" s="523"/>
      <c r="I11" s="523"/>
      <c r="J11" s="523"/>
      <c r="K11" s="524"/>
      <c r="L11" s="524"/>
      <c r="M11" s="524"/>
      <c r="N11" s="70"/>
      <c r="O11" s="70"/>
      <c r="P11" s="70"/>
      <c r="Q11" s="70"/>
      <c r="R11" s="70"/>
    </row>
    <row r="12" spans="1:18">
      <c r="A12" s="182" t="s">
        <v>490</v>
      </c>
      <c r="B12" s="70"/>
      <c r="C12" s="557"/>
      <c r="D12" s="557"/>
      <c r="E12" s="557"/>
      <c r="F12" s="557"/>
      <c r="G12" s="557"/>
      <c r="H12" s="557"/>
      <c r="I12" s="557"/>
      <c r="J12" s="557"/>
      <c r="K12" s="557"/>
      <c r="L12" s="557"/>
      <c r="M12" s="557"/>
      <c r="N12" s="524"/>
      <c r="O12" s="524"/>
      <c r="P12" s="524"/>
      <c r="Q12" s="524"/>
      <c r="R12" s="524"/>
    </row>
    <row r="13" spans="1:18">
      <c r="A13" s="36" t="s">
        <v>445</v>
      </c>
      <c r="B13" s="70"/>
      <c r="C13" s="557">
        <f>('Content Development Cost'!$C26/5)/4</f>
        <v>3.75</v>
      </c>
      <c r="D13" s="557">
        <f>('Content Development Cost'!$C26/5)/4</f>
        <v>3.75</v>
      </c>
      <c r="E13" s="557">
        <f>('Content Development Cost'!$C26/5)/4</f>
        <v>3.75</v>
      </c>
      <c r="F13" s="557">
        <f>('Content Development Cost'!$C26/5)/4</f>
        <v>3.75</v>
      </c>
      <c r="G13" s="557">
        <f>('Content Development Cost'!$C26/5)/4</f>
        <v>3.75</v>
      </c>
      <c r="H13" s="557">
        <f>('Content Development Cost'!$C26/5)/4</f>
        <v>3.75</v>
      </c>
      <c r="I13" s="557">
        <f>('Content Development Cost'!$C26/5)/4</f>
        <v>3.75</v>
      </c>
      <c r="J13" s="557">
        <f>('Content Development Cost'!$C26/5)/4</f>
        <v>3.75</v>
      </c>
      <c r="K13" s="557">
        <f>('Content Development Cost'!$C26/5)</f>
        <v>15</v>
      </c>
      <c r="L13" s="557">
        <f>('Content Development Cost'!$C26/5)</f>
        <v>15</v>
      </c>
      <c r="M13" s="557">
        <f>('Content Development Cost'!$C26/5)</f>
        <v>15</v>
      </c>
      <c r="N13" s="524"/>
      <c r="O13" s="524"/>
      <c r="P13" s="524"/>
      <c r="Q13" s="524"/>
      <c r="R13" s="524"/>
    </row>
    <row r="14" spans="1:18">
      <c r="A14" s="95"/>
      <c r="B14" s="109"/>
      <c r="C14" s="525"/>
      <c r="D14" s="525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0"/>
    </row>
    <row r="15" spans="1:18">
      <c r="A15" s="522" t="s">
        <v>446</v>
      </c>
      <c r="B15" s="333" t="e">
        <f>'Fin Smmry'!#REF!</f>
        <v>#REF!</v>
      </c>
      <c r="C15" s="521">
        <f t="shared" ref="C15:M15" si="1">SUM(C12:C13)</f>
        <v>3.75</v>
      </c>
      <c r="D15" s="521">
        <f t="shared" si="1"/>
        <v>3.75</v>
      </c>
      <c r="E15" s="521">
        <f t="shared" si="1"/>
        <v>3.75</v>
      </c>
      <c r="F15" s="521">
        <f t="shared" si="1"/>
        <v>3.75</v>
      </c>
      <c r="G15" s="521">
        <f t="shared" si="1"/>
        <v>3.75</v>
      </c>
      <c r="H15" s="521">
        <f t="shared" si="1"/>
        <v>3.75</v>
      </c>
      <c r="I15" s="521">
        <f t="shared" si="1"/>
        <v>3.75</v>
      </c>
      <c r="J15" s="521">
        <f t="shared" si="1"/>
        <v>3.75</v>
      </c>
      <c r="K15" s="521">
        <f t="shared" si="1"/>
        <v>15</v>
      </c>
      <c r="L15" s="521">
        <f t="shared" si="1"/>
        <v>15</v>
      </c>
      <c r="M15" s="521">
        <f t="shared" si="1"/>
        <v>15</v>
      </c>
      <c r="N15" s="521"/>
      <c r="O15" s="521"/>
      <c r="P15" s="521"/>
      <c r="Q15" s="521"/>
      <c r="R15" s="521"/>
    </row>
    <row r="16" spans="1:18">
      <c r="C16" s="520"/>
      <c r="D16" s="520"/>
      <c r="E16" s="520"/>
      <c r="F16" s="520"/>
      <c r="G16" s="520"/>
      <c r="H16" s="520"/>
      <c r="I16" s="520"/>
      <c r="J16" s="520"/>
      <c r="K16" s="520"/>
      <c r="L16" s="520"/>
      <c r="M16" s="520"/>
      <c r="N16" s="520"/>
      <c r="O16" s="520"/>
      <c r="P16" s="520"/>
      <c r="Q16" s="520"/>
      <c r="R16" s="520"/>
    </row>
    <row r="17" spans="1:17">
      <c r="A17" s="36" t="s">
        <v>447</v>
      </c>
      <c r="B17" s="86"/>
      <c r="C17" s="86">
        <f t="shared" ref="C17:M17" si="2">C10-C15</f>
        <v>71.25</v>
      </c>
      <c r="D17" s="86">
        <f t="shared" si="2"/>
        <v>67.5</v>
      </c>
      <c r="E17" s="86">
        <f t="shared" si="2"/>
        <v>63.75</v>
      </c>
      <c r="F17" s="86">
        <f t="shared" si="2"/>
        <v>60</v>
      </c>
      <c r="G17" s="86">
        <f t="shared" si="2"/>
        <v>56.25</v>
      </c>
      <c r="H17" s="86">
        <f t="shared" si="2"/>
        <v>52.5</v>
      </c>
      <c r="I17" s="86">
        <f t="shared" si="2"/>
        <v>48.75</v>
      </c>
      <c r="J17" s="86">
        <f t="shared" si="2"/>
        <v>45</v>
      </c>
      <c r="K17" s="86">
        <f t="shared" si="2"/>
        <v>30</v>
      </c>
      <c r="L17" s="86">
        <f t="shared" si="2"/>
        <v>15</v>
      </c>
      <c r="M17" s="86">
        <f t="shared" si="2"/>
        <v>0</v>
      </c>
      <c r="N17" s="86"/>
      <c r="O17" s="86"/>
      <c r="P17" s="86"/>
      <c r="Q17" s="86"/>
    </row>
    <row r="18" spans="1:17"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</row>
    <row r="21" spans="1:17"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</row>
    <row r="22" spans="1:17"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</row>
    <row r="24" spans="1:17">
      <c r="A24" s="90" t="s">
        <v>71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</row>
    <row r="25" spans="1:17"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</row>
    <row r="26" spans="1:17"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</row>
    <row r="27" spans="1:17"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</row>
    <row r="28" spans="1:17"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</row>
  </sheetData>
  <mergeCells count="3">
    <mergeCell ref="G6:J6"/>
    <mergeCell ref="C6:F6"/>
    <mergeCell ref="A1:R1"/>
  </mergeCells>
  <hyperlinks>
    <hyperlink ref="A3" location="Index!A1" display="BACK TO INDEX"/>
    <hyperlink ref="A24" location="Index!A1" display="BACK TO INDEX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16"/>
  <dimension ref="A1:S34"/>
  <sheetViews>
    <sheetView zoomScale="80" zoomScaleNormal="80" workbookViewId="0">
      <selection activeCell="C15" sqref="C15"/>
    </sheetView>
  </sheetViews>
  <sheetFormatPr defaultRowHeight="15"/>
  <cols>
    <col min="1" max="1" width="20.5703125" style="36" customWidth="1"/>
    <col min="2" max="2" width="10" style="36" hidden="1" customWidth="1"/>
    <col min="3" max="6" width="10" style="36" customWidth="1"/>
    <col min="7" max="10" width="10.42578125" style="36" customWidth="1"/>
    <col min="11" max="11" width="9.7109375" style="36" customWidth="1"/>
    <col min="12" max="12" width="10.140625" style="36" customWidth="1"/>
    <col min="13" max="14" width="9.42578125" style="36" customWidth="1"/>
    <col min="15" max="15" width="10" style="36" customWidth="1"/>
    <col min="16" max="16" width="9.85546875" style="36" customWidth="1"/>
    <col min="17" max="18" width="10" style="36" customWidth="1"/>
    <col min="19" max="16384" width="9.140625" style="36"/>
  </cols>
  <sheetData>
    <row r="1" spans="1:19">
      <c r="A1" s="1016" t="s">
        <v>130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6"/>
      <c r="R1" s="1016"/>
    </row>
    <row r="2" spans="1:19">
      <c r="A2" s="84"/>
    </row>
    <row r="3" spans="1:19">
      <c r="A3" s="90" t="s">
        <v>71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9">
      <c r="A4" s="43" t="s">
        <v>129</v>
      </c>
    </row>
    <row r="5" spans="1:19">
      <c r="A5" s="43"/>
    </row>
    <row r="6" spans="1:19">
      <c r="A6" s="102"/>
      <c r="B6" s="70"/>
      <c r="C6" s="1017" t="s">
        <v>143</v>
      </c>
      <c r="D6" s="1017"/>
      <c r="E6" s="1017"/>
      <c r="F6" s="1017"/>
      <c r="G6" s="1017" t="s">
        <v>144</v>
      </c>
      <c r="H6" s="1017"/>
      <c r="I6" s="1017"/>
      <c r="J6" s="1017"/>
      <c r="K6" s="70" t="str">
        <f>Amortisation!K6</f>
        <v>Year 3</v>
      </c>
      <c r="L6" s="70" t="str">
        <f>Amortisation!L6</f>
        <v>Year 4</v>
      </c>
      <c r="M6" s="70" t="str">
        <f>Amortisation!M6</f>
        <v>Year 5</v>
      </c>
      <c r="N6" s="70" t="str">
        <f>Amortisation!N6</f>
        <v>Year 6</v>
      </c>
      <c r="O6" s="70" t="str">
        <f>Amortisation!O6</f>
        <v>Year 7</v>
      </c>
      <c r="P6" s="70" t="str">
        <f>Amortisation!P6</f>
        <v>Year 8</v>
      </c>
      <c r="Q6" s="70" t="str">
        <f>Amortisation!Q6</f>
        <v>Year 9</v>
      </c>
      <c r="R6" s="70" t="str">
        <f>Amortisation!R6</f>
        <v>Year 10</v>
      </c>
    </row>
    <row r="7" spans="1:19">
      <c r="A7" s="102"/>
      <c r="B7" s="95"/>
      <c r="C7" s="439" t="s">
        <v>407</v>
      </c>
      <c r="D7" s="439" t="s">
        <v>408</v>
      </c>
      <c r="E7" s="439" t="s">
        <v>409</v>
      </c>
      <c r="F7" s="439" t="s">
        <v>410</v>
      </c>
      <c r="G7" s="439" t="s">
        <v>407</v>
      </c>
      <c r="H7" s="439" t="s">
        <v>408</v>
      </c>
      <c r="I7" s="439" t="s">
        <v>409</v>
      </c>
      <c r="J7" s="439" t="s">
        <v>410</v>
      </c>
      <c r="K7" s="95"/>
      <c r="L7" s="95"/>
      <c r="M7" s="95"/>
      <c r="N7" s="95"/>
      <c r="O7" s="95"/>
      <c r="P7" s="95"/>
      <c r="Q7" s="95"/>
      <c r="R7" s="95"/>
    </row>
    <row r="8" spans="1:19">
      <c r="A8" s="102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</row>
    <row r="9" spans="1:19">
      <c r="A9" s="101" t="s">
        <v>128</v>
      </c>
      <c r="B9" s="86" t="e">
        <f>'Fin Smmry'!#REF!</f>
        <v>#REF!</v>
      </c>
      <c r="C9" s="86">
        <f>'Fin Smmry'!F56</f>
        <v>197.21675126903565</v>
      </c>
      <c r="D9" s="86">
        <f>'Fin Smmry'!G56</f>
        <v>197.3441129634887</v>
      </c>
      <c r="E9" s="86">
        <f>'Fin Smmry'!H56</f>
        <v>206.60823651115933</v>
      </c>
      <c r="F9" s="86">
        <f>'Fin Smmry'!I56</f>
        <v>216.0134380824062</v>
      </c>
      <c r="G9" s="86">
        <f>'Fin Smmry'!J56</f>
        <v>280.07452597201609</v>
      </c>
      <c r="H9" s="86">
        <f>'Fin Smmry'!K56</f>
        <v>281.07973398181474</v>
      </c>
      <c r="I9" s="86">
        <f>'Fin Smmry'!L56</f>
        <v>287.23627815428466</v>
      </c>
      <c r="J9" s="86">
        <f>'Fin Smmry'!M56</f>
        <v>293.48657680669879</v>
      </c>
      <c r="K9" s="86">
        <f>'Fin Smmry'!N56</f>
        <v>355.81055383213527</v>
      </c>
      <c r="L9" s="86">
        <f>'Fin Smmry'!O56</f>
        <v>71.720686537710321</v>
      </c>
      <c r="M9" s="86">
        <f>'Fin Smmry'!P56</f>
        <v>0</v>
      </c>
      <c r="N9" s="86">
        <f>'Fin Smmry'!Q56</f>
        <v>0</v>
      </c>
      <c r="O9" s="86">
        <f>'Fin Smmry'!R56</f>
        <v>0</v>
      </c>
      <c r="P9" s="86">
        <f>'Fin Smmry'!S56</f>
        <v>0</v>
      </c>
      <c r="Q9" s="86">
        <f>'Fin Smmry'!T56</f>
        <v>0</v>
      </c>
      <c r="R9" s="86">
        <f>'Fin Smmry'!U56</f>
        <v>0</v>
      </c>
    </row>
    <row r="10" spans="1:19">
      <c r="A10" s="98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19">
      <c r="A11" s="98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</row>
    <row r="12" spans="1:19">
      <c r="A12" s="98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</row>
    <row r="13" spans="1:19">
      <c r="A13" s="98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19"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</row>
    <row r="15" spans="1:19">
      <c r="A15" s="330" t="s">
        <v>127</v>
      </c>
      <c r="B15" s="332" t="e">
        <f>'Loan-Int'!#REF!</f>
        <v>#REF!</v>
      </c>
      <c r="C15" s="332">
        <f>'Loan-Int'!E24</f>
        <v>2.9582512690355349</v>
      </c>
      <c r="D15" s="332">
        <f>'Loan-Int'!E25</f>
        <v>2.9601616944523306</v>
      </c>
      <c r="E15" s="332">
        <f>'Loan-Int'!E26</f>
        <v>3.0991235476673897</v>
      </c>
      <c r="F15" s="332">
        <f>'Loan-Int'!E27</f>
        <v>3.240201571236093</v>
      </c>
      <c r="G15" s="332">
        <f>'Loan-Int'!E28</f>
        <v>4.2011178895802415</v>
      </c>
      <c r="H15" s="332">
        <f>'Loan-Int'!E29</f>
        <v>4.2161960097272209</v>
      </c>
      <c r="I15" s="332">
        <f>'Loan-Int'!E30</f>
        <v>4.3085441723142699</v>
      </c>
      <c r="J15" s="332">
        <f>'Loan-Int'!E31</f>
        <v>4.4022986521004821</v>
      </c>
      <c r="K15" s="332">
        <f>'Loan-Int'!E32</f>
        <v>19.47891391916502</v>
      </c>
      <c r="L15" s="332">
        <f>'Loan-Int'!E33</f>
        <v>12.825937211095367</v>
      </c>
      <c r="M15" s="332">
        <f>'Loan-Int'!E34</f>
        <v>2.1516205961313095</v>
      </c>
      <c r="N15" s="332">
        <f>'Loan-Int'!E35</f>
        <v>0</v>
      </c>
      <c r="O15" s="332">
        <f>'Loan-Int'!E36</f>
        <v>0</v>
      </c>
      <c r="P15" s="332">
        <f>'Loan-Int'!E37</f>
        <v>0</v>
      </c>
      <c r="Q15" s="332">
        <f>'Loan-Int'!E38</f>
        <v>0</v>
      </c>
      <c r="R15" s="332">
        <f>'Loan-Int'!F38</f>
        <v>0</v>
      </c>
      <c r="S15" s="188">
        <f>SUM(C15:R15)</f>
        <v>63.842366532505253</v>
      </c>
    </row>
    <row r="16" spans="1:19">
      <c r="A16" s="97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1:18">
      <c r="A17" s="330" t="s">
        <v>126</v>
      </c>
      <c r="B17" s="332">
        <v>0</v>
      </c>
      <c r="C17" s="332"/>
      <c r="D17" s="332">
        <f t="shared" ref="D17:K17" si="0">IF(C9-D9&lt;0,0,C9-D9)</f>
        <v>0</v>
      </c>
      <c r="E17" s="332">
        <f t="shared" si="0"/>
        <v>0</v>
      </c>
      <c r="F17" s="332">
        <f t="shared" si="0"/>
        <v>0</v>
      </c>
      <c r="G17" s="332">
        <f t="shared" si="0"/>
        <v>0</v>
      </c>
      <c r="H17" s="332">
        <f t="shared" si="0"/>
        <v>0</v>
      </c>
      <c r="I17" s="332">
        <f t="shared" si="0"/>
        <v>0</v>
      </c>
      <c r="J17" s="332">
        <f t="shared" si="0"/>
        <v>0</v>
      </c>
      <c r="K17" s="332">
        <f t="shared" si="0"/>
        <v>0</v>
      </c>
      <c r="L17" s="332">
        <f t="shared" ref="L17:R17" si="1">IF(K9-L9&lt;0,0,K9-L9)</f>
        <v>284.08986729442495</v>
      </c>
      <c r="M17" s="332">
        <f t="shared" si="1"/>
        <v>71.720686537710321</v>
      </c>
      <c r="N17" s="332">
        <f t="shared" si="1"/>
        <v>0</v>
      </c>
      <c r="O17" s="332">
        <f t="shared" si="1"/>
        <v>0</v>
      </c>
      <c r="P17" s="332">
        <f t="shared" si="1"/>
        <v>0</v>
      </c>
      <c r="Q17" s="332">
        <f t="shared" si="1"/>
        <v>0</v>
      </c>
      <c r="R17" s="332">
        <f t="shared" si="1"/>
        <v>0</v>
      </c>
    </row>
    <row r="18" spans="1:18">
      <c r="A18" s="97"/>
    </row>
    <row r="19" spans="1:18">
      <c r="A19" s="90" t="s">
        <v>71</v>
      </c>
      <c r="B19" s="97"/>
      <c r="C19" s="97"/>
      <c r="D19" s="97"/>
      <c r="E19" s="97"/>
      <c r="F19" s="97"/>
      <c r="G19" s="97"/>
      <c r="H19" s="97"/>
      <c r="I19" s="97"/>
      <c r="J19" s="97"/>
      <c r="K19" s="95"/>
      <c r="L19" s="95"/>
      <c r="M19" s="95"/>
      <c r="N19" s="95"/>
      <c r="O19" s="95"/>
      <c r="P19" s="95"/>
      <c r="Q19" s="95"/>
      <c r="R19" s="95"/>
    </row>
    <row r="20" spans="1:18">
      <c r="B20" s="182"/>
      <c r="C20" s="182"/>
      <c r="D20" s="182"/>
      <c r="E20" s="182"/>
      <c r="F20" s="182"/>
    </row>
    <row r="21" spans="1:18">
      <c r="B21" s="182"/>
      <c r="C21" s="182"/>
      <c r="D21" s="182"/>
      <c r="E21" s="182"/>
      <c r="F21" s="182"/>
    </row>
    <row r="22" spans="1:18">
      <c r="B22" s="182"/>
      <c r="C22" s="182"/>
      <c r="D22" s="182"/>
      <c r="E22" s="182"/>
      <c r="F22" s="182"/>
    </row>
    <row r="23" spans="1:18">
      <c r="B23" s="182"/>
      <c r="C23" s="182"/>
      <c r="D23" s="182"/>
      <c r="E23" s="182"/>
      <c r="F23" s="182"/>
    </row>
    <row r="24" spans="1:18">
      <c r="B24" s="182"/>
      <c r="C24" s="182"/>
      <c r="D24" s="182"/>
      <c r="E24" s="182"/>
      <c r="F24" s="182"/>
    </row>
    <row r="25" spans="1:18">
      <c r="B25" s="182"/>
      <c r="C25" s="182"/>
      <c r="D25" s="182"/>
      <c r="E25" s="182"/>
      <c r="F25" s="182"/>
    </row>
    <row r="26" spans="1:18">
      <c r="B26" s="182"/>
      <c r="C26" s="182"/>
      <c r="D26" s="182"/>
      <c r="E26" s="182"/>
      <c r="F26" s="182"/>
    </row>
    <row r="27" spans="1:18">
      <c r="B27" s="182"/>
      <c r="C27" s="182"/>
      <c r="D27" s="182"/>
      <c r="E27" s="182"/>
      <c r="F27" s="182"/>
    </row>
    <row r="28" spans="1:18">
      <c r="B28" s="182"/>
      <c r="C28" s="182"/>
      <c r="D28" s="182"/>
      <c r="E28" s="182"/>
      <c r="F28" s="182"/>
    </row>
    <row r="29" spans="1:18">
      <c r="B29" s="182"/>
      <c r="C29" s="182"/>
      <c r="D29" s="182"/>
      <c r="E29" s="182"/>
      <c r="F29" s="182"/>
    </row>
    <row r="30" spans="1:18">
      <c r="B30" s="182"/>
      <c r="C30" s="182"/>
      <c r="D30" s="182"/>
      <c r="E30" s="182"/>
      <c r="F30" s="182"/>
    </row>
    <row r="31" spans="1:18">
      <c r="B31" s="182"/>
      <c r="C31" s="182"/>
      <c r="D31" s="182"/>
      <c r="E31" s="182"/>
      <c r="F31" s="182"/>
    </row>
    <row r="32" spans="1:18">
      <c r="B32" s="182"/>
      <c r="C32" s="182"/>
      <c r="D32" s="182"/>
      <c r="E32" s="182"/>
      <c r="F32" s="182"/>
    </row>
    <row r="33" spans="2:6">
      <c r="B33" s="182"/>
      <c r="C33" s="182"/>
      <c r="D33" s="182"/>
      <c r="E33" s="182"/>
      <c r="F33" s="182"/>
    </row>
    <row r="34" spans="2:6">
      <c r="B34" s="182"/>
      <c r="C34" s="182"/>
      <c r="D34" s="182"/>
      <c r="E34" s="182"/>
      <c r="F34" s="182"/>
    </row>
  </sheetData>
  <mergeCells count="3">
    <mergeCell ref="C6:F6"/>
    <mergeCell ref="G6:J6"/>
    <mergeCell ref="A1:R1"/>
  </mergeCells>
  <hyperlinks>
    <hyperlink ref="A3" location="Index!A1" display="BACK TO INDEX"/>
    <hyperlink ref="A19" location="Index!A1" display="BACK TO INDEX"/>
  </hyperlinks>
  <pageMargins left="0.7" right="0.7" top="0.75" bottom="0.75" header="0.3" footer="0.3"/>
  <pageSetup orientation="portrait" horizont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17"/>
  <dimension ref="A1:T27"/>
  <sheetViews>
    <sheetView zoomScale="80" zoomScaleNormal="80" workbookViewId="0">
      <selection activeCell="I30" sqref="I30"/>
    </sheetView>
  </sheetViews>
  <sheetFormatPr defaultRowHeight="15"/>
  <cols>
    <col min="1" max="1" width="44.42578125" style="36" customWidth="1"/>
    <col min="2" max="6" width="9.85546875" style="36" customWidth="1"/>
    <col min="7" max="10" width="10.28515625" style="36" customWidth="1"/>
    <col min="11" max="11" width="9.42578125" style="36" customWidth="1"/>
    <col min="12" max="12" width="10.140625" style="36" customWidth="1"/>
    <col min="13" max="13" width="9.7109375" style="36" customWidth="1"/>
    <col min="14" max="14" width="9.5703125" style="36" customWidth="1"/>
    <col min="15" max="16" width="9.85546875" style="36" customWidth="1"/>
    <col min="17" max="17" width="9.7109375" style="36" customWidth="1"/>
    <col min="18" max="18" width="9.140625" style="36"/>
    <col min="19" max="19" width="13.85546875" style="36" bestFit="1" customWidth="1"/>
    <col min="20" max="16384" width="9.140625" style="36"/>
  </cols>
  <sheetData>
    <row r="1" spans="1:20">
      <c r="A1" s="1016" t="s">
        <v>132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6"/>
      <c r="R1" s="1016"/>
    </row>
    <row r="2" spans="1:20">
      <c r="A2" s="84"/>
    </row>
    <row r="3" spans="1:20">
      <c r="A3" s="90" t="s">
        <v>71</v>
      </c>
    </row>
    <row r="4" spans="1:20">
      <c r="A4" s="43" t="s">
        <v>131</v>
      </c>
      <c r="D4" s="70"/>
    </row>
    <row r="5" spans="1:20">
      <c r="A5" s="43"/>
      <c r="C5" s="1019" t="s">
        <v>143</v>
      </c>
      <c r="D5" s="1019"/>
      <c r="E5" s="1019"/>
      <c r="F5" s="1019"/>
      <c r="G5" s="1019" t="s">
        <v>144</v>
      </c>
      <c r="H5" s="1019"/>
      <c r="I5" s="1019"/>
      <c r="J5" s="1019"/>
      <c r="K5" s="70" t="str">
        <f>'Interest-Principal'!K6</f>
        <v>Year 3</v>
      </c>
      <c r="L5" s="70" t="str">
        <f>'Interest-Principal'!L6</f>
        <v>Year 4</v>
      </c>
      <c r="M5" s="70" t="str">
        <f>'Interest-Principal'!M6</f>
        <v>Year 5</v>
      </c>
      <c r="N5" s="70" t="str">
        <f>'Interest-Principal'!N6</f>
        <v>Year 6</v>
      </c>
      <c r="O5" s="70" t="str">
        <f>'Interest-Principal'!O6</f>
        <v>Year 7</v>
      </c>
      <c r="P5" s="70" t="str">
        <f>'Interest-Principal'!P6</f>
        <v>Year 8</v>
      </c>
      <c r="Q5" s="70" t="str">
        <f>'Interest-Principal'!Q6</f>
        <v>Year 9</v>
      </c>
      <c r="R5" s="70" t="str">
        <f>'Interest-Principal'!R6</f>
        <v>Year 10</v>
      </c>
    </row>
    <row r="6" spans="1:20">
      <c r="B6" s="70"/>
      <c r="C6" s="439" t="s">
        <v>407</v>
      </c>
      <c r="D6" s="439" t="s">
        <v>408</v>
      </c>
      <c r="E6" s="439" t="s">
        <v>409</v>
      </c>
      <c r="F6" s="439" t="s">
        <v>410</v>
      </c>
      <c r="G6" s="439" t="s">
        <v>407</v>
      </c>
      <c r="H6" s="439" t="s">
        <v>408</v>
      </c>
      <c r="I6" s="439" t="s">
        <v>409</v>
      </c>
      <c r="J6" s="439" t="s">
        <v>410</v>
      </c>
    </row>
    <row r="7" spans="1:20"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</row>
    <row r="8" spans="1:20">
      <c r="A8" s="107" t="s">
        <v>438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</row>
    <row r="9" spans="1:20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spans="1:20">
      <c r="A10" s="98" t="str">
        <f>'CAPEX Assumption'!C66</f>
        <v>Land &amp; Building</v>
      </c>
      <c r="B10" s="86"/>
      <c r="C10" s="86">
        <f>'CAPEX Assumption'!F66</f>
        <v>44.5</v>
      </c>
      <c r="D10" s="86">
        <f>'CAPEX Assumption'!G66</f>
        <v>0</v>
      </c>
      <c r="E10" s="86">
        <f>'CAPEX Assumption'!H66</f>
        <v>0</v>
      </c>
      <c r="F10" s="86">
        <f>'CAPEX Assumption'!I66</f>
        <v>0</v>
      </c>
      <c r="G10" s="86">
        <f>'CAPEX Assumption'!J66</f>
        <v>19.8</v>
      </c>
      <c r="H10" s="86">
        <f>'CAPEX Assumption'!K66</f>
        <v>0</v>
      </c>
      <c r="I10" s="86">
        <f>'CAPEX Assumption'!L66</f>
        <v>0</v>
      </c>
      <c r="J10" s="86">
        <f>'CAPEX Assumption'!M66</f>
        <v>0</v>
      </c>
      <c r="K10" s="86">
        <f>'CAPEX Assumption'!N66</f>
        <v>21.780000000000005</v>
      </c>
      <c r="L10" s="86">
        <f>'CAPEX Assumption'!O66</f>
        <v>23.958000000000006</v>
      </c>
      <c r="M10" s="86">
        <f>'CAPEX Assumption'!P66</f>
        <v>0</v>
      </c>
      <c r="N10" s="86">
        <f>'CAPEX Assumption'!Q66</f>
        <v>0</v>
      </c>
      <c r="O10" s="86">
        <f>'CAPEX Assumption'!R66</f>
        <v>0</v>
      </c>
      <c r="P10" s="86">
        <f>'CAPEX Assumption'!S66</f>
        <v>0</v>
      </c>
      <c r="Q10" s="86">
        <f>'CAPEX Assumption'!T66</f>
        <v>0</v>
      </c>
      <c r="R10" s="86">
        <f>'CAPEX Assumption'!U66</f>
        <v>0</v>
      </c>
      <c r="S10" s="103">
        <f>SUM(C10:R10)</f>
        <v>110.03800000000001</v>
      </c>
    </row>
    <row r="11" spans="1:20">
      <c r="A11" s="98" t="str">
        <f>'CAPEX Assumption'!C67</f>
        <v>Furniture &amp; Fixtures</v>
      </c>
      <c r="B11" s="86"/>
      <c r="C11" s="86">
        <f>'CAPEX Assumption'!F67</f>
        <v>16.59</v>
      </c>
      <c r="D11" s="86">
        <f>'CAPEX Assumption'!G67</f>
        <v>0</v>
      </c>
      <c r="E11" s="86">
        <f>'CAPEX Assumption'!H67</f>
        <v>0</v>
      </c>
      <c r="F11" s="86">
        <f>'CAPEX Assumption'!I67</f>
        <v>0</v>
      </c>
      <c r="G11" s="86">
        <f>'CAPEX Assumption'!J67</f>
        <v>8.9320000000000004</v>
      </c>
      <c r="H11" s="86">
        <f>'CAPEX Assumption'!K67</f>
        <v>0</v>
      </c>
      <c r="I11" s="86">
        <f>'CAPEX Assumption'!L67</f>
        <v>0</v>
      </c>
      <c r="J11" s="86">
        <f>'CAPEX Assumption'!M67</f>
        <v>0</v>
      </c>
      <c r="K11" s="86">
        <f>'CAPEX Assumption'!N67</f>
        <v>9.2202000000000002</v>
      </c>
      <c r="L11" s="86">
        <f>'CAPEX Assumption'!O67</f>
        <v>9.476720000000002</v>
      </c>
      <c r="M11" s="86">
        <f>'CAPEX Assumption'!P67</f>
        <v>0</v>
      </c>
      <c r="N11" s="86">
        <f>'CAPEX Assumption'!Q67</f>
        <v>0</v>
      </c>
      <c r="O11" s="86">
        <f>'CAPEX Assumption'!R67</f>
        <v>0</v>
      </c>
      <c r="P11" s="86">
        <f>'CAPEX Assumption'!S67</f>
        <v>0</v>
      </c>
      <c r="Q11" s="86">
        <f>'CAPEX Assumption'!T67</f>
        <v>0</v>
      </c>
      <c r="R11" s="86">
        <f>'CAPEX Assumption'!U67</f>
        <v>0</v>
      </c>
      <c r="S11" s="103">
        <f>SUM(C11:R11)</f>
        <v>44.218919999999997</v>
      </c>
    </row>
    <row r="12" spans="1:20">
      <c r="A12" s="98" t="str">
        <f>'CAPEX Assumption'!C68</f>
        <v>IT Equipments</v>
      </c>
      <c r="B12" s="86"/>
      <c r="C12" s="86">
        <f>'CAPEX Assumption'!F68</f>
        <v>23.9</v>
      </c>
      <c r="D12" s="86">
        <f>'CAPEX Assumption'!G68</f>
        <v>0</v>
      </c>
      <c r="E12" s="86">
        <f>'CAPEX Assumption'!H68</f>
        <v>0</v>
      </c>
      <c r="F12" s="86">
        <f>'CAPEX Assumption'!I68</f>
        <v>0</v>
      </c>
      <c r="G12" s="86">
        <f>'CAPEX Assumption'!J68</f>
        <v>11.385</v>
      </c>
      <c r="H12" s="86">
        <f>'CAPEX Assumption'!K68</f>
        <v>0</v>
      </c>
      <c r="I12" s="86">
        <f>'CAPEX Assumption'!L68</f>
        <v>0</v>
      </c>
      <c r="J12" s="86">
        <f>'CAPEX Assumption'!M68</f>
        <v>0</v>
      </c>
      <c r="K12" s="86">
        <f>'CAPEX Assumption'!N68</f>
        <v>16.153500000000001</v>
      </c>
      <c r="L12" s="86">
        <f>'CAPEX Assumption'!O68</f>
        <v>13.775850000000002</v>
      </c>
      <c r="M12" s="86">
        <f>'CAPEX Assumption'!P68</f>
        <v>0</v>
      </c>
      <c r="N12" s="86">
        <f>'CAPEX Assumption'!Q68</f>
        <v>0</v>
      </c>
      <c r="O12" s="86">
        <f>'CAPEX Assumption'!R68</f>
        <v>0</v>
      </c>
      <c r="P12" s="86">
        <f>'CAPEX Assumption'!S68</f>
        <v>0</v>
      </c>
      <c r="Q12" s="86">
        <f>'CAPEX Assumption'!T68</f>
        <v>0</v>
      </c>
      <c r="R12" s="86">
        <f>'CAPEX Assumption'!U68</f>
        <v>0</v>
      </c>
      <c r="S12" s="103">
        <f>SUM(C12:R12)</f>
        <v>65.214349999999996</v>
      </c>
    </row>
    <row r="13" spans="1:20">
      <c r="A13" s="98" t="str">
        <f>'CAPEX Assumption'!C69</f>
        <v>Plant &amp; Machinery</v>
      </c>
      <c r="B13" s="86"/>
      <c r="C13" s="86">
        <f>'CAPEX Assumption'!F69</f>
        <v>6.7</v>
      </c>
      <c r="D13" s="86">
        <f>'CAPEX Assumption'!G69</f>
        <v>0</v>
      </c>
      <c r="E13" s="86">
        <f>'CAPEX Assumption'!H69</f>
        <v>0</v>
      </c>
      <c r="F13" s="86">
        <f>'CAPEX Assumption'!I69</f>
        <v>0</v>
      </c>
      <c r="G13" s="86">
        <f>'CAPEX Assumption'!J69</f>
        <v>2.4750000000000001</v>
      </c>
      <c r="H13" s="86">
        <f>'CAPEX Assumption'!K69</f>
        <v>0</v>
      </c>
      <c r="I13" s="86">
        <f>'CAPEX Assumption'!L69</f>
        <v>0</v>
      </c>
      <c r="J13" s="86">
        <f>'CAPEX Assumption'!M69</f>
        <v>0</v>
      </c>
      <c r="K13" s="86">
        <f>'CAPEX Assumption'!N69</f>
        <v>2.7225000000000006</v>
      </c>
      <c r="L13" s="86">
        <f>'CAPEX Assumption'!O69</f>
        <v>2.9947500000000002</v>
      </c>
      <c r="M13" s="86">
        <f>'CAPEX Assumption'!P69</f>
        <v>0</v>
      </c>
      <c r="N13" s="86">
        <f>'CAPEX Assumption'!Q69</f>
        <v>0</v>
      </c>
      <c r="O13" s="86">
        <f>'CAPEX Assumption'!R69</f>
        <v>0</v>
      </c>
      <c r="P13" s="86">
        <f>'CAPEX Assumption'!S69</f>
        <v>0</v>
      </c>
      <c r="Q13" s="86">
        <f>'CAPEX Assumption'!T69</f>
        <v>0</v>
      </c>
      <c r="R13" s="86">
        <f>'CAPEX Assumption'!U69</f>
        <v>0</v>
      </c>
      <c r="S13" s="103">
        <f>SUM(C13:R13)</f>
        <v>14.892250000000001</v>
      </c>
    </row>
    <row r="14" spans="1:20">
      <c r="A14" s="98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103"/>
    </row>
    <row r="15" spans="1:20">
      <c r="A15" s="330" t="s">
        <v>439</v>
      </c>
      <c r="B15" s="331"/>
      <c r="C15" s="331">
        <f t="shared" ref="C15:R15" si="0">SUM(C10:C14)</f>
        <v>91.690000000000012</v>
      </c>
      <c r="D15" s="331">
        <f t="shared" si="0"/>
        <v>0</v>
      </c>
      <c r="E15" s="331">
        <f t="shared" si="0"/>
        <v>0</v>
      </c>
      <c r="F15" s="331">
        <f t="shared" si="0"/>
        <v>0</v>
      </c>
      <c r="G15" s="331">
        <f t="shared" si="0"/>
        <v>42.591999999999999</v>
      </c>
      <c r="H15" s="331">
        <f t="shared" si="0"/>
        <v>0</v>
      </c>
      <c r="I15" s="331">
        <f t="shared" si="0"/>
        <v>0</v>
      </c>
      <c r="J15" s="331">
        <f t="shared" si="0"/>
        <v>0</v>
      </c>
      <c r="K15" s="331">
        <f t="shared" si="0"/>
        <v>49.876200000000011</v>
      </c>
      <c r="L15" s="331">
        <f t="shared" si="0"/>
        <v>50.205320000000007</v>
      </c>
      <c r="M15" s="331">
        <f t="shared" si="0"/>
        <v>0</v>
      </c>
      <c r="N15" s="331">
        <f t="shared" si="0"/>
        <v>0</v>
      </c>
      <c r="O15" s="331">
        <f t="shared" si="0"/>
        <v>0</v>
      </c>
      <c r="P15" s="331">
        <f t="shared" si="0"/>
        <v>0</v>
      </c>
      <c r="Q15" s="331">
        <f t="shared" si="0"/>
        <v>0</v>
      </c>
      <c r="R15" s="331">
        <f t="shared" si="0"/>
        <v>0</v>
      </c>
      <c r="S15" s="86">
        <f>C15+D15+E15+F15+G15+H15+I15+J15+K15+L15+M15+N15+O15+P15+Q15+R15</f>
        <v>234.36352000000002</v>
      </c>
      <c r="T15" s="512"/>
    </row>
    <row r="16" spans="1:20">
      <c r="B16" s="104"/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</row>
    <row r="17" spans="1:20">
      <c r="B17" s="104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</row>
    <row r="18" spans="1:20">
      <c r="B18" s="104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</row>
    <row r="19" spans="1:20">
      <c r="B19" s="104"/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</row>
    <row r="20" spans="1:20">
      <c r="B20" s="104"/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</row>
    <row r="21" spans="1:20">
      <c r="B21" s="104"/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512"/>
      <c r="R21" s="512"/>
      <c r="S21" s="512"/>
      <c r="T21" s="512"/>
    </row>
    <row r="22" spans="1:20">
      <c r="A22" s="86"/>
      <c r="B22" s="92"/>
      <c r="C22" s="513"/>
      <c r="D22" s="513"/>
      <c r="E22" s="513"/>
      <c r="F22" s="513"/>
      <c r="G22" s="513"/>
      <c r="H22" s="513"/>
      <c r="I22" s="513"/>
      <c r="J22" s="513"/>
      <c r="K22" s="513"/>
      <c r="L22" s="513"/>
      <c r="M22" s="513"/>
      <c r="N22" s="513"/>
      <c r="O22" s="513"/>
      <c r="P22" s="513"/>
      <c r="Q22" s="513"/>
      <c r="R22" s="512"/>
      <c r="S22" s="512"/>
      <c r="T22" s="512"/>
    </row>
    <row r="23" spans="1:20">
      <c r="A23" s="90" t="s">
        <v>71</v>
      </c>
      <c r="G23" s="103"/>
      <c r="H23" s="103"/>
      <c r="I23" s="103"/>
      <c r="J23" s="103"/>
      <c r="K23" s="103"/>
      <c r="L23" s="103"/>
    </row>
    <row r="27" spans="1:20" s="182" customFormat="1"/>
  </sheetData>
  <mergeCells count="3">
    <mergeCell ref="C5:F5"/>
    <mergeCell ref="G5:J5"/>
    <mergeCell ref="A1:R1"/>
  </mergeCells>
  <hyperlinks>
    <hyperlink ref="A3" location="Index!A1" display="BACK TO INDEX"/>
    <hyperlink ref="A23" location="Index!A1" display="BACK TO INDEX"/>
  </hyperlinks>
  <pageMargins left="0.7" right="0.7" top="0.75" bottom="0.75" header="0.3" footer="0.3"/>
  <pageSetup orientation="portrait" horizont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18"/>
  <dimension ref="A1:R15"/>
  <sheetViews>
    <sheetView workbookViewId="0">
      <selection activeCell="N13" sqref="N13"/>
    </sheetView>
  </sheetViews>
  <sheetFormatPr defaultRowHeight="12.75"/>
  <cols>
    <col min="1" max="1" width="18.7109375" style="499" customWidth="1"/>
    <col min="2" max="2" width="8.140625" style="499" hidden="1" customWidth="1"/>
    <col min="3" max="6" width="8.140625" style="499" customWidth="1"/>
    <col min="7" max="16384" width="9.140625" style="499"/>
  </cols>
  <sheetData>
    <row r="1" spans="1:18" ht="15">
      <c r="A1" s="1022" t="s">
        <v>141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1022"/>
      <c r="M1" s="1022"/>
      <c r="N1" s="1022"/>
      <c r="O1" s="1022"/>
      <c r="P1" s="1022"/>
      <c r="Q1" s="1022"/>
      <c r="R1" s="1022"/>
    </row>
    <row r="2" spans="1:18" ht="15">
      <c r="A2" s="500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</row>
    <row r="3" spans="1:18" ht="15">
      <c r="A3" s="501" t="s">
        <v>71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</row>
    <row r="4" spans="1:18" ht="15">
      <c r="A4" s="502" t="s">
        <v>140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</row>
    <row r="5" spans="1:18" ht="15">
      <c r="A5" s="501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</row>
    <row r="6" spans="1:18" ht="15">
      <c r="A6" s="182"/>
      <c r="B6" s="503"/>
      <c r="C6" s="1020" t="s">
        <v>143</v>
      </c>
      <c r="D6" s="1020"/>
      <c r="E6" s="1020"/>
      <c r="F6" s="1020"/>
      <c r="G6" s="1021" t="s">
        <v>144</v>
      </c>
      <c r="H6" s="1021"/>
      <c r="I6" s="1021"/>
      <c r="J6" s="1021"/>
      <c r="K6" s="503" t="str">
        <f>Capex!K5</f>
        <v>Year 3</v>
      </c>
      <c r="L6" s="503" t="str">
        <f>Capex!L5</f>
        <v>Year 4</v>
      </c>
      <c r="M6" s="503" t="str">
        <f>Capex!M5</f>
        <v>Year 5</v>
      </c>
      <c r="N6" s="503" t="str">
        <f>Capex!N5</f>
        <v>Year 6</v>
      </c>
      <c r="O6" s="503" t="str">
        <f>Capex!O5</f>
        <v>Year 7</v>
      </c>
      <c r="P6" s="503" t="str">
        <f>Capex!P5</f>
        <v>Year 8</v>
      </c>
      <c r="Q6" s="503" t="str">
        <f>Capex!Q5</f>
        <v>Year 9</v>
      </c>
      <c r="R6" s="503" t="str">
        <f>Capex!R5</f>
        <v>Year 10</v>
      </c>
    </row>
    <row r="7" spans="1:18" ht="15">
      <c r="A7" s="182"/>
      <c r="B7" s="503"/>
      <c r="C7" s="504" t="s">
        <v>407</v>
      </c>
      <c r="D7" s="504" t="s">
        <v>408</v>
      </c>
      <c r="E7" s="504" t="s">
        <v>409</v>
      </c>
      <c r="F7" s="504" t="s">
        <v>410</v>
      </c>
      <c r="G7" s="504" t="s">
        <v>407</v>
      </c>
      <c r="H7" s="504" t="s">
        <v>408</v>
      </c>
      <c r="I7" s="504" t="s">
        <v>409</v>
      </c>
      <c r="J7" s="504" t="s">
        <v>410</v>
      </c>
      <c r="K7" s="503"/>
      <c r="L7" s="503"/>
      <c r="M7" s="503"/>
      <c r="N7" s="503"/>
      <c r="O7" s="503"/>
      <c r="P7" s="503"/>
      <c r="Q7" s="503"/>
      <c r="R7" s="503"/>
    </row>
    <row r="8" spans="1:18" s="510" customFormat="1" ht="15">
      <c r="A8" s="182" t="str">
        <f>'Fin Smmry'!A41</f>
        <v>Surplus/(Deficit)</v>
      </c>
      <c r="B8" s="511"/>
      <c r="C8" s="531"/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</row>
    <row r="9" spans="1:18" s="510" customFormat="1" ht="15">
      <c r="A9" s="182"/>
      <c r="B9" s="511"/>
      <c r="C9" s="531"/>
      <c r="D9" s="531"/>
      <c r="E9" s="531"/>
      <c r="F9" s="531"/>
      <c r="G9" s="531"/>
      <c r="H9" s="531"/>
      <c r="I9" s="531"/>
      <c r="J9" s="531"/>
      <c r="K9" s="531"/>
      <c r="L9" s="531"/>
      <c r="M9" s="531"/>
      <c r="N9" s="531"/>
      <c r="O9" s="531"/>
      <c r="P9" s="531"/>
      <c r="Q9" s="531"/>
      <c r="R9" s="531"/>
    </row>
    <row r="10" spans="1:18" ht="15">
      <c r="A10" s="507" t="s">
        <v>139</v>
      </c>
      <c r="B10" s="508" t="e">
        <f>'P&amp;L Statement'!#REF!</f>
        <v>#REF!</v>
      </c>
      <c r="C10" s="559">
        <f>'Fin Smmry'!F100</f>
        <v>0</v>
      </c>
      <c r="D10" s="559">
        <f>'Fin Smmry'!G100</f>
        <v>0</v>
      </c>
      <c r="E10" s="559">
        <f>'Fin Smmry'!H100</f>
        <v>0</v>
      </c>
      <c r="F10" s="559">
        <f>'Fin Smmry'!I100</f>
        <v>0</v>
      </c>
      <c r="G10" s="559">
        <f>'Fin Smmry'!J100</f>
        <v>0</v>
      </c>
      <c r="H10" s="559">
        <f>'Fin Smmry'!K100</f>
        <v>0</v>
      </c>
      <c r="I10" s="559">
        <f>'Fin Smmry'!L100</f>
        <v>0</v>
      </c>
      <c r="J10" s="559">
        <f>'Fin Smmry'!M100</f>
        <v>0</v>
      </c>
      <c r="K10" s="559">
        <f>'Fin Smmry'!N100</f>
        <v>0</v>
      </c>
      <c r="L10" s="559">
        <f>'Fin Smmry'!O100</f>
        <v>0</v>
      </c>
      <c r="M10" s="559">
        <f>'Fin Smmry'!P100</f>
        <v>0</v>
      </c>
      <c r="N10" s="559">
        <f>'Fin Smmry'!Q100</f>
        <v>0</v>
      </c>
      <c r="O10" s="559">
        <f>'Fin Smmry'!R100</f>
        <v>0</v>
      </c>
      <c r="P10" s="559">
        <f>'Fin Smmry'!S100</f>
        <v>0</v>
      </c>
      <c r="Q10" s="559">
        <f>'Fin Smmry'!T100</f>
        <v>0</v>
      </c>
      <c r="R10" s="559">
        <f>'Fin Smmry'!U100</f>
        <v>0</v>
      </c>
    </row>
    <row r="11" spans="1:18" ht="15">
      <c r="A11" s="505"/>
      <c r="B11" s="182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32"/>
    </row>
    <row r="12" spans="1:18" ht="15">
      <c r="A12" s="505"/>
      <c r="B12" s="506"/>
      <c r="C12" s="506"/>
      <c r="D12" s="506"/>
      <c r="E12" s="506"/>
      <c r="F12" s="506"/>
      <c r="G12" s="506"/>
      <c r="H12" s="506"/>
      <c r="I12" s="506"/>
      <c r="J12" s="506"/>
      <c r="K12" s="506"/>
      <c r="L12" s="506"/>
      <c r="M12" s="506"/>
      <c r="N12" s="506"/>
      <c r="O12" s="506"/>
      <c r="P12" s="506"/>
      <c r="Q12" s="506"/>
    </row>
    <row r="13" spans="1:18" ht="15">
      <c r="A13" s="509"/>
      <c r="B13" s="506"/>
      <c r="C13" s="506"/>
      <c r="D13" s="506"/>
      <c r="E13" s="506"/>
      <c r="F13" s="506"/>
      <c r="G13" s="506"/>
      <c r="H13" s="506"/>
      <c r="I13" s="506"/>
      <c r="J13" s="506"/>
      <c r="K13" s="506"/>
      <c r="L13" s="506"/>
      <c r="M13" s="506"/>
      <c r="N13" s="506"/>
      <c r="O13" s="506"/>
      <c r="P13" s="506"/>
      <c r="Q13" s="506"/>
    </row>
    <row r="14" spans="1:18" ht="15">
      <c r="A14" s="182"/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</row>
    <row r="15" spans="1:18" ht="15">
      <c r="A15" s="501" t="s">
        <v>71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</row>
  </sheetData>
  <mergeCells count="3">
    <mergeCell ref="C6:F6"/>
    <mergeCell ref="G6:J6"/>
    <mergeCell ref="A1:R1"/>
  </mergeCells>
  <hyperlinks>
    <hyperlink ref="A3" location="Index!A1" display="BACK TO INDEX"/>
    <hyperlink ref="A15" location="Index!A1" display="BACK TO INDEX"/>
  </hyperlinks>
  <pageMargins left="0.7" right="0.7" top="0.75" bottom="0.75" header="0.3" footer="0.3"/>
  <pageSetup orientation="portrait" horizontalDpi="30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43"/>
  <sheetViews>
    <sheetView zoomScale="83" zoomScaleNormal="83" workbookViewId="0">
      <selection activeCell="H30" sqref="H30"/>
    </sheetView>
  </sheetViews>
  <sheetFormatPr defaultRowHeight="12.75"/>
  <cols>
    <col min="1" max="1" width="44.42578125" style="440" bestFit="1" customWidth="1"/>
    <col min="2" max="2" width="10.5703125" style="440" customWidth="1"/>
    <col min="3" max="11" width="9.140625" style="440"/>
    <col min="12" max="13" width="6.5703125" style="440" bestFit="1" customWidth="1"/>
    <col min="14" max="16384" width="9.140625" style="440"/>
  </cols>
  <sheetData>
    <row r="1" spans="1:18" ht="15">
      <c r="A1" s="1024" t="s">
        <v>401</v>
      </c>
      <c r="B1" s="1024"/>
      <c r="C1" s="1024"/>
      <c r="D1" s="1024"/>
      <c r="E1" s="1024"/>
      <c r="F1" s="1024"/>
      <c r="G1" s="1024"/>
      <c r="H1" s="1024"/>
      <c r="I1" s="1024"/>
      <c r="J1" s="1024"/>
      <c r="K1" s="1024"/>
      <c r="L1" s="1024"/>
      <c r="M1" s="1024"/>
      <c r="N1" s="1024"/>
      <c r="O1" s="1024"/>
      <c r="P1" s="1024"/>
      <c r="Q1" s="1024"/>
      <c r="R1" s="1024"/>
    </row>
    <row r="2" spans="1:18" ht="15">
      <c r="A2" s="441"/>
      <c r="B2" s="441"/>
      <c r="C2" s="442"/>
      <c r="D2" s="442"/>
      <c r="E2" s="442"/>
      <c r="F2" s="442"/>
      <c r="G2" s="442"/>
      <c r="H2" s="442"/>
      <c r="I2" s="442"/>
      <c r="J2" s="442"/>
      <c r="K2" s="442"/>
    </row>
    <row r="3" spans="1:18" ht="15">
      <c r="A3" s="443" t="s">
        <v>71</v>
      </c>
      <c r="B3" s="443"/>
      <c r="C3" s="442"/>
      <c r="D3" s="442"/>
      <c r="E3" s="442"/>
      <c r="F3" s="442"/>
      <c r="G3" s="442"/>
      <c r="H3" s="442"/>
      <c r="I3" s="442"/>
      <c r="J3" s="442"/>
      <c r="K3" s="442"/>
    </row>
    <row r="4" spans="1:18" ht="15">
      <c r="A4" s="1025" t="s">
        <v>402</v>
      </c>
      <c r="B4" s="1025"/>
      <c r="C4" s="1025"/>
      <c r="D4" s="1025"/>
      <c r="E4" s="1025"/>
      <c r="F4" s="1025"/>
      <c r="G4" s="1025"/>
      <c r="H4" s="1025"/>
      <c r="I4" s="1025"/>
      <c r="J4" s="1025"/>
      <c r="K4" s="1025"/>
      <c r="L4" s="1025"/>
      <c r="M4" s="1025"/>
      <c r="N4" s="1025"/>
      <c r="O4" s="1025"/>
    </row>
    <row r="6" spans="1:18" ht="15">
      <c r="C6" s="1023" t="s">
        <v>143</v>
      </c>
      <c r="D6" s="1023"/>
      <c r="E6" s="1023"/>
      <c r="F6" s="1023"/>
      <c r="G6" s="1023" t="s">
        <v>144</v>
      </c>
      <c r="H6" s="1023"/>
      <c r="I6" s="1023"/>
      <c r="J6" s="1023"/>
      <c r="K6" s="444" t="s">
        <v>149</v>
      </c>
      <c r="L6" s="444" t="s">
        <v>150</v>
      </c>
      <c r="M6" s="444" t="s">
        <v>151</v>
      </c>
      <c r="N6" s="444" t="s">
        <v>177</v>
      </c>
      <c r="O6" s="444" t="s">
        <v>178</v>
      </c>
      <c r="P6" s="444" t="s">
        <v>179</v>
      </c>
      <c r="Q6" s="444" t="s">
        <v>180</v>
      </c>
      <c r="R6" s="444" t="s">
        <v>181</v>
      </c>
    </row>
    <row r="7" spans="1:18" ht="15">
      <c r="C7" s="445" t="s">
        <v>403</v>
      </c>
      <c r="D7" s="445" t="s">
        <v>404</v>
      </c>
      <c r="E7" s="445" t="s">
        <v>405</v>
      </c>
      <c r="F7" s="445" t="s">
        <v>406</v>
      </c>
      <c r="G7" s="445" t="s">
        <v>403</v>
      </c>
      <c r="H7" s="445" t="s">
        <v>404</v>
      </c>
      <c r="I7" s="445" t="s">
        <v>405</v>
      </c>
      <c r="J7" s="445" t="s">
        <v>406</v>
      </c>
      <c r="K7" s="445"/>
      <c r="L7" s="445"/>
      <c r="M7" s="445"/>
      <c r="N7" s="445"/>
      <c r="O7" s="445"/>
      <c r="P7" s="445"/>
      <c r="Q7" s="445"/>
      <c r="R7" s="445"/>
    </row>
    <row r="8" spans="1:18">
      <c r="B8" s="496" t="s">
        <v>436</v>
      </c>
    </row>
    <row r="9" spans="1:18">
      <c r="B9" s="496"/>
    </row>
    <row r="10" spans="1:18">
      <c r="A10" s="440" t="str">
        <f>'Key Assumptions'!B89</f>
        <v>Hospitality course : House keeping (60 Days, 240 hrs)</v>
      </c>
      <c r="B10" s="670">
        <v>5</v>
      </c>
      <c r="C10" s="440">
        <f>B10</f>
        <v>5</v>
      </c>
    </row>
    <row r="11" spans="1:18">
      <c r="A11" s="440" t="str">
        <f>'Key Assumptions'!B90</f>
        <v>Hospitality course : Front Office Management (40Days, 180 hrs)</v>
      </c>
      <c r="B11" s="670">
        <v>5</v>
      </c>
      <c r="C11" s="440">
        <f t="shared" ref="C11:C24" si="0">B11</f>
        <v>5</v>
      </c>
    </row>
    <row r="12" spans="1:18">
      <c r="A12" s="440" t="str">
        <f>'Key Assumptions'!B91</f>
        <v>Hospitality course : Food &amp; Beverages (40 Days, 180 hrs)</v>
      </c>
      <c r="B12" s="670">
        <v>5</v>
      </c>
      <c r="C12" s="440">
        <f t="shared" si="0"/>
        <v>5</v>
      </c>
    </row>
    <row r="13" spans="1:18">
      <c r="A13" s="440" t="str">
        <f>'Key Assumptions'!B92</f>
        <v>IT/ITES : BPO Voice (60 Days, 180 hrs)</v>
      </c>
      <c r="B13" s="670">
        <v>5</v>
      </c>
      <c r="C13" s="440">
        <f t="shared" si="0"/>
        <v>5</v>
      </c>
    </row>
    <row r="14" spans="1:18">
      <c r="A14" s="440" t="str">
        <f>'Key Assumptions'!B93</f>
        <v>IT/ITES : BPO Non Voice (60 Days, 180 hrs)</v>
      </c>
      <c r="B14" s="670">
        <v>5</v>
      </c>
      <c r="C14" s="440">
        <f t="shared" si="0"/>
        <v>5</v>
      </c>
    </row>
    <row r="15" spans="1:18">
      <c r="A15" s="440" t="str">
        <f>'Key Assumptions'!B94</f>
        <v>IT/ITES : Hardware &amp; networking (40 Days, 180 hrs)</v>
      </c>
      <c r="B15" s="670">
        <v>5</v>
      </c>
      <c r="C15" s="440">
        <f t="shared" si="0"/>
        <v>5</v>
      </c>
    </row>
    <row r="16" spans="1:18">
      <c r="A16" s="440" t="str">
        <f>'Key Assumptions'!B95</f>
        <v>Health Care : General Duty Attendant (40 Days, 180 hrs)</v>
      </c>
      <c r="B16" s="670">
        <v>5</v>
      </c>
      <c r="C16" s="440">
        <f t="shared" si="0"/>
        <v>5</v>
      </c>
    </row>
    <row r="17" spans="1:18">
      <c r="A17" s="440" t="str">
        <f>'Key Assumptions'!B96</f>
        <v>Health Care : Asha (Health workers) (40 Days, 180 hrs)</v>
      </c>
      <c r="B17" s="670">
        <v>5</v>
      </c>
      <c r="C17" s="440">
        <f t="shared" si="0"/>
        <v>5</v>
      </c>
    </row>
    <row r="18" spans="1:18">
      <c r="A18" s="440" t="str">
        <f>'Key Assumptions'!B97</f>
        <v>Health Care : Home Health Aide (40 Days, 180 hrs)</v>
      </c>
      <c r="B18" s="670">
        <v>5</v>
      </c>
      <c r="C18" s="440">
        <f t="shared" si="0"/>
        <v>5</v>
      </c>
    </row>
    <row r="19" spans="1:18">
      <c r="A19" s="440" t="str">
        <f>'Key Assumptions'!B98</f>
        <v>Retail : Cashier (40 Days, 180 hrs)</v>
      </c>
      <c r="B19" s="670">
        <v>5</v>
      </c>
      <c r="C19" s="440">
        <f t="shared" si="0"/>
        <v>5</v>
      </c>
    </row>
    <row r="20" spans="1:18">
      <c r="A20" s="440" t="str">
        <f>'Key Assumptions'!B99</f>
        <v>Retail : Assistant (40 Days, 180 hrs)</v>
      </c>
      <c r="B20" s="670">
        <v>5</v>
      </c>
      <c r="C20" s="440">
        <f t="shared" si="0"/>
        <v>5</v>
      </c>
    </row>
    <row r="21" spans="1:18">
      <c r="A21" s="440" t="str">
        <f>'Key Assumptions'!B100</f>
        <v>Agriculture : Apiculture (16 Days, 48 hrs)</v>
      </c>
      <c r="B21" s="670">
        <v>5</v>
      </c>
      <c r="C21" s="440">
        <f t="shared" si="0"/>
        <v>5</v>
      </c>
    </row>
    <row r="22" spans="1:18">
      <c r="A22" s="440" t="str">
        <f>'Key Assumptions'!B101</f>
        <v>Agriculture : Mushroom farming  (16 Days, 48 hrs)</v>
      </c>
      <c r="B22" s="670">
        <v>5</v>
      </c>
      <c r="C22" s="440">
        <f t="shared" si="0"/>
        <v>5</v>
      </c>
    </row>
    <row r="23" spans="1:18">
      <c r="A23" s="440" t="str">
        <f>'Key Assumptions'!B102</f>
        <v>Agriculture : Floriculture  (16 Days, 48 hrs)</v>
      </c>
      <c r="B23" s="670">
        <v>5</v>
      </c>
      <c r="C23" s="440">
        <f t="shared" si="0"/>
        <v>5</v>
      </c>
    </row>
    <row r="24" spans="1:18">
      <c r="A24" s="440" t="str">
        <f>'Key Assumptions'!B103</f>
        <v>Food Processing  (16 Days, 60 hrs)</v>
      </c>
      <c r="B24" s="670">
        <v>5</v>
      </c>
      <c r="C24" s="440">
        <f t="shared" si="0"/>
        <v>5</v>
      </c>
    </row>
    <row r="25" spans="1:18">
      <c r="B25" s="497"/>
    </row>
    <row r="26" spans="1:18" s="498" customFormat="1">
      <c r="C26" s="498">
        <f>SUM(C10:C25)</f>
        <v>75</v>
      </c>
      <c r="D26" s="498">
        <f t="shared" ref="D26:R26" si="1">SUM(D24:D25)</f>
        <v>0</v>
      </c>
      <c r="E26" s="498">
        <f t="shared" si="1"/>
        <v>0</v>
      </c>
      <c r="F26" s="498">
        <f t="shared" si="1"/>
        <v>0</v>
      </c>
      <c r="G26" s="498">
        <f t="shared" si="1"/>
        <v>0</v>
      </c>
      <c r="H26" s="498">
        <f t="shared" si="1"/>
        <v>0</v>
      </c>
      <c r="I26" s="498">
        <f t="shared" si="1"/>
        <v>0</v>
      </c>
      <c r="J26" s="498">
        <f t="shared" si="1"/>
        <v>0</v>
      </c>
      <c r="K26" s="498">
        <f t="shared" si="1"/>
        <v>0</v>
      </c>
      <c r="L26" s="498">
        <f t="shared" si="1"/>
        <v>0</v>
      </c>
      <c r="M26" s="498">
        <f t="shared" si="1"/>
        <v>0</v>
      </c>
      <c r="N26" s="498">
        <f t="shared" si="1"/>
        <v>0</v>
      </c>
      <c r="O26" s="498">
        <f t="shared" si="1"/>
        <v>0</v>
      </c>
      <c r="P26" s="498">
        <f t="shared" si="1"/>
        <v>0</v>
      </c>
      <c r="Q26" s="498">
        <f t="shared" si="1"/>
        <v>0</v>
      </c>
      <c r="R26" s="498">
        <f t="shared" si="1"/>
        <v>0</v>
      </c>
    </row>
    <row r="27" spans="1:18">
      <c r="A27" s="440" t="s">
        <v>562</v>
      </c>
      <c r="C27" s="440">
        <f>C26*'Key Assumptions'!C174</f>
        <v>22.5</v>
      </c>
    </row>
    <row r="43" spans="1:2" ht="15">
      <c r="A43" s="443" t="s">
        <v>71</v>
      </c>
      <c r="B43" s="443"/>
    </row>
  </sheetData>
  <mergeCells count="4">
    <mergeCell ref="C6:F6"/>
    <mergeCell ref="G6:J6"/>
    <mergeCell ref="A1:R1"/>
    <mergeCell ref="A4:O4"/>
  </mergeCells>
  <hyperlinks>
    <hyperlink ref="A3" location="Index!A1" display="BACK TO INDEX"/>
    <hyperlink ref="A43" location="Index!A1" display="BACK TO INDE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40"/>
  <sheetViews>
    <sheetView zoomScale="70" zoomScaleNormal="70" workbookViewId="0">
      <selection activeCell="N29" sqref="N29"/>
    </sheetView>
  </sheetViews>
  <sheetFormatPr defaultRowHeight="12.75"/>
  <cols>
    <col min="1" max="1" width="56.42578125" style="191" bestFit="1" customWidth="1"/>
    <col min="2" max="2" width="11.140625" style="191" bestFit="1" customWidth="1"/>
    <col min="3" max="11" width="9.140625" style="191"/>
    <col min="12" max="12" width="11.5703125" style="191" bestFit="1" customWidth="1"/>
    <col min="13" max="16384" width="9.140625" style="191"/>
  </cols>
  <sheetData>
    <row r="1" spans="1:12" ht="34.5" customHeight="1" thickBot="1">
      <c r="A1" s="959" t="s">
        <v>147</v>
      </c>
      <c r="B1" s="959"/>
      <c r="C1" s="959"/>
      <c r="D1" s="959"/>
      <c r="E1" s="959"/>
      <c r="F1" s="959"/>
      <c r="G1" s="959"/>
      <c r="H1" s="959"/>
      <c r="I1" s="959"/>
      <c r="J1" s="959"/>
      <c r="K1" s="959"/>
      <c r="L1" s="959"/>
    </row>
    <row r="2" spans="1:12" ht="15">
      <c r="A2" s="477" t="s">
        <v>148</v>
      </c>
      <c r="B2" s="958" t="s">
        <v>143</v>
      </c>
      <c r="C2" s="958"/>
      <c r="D2" s="958"/>
      <c r="E2" s="958"/>
      <c r="F2" s="958" t="s">
        <v>144</v>
      </c>
      <c r="G2" s="958"/>
      <c r="H2" s="958"/>
      <c r="I2" s="958"/>
      <c r="J2" s="475" t="s">
        <v>149</v>
      </c>
      <c r="K2" s="475" t="s">
        <v>150</v>
      </c>
      <c r="L2" s="475" t="s">
        <v>151</v>
      </c>
    </row>
    <row r="3" spans="1:12" ht="15">
      <c r="A3" s="480"/>
      <c r="B3" s="475" t="s">
        <v>407</v>
      </c>
      <c r="C3" s="475" t="s">
        <v>408</v>
      </c>
      <c r="D3" s="475" t="s">
        <v>409</v>
      </c>
      <c r="E3" s="475" t="s">
        <v>410</v>
      </c>
      <c r="F3" s="475" t="s">
        <v>407</v>
      </c>
      <c r="G3" s="475" t="s">
        <v>408</v>
      </c>
      <c r="H3" s="475" t="s">
        <v>409</v>
      </c>
      <c r="I3" s="475" t="s">
        <v>410</v>
      </c>
      <c r="J3" s="475"/>
      <c r="K3" s="475"/>
      <c r="L3" s="475"/>
    </row>
    <row r="4" spans="1:12" ht="15">
      <c r="A4" s="481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</row>
    <row r="5" spans="1:12" ht="15">
      <c r="A5" s="469" t="s">
        <v>394</v>
      </c>
      <c r="B5" s="192" t="e">
        <f>'Fin Smmry'!#REF!</f>
        <v>#REF!</v>
      </c>
      <c r="C5" s="192" t="e">
        <f>'Fin Smmry'!#REF!</f>
        <v>#REF!</v>
      </c>
      <c r="D5" s="192" t="e">
        <f>'Fin Smmry'!#REF!</f>
        <v>#REF!</v>
      </c>
      <c r="E5" s="192" t="e">
        <f>'Fin Smmry'!#REF!</f>
        <v>#REF!</v>
      </c>
      <c r="F5" s="192" t="e">
        <f>'Fin Smmry'!#REF!</f>
        <v>#REF!</v>
      </c>
      <c r="G5" s="192" t="e">
        <f>'Fin Smmry'!#REF!</f>
        <v>#REF!</v>
      </c>
      <c r="H5" s="192" t="e">
        <f>'Fin Smmry'!#REF!</f>
        <v>#REF!</v>
      </c>
      <c r="I5" s="192"/>
      <c r="J5" s="193"/>
      <c r="K5" s="193"/>
      <c r="L5" s="193"/>
    </row>
    <row r="6" spans="1:12" ht="15">
      <c r="A6" s="482" t="s">
        <v>152</v>
      </c>
      <c r="B6" s="192">
        <f>'Fin Smmry'!F27-14</f>
        <v>18.670000000000002</v>
      </c>
      <c r="C6" s="192">
        <f>'Fin Smmry'!G27-17</f>
        <v>15.670000000000002</v>
      </c>
      <c r="D6" s="192">
        <f>'Fin Smmry'!H27-27.5</f>
        <v>5.1700000000000017</v>
      </c>
      <c r="E6" s="192">
        <f>'Fin Smmry'!I27-12</f>
        <v>20.67</v>
      </c>
      <c r="F6" s="192">
        <f>'Fin Smmry'!J27-42</f>
        <v>9.6779999999999902</v>
      </c>
      <c r="G6" s="192">
        <f>'Fin Smmry'!K27-24</f>
        <v>27.67799999999999</v>
      </c>
      <c r="H6" s="192">
        <f>'Fin Smmry'!L27-35</f>
        <v>16.67799999999999</v>
      </c>
      <c r="I6" s="192"/>
      <c r="J6" s="193"/>
      <c r="K6" s="193"/>
      <c r="L6" s="193"/>
    </row>
    <row r="7" spans="1:12" ht="15">
      <c r="A7" s="482" t="s">
        <v>153</v>
      </c>
      <c r="B7" s="192">
        <f>'Fin Smmry'!F28</f>
        <v>25.474199999999996</v>
      </c>
      <c r="C7" s="192">
        <f>'Fin Smmry'!G28</f>
        <v>11.977499999999997</v>
      </c>
      <c r="D7" s="192">
        <f>'Fin Smmry'!H28</f>
        <v>11.977499999999997</v>
      </c>
      <c r="E7" s="192">
        <f>'Fin Smmry'!I28</f>
        <v>11.977499999999997</v>
      </c>
      <c r="F7" s="192">
        <f>'Fin Smmry'!J28</f>
        <v>25.746732000000002</v>
      </c>
      <c r="G7" s="192">
        <f>'Fin Smmry'!K28</f>
        <v>18.158250000000002</v>
      </c>
      <c r="H7" s="192">
        <f>'Fin Smmry'!L28</f>
        <v>18.158250000000002</v>
      </c>
      <c r="I7" s="192"/>
      <c r="J7" s="193"/>
      <c r="K7" s="193"/>
      <c r="L7" s="193"/>
    </row>
    <row r="8" spans="1:12" ht="15">
      <c r="A8" s="482" t="s">
        <v>154</v>
      </c>
      <c r="B8" s="192">
        <f>-'Fin Smmry'!F90</f>
        <v>38.762799999999999</v>
      </c>
      <c r="C8" s="192">
        <f>-'Fin Smmry'!G90</f>
        <v>-8.997799999999998</v>
      </c>
      <c r="D8" s="192">
        <f>-'Fin Smmry'!H90</f>
        <v>0</v>
      </c>
      <c r="E8" s="192">
        <f>-'Fin Smmry'!I90</f>
        <v>0</v>
      </c>
      <c r="F8" s="192">
        <f>-'Fin Smmry'!J90</f>
        <v>21.851487999999996</v>
      </c>
      <c r="G8" s="192">
        <f>-'Fin Smmry'!K90</f>
        <v>-5.0589879999999994</v>
      </c>
      <c r="H8" s="192">
        <f>-'Fin Smmry'!L90</f>
        <v>0</v>
      </c>
      <c r="I8" s="192"/>
      <c r="J8" s="193"/>
      <c r="K8" s="193"/>
      <c r="L8" s="193"/>
    </row>
    <row r="9" spans="1:12" ht="15">
      <c r="A9" s="482" t="s">
        <v>213</v>
      </c>
      <c r="B9" s="192">
        <f>-'Fin Smmry'!F89</f>
        <v>4.1440000000000001</v>
      </c>
      <c r="C9" s="192">
        <f>-'Fin Smmry'!G89</f>
        <v>0</v>
      </c>
      <c r="D9" s="192">
        <f>-'Fin Smmry'!H89</f>
        <v>0</v>
      </c>
      <c r="E9" s="192">
        <f>-'Fin Smmry'!I89</f>
        <v>0</v>
      </c>
      <c r="F9" s="192">
        <f>-'Fin Smmry'!J89</f>
        <v>3.98</v>
      </c>
      <c r="G9" s="192">
        <f>-'Fin Smmry'!K89</f>
        <v>0</v>
      </c>
      <c r="H9" s="192">
        <f>-'Fin Smmry'!L89</f>
        <v>0</v>
      </c>
      <c r="I9" s="192"/>
      <c r="J9" s="193"/>
      <c r="K9" s="193"/>
      <c r="L9" s="193"/>
    </row>
    <row r="10" spans="1:12" ht="15">
      <c r="A10" s="482" t="s">
        <v>157</v>
      </c>
      <c r="B10" s="192"/>
      <c r="C10" s="192"/>
      <c r="D10" s="192"/>
      <c r="E10" s="193"/>
      <c r="F10" s="193"/>
      <c r="G10" s="193"/>
      <c r="H10" s="193"/>
      <c r="I10" s="193"/>
      <c r="J10" s="193"/>
      <c r="K10" s="193"/>
      <c r="L10" s="193"/>
    </row>
    <row r="11" spans="1:12" ht="15">
      <c r="A11" s="482" t="s">
        <v>44</v>
      </c>
      <c r="B11" s="192"/>
      <c r="C11" s="192"/>
      <c r="D11" s="192"/>
      <c r="E11" s="193"/>
      <c r="F11" s="193"/>
      <c r="G11" s="193"/>
      <c r="H11" s="193"/>
      <c r="I11" s="193"/>
      <c r="J11" s="193"/>
      <c r="K11" s="193"/>
      <c r="L11" s="193"/>
    </row>
    <row r="12" spans="1:12" ht="15">
      <c r="A12" s="476" t="s">
        <v>49</v>
      </c>
      <c r="B12" s="192"/>
      <c r="C12" s="192"/>
      <c r="D12" s="193"/>
      <c r="E12" s="193"/>
      <c r="F12" s="193"/>
      <c r="G12" s="193"/>
      <c r="H12" s="193"/>
      <c r="I12" s="193"/>
      <c r="J12" s="193"/>
      <c r="K12" s="193"/>
      <c r="L12" s="193"/>
    </row>
    <row r="13" spans="1:12" ht="15">
      <c r="A13" s="482" t="s">
        <v>19</v>
      </c>
      <c r="B13" s="192"/>
      <c r="C13" s="192"/>
      <c r="D13" s="193"/>
      <c r="E13" s="478"/>
      <c r="F13" s="478"/>
      <c r="G13" s="478"/>
      <c r="H13" s="478"/>
      <c r="I13" s="478"/>
      <c r="J13" s="478"/>
      <c r="K13" s="478"/>
      <c r="L13" s="478"/>
    </row>
    <row r="14" spans="1:12" ht="15">
      <c r="A14" s="482"/>
      <c r="B14" s="192"/>
      <c r="C14" s="192"/>
      <c r="D14" s="193"/>
      <c r="E14" s="478"/>
      <c r="F14" s="478"/>
      <c r="G14" s="478"/>
      <c r="H14" s="478"/>
      <c r="I14" s="478"/>
      <c r="J14" s="478"/>
      <c r="K14" s="478"/>
      <c r="L14" s="478"/>
    </row>
    <row r="15" spans="1:12" ht="15">
      <c r="A15" s="483" t="s">
        <v>1</v>
      </c>
      <c r="B15" s="479" t="e">
        <f>SUM(B5:B13)</f>
        <v>#REF!</v>
      </c>
      <c r="C15" s="479" t="e">
        <f>SUM(C5:C14)</f>
        <v>#REF!</v>
      </c>
      <c r="D15" s="479" t="e">
        <f>SUM(D5:D14)</f>
        <v>#REF!</v>
      </c>
      <c r="E15" s="479" t="e">
        <f t="shared" ref="E15:L15" si="0">SUM(E5:E11)</f>
        <v>#REF!</v>
      </c>
      <c r="F15" s="479" t="e">
        <f t="shared" si="0"/>
        <v>#REF!</v>
      </c>
      <c r="G15" s="479" t="e">
        <f t="shared" si="0"/>
        <v>#REF!</v>
      </c>
      <c r="H15" s="479" t="e">
        <f t="shared" si="0"/>
        <v>#REF!</v>
      </c>
      <c r="I15" s="479">
        <f t="shared" si="0"/>
        <v>0</v>
      </c>
      <c r="J15" s="479">
        <f t="shared" si="0"/>
        <v>0</v>
      </c>
      <c r="K15" s="479">
        <f t="shared" si="0"/>
        <v>0</v>
      </c>
      <c r="L15" s="479">
        <f t="shared" si="0"/>
        <v>0</v>
      </c>
    </row>
    <row r="16" spans="1:12" ht="15">
      <c r="A16" s="483" t="s">
        <v>155</v>
      </c>
      <c r="B16" s="479" t="e">
        <f>B15</f>
        <v>#REF!</v>
      </c>
      <c r="C16" s="479" t="e">
        <f>B16+C15</f>
        <v>#REF!</v>
      </c>
      <c r="D16" s="479" t="e">
        <f>C16+D15</f>
        <v>#REF!</v>
      </c>
      <c r="E16" s="479" t="e">
        <f>D16+E15</f>
        <v>#REF!</v>
      </c>
      <c r="F16" s="479" t="e">
        <f>E16+F15</f>
        <v>#REF!</v>
      </c>
      <c r="G16" s="479" t="e">
        <f t="shared" ref="G16:L16" si="1">F16+G15</f>
        <v>#REF!</v>
      </c>
      <c r="H16" s="479" t="e">
        <f t="shared" si="1"/>
        <v>#REF!</v>
      </c>
      <c r="I16" s="479" t="e">
        <f t="shared" si="1"/>
        <v>#REF!</v>
      </c>
      <c r="J16" s="479" t="e">
        <f t="shared" si="1"/>
        <v>#REF!</v>
      </c>
      <c r="K16" s="479" t="e">
        <f t="shared" si="1"/>
        <v>#REF!</v>
      </c>
      <c r="L16" s="479" t="e">
        <f t="shared" si="1"/>
        <v>#REF!</v>
      </c>
    </row>
    <row r="17" spans="1:12" ht="15">
      <c r="A17" s="473"/>
      <c r="B17" s="474"/>
      <c r="C17" s="474"/>
      <c r="D17" s="474"/>
      <c r="E17" s="474"/>
      <c r="F17" s="474"/>
      <c r="G17" s="474"/>
      <c r="H17" s="474"/>
      <c r="I17" s="474"/>
      <c r="J17" s="474"/>
      <c r="K17" s="474"/>
      <c r="L17" s="474"/>
    </row>
    <row r="18" spans="1:12" ht="33.75" hidden="1" customHeight="1" thickBot="1">
      <c r="A18" s="194"/>
      <c r="B18" s="195" t="e">
        <f>B16-'Fin Smmry'!F53</f>
        <v>#REF!</v>
      </c>
      <c r="C18" s="195" t="e">
        <f>C16-'Fin Smmry'!G53</f>
        <v>#REF!</v>
      </c>
      <c r="D18" s="195" t="e">
        <f>D16-'Fin Smmry'!H53</f>
        <v>#REF!</v>
      </c>
      <c r="E18" s="195" t="e">
        <f>E16-'Fin Smmry'!I53</f>
        <v>#REF!</v>
      </c>
      <c r="F18" s="195" t="e">
        <f>F16-'Fin Smmry'!J53</f>
        <v>#REF!</v>
      </c>
      <c r="G18" s="195" t="e">
        <f>G16-'Fin Smmry'!K53</f>
        <v>#REF!</v>
      </c>
      <c r="H18" s="195" t="e">
        <f>H16-'Fin Smmry'!L53</f>
        <v>#REF!</v>
      </c>
      <c r="I18" s="195" t="e">
        <f>I16-'Fin Smmry'!M53</f>
        <v>#REF!</v>
      </c>
      <c r="J18" s="195" t="e">
        <f>J16-'Fin Smmry'!N53</f>
        <v>#REF!</v>
      </c>
      <c r="K18" s="195" t="e">
        <f>K16-'Fin Smmry'!O53</f>
        <v>#REF!</v>
      </c>
      <c r="L18" s="195" t="e">
        <f>L16-'Fin Smmry'!P53</f>
        <v>#REF!</v>
      </c>
    </row>
    <row r="19" spans="1:12" ht="15">
      <c r="A19" s="484" t="s">
        <v>156</v>
      </c>
      <c r="B19" s="958" t="s">
        <v>143</v>
      </c>
      <c r="C19" s="958"/>
      <c r="D19" s="958"/>
      <c r="E19" s="958"/>
      <c r="F19" s="958" t="s">
        <v>144</v>
      </c>
      <c r="G19" s="958"/>
      <c r="H19" s="958"/>
      <c r="I19" s="958"/>
      <c r="J19" s="475" t="s">
        <v>149</v>
      </c>
      <c r="K19" s="475" t="s">
        <v>150</v>
      </c>
      <c r="L19" s="475" t="s">
        <v>151</v>
      </c>
    </row>
    <row r="20" spans="1:12" ht="15">
      <c r="A20" s="484"/>
      <c r="B20" s="475" t="s">
        <v>407</v>
      </c>
      <c r="C20" s="475" t="s">
        <v>408</v>
      </c>
      <c r="D20" s="475" t="s">
        <v>409</v>
      </c>
      <c r="E20" s="475" t="s">
        <v>410</v>
      </c>
      <c r="F20" s="475" t="s">
        <v>407</v>
      </c>
      <c r="G20" s="475" t="s">
        <v>408</v>
      </c>
      <c r="H20" s="475" t="s">
        <v>409</v>
      </c>
      <c r="I20" s="475" t="s">
        <v>410</v>
      </c>
      <c r="J20" s="475"/>
      <c r="K20" s="475"/>
      <c r="L20" s="475"/>
    </row>
    <row r="21" spans="1:12" ht="15">
      <c r="A21" s="469" t="s">
        <v>394</v>
      </c>
      <c r="B21" s="192"/>
      <c r="C21" s="192"/>
      <c r="D21" s="192"/>
      <c r="E21" s="192"/>
      <c r="F21" s="192"/>
      <c r="G21" s="192"/>
      <c r="H21" s="192"/>
      <c r="I21" s="192" t="e">
        <f>'Fin Smmry'!#REF!</f>
        <v>#REF!</v>
      </c>
      <c r="J21" s="192" t="e">
        <f>'Fin Smmry'!#REF!</f>
        <v>#REF!</v>
      </c>
      <c r="K21" s="192" t="e">
        <f>'Fin Smmry'!#REF!</f>
        <v>#REF!</v>
      </c>
      <c r="L21" s="192" t="e">
        <f>'Fin Smmry'!#REF!</f>
        <v>#REF!</v>
      </c>
    </row>
    <row r="22" spans="1:12" ht="15">
      <c r="A22" s="485" t="s">
        <v>15</v>
      </c>
      <c r="B22" s="192">
        <f>'Fin Smmry'!F27-'Utilisation of Grant and Loan'!B6</f>
        <v>14</v>
      </c>
      <c r="C22" s="192">
        <f>'Fin Smmry'!G27-'Utilisation of Grant and Loan'!C6</f>
        <v>17</v>
      </c>
      <c r="D22" s="192">
        <f>'Fin Smmry'!H27-'Utilisation of Grant and Loan'!D6</f>
        <v>27.5</v>
      </c>
      <c r="E22" s="192">
        <f>'Fin Smmry'!I27-'Utilisation of Grant and Loan'!E6</f>
        <v>12</v>
      </c>
      <c r="F22" s="192">
        <f>'Fin Smmry'!J27-'Utilisation of Grant and Loan'!F6</f>
        <v>42</v>
      </c>
      <c r="G22" s="192">
        <f>'Fin Smmry'!K27-'Utilisation of Grant and Loan'!G6</f>
        <v>24</v>
      </c>
      <c r="H22" s="192">
        <f>'Fin Smmry'!L27-'Utilisation of Grant and Loan'!H6</f>
        <v>35</v>
      </c>
      <c r="I22" s="192">
        <f>'Fin Smmry'!M27</f>
        <v>51.67799999999999</v>
      </c>
      <c r="J22" s="192">
        <f>'Fin Smmry'!N27</f>
        <v>305.35560000000004</v>
      </c>
      <c r="K22" s="192">
        <f>'Fin Smmry'!O27</f>
        <v>409.68180000000007</v>
      </c>
      <c r="L22" s="192">
        <f>'Fin Smmry'!P27</f>
        <v>450.64998000000008</v>
      </c>
    </row>
    <row r="23" spans="1:12" ht="15">
      <c r="A23" s="485" t="s">
        <v>22</v>
      </c>
      <c r="B23" s="192"/>
      <c r="C23" s="192"/>
      <c r="D23" s="192"/>
      <c r="E23" s="192"/>
      <c r="F23" s="192"/>
      <c r="G23" s="192"/>
      <c r="H23" s="192"/>
      <c r="I23" s="192">
        <f>'Fin Smmry'!M28</f>
        <v>18.158250000000002</v>
      </c>
      <c r="J23" s="192">
        <f>'Fin Smmry'!N28</f>
        <v>111.9835398</v>
      </c>
      <c r="K23" s="192">
        <f>'Fin Smmry'!O28</f>
        <v>153.71543308000003</v>
      </c>
      <c r="L23" s="192">
        <f>'Fin Smmry'!P28</f>
        <v>159.425849</v>
      </c>
    </row>
    <row r="24" spans="1:12" ht="15">
      <c r="A24" s="482" t="s">
        <v>213</v>
      </c>
      <c r="B24" s="192"/>
      <c r="C24" s="192"/>
      <c r="D24" s="192"/>
      <c r="E24" s="193"/>
      <c r="F24" s="193"/>
      <c r="G24" s="193"/>
      <c r="H24" s="193"/>
      <c r="I24" s="193"/>
      <c r="J24" s="193"/>
      <c r="K24" s="193"/>
      <c r="L24" s="193"/>
    </row>
    <row r="25" spans="1:12" ht="15">
      <c r="A25" s="485" t="s">
        <v>44</v>
      </c>
      <c r="B25" s="192">
        <f>-'Fin Smmry'!F87</f>
        <v>91.690000000000012</v>
      </c>
      <c r="C25" s="192">
        <f>-'Fin Smmry'!G87</f>
        <v>0</v>
      </c>
      <c r="D25" s="192">
        <f>-'Fin Smmry'!H87</f>
        <v>0</v>
      </c>
      <c r="E25" s="192">
        <f>-'Fin Smmry'!I87</f>
        <v>0</v>
      </c>
      <c r="F25" s="192">
        <f>-'Fin Smmry'!J87</f>
        <v>42.591999999999999</v>
      </c>
      <c r="G25" s="192">
        <f>-'Fin Smmry'!K87</f>
        <v>0</v>
      </c>
      <c r="H25" s="192">
        <f>-'Fin Smmry'!L87</f>
        <v>0</v>
      </c>
      <c r="I25" s="192">
        <f>-'Fin Smmry'!M87</f>
        <v>0</v>
      </c>
      <c r="J25" s="192">
        <f>-'Fin Smmry'!N87</f>
        <v>49.876200000000011</v>
      </c>
      <c r="K25" s="192">
        <f>-'Fin Smmry'!O87</f>
        <v>50.205320000000007</v>
      </c>
      <c r="L25" s="192">
        <f>-'Fin Smmry'!P87</f>
        <v>0</v>
      </c>
    </row>
    <row r="26" spans="1:12" ht="15">
      <c r="A26" s="485" t="s">
        <v>154</v>
      </c>
      <c r="B26" s="192"/>
      <c r="C26" s="192"/>
      <c r="D26" s="192"/>
      <c r="E26" s="192"/>
      <c r="F26" s="192"/>
      <c r="G26" s="192"/>
      <c r="H26" s="192"/>
      <c r="I26" s="192">
        <f>-'Fin Smmry'!M90</f>
        <v>0</v>
      </c>
      <c r="J26" s="192">
        <f>-'Fin Smmry'!N90</f>
        <v>22.999023300000012</v>
      </c>
      <c r="K26" s="192">
        <f>-'Fin Smmry'!O90</f>
        <v>24.343015546666678</v>
      </c>
      <c r="L26" s="192">
        <f>-'Fin Smmry'!P90</f>
        <v>7.7797659866666606</v>
      </c>
    </row>
    <row r="27" spans="1:12" ht="15">
      <c r="A27" s="485" t="s">
        <v>157</v>
      </c>
      <c r="B27" s="192">
        <f>'Fin Smmry'!F39</f>
        <v>2.9582512690356242</v>
      </c>
      <c r="C27" s="192">
        <f>'Fin Smmry'!G39</f>
        <v>2.9601616944530478</v>
      </c>
      <c r="D27" s="192">
        <f>'Fin Smmry'!H39</f>
        <v>3.0991235476706187</v>
      </c>
      <c r="E27" s="192">
        <f>'Fin Smmry'!I39</f>
        <v>3.2402015712468568</v>
      </c>
      <c r="F27" s="192">
        <f>'Fin Smmry'!J39</f>
        <v>4.201117889609888</v>
      </c>
      <c r="G27" s="192">
        <f>'Fin Smmry'!K39</f>
        <v>4.2161960097986384</v>
      </c>
      <c r="H27" s="192">
        <f>'Fin Smmry'!L39</f>
        <v>4.3085441724699081</v>
      </c>
      <c r="I27" s="192">
        <f>'Fin Smmry'!M39</f>
        <v>4.402298652414129</v>
      </c>
      <c r="J27" s="192">
        <f>'Fin Smmry'!N39</f>
        <v>19.478913925436515</v>
      </c>
      <c r="K27" s="192">
        <f>'Fin Smmry'!O39</f>
        <v>12.82596407890885</v>
      </c>
      <c r="L27" s="192">
        <f>'Fin Smmry'!P39</f>
        <v>2.1516474583005945</v>
      </c>
    </row>
    <row r="28" spans="1:12" ht="15">
      <c r="A28" s="482" t="s">
        <v>49</v>
      </c>
      <c r="B28" s="192">
        <f>-'Fin Smmry'!F24</f>
        <v>-36.974999999999994</v>
      </c>
      <c r="C28" s="192">
        <f>-'Fin Smmry'!G24</f>
        <v>-36.974999999999994</v>
      </c>
      <c r="D28" s="192">
        <f>-'Fin Smmry'!H24</f>
        <v>-36.974999999999994</v>
      </c>
      <c r="E28" s="192">
        <f>-'Fin Smmry'!I24</f>
        <v>-36.974999999999994</v>
      </c>
      <c r="F28" s="192">
        <f>-'Fin Smmry'!J24</f>
        <v>-65.752499999999998</v>
      </c>
      <c r="G28" s="192">
        <f>-'Fin Smmry'!K24</f>
        <v>-65.752499999999998</v>
      </c>
      <c r="H28" s="192">
        <f>-'Fin Smmry'!L24</f>
        <v>-65.752499999999998</v>
      </c>
      <c r="I28" s="192">
        <f>-'Fin Smmry'!M24</f>
        <v>-65.752499999999998</v>
      </c>
      <c r="J28" s="192">
        <f>-'Fin Smmry'!N24</f>
        <v>-421.8060000000001</v>
      </c>
      <c r="K28" s="192">
        <f>-'Fin Smmry'!O24</f>
        <v>-966.97150000000056</v>
      </c>
      <c r="L28" s="192">
        <f>-'Fin Smmry'!P24</f>
        <v>-1063.6686500000001</v>
      </c>
    </row>
    <row r="29" spans="1:12" ht="15">
      <c r="A29" s="482" t="s">
        <v>18</v>
      </c>
      <c r="B29" s="192" t="e">
        <f>-'Fin Smmry'!#REF!</f>
        <v>#REF!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</row>
    <row r="30" spans="1:12" ht="15">
      <c r="A30" s="482" t="s">
        <v>19</v>
      </c>
      <c r="B30" s="192">
        <f>-'Fin Smmry'!F83</f>
        <v>-35</v>
      </c>
      <c r="C30" s="192">
        <f>'Fin Smmry'!G83</f>
        <v>0</v>
      </c>
      <c r="D30" s="192">
        <f>'Fin Smmry'!H83</f>
        <v>0</v>
      </c>
      <c r="E30" s="192">
        <f>'Fin Smmry'!I83</f>
        <v>0</v>
      </c>
      <c r="F30" s="192">
        <f>'Fin Smmry'!J83</f>
        <v>18</v>
      </c>
      <c r="G30" s="192">
        <f>'Fin Smmry'!K83</f>
        <v>0</v>
      </c>
      <c r="H30" s="192">
        <f>'Fin Smmry'!L83</f>
        <v>0</v>
      </c>
      <c r="I30" s="192">
        <f>'Fin Smmry'!M83</f>
        <v>0</v>
      </c>
      <c r="J30" s="192">
        <f>'Fin Smmry'!N83</f>
        <v>15</v>
      </c>
      <c r="K30" s="192">
        <f>'Fin Smmry'!O83</f>
        <v>0</v>
      </c>
      <c r="L30" s="192">
        <f>'Fin Smmry'!P83</f>
        <v>0</v>
      </c>
    </row>
    <row r="31" spans="1:12" ht="15">
      <c r="A31" s="483" t="s">
        <v>1</v>
      </c>
      <c r="B31" s="479" t="e">
        <f>SUM(B21:B30)</f>
        <v>#REF!</v>
      </c>
      <c r="C31" s="479">
        <f t="shared" ref="C31:L31" si="2">SUM(C21:C30)</f>
        <v>-17.014838305546945</v>
      </c>
      <c r="D31" s="479">
        <f t="shared" si="2"/>
        <v>-6.3758764523293756</v>
      </c>
      <c r="E31" s="479">
        <f t="shared" si="2"/>
        <v>-21.734798428753138</v>
      </c>
      <c r="F31" s="479">
        <f t="shared" si="2"/>
        <v>41.040617889609891</v>
      </c>
      <c r="G31" s="479">
        <f t="shared" si="2"/>
        <v>-37.536303990201361</v>
      </c>
      <c r="H31" s="479">
        <f t="shared" si="2"/>
        <v>-26.44395582753009</v>
      </c>
      <c r="I31" s="479" t="e">
        <f t="shared" si="2"/>
        <v>#REF!</v>
      </c>
      <c r="J31" s="479" t="e">
        <f t="shared" si="2"/>
        <v>#REF!</v>
      </c>
      <c r="K31" s="479" t="e">
        <f t="shared" si="2"/>
        <v>#REF!</v>
      </c>
      <c r="L31" s="479" t="e">
        <f t="shared" si="2"/>
        <v>#REF!</v>
      </c>
    </row>
    <row r="32" spans="1:12" ht="15">
      <c r="A32" s="483" t="s">
        <v>155</v>
      </c>
      <c r="B32" s="479" t="e">
        <f>B31</f>
        <v>#REF!</v>
      </c>
      <c r="C32" s="479" t="e">
        <f>B32+C31</f>
        <v>#REF!</v>
      </c>
      <c r="D32" s="479" t="e">
        <f>C32+D31</f>
        <v>#REF!</v>
      </c>
      <c r="E32" s="479" t="e">
        <f t="shared" ref="E32:L32" si="3">D32+E31</f>
        <v>#REF!</v>
      </c>
      <c r="F32" s="479" t="e">
        <f t="shared" si="3"/>
        <v>#REF!</v>
      </c>
      <c r="G32" s="479" t="e">
        <f t="shared" si="3"/>
        <v>#REF!</v>
      </c>
      <c r="H32" s="479" t="e">
        <f t="shared" si="3"/>
        <v>#REF!</v>
      </c>
      <c r="I32" s="479" t="e">
        <f t="shared" si="3"/>
        <v>#REF!</v>
      </c>
      <c r="J32" s="479" t="e">
        <f t="shared" si="3"/>
        <v>#REF!</v>
      </c>
      <c r="K32" s="479" t="e">
        <f t="shared" si="3"/>
        <v>#REF!</v>
      </c>
      <c r="L32" s="479" t="e">
        <f t="shared" si="3"/>
        <v>#REF!</v>
      </c>
    </row>
    <row r="33" spans="2:12" ht="20.25" hidden="1" customHeight="1">
      <c r="B33" s="196" t="e">
        <f>B32-'Fin Smmry'!F56</f>
        <v>#REF!</v>
      </c>
      <c r="C33" s="196" t="e">
        <f>C32-'Fin Smmry'!G56</f>
        <v>#REF!</v>
      </c>
      <c r="D33" s="196" t="e">
        <f>D32-'Fin Smmry'!H56</f>
        <v>#REF!</v>
      </c>
      <c r="E33" s="196" t="e">
        <f>E32-'Fin Smmry'!I56</f>
        <v>#REF!</v>
      </c>
      <c r="F33" s="196" t="e">
        <f>F32-'Fin Smmry'!J56</f>
        <v>#REF!</v>
      </c>
      <c r="G33" s="196" t="e">
        <f>G32-'Fin Smmry'!K56</f>
        <v>#REF!</v>
      </c>
      <c r="H33" s="196" t="e">
        <f>H32-'Fin Smmry'!L56</f>
        <v>#REF!</v>
      </c>
      <c r="I33" s="196" t="e">
        <f>I32-'Fin Smmry'!M56</f>
        <v>#REF!</v>
      </c>
      <c r="J33" s="196" t="e">
        <f>J32-'Fin Smmry'!N56</f>
        <v>#REF!</v>
      </c>
      <c r="K33" s="196" t="e">
        <f>K32-'Fin Smmry'!O56</f>
        <v>#REF!</v>
      </c>
      <c r="L33" s="196" t="e">
        <f>L32-'Fin Smmry'!P56</f>
        <v>#REF!</v>
      </c>
    </row>
    <row r="34" spans="2:12" hidden="1"/>
    <row r="35" spans="2:12" hidden="1">
      <c r="B35" s="472">
        <f>'Fin Smmry'!F56</f>
        <v>197.21675126903565</v>
      </c>
      <c r="C35" s="472">
        <f>'Fin Smmry'!G56</f>
        <v>197.3441129634887</v>
      </c>
      <c r="D35" s="472">
        <f>'Fin Smmry'!H56</f>
        <v>206.60823651115933</v>
      </c>
      <c r="E35" s="472">
        <f>'Fin Smmry'!I56</f>
        <v>216.0134380824062</v>
      </c>
      <c r="F35" s="472">
        <f>'Fin Smmry'!J56</f>
        <v>280.07452597201609</v>
      </c>
      <c r="G35" s="472">
        <f>'Fin Smmry'!K56</f>
        <v>281.07973398181474</v>
      </c>
      <c r="H35" s="472">
        <f>'Fin Smmry'!L56</f>
        <v>287.23627815428466</v>
      </c>
      <c r="I35" s="472">
        <f>'Fin Smmry'!M56</f>
        <v>293.48657680669879</v>
      </c>
      <c r="J35" s="472">
        <f>'Fin Smmry'!N56</f>
        <v>355.81055383213527</v>
      </c>
      <c r="K35" s="472">
        <f>'Fin Smmry'!O56</f>
        <v>71.720686537710321</v>
      </c>
      <c r="L35" s="472">
        <f>'Fin Smmry'!P56</f>
        <v>0</v>
      </c>
    </row>
    <row r="127" spans="1:1">
      <c r="A127" s="197" t="s">
        <v>19</v>
      </c>
    </row>
    <row r="140" spans="1:2">
      <c r="A140" s="197" t="s">
        <v>18</v>
      </c>
      <c r="B140" s="191">
        <v>35</v>
      </c>
    </row>
  </sheetData>
  <mergeCells count="5">
    <mergeCell ref="B2:E2"/>
    <mergeCell ref="F2:I2"/>
    <mergeCell ref="B19:E19"/>
    <mergeCell ref="F19:I19"/>
    <mergeCell ref="A1:L1"/>
  </mergeCells>
  <printOptions horizontalCentered="1"/>
  <pageMargins left="0.49" right="0.5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W79"/>
  <sheetViews>
    <sheetView topLeftCell="A21" zoomScale="85" zoomScaleNormal="85" workbookViewId="0">
      <selection activeCell="T21" sqref="T21"/>
    </sheetView>
  </sheetViews>
  <sheetFormatPr defaultRowHeight="15"/>
  <cols>
    <col min="1" max="1" width="3.7109375" style="395" customWidth="1"/>
    <col min="2" max="2" width="6.42578125" style="395" customWidth="1"/>
    <col min="3" max="3" width="34.7109375" style="395" customWidth="1"/>
    <col min="4" max="4" width="11.5703125" style="395" customWidth="1"/>
    <col min="5" max="5" width="12.28515625" style="395" customWidth="1"/>
    <col min="6" max="6" width="13.28515625" style="395" customWidth="1"/>
    <col min="7" max="7" width="13.28515625" style="396" bestFit="1" customWidth="1"/>
    <col min="8" max="16" width="0" style="395" hidden="1" customWidth="1"/>
    <col min="17" max="17" width="6.7109375" style="395" hidden="1" customWidth="1"/>
    <col min="18" max="18" width="7.7109375" style="395" hidden="1" customWidth="1"/>
    <col min="19" max="22" width="14.42578125" style="395" customWidth="1"/>
    <col min="23" max="23" width="15.7109375" style="395" customWidth="1"/>
    <col min="24" max="16384" width="9.140625" style="395"/>
  </cols>
  <sheetData>
    <row r="2" spans="2:23" ht="15.75">
      <c r="B2" s="394" t="s">
        <v>329</v>
      </c>
      <c r="D2" s="395" t="s">
        <v>330</v>
      </c>
      <c r="H2" s="397" t="s">
        <v>267</v>
      </c>
      <c r="I2" s="397" t="s">
        <v>143</v>
      </c>
      <c r="J2" s="397" t="s">
        <v>144</v>
      </c>
      <c r="K2" s="397" t="s">
        <v>149</v>
      </c>
      <c r="L2" s="397" t="s">
        <v>150</v>
      </c>
      <c r="M2" s="397" t="s">
        <v>151</v>
      </c>
      <c r="N2" s="397" t="s">
        <v>177</v>
      </c>
      <c r="O2" s="397" t="s">
        <v>178</v>
      </c>
      <c r="P2" s="397" t="s">
        <v>179</v>
      </c>
      <c r="Q2" s="397" t="s">
        <v>180</v>
      </c>
      <c r="R2" s="397" t="s">
        <v>181</v>
      </c>
      <c r="S2" s="397"/>
      <c r="T2" s="398">
        <v>0.5</v>
      </c>
      <c r="U2" s="397"/>
      <c r="V2" s="397"/>
      <c r="W2" s="395" t="s">
        <v>331</v>
      </c>
    </row>
    <row r="3" spans="2:23" ht="15.75">
      <c r="B3" s="394" t="s">
        <v>332</v>
      </c>
    </row>
    <row r="4" spans="2:23" ht="36" customHeight="1">
      <c r="C4" s="399"/>
      <c r="D4" s="399" t="s">
        <v>333</v>
      </c>
      <c r="E4" s="399" t="s">
        <v>334</v>
      </c>
      <c r="F4" s="399" t="s">
        <v>335</v>
      </c>
      <c r="G4" s="400" t="s">
        <v>336</v>
      </c>
      <c r="H4" s="400" t="s">
        <v>336</v>
      </c>
      <c r="I4" s="400" t="s">
        <v>336</v>
      </c>
      <c r="J4" s="400" t="s">
        <v>336</v>
      </c>
      <c r="K4" s="400" t="s">
        <v>336</v>
      </c>
      <c r="L4" s="400" t="s">
        <v>336</v>
      </c>
      <c r="M4" s="400" t="s">
        <v>336</v>
      </c>
      <c r="N4" s="400" t="s">
        <v>336</v>
      </c>
      <c r="O4" s="400" t="s">
        <v>336</v>
      </c>
      <c r="P4" s="400" t="s">
        <v>336</v>
      </c>
      <c r="Q4" s="400" t="s">
        <v>336</v>
      </c>
      <c r="R4" s="400" t="s">
        <v>336</v>
      </c>
      <c r="S4" s="400" t="s">
        <v>337</v>
      </c>
      <c r="T4" s="401" t="s">
        <v>338</v>
      </c>
      <c r="U4" s="402" t="s">
        <v>339</v>
      </c>
    </row>
    <row r="5" spans="2:23" ht="25.5" customHeight="1">
      <c r="B5" s="395">
        <v>1</v>
      </c>
      <c r="C5" s="399" t="s">
        <v>340</v>
      </c>
      <c r="D5" s="403"/>
      <c r="E5" s="403"/>
      <c r="F5" s="403"/>
      <c r="G5" s="404">
        <v>2608005</v>
      </c>
      <c r="S5" s="405">
        <f>G5/12</f>
        <v>217333.75</v>
      </c>
      <c r="T5" s="406">
        <f>S5*$T$2</f>
        <v>108666.875</v>
      </c>
      <c r="U5" s="395">
        <v>175000</v>
      </c>
      <c r="W5" s="395" t="s">
        <v>341</v>
      </c>
    </row>
    <row r="6" spans="2:23">
      <c r="B6" s="395">
        <v>2</v>
      </c>
      <c r="C6" s="407" t="s">
        <v>342</v>
      </c>
      <c r="D6" s="399"/>
      <c r="E6" s="399"/>
      <c r="F6" s="399"/>
      <c r="G6" s="408"/>
      <c r="S6" s="405"/>
      <c r="T6" s="406"/>
      <c r="W6" s="409">
        <f>G5+SUM(G7:G18)</f>
        <v>7780625</v>
      </c>
    </row>
    <row r="7" spans="2:23" ht="28.5" customHeight="1">
      <c r="C7" s="410" t="s">
        <v>185</v>
      </c>
      <c r="D7" s="399"/>
      <c r="E7" s="399"/>
      <c r="F7" s="399"/>
      <c r="G7" s="404">
        <v>545767</v>
      </c>
      <c r="S7" s="405">
        <f t="shared" ref="S7:S63" si="0">G7/12</f>
        <v>45480.583333333336</v>
      </c>
      <c r="T7" s="406">
        <f t="shared" ref="T7:T22" si="1">S7*$T$2</f>
        <v>22740.291666666668</v>
      </c>
      <c r="U7" s="395">
        <v>35000</v>
      </c>
    </row>
    <row r="8" spans="2:23" ht="18" customHeight="1">
      <c r="C8" s="411" t="s">
        <v>186</v>
      </c>
      <c r="D8" s="399"/>
      <c r="E8" s="399"/>
      <c r="F8" s="399"/>
      <c r="G8" s="404">
        <v>183500</v>
      </c>
      <c r="S8" s="405">
        <f t="shared" si="0"/>
        <v>15291.666666666666</v>
      </c>
      <c r="T8" s="406">
        <f t="shared" si="1"/>
        <v>7645.833333333333</v>
      </c>
      <c r="U8" s="395">
        <v>12000</v>
      </c>
    </row>
    <row r="9" spans="2:23" ht="18" customHeight="1">
      <c r="C9" s="411" t="s">
        <v>187</v>
      </c>
      <c r="D9" s="399"/>
      <c r="E9" s="399"/>
      <c r="F9" s="399"/>
      <c r="G9" s="404">
        <v>380134</v>
      </c>
      <c r="S9" s="405">
        <f t="shared" si="0"/>
        <v>31677.833333333332</v>
      </c>
      <c r="T9" s="406">
        <f t="shared" si="1"/>
        <v>15838.916666666666</v>
      </c>
      <c r="U9" s="395">
        <v>25000</v>
      </c>
    </row>
    <row r="10" spans="2:23" ht="30" customHeight="1">
      <c r="C10" s="412" t="s">
        <v>188</v>
      </c>
      <c r="D10" s="399"/>
      <c r="E10" s="399"/>
      <c r="F10" s="399"/>
      <c r="G10" s="404">
        <v>507792</v>
      </c>
      <c r="S10" s="405">
        <f t="shared" si="0"/>
        <v>42316</v>
      </c>
      <c r="T10" s="406">
        <f t="shared" si="1"/>
        <v>21158</v>
      </c>
      <c r="U10" s="395">
        <v>35000</v>
      </c>
    </row>
    <row r="11" spans="2:23" ht="21.75" customHeight="1">
      <c r="C11" s="412" t="s">
        <v>343</v>
      </c>
      <c r="D11" s="399"/>
      <c r="E11" s="399"/>
      <c r="F11" s="399"/>
      <c r="G11" s="404">
        <v>424411.99999999994</v>
      </c>
      <c r="S11" s="405">
        <f t="shared" si="0"/>
        <v>35367.666666666664</v>
      </c>
      <c r="T11" s="406">
        <f t="shared" si="1"/>
        <v>17683.833333333332</v>
      </c>
      <c r="U11" s="395">
        <v>30000</v>
      </c>
    </row>
    <row r="12" spans="2:23" ht="21" customHeight="1">
      <c r="C12" s="412" t="s">
        <v>189</v>
      </c>
      <c r="D12" s="399"/>
      <c r="E12" s="399"/>
      <c r="F12" s="399"/>
      <c r="G12" s="404">
        <v>125137.00000000001</v>
      </c>
      <c r="S12" s="405">
        <f t="shared" si="0"/>
        <v>10428.083333333334</v>
      </c>
      <c r="T12" s="406">
        <f t="shared" si="1"/>
        <v>5214.041666666667</v>
      </c>
      <c r="U12" s="395">
        <v>8000</v>
      </c>
    </row>
    <row r="13" spans="2:23" ht="21" customHeight="1">
      <c r="C13" s="412" t="s">
        <v>344</v>
      </c>
      <c r="D13" s="399"/>
      <c r="E13" s="399"/>
      <c r="F13" s="399"/>
      <c r="G13" s="404">
        <v>600000</v>
      </c>
      <c r="S13" s="405">
        <f t="shared" si="0"/>
        <v>50000</v>
      </c>
      <c r="T13" s="406">
        <f t="shared" si="1"/>
        <v>25000</v>
      </c>
      <c r="U13" s="395">
        <v>40000</v>
      </c>
    </row>
    <row r="14" spans="2:23" ht="30" customHeight="1">
      <c r="C14" s="412" t="s">
        <v>223</v>
      </c>
      <c r="D14" s="399"/>
      <c r="E14" s="399"/>
      <c r="F14" s="399"/>
      <c r="G14" s="404">
        <f>614829-199524</f>
        <v>415305</v>
      </c>
      <c r="S14" s="405">
        <f t="shared" si="0"/>
        <v>34608.75</v>
      </c>
      <c r="T14" s="406">
        <f t="shared" si="1"/>
        <v>17304.375</v>
      </c>
      <c r="U14" s="395">
        <v>30000</v>
      </c>
    </row>
    <row r="15" spans="2:23" ht="30" customHeight="1">
      <c r="C15" s="412" t="s">
        <v>345</v>
      </c>
      <c r="D15" s="399"/>
      <c r="E15" s="399"/>
      <c r="F15" s="399"/>
      <c r="G15" s="404">
        <v>500000</v>
      </c>
      <c r="S15" s="405">
        <f t="shared" si="0"/>
        <v>41666.666666666664</v>
      </c>
      <c r="T15" s="406">
        <f t="shared" si="1"/>
        <v>20833.333333333332</v>
      </c>
      <c r="U15" s="395">
        <v>30000</v>
      </c>
    </row>
    <row r="16" spans="2:23" ht="30" customHeight="1">
      <c r="C16" s="412" t="s">
        <v>268</v>
      </c>
      <c r="D16" s="399"/>
      <c r="E16" s="399"/>
      <c r="F16" s="399"/>
      <c r="G16" s="404">
        <v>700000</v>
      </c>
      <c r="S16" s="405">
        <f t="shared" si="0"/>
        <v>58333.333333333336</v>
      </c>
      <c r="T16" s="406">
        <f t="shared" si="1"/>
        <v>29166.666666666668</v>
      </c>
      <c r="U16" s="395">
        <v>45000</v>
      </c>
    </row>
    <row r="17" spans="2:23" ht="30" customHeight="1">
      <c r="C17" s="412" t="s">
        <v>269</v>
      </c>
      <c r="D17" s="399"/>
      <c r="E17" s="399"/>
      <c r="F17" s="399"/>
      <c r="G17" s="404">
        <v>153003</v>
      </c>
      <c r="S17" s="405">
        <f t="shared" si="0"/>
        <v>12750.25</v>
      </c>
      <c r="T17" s="406">
        <f t="shared" si="1"/>
        <v>6375.125</v>
      </c>
      <c r="U17" s="395">
        <v>10000</v>
      </c>
    </row>
    <row r="18" spans="2:23" ht="30" customHeight="1">
      <c r="C18" s="411" t="s">
        <v>214</v>
      </c>
      <c r="D18" s="399"/>
      <c r="E18" s="399"/>
      <c r="F18" s="399"/>
      <c r="G18" s="404">
        <v>637570</v>
      </c>
      <c r="S18" s="405">
        <f t="shared" si="0"/>
        <v>53130.833333333336</v>
      </c>
      <c r="T18" s="406">
        <f t="shared" si="1"/>
        <v>26565.416666666668</v>
      </c>
      <c r="U18" s="395">
        <v>40000</v>
      </c>
    </row>
    <row r="19" spans="2:23" ht="25.5" customHeight="1">
      <c r="C19" s="413" t="s">
        <v>346</v>
      </c>
      <c r="D19" s="403"/>
      <c r="E19" s="403"/>
      <c r="F19" s="403"/>
      <c r="G19" s="404">
        <v>979224.99999999988</v>
      </c>
      <c r="S19" s="405">
        <f t="shared" si="0"/>
        <v>81602.083333333328</v>
      </c>
      <c r="T19" s="406">
        <f t="shared" si="1"/>
        <v>40801.041666666664</v>
      </c>
      <c r="U19" s="395">
        <v>65000</v>
      </c>
    </row>
    <row r="20" spans="2:23" ht="27" customHeight="1">
      <c r="C20" s="412" t="s">
        <v>261</v>
      </c>
      <c r="D20" s="399"/>
      <c r="E20" s="399"/>
      <c r="F20" s="399"/>
      <c r="G20" s="404">
        <v>884272</v>
      </c>
      <c r="S20" s="405">
        <f t="shared" si="0"/>
        <v>73689.333333333328</v>
      </c>
      <c r="T20" s="406">
        <f t="shared" si="1"/>
        <v>36844.666666666664</v>
      </c>
      <c r="U20" s="395">
        <v>60000</v>
      </c>
    </row>
    <row r="21" spans="2:23" ht="23.25" customHeight="1">
      <c r="C21" s="412" t="s">
        <v>347</v>
      </c>
      <c r="D21" s="399"/>
      <c r="E21" s="399"/>
      <c r="F21" s="399"/>
      <c r="G21" s="404">
        <v>993505</v>
      </c>
      <c r="S21" s="405">
        <f t="shared" si="0"/>
        <v>82792.083333333328</v>
      </c>
      <c r="T21" s="406">
        <f t="shared" si="1"/>
        <v>41396.041666666664</v>
      </c>
      <c r="U21" s="395">
        <v>65000</v>
      </c>
    </row>
    <row r="22" spans="2:23" ht="30" customHeight="1">
      <c r="C22" s="412" t="s">
        <v>348</v>
      </c>
      <c r="D22" s="399"/>
      <c r="E22" s="399"/>
      <c r="F22" s="399"/>
      <c r="G22" s="404">
        <v>195524</v>
      </c>
      <c r="S22" s="405">
        <f t="shared" si="0"/>
        <v>16293.666666666666</v>
      </c>
      <c r="T22" s="406">
        <f t="shared" si="1"/>
        <v>8146.833333333333</v>
      </c>
      <c r="U22" s="395">
        <v>13000</v>
      </c>
    </row>
    <row r="23" spans="2:23" ht="30" customHeight="1">
      <c r="C23" s="414" t="s">
        <v>191</v>
      </c>
      <c r="D23" s="399"/>
      <c r="E23" s="399"/>
      <c r="F23" s="399"/>
      <c r="G23" s="415">
        <f>SUM(G5:G22)</f>
        <v>10833151</v>
      </c>
      <c r="H23" s="415">
        <f t="shared" ref="H23:U23" si="2">SUM(H5:H22)</f>
        <v>0</v>
      </c>
      <c r="I23" s="415">
        <f t="shared" si="2"/>
        <v>0</v>
      </c>
      <c r="J23" s="415">
        <f t="shared" si="2"/>
        <v>0</v>
      </c>
      <c r="K23" s="415">
        <f t="shared" si="2"/>
        <v>0</v>
      </c>
      <c r="L23" s="415">
        <f t="shared" si="2"/>
        <v>0</v>
      </c>
      <c r="M23" s="415">
        <f t="shared" si="2"/>
        <v>0</v>
      </c>
      <c r="N23" s="415">
        <f t="shared" si="2"/>
        <v>0</v>
      </c>
      <c r="O23" s="415">
        <f t="shared" si="2"/>
        <v>0</v>
      </c>
      <c r="P23" s="415">
        <f t="shared" si="2"/>
        <v>0</v>
      </c>
      <c r="Q23" s="415">
        <f t="shared" si="2"/>
        <v>0</v>
      </c>
      <c r="R23" s="415">
        <f t="shared" si="2"/>
        <v>0</v>
      </c>
      <c r="S23" s="415">
        <f t="shared" si="2"/>
        <v>902762.58333333349</v>
      </c>
      <c r="T23" s="415">
        <f t="shared" si="2"/>
        <v>451381.29166666674</v>
      </c>
      <c r="U23" s="415">
        <f t="shared" si="2"/>
        <v>718000</v>
      </c>
      <c r="W23" s="409">
        <f>G23+SUM(G26:G39)</f>
        <v>13156151</v>
      </c>
    </row>
    <row r="24" spans="2:23">
      <c r="S24" s="396">
        <f t="shared" si="0"/>
        <v>0</v>
      </c>
    </row>
    <row r="25" spans="2:23" ht="51.75">
      <c r="B25" s="416" t="s">
        <v>349</v>
      </c>
      <c r="C25" s="399"/>
      <c r="D25" s="417"/>
      <c r="E25" s="417"/>
      <c r="F25" s="417"/>
      <c r="G25" s="418" t="s">
        <v>336</v>
      </c>
      <c r="H25" s="418" t="s">
        <v>336</v>
      </c>
      <c r="I25" s="418" t="s">
        <v>336</v>
      </c>
      <c r="J25" s="418" t="s">
        <v>336</v>
      </c>
      <c r="K25" s="418" t="s">
        <v>336</v>
      </c>
      <c r="L25" s="418" t="s">
        <v>336</v>
      </c>
      <c r="M25" s="418" t="s">
        <v>336</v>
      </c>
      <c r="N25" s="418" t="s">
        <v>336</v>
      </c>
      <c r="O25" s="418" t="s">
        <v>336</v>
      </c>
      <c r="P25" s="418" t="s">
        <v>336</v>
      </c>
      <c r="Q25" s="418" t="s">
        <v>336</v>
      </c>
      <c r="R25" s="418" t="s">
        <v>336</v>
      </c>
      <c r="S25" s="400" t="s">
        <v>337</v>
      </c>
      <c r="T25" s="400" t="s">
        <v>337</v>
      </c>
      <c r="U25" s="419" t="s">
        <v>339</v>
      </c>
    </row>
    <row r="26" spans="2:23" ht="29.25" customHeight="1">
      <c r="C26" s="399" t="s">
        <v>350</v>
      </c>
      <c r="D26" s="399"/>
      <c r="E26" s="399"/>
      <c r="F26" s="399"/>
      <c r="G26" s="420">
        <v>240000</v>
      </c>
      <c r="H26" s="420">
        <v>240000</v>
      </c>
      <c r="I26" s="420">
        <v>240000</v>
      </c>
      <c r="J26" s="420">
        <v>240000</v>
      </c>
      <c r="K26" s="420">
        <v>240000</v>
      </c>
      <c r="L26" s="420">
        <v>240000</v>
      </c>
      <c r="M26" s="420">
        <v>240000</v>
      </c>
      <c r="N26" s="420">
        <v>240000</v>
      </c>
      <c r="O26" s="420">
        <v>240000</v>
      </c>
      <c r="P26" s="420">
        <v>240000</v>
      </c>
      <c r="Q26" s="420">
        <v>240000</v>
      </c>
      <c r="R26" s="420">
        <v>240000</v>
      </c>
      <c r="S26" s="405">
        <f t="shared" si="0"/>
        <v>20000</v>
      </c>
      <c r="T26" s="406">
        <f>S26</f>
        <v>20000</v>
      </c>
      <c r="U26" s="421">
        <v>20000</v>
      </c>
      <c r="V26" s="422"/>
      <c r="W26" s="422"/>
    </row>
    <row r="27" spans="2:23">
      <c r="C27" s="399" t="s">
        <v>351</v>
      </c>
      <c r="D27" s="399"/>
      <c r="E27" s="399"/>
      <c r="F27" s="399"/>
      <c r="G27" s="420">
        <v>350000</v>
      </c>
      <c r="H27" s="420">
        <v>350000</v>
      </c>
      <c r="I27" s="420">
        <v>350000</v>
      </c>
      <c r="J27" s="420">
        <v>350000</v>
      </c>
      <c r="K27" s="420">
        <v>350000</v>
      </c>
      <c r="L27" s="420">
        <v>350000</v>
      </c>
      <c r="M27" s="420">
        <v>350000</v>
      </c>
      <c r="N27" s="420">
        <v>350000</v>
      </c>
      <c r="O27" s="420">
        <v>350000</v>
      </c>
      <c r="P27" s="420">
        <v>350000</v>
      </c>
      <c r="Q27" s="420">
        <v>350000</v>
      </c>
      <c r="R27" s="420">
        <v>350000</v>
      </c>
      <c r="S27" s="405">
        <f t="shared" si="0"/>
        <v>29166.666666666668</v>
      </c>
      <c r="T27" s="406">
        <f t="shared" ref="T27:U39" si="3">S27</f>
        <v>29166.666666666668</v>
      </c>
      <c r="U27" s="421">
        <v>30000</v>
      </c>
      <c r="V27" s="422"/>
      <c r="W27" s="422"/>
    </row>
    <row r="28" spans="2:23">
      <c r="C28" s="399" t="s">
        <v>352</v>
      </c>
      <c r="D28" s="399"/>
      <c r="E28" s="399"/>
      <c r="F28" s="399"/>
      <c r="G28" s="404">
        <v>300000</v>
      </c>
      <c r="H28" s="404">
        <v>300000</v>
      </c>
      <c r="I28" s="404">
        <v>300000</v>
      </c>
      <c r="J28" s="404">
        <v>300000</v>
      </c>
      <c r="K28" s="404">
        <v>300000</v>
      </c>
      <c r="L28" s="404">
        <v>300000</v>
      </c>
      <c r="M28" s="404">
        <v>300000</v>
      </c>
      <c r="N28" s="404">
        <v>300000</v>
      </c>
      <c r="O28" s="404">
        <v>300000</v>
      </c>
      <c r="P28" s="404">
        <v>300000</v>
      </c>
      <c r="Q28" s="404">
        <v>300000</v>
      </c>
      <c r="R28" s="404">
        <v>300000</v>
      </c>
      <c r="S28" s="405">
        <f t="shared" si="0"/>
        <v>25000</v>
      </c>
      <c r="T28" s="406">
        <f t="shared" si="3"/>
        <v>25000</v>
      </c>
      <c r="U28" s="423">
        <v>25000</v>
      </c>
      <c r="V28" s="422"/>
      <c r="W28" s="422"/>
    </row>
    <row r="29" spans="2:23">
      <c r="C29" s="399" t="s">
        <v>353</v>
      </c>
      <c r="D29" s="399"/>
      <c r="E29" s="399"/>
      <c r="F29" s="399"/>
      <c r="G29" s="404">
        <v>120000</v>
      </c>
      <c r="H29" s="404">
        <v>120000</v>
      </c>
      <c r="I29" s="404">
        <v>120000</v>
      </c>
      <c r="J29" s="404">
        <v>120000</v>
      </c>
      <c r="K29" s="404">
        <v>120000</v>
      </c>
      <c r="L29" s="404">
        <v>120000</v>
      </c>
      <c r="M29" s="404">
        <v>120000</v>
      </c>
      <c r="N29" s="404">
        <v>120000</v>
      </c>
      <c r="O29" s="404">
        <v>120000</v>
      </c>
      <c r="P29" s="404">
        <v>120000</v>
      </c>
      <c r="Q29" s="404">
        <v>120000</v>
      </c>
      <c r="R29" s="404">
        <v>120000</v>
      </c>
      <c r="S29" s="405">
        <f t="shared" si="0"/>
        <v>10000</v>
      </c>
      <c r="T29" s="406">
        <f t="shared" si="3"/>
        <v>10000</v>
      </c>
      <c r="U29" s="423">
        <v>10000</v>
      </c>
      <c r="V29" s="422"/>
      <c r="W29" s="422"/>
    </row>
    <row r="30" spans="2:23">
      <c r="C30" s="399" t="s">
        <v>189</v>
      </c>
      <c r="D30" s="399"/>
      <c r="E30" s="399"/>
      <c r="F30" s="399"/>
      <c r="G30" s="420">
        <v>60000</v>
      </c>
      <c r="H30" s="420">
        <v>60000</v>
      </c>
      <c r="I30" s="420">
        <v>60000</v>
      </c>
      <c r="J30" s="420">
        <v>60000</v>
      </c>
      <c r="K30" s="420">
        <v>60000</v>
      </c>
      <c r="L30" s="420">
        <v>60000</v>
      </c>
      <c r="M30" s="420">
        <v>60000</v>
      </c>
      <c r="N30" s="420">
        <v>60000</v>
      </c>
      <c r="O30" s="420">
        <v>60000</v>
      </c>
      <c r="P30" s="420">
        <v>60000</v>
      </c>
      <c r="Q30" s="420">
        <v>60000</v>
      </c>
      <c r="R30" s="420">
        <v>60000</v>
      </c>
      <c r="S30" s="405">
        <f t="shared" si="0"/>
        <v>5000</v>
      </c>
      <c r="T30" s="406">
        <f t="shared" si="3"/>
        <v>5000</v>
      </c>
      <c r="U30" s="421">
        <v>5000</v>
      </c>
      <c r="V30" s="422"/>
      <c r="W30" s="422"/>
    </row>
    <row r="31" spans="2:23">
      <c r="C31" s="399" t="s">
        <v>354</v>
      </c>
      <c r="D31" s="399"/>
      <c r="E31" s="399"/>
      <c r="F31" s="399"/>
      <c r="G31" s="420">
        <v>50000</v>
      </c>
      <c r="H31" s="420">
        <v>50000</v>
      </c>
      <c r="I31" s="420">
        <v>50000</v>
      </c>
      <c r="J31" s="420">
        <v>50000</v>
      </c>
      <c r="K31" s="420">
        <v>50000</v>
      </c>
      <c r="L31" s="420">
        <v>50000</v>
      </c>
      <c r="M31" s="420">
        <v>50000</v>
      </c>
      <c r="N31" s="420">
        <v>50000</v>
      </c>
      <c r="O31" s="420">
        <v>50000</v>
      </c>
      <c r="P31" s="420">
        <v>50000</v>
      </c>
      <c r="Q31" s="420">
        <v>50000</v>
      </c>
      <c r="R31" s="420">
        <v>50000</v>
      </c>
      <c r="S31" s="405">
        <f t="shared" si="0"/>
        <v>4166.666666666667</v>
      </c>
      <c r="T31" s="406">
        <f t="shared" si="3"/>
        <v>4166.666666666667</v>
      </c>
      <c r="U31" s="421">
        <v>4000</v>
      </c>
      <c r="V31" s="422"/>
      <c r="W31" s="422"/>
    </row>
    <row r="32" spans="2:23">
      <c r="C32" s="399" t="s">
        <v>355</v>
      </c>
      <c r="D32" s="399"/>
      <c r="E32" s="399"/>
      <c r="F32" s="399"/>
      <c r="G32" s="420">
        <v>50000</v>
      </c>
      <c r="H32" s="420">
        <v>50000</v>
      </c>
      <c r="I32" s="420">
        <v>50000</v>
      </c>
      <c r="J32" s="420">
        <v>50000</v>
      </c>
      <c r="K32" s="420">
        <v>50000</v>
      </c>
      <c r="L32" s="420">
        <v>50000</v>
      </c>
      <c r="M32" s="420">
        <v>50000</v>
      </c>
      <c r="N32" s="420">
        <v>50000</v>
      </c>
      <c r="O32" s="420">
        <v>50000</v>
      </c>
      <c r="P32" s="420">
        <v>50000</v>
      </c>
      <c r="Q32" s="420">
        <v>50000</v>
      </c>
      <c r="R32" s="420">
        <v>50000</v>
      </c>
      <c r="S32" s="405">
        <f t="shared" si="0"/>
        <v>4166.666666666667</v>
      </c>
      <c r="T32" s="406">
        <f t="shared" si="3"/>
        <v>4166.666666666667</v>
      </c>
      <c r="U32" s="421">
        <v>4000</v>
      </c>
      <c r="V32" s="422"/>
      <c r="W32" s="422"/>
    </row>
    <row r="33" spans="2:23">
      <c r="C33" s="399" t="s">
        <v>356</v>
      </c>
      <c r="D33" s="399"/>
      <c r="E33" s="399"/>
      <c r="F33" s="399"/>
      <c r="G33" s="404">
        <v>250000</v>
      </c>
      <c r="H33" s="404">
        <v>250000</v>
      </c>
      <c r="I33" s="404">
        <v>250000</v>
      </c>
      <c r="J33" s="404">
        <v>250000</v>
      </c>
      <c r="K33" s="404">
        <v>250000</v>
      </c>
      <c r="L33" s="404">
        <v>250000</v>
      </c>
      <c r="M33" s="404">
        <v>250000</v>
      </c>
      <c r="N33" s="404">
        <v>250000</v>
      </c>
      <c r="O33" s="404">
        <v>250000</v>
      </c>
      <c r="P33" s="404">
        <v>250000</v>
      </c>
      <c r="Q33" s="404">
        <v>250000</v>
      </c>
      <c r="R33" s="404">
        <v>250000</v>
      </c>
      <c r="S33" s="405">
        <f t="shared" si="0"/>
        <v>20833.333333333332</v>
      </c>
      <c r="T33" s="406">
        <f t="shared" si="3"/>
        <v>20833.333333333332</v>
      </c>
      <c r="U33" s="421">
        <v>20000</v>
      </c>
      <c r="V33" s="422"/>
      <c r="W33" s="422"/>
    </row>
    <row r="34" spans="2:23">
      <c r="C34" s="399" t="s">
        <v>357</v>
      </c>
      <c r="D34" s="399"/>
      <c r="E34" s="399"/>
      <c r="F34" s="399"/>
      <c r="G34" s="404">
        <v>300000</v>
      </c>
      <c r="H34" s="404">
        <v>300000</v>
      </c>
      <c r="I34" s="404">
        <v>300000</v>
      </c>
      <c r="J34" s="404">
        <v>300000</v>
      </c>
      <c r="K34" s="404">
        <v>300000</v>
      </c>
      <c r="L34" s="404">
        <v>300000</v>
      </c>
      <c r="M34" s="404">
        <v>300000</v>
      </c>
      <c r="N34" s="404">
        <v>300000</v>
      </c>
      <c r="O34" s="404">
        <v>300000</v>
      </c>
      <c r="P34" s="404">
        <v>300000</v>
      </c>
      <c r="Q34" s="404">
        <v>300000</v>
      </c>
      <c r="R34" s="404">
        <v>300000</v>
      </c>
      <c r="S34" s="405">
        <f t="shared" si="0"/>
        <v>25000</v>
      </c>
      <c r="T34" s="406">
        <f t="shared" si="3"/>
        <v>25000</v>
      </c>
      <c r="U34" s="406">
        <f t="shared" si="3"/>
        <v>25000</v>
      </c>
      <c r="V34" s="422"/>
      <c r="W34" s="422"/>
    </row>
    <row r="35" spans="2:23">
      <c r="C35" s="399" t="s">
        <v>358</v>
      </c>
      <c r="D35" s="399"/>
      <c r="E35" s="399"/>
      <c r="F35" s="399"/>
      <c r="G35" s="404">
        <v>300000</v>
      </c>
      <c r="H35" s="404">
        <v>300000</v>
      </c>
      <c r="I35" s="404">
        <v>300000</v>
      </c>
      <c r="J35" s="404">
        <v>300000</v>
      </c>
      <c r="K35" s="404">
        <v>300000</v>
      </c>
      <c r="L35" s="404">
        <v>300000</v>
      </c>
      <c r="M35" s="404">
        <v>300000</v>
      </c>
      <c r="N35" s="404">
        <v>300000</v>
      </c>
      <c r="O35" s="404">
        <v>300000</v>
      </c>
      <c r="P35" s="404">
        <v>300000</v>
      </c>
      <c r="Q35" s="404">
        <v>300000</v>
      </c>
      <c r="R35" s="404">
        <v>300000</v>
      </c>
      <c r="S35" s="405">
        <f t="shared" si="0"/>
        <v>25000</v>
      </c>
      <c r="T35" s="406">
        <f t="shared" si="3"/>
        <v>25000</v>
      </c>
      <c r="U35" s="406">
        <f t="shared" si="3"/>
        <v>25000</v>
      </c>
    </row>
    <row r="36" spans="2:23">
      <c r="C36" s="399" t="s">
        <v>359</v>
      </c>
      <c r="D36" s="399"/>
      <c r="E36" s="399"/>
      <c r="F36" s="399"/>
      <c r="G36" s="420">
        <v>30000</v>
      </c>
      <c r="H36" s="420">
        <v>30000</v>
      </c>
      <c r="I36" s="420">
        <v>30000</v>
      </c>
      <c r="J36" s="420">
        <v>30000</v>
      </c>
      <c r="K36" s="420">
        <v>30000</v>
      </c>
      <c r="L36" s="420">
        <v>30000</v>
      </c>
      <c r="M36" s="420">
        <v>30000</v>
      </c>
      <c r="N36" s="420">
        <v>30000</v>
      </c>
      <c r="O36" s="420">
        <v>30000</v>
      </c>
      <c r="P36" s="420">
        <v>30000</v>
      </c>
      <c r="Q36" s="420">
        <v>30000</v>
      </c>
      <c r="R36" s="420">
        <v>30000</v>
      </c>
      <c r="S36" s="405">
        <f t="shared" si="0"/>
        <v>2500</v>
      </c>
      <c r="T36" s="406">
        <f t="shared" si="3"/>
        <v>2500</v>
      </c>
      <c r="U36" s="406">
        <f t="shared" si="3"/>
        <v>2500</v>
      </c>
    </row>
    <row r="37" spans="2:23">
      <c r="C37" s="399" t="s">
        <v>360</v>
      </c>
      <c r="D37" s="399"/>
      <c r="E37" s="399"/>
      <c r="F37" s="399"/>
      <c r="G37" s="420">
        <v>60000</v>
      </c>
      <c r="H37" s="420">
        <v>60000</v>
      </c>
      <c r="I37" s="420">
        <v>60000</v>
      </c>
      <c r="J37" s="420">
        <v>60000</v>
      </c>
      <c r="K37" s="420">
        <v>60000</v>
      </c>
      <c r="L37" s="420">
        <v>60000</v>
      </c>
      <c r="M37" s="420">
        <v>60000</v>
      </c>
      <c r="N37" s="420">
        <v>60000</v>
      </c>
      <c r="O37" s="420">
        <v>60000</v>
      </c>
      <c r="P37" s="420">
        <v>60000</v>
      </c>
      <c r="Q37" s="420">
        <v>60000</v>
      </c>
      <c r="R37" s="420">
        <v>60000</v>
      </c>
      <c r="S37" s="405">
        <f t="shared" si="0"/>
        <v>5000</v>
      </c>
      <c r="T37" s="406">
        <f t="shared" si="3"/>
        <v>5000</v>
      </c>
      <c r="U37" s="406">
        <f t="shared" si="3"/>
        <v>5000</v>
      </c>
    </row>
    <row r="38" spans="2:23">
      <c r="C38" s="399" t="s">
        <v>361</v>
      </c>
      <c r="D38" s="399"/>
      <c r="E38" s="399"/>
      <c r="F38" s="399"/>
      <c r="G38" s="420">
        <v>90000</v>
      </c>
      <c r="H38" s="420">
        <v>90000</v>
      </c>
      <c r="I38" s="420">
        <v>90000</v>
      </c>
      <c r="J38" s="420">
        <v>90000</v>
      </c>
      <c r="K38" s="420">
        <v>90000</v>
      </c>
      <c r="L38" s="420">
        <v>90000</v>
      </c>
      <c r="M38" s="420">
        <v>90000</v>
      </c>
      <c r="N38" s="420">
        <v>90000</v>
      </c>
      <c r="O38" s="420">
        <v>90000</v>
      </c>
      <c r="P38" s="420">
        <v>90000</v>
      </c>
      <c r="Q38" s="420">
        <v>90000</v>
      </c>
      <c r="R38" s="420">
        <v>90000</v>
      </c>
      <c r="S38" s="405">
        <f t="shared" si="0"/>
        <v>7500</v>
      </c>
      <c r="T38" s="406">
        <f t="shared" si="3"/>
        <v>7500</v>
      </c>
      <c r="U38" s="406">
        <f t="shared" si="3"/>
        <v>7500</v>
      </c>
    </row>
    <row r="39" spans="2:23">
      <c r="C39" s="399" t="s">
        <v>362</v>
      </c>
      <c r="D39" s="399"/>
      <c r="E39" s="399"/>
      <c r="F39" s="399"/>
      <c r="G39" s="404">
        <v>123000</v>
      </c>
      <c r="H39" s="404">
        <v>123000</v>
      </c>
      <c r="I39" s="404">
        <v>123000</v>
      </c>
      <c r="J39" s="404">
        <v>123000</v>
      </c>
      <c r="K39" s="404">
        <v>123000</v>
      </c>
      <c r="L39" s="404">
        <v>123000</v>
      </c>
      <c r="M39" s="404">
        <v>123000</v>
      </c>
      <c r="N39" s="404">
        <v>123000</v>
      </c>
      <c r="O39" s="404">
        <v>123000</v>
      </c>
      <c r="P39" s="404">
        <v>123000</v>
      </c>
      <c r="Q39" s="404">
        <v>123000</v>
      </c>
      <c r="R39" s="404">
        <v>123000</v>
      </c>
      <c r="S39" s="405">
        <f t="shared" si="0"/>
        <v>10250</v>
      </c>
      <c r="T39" s="406">
        <f t="shared" si="3"/>
        <v>10250</v>
      </c>
      <c r="U39" s="423">
        <v>10000</v>
      </c>
    </row>
    <row r="40" spans="2:23">
      <c r="G40" s="396">
        <f>SUM(G26:G39)</f>
        <v>2323000</v>
      </c>
      <c r="H40" s="396">
        <f t="shared" ref="H40:U40" si="4">SUM(H26:H39)</f>
        <v>2323000</v>
      </c>
      <c r="I40" s="396">
        <f t="shared" si="4"/>
        <v>2323000</v>
      </c>
      <c r="J40" s="396">
        <f t="shared" si="4"/>
        <v>2323000</v>
      </c>
      <c r="K40" s="396">
        <f t="shared" si="4"/>
        <v>2323000</v>
      </c>
      <c r="L40" s="396">
        <f t="shared" si="4"/>
        <v>2323000</v>
      </c>
      <c r="M40" s="396">
        <f t="shared" si="4"/>
        <v>2323000</v>
      </c>
      <c r="N40" s="396">
        <f t="shared" si="4"/>
        <v>2323000</v>
      </c>
      <c r="O40" s="396">
        <f t="shared" si="4"/>
        <v>2323000</v>
      </c>
      <c r="P40" s="396">
        <f t="shared" si="4"/>
        <v>2323000</v>
      </c>
      <c r="Q40" s="396">
        <f t="shared" si="4"/>
        <v>2323000</v>
      </c>
      <c r="R40" s="396">
        <f t="shared" si="4"/>
        <v>2323000</v>
      </c>
      <c r="S40" s="396">
        <f t="shared" si="4"/>
        <v>193583.33333333334</v>
      </c>
      <c r="T40" s="396">
        <f t="shared" si="4"/>
        <v>193583.33333333334</v>
      </c>
      <c r="U40" s="396">
        <f t="shared" si="4"/>
        <v>193000</v>
      </c>
    </row>
    <row r="41" spans="2:23" ht="16.5" hidden="1" customHeight="1">
      <c r="B41" s="416" t="s">
        <v>363</v>
      </c>
      <c r="D41" s="424"/>
      <c r="E41" s="424"/>
      <c r="F41" s="424"/>
      <c r="G41" s="425"/>
      <c r="S41" s="396">
        <f t="shared" si="0"/>
        <v>0</v>
      </c>
    </row>
    <row r="42" spans="2:23" hidden="1">
      <c r="C42" s="399"/>
      <c r="D42" s="399" t="s">
        <v>333</v>
      </c>
      <c r="E42" s="399" t="s">
        <v>334</v>
      </c>
      <c r="F42" s="399" t="s">
        <v>335</v>
      </c>
      <c r="G42" s="405" t="s">
        <v>339</v>
      </c>
      <c r="S42" s="396"/>
    </row>
    <row r="43" spans="2:23" ht="27" hidden="1" customHeight="1">
      <c r="C43" s="399" t="s">
        <v>340</v>
      </c>
      <c r="D43" s="403"/>
      <c r="E43" s="403"/>
      <c r="F43" s="403"/>
      <c r="G43" s="404"/>
      <c r="S43" s="396">
        <f t="shared" si="0"/>
        <v>0</v>
      </c>
    </row>
    <row r="44" spans="2:23" hidden="1">
      <c r="C44" s="399"/>
      <c r="D44" s="399"/>
      <c r="E44" s="399"/>
      <c r="F44" s="399"/>
      <c r="G44" s="408"/>
      <c r="S44" s="396">
        <f t="shared" si="0"/>
        <v>0</v>
      </c>
    </row>
    <row r="45" spans="2:23" ht="26.25" hidden="1">
      <c r="C45" s="407" t="s">
        <v>342</v>
      </c>
      <c r="D45" s="399"/>
      <c r="E45" s="399"/>
      <c r="F45" s="399"/>
      <c r="G45" s="408" t="s">
        <v>336</v>
      </c>
      <c r="S45" s="396"/>
    </row>
    <row r="46" spans="2:23" hidden="1">
      <c r="C46" s="399" t="s">
        <v>350</v>
      </c>
      <c r="D46" s="399"/>
      <c r="E46" s="399"/>
      <c r="F46" s="399"/>
      <c r="G46" s="404"/>
      <c r="S46" s="396">
        <f t="shared" si="0"/>
        <v>0</v>
      </c>
    </row>
    <row r="47" spans="2:23" hidden="1">
      <c r="C47" s="399" t="s">
        <v>351</v>
      </c>
      <c r="D47" s="399"/>
      <c r="E47" s="399"/>
      <c r="F47" s="399"/>
      <c r="G47" s="404"/>
      <c r="S47" s="396">
        <f t="shared" si="0"/>
        <v>0</v>
      </c>
    </row>
    <row r="48" spans="2:23" hidden="1">
      <c r="C48" s="399" t="s">
        <v>352</v>
      </c>
      <c r="D48" s="399"/>
      <c r="E48" s="399"/>
      <c r="F48" s="399"/>
      <c r="G48" s="404"/>
      <c r="S48" s="396">
        <f t="shared" si="0"/>
        <v>0</v>
      </c>
    </row>
    <row r="49" spans="2:23" hidden="1">
      <c r="C49" s="399" t="s">
        <v>353</v>
      </c>
      <c r="D49" s="399"/>
      <c r="E49" s="399"/>
      <c r="F49" s="399"/>
      <c r="G49" s="404"/>
      <c r="S49" s="396">
        <f t="shared" si="0"/>
        <v>0</v>
      </c>
    </row>
    <row r="50" spans="2:23" hidden="1">
      <c r="C50" s="399" t="s">
        <v>189</v>
      </c>
      <c r="D50" s="399"/>
      <c r="E50" s="399"/>
      <c r="F50" s="399"/>
      <c r="G50" s="404"/>
      <c r="S50" s="396">
        <f t="shared" si="0"/>
        <v>0</v>
      </c>
    </row>
    <row r="51" spans="2:23" hidden="1">
      <c r="C51" s="399" t="s">
        <v>355</v>
      </c>
      <c r="D51" s="399"/>
      <c r="E51" s="399"/>
      <c r="F51" s="399"/>
      <c r="G51" s="404"/>
      <c r="S51" s="396">
        <f t="shared" si="0"/>
        <v>0</v>
      </c>
    </row>
    <row r="52" spans="2:23" hidden="1">
      <c r="C52" s="399" t="s">
        <v>356</v>
      </c>
      <c r="D52" s="399"/>
      <c r="E52" s="399"/>
      <c r="F52" s="399"/>
      <c r="G52" s="404"/>
      <c r="S52" s="396">
        <f t="shared" si="0"/>
        <v>0</v>
      </c>
    </row>
    <row r="53" spans="2:23" hidden="1">
      <c r="C53" s="399" t="s">
        <v>354</v>
      </c>
      <c r="D53" s="399"/>
      <c r="E53" s="399"/>
      <c r="F53" s="399"/>
      <c r="G53" s="404"/>
      <c r="S53" s="396">
        <f t="shared" si="0"/>
        <v>0</v>
      </c>
    </row>
    <row r="54" spans="2:23" hidden="1">
      <c r="C54" s="399" t="s">
        <v>357</v>
      </c>
      <c r="D54" s="399"/>
      <c r="E54" s="399"/>
      <c r="F54" s="399"/>
      <c r="G54" s="404"/>
      <c r="S54" s="396">
        <f t="shared" si="0"/>
        <v>0</v>
      </c>
    </row>
    <row r="55" spans="2:23" hidden="1">
      <c r="C55" s="399" t="s">
        <v>358</v>
      </c>
      <c r="D55" s="399"/>
      <c r="E55" s="399"/>
      <c r="F55" s="399"/>
      <c r="G55" s="404"/>
      <c r="S55" s="396">
        <f t="shared" si="0"/>
        <v>0</v>
      </c>
    </row>
    <row r="56" spans="2:23" hidden="1">
      <c r="C56" s="399" t="s">
        <v>359</v>
      </c>
      <c r="D56" s="399"/>
      <c r="E56" s="399"/>
      <c r="F56" s="399"/>
      <c r="G56" s="404"/>
      <c r="S56" s="396">
        <f t="shared" si="0"/>
        <v>0</v>
      </c>
    </row>
    <row r="57" spans="2:23" hidden="1">
      <c r="C57" s="399" t="s">
        <v>360</v>
      </c>
      <c r="D57" s="399"/>
      <c r="E57" s="399"/>
      <c r="F57" s="399"/>
      <c r="G57" s="404"/>
      <c r="S57" s="396">
        <f t="shared" si="0"/>
        <v>0</v>
      </c>
    </row>
    <row r="58" spans="2:23" hidden="1">
      <c r="C58" s="399" t="s">
        <v>361</v>
      </c>
      <c r="D58" s="399"/>
      <c r="E58" s="399"/>
      <c r="F58" s="399"/>
      <c r="G58" s="404"/>
      <c r="S58" s="396">
        <f t="shared" si="0"/>
        <v>0</v>
      </c>
    </row>
    <row r="59" spans="2:23" hidden="1">
      <c r="C59" s="399" t="s">
        <v>362</v>
      </c>
      <c r="D59" s="399"/>
      <c r="E59" s="399"/>
      <c r="F59" s="399"/>
      <c r="G59" s="404"/>
      <c r="S59" s="396">
        <f t="shared" si="0"/>
        <v>0</v>
      </c>
    </row>
    <row r="60" spans="2:23">
      <c r="S60" s="396"/>
    </row>
    <row r="61" spans="2:23">
      <c r="B61" s="416" t="s">
        <v>364</v>
      </c>
      <c r="S61" s="396"/>
    </row>
    <row r="62" spans="2:23" ht="51.75">
      <c r="C62" s="399"/>
      <c r="D62" s="426" t="s">
        <v>333</v>
      </c>
      <c r="E62" s="399" t="s">
        <v>334</v>
      </c>
      <c r="F62" s="399" t="s">
        <v>335</v>
      </c>
      <c r="G62" s="400" t="s">
        <v>336</v>
      </c>
      <c r="H62" s="400" t="s">
        <v>336</v>
      </c>
      <c r="I62" s="400" t="s">
        <v>336</v>
      </c>
      <c r="J62" s="400" t="s">
        <v>336</v>
      </c>
      <c r="K62" s="400" t="s">
        <v>336</v>
      </c>
      <c r="L62" s="400" t="s">
        <v>336</v>
      </c>
      <c r="M62" s="400" t="s">
        <v>336</v>
      </c>
      <c r="N62" s="400" t="s">
        <v>336</v>
      </c>
      <c r="O62" s="400" t="s">
        <v>336</v>
      </c>
      <c r="P62" s="400" t="s">
        <v>336</v>
      </c>
      <c r="Q62" s="400" t="s">
        <v>336</v>
      </c>
      <c r="R62" s="400" t="s">
        <v>336</v>
      </c>
      <c r="S62" s="400" t="s">
        <v>337</v>
      </c>
      <c r="T62" s="400" t="s">
        <v>337</v>
      </c>
      <c r="U62" s="401" t="s">
        <v>339</v>
      </c>
    </row>
    <row r="63" spans="2:23">
      <c r="B63" s="395">
        <v>1</v>
      </c>
      <c r="C63" s="399" t="s">
        <v>340</v>
      </c>
      <c r="D63" s="427">
        <v>2000</v>
      </c>
      <c r="E63" s="427">
        <v>40</v>
      </c>
      <c r="F63" s="427"/>
      <c r="G63" s="428">
        <f>+D63*E63*12</f>
        <v>960000</v>
      </c>
      <c r="S63" s="405">
        <f t="shared" si="0"/>
        <v>80000</v>
      </c>
      <c r="T63" s="406">
        <f>S63</f>
        <v>80000</v>
      </c>
      <c r="U63" s="406">
        <f>T63</f>
        <v>80000</v>
      </c>
      <c r="W63" s="409">
        <f>G63+SUM(G65:G73)</f>
        <v>1766000</v>
      </c>
    </row>
    <row r="64" spans="2:23">
      <c r="B64" s="395">
        <v>2</v>
      </c>
      <c r="C64" s="407" t="s">
        <v>342</v>
      </c>
      <c r="D64" s="399"/>
      <c r="E64" s="399"/>
      <c r="F64" s="399"/>
      <c r="G64" s="408"/>
      <c r="S64" s="405"/>
      <c r="T64" s="406"/>
      <c r="U64" s="406"/>
    </row>
    <row r="65" spans="3:23" ht="25.5">
      <c r="C65" s="410" t="s">
        <v>185</v>
      </c>
      <c r="D65" s="399"/>
      <c r="E65" s="399"/>
      <c r="F65" s="399"/>
      <c r="G65" s="404">
        <v>120000</v>
      </c>
      <c r="S65" s="405">
        <f t="shared" ref="S65:S76" si="5">G65/12</f>
        <v>10000</v>
      </c>
      <c r="T65" s="406">
        <f t="shared" ref="T65:U76" si="6">S65</f>
        <v>10000</v>
      </c>
      <c r="U65" s="406">
        <f t="shared" si="6"/>
        <v>10000</v>
      </c>
    </row>
    <row r="66" spans="3:23">
      <c r="C66" s="411" t="s">
        <v>186</v>
      </c>
      <c r="D66" s="399"/>
      <c r="E66" s="399"/>
      <c r="F66" s="399"/>
      <c r="G66" s="404">
        <v>144000</v>
      </c>
      <c r="S66" s="405">
        <f t="shared" si="5"/>
        <v>12000</v>
      </c>
      <c r="T66" s="406">
        <f t="shared" si="6"/>
        <v>12000</v>
      </c>
      <c r="U66" s="406">
        <f t="shared" si="6"/>
        <v>12000</v>
      </c>
    </row>
    <row r="67" spans="3:23">
      <c r="C67" s="411" t="s">
        <v>187</v>
      </c>
      <c r="D67" s="399"/>
      <c r="E67" s="399"/>
      <c r="F67" s="399"/>
      <c r="G67" s="404">
        <v>100000</v>
      </c>
      <c r="S67" s="405">
        <f t="shared" si="5"/>
        <v>8333.3333333333339</v>
      </c>
      <c r="T67" s="406">
        <f t="shared" si="6"/>
        <v>8333.3333333333339</v>
      </c>
      <c r="U67" s="406">
        <v>8000</v>
      </c>
    </row>
    <row r="68" spans="3:23" ht="30">
      <c r="C68" s="412" t="s">
        <v>188</v>
      </c>
      <c r="D68" s="399"/>
      <c r="E68" s="399"/>
      <c r="F68" s="399"/>
      <c r="G68" s="404">
        <v>100000</v>
      </c>
      <c r="S68" s="405">
        <f t="shared" si="5"/>
        <v>8333.3333333333339</v>
      </c>
      <c r="T68" s="406">
        <f t="shared" si="6"/>
        <v>8333.3333333333339</v>
      </c>
      <c r="U68" s="406">
        <v>9000</v>
      </c>
    </row>
    <row r="69" spans="3:23">
      <c r="C69" s="412" t="s">
        <v>343</v>
      </c>
      <c r="D69" s="399"/>
      <c r="E69" s="399"/>
      <c r="F69" s="399"/>
      <c r="G69" s="404">
        <v>60000</v>
      </c>
      <c r="S69" s="405">
        <f t="shared" si="5"/>
        <v>5000</v>
      </c>
      <c r="T69" s="406">
        <f t="shared" si="6"/>
        <v>5000</v>
      </c>
      <c r="U69" s="406">
        <f t="shared" si="6"/>
        <v>5000</v>
      </c>
    </row>
    <row r="70" spans="3:23">
      <c r="C70" s="412" t="s">
        <v>189</v>
      </c>
      <c r="D70" s="399"/>
      <c r="E70" s="399"/>
      <c r="F70" s="399"/>
      <c r="G70" s="404">
        <v>12000</v>
      </c>
      <c r="S70" s="405">
        <f t="shared" si="5"/>
        <v>1000</v>
      </c>
      <c r="T70" s="406">
        <f t="shared" si="6"/>
        <v>1000</v>
      </c>
      <c r="U70" s="406">
        <f t="shared" si="6"/>
        <v>1000</v>
      </c>
    </row>
    <row r="71" spans="3:23">
      <c r="C71" s="412" t="s">
        <v>268</v>
      </c>
      <c r="D71" s="399"/>
      <c r="E71" s="399"/>
      <c r="F71" s="399"/>
      <c r="G71" s="404">
        <v>60000</v>
      </c>
      <c r="S71" s="405">
        <f t="shared" si="5"/>
        <v>5000</v>
      </c>
      <c r="T71" s="406">
        <f t="shared" si="6"/>
        <v>5000</v>
      </c>
      <c r="U71" s="406">
        <f t="shared" si="6"/>
        <v>5000</v>
      </c>
    </row>
    <row r="72" spans="3:23" ht="30">
      <c r="C72" s="412" t="s">
        <v>269</v>
      </c>
      <c r="D72" s="399"/>
      <c r="E72" s="399"/>
      <c r="F72" s="399"/>
      <c r="G72" s="404">
        <v>60000</v>
      </c>
      <c r="S72" s="405">
        <f t="shared" si="5"/>
        <v>5000</v>
      </c>
      <c r="T72" s="406">
        <f t="shared" si="6"/>
        <v>5000</v>
      </c>
      <c r="U72" s="406">
        <f t="shared" si="6"/>
        <v>5000</v>
      </c>
    </row>
    <row r="73" spans="3:23">
      <c r="C73" s="411" t="s">
        <v>214</v>
      </c>
      <c r="D73" s="399"/>
      <c r="E73" s="399"/>
      <c r="F73" s="399"/>
      <c r="G73" s="404">
        <v>150000</v>
      </c>
      <c r="S73" s="405">
        <f t="shared" si="5"/>
        <v>12500</v>
      </c>
      <c r="T73" s="406">
        <f t="shared" si="6"/>
        <v>12500</v>
      </c>
      <c r="U73" s="406">
        <f t="shared" si="6"/>
        <v>12500</v>
      </c>
    </row>
    <row r="74" spans="3:23">
      <c r="C74" s="413" t="s">
        <v>346</v>
      </c>
      <c r="D74" s="403"/>
      <c r="E74" s="403"/>
      <c r="F74" s="403"/>
      <c r="G74" s="404">
        <v>200000</v>
      </c>
      <c r="S74" s="405">
        <f t="shared" si="5"/>
        <v>16666.666666666668</v>
      </c>
      <c r="T74" s="406">
        <f t="shared" si="6"/>
        <v>16666.666666666668</v>
      </c>
      <c r="U74" s="406">
        <v>16000</v>
      </c>
    </row>
    <row r="75" spans="3:23">
      <c r="C75" s="412" t="s">
        <v>347</v>
      </c>
      <c r="D75" s="399"/>
      <c r="E75" s="399"/>
      <c r="F75" s="399"/>
      <c r="G75" s="404">
        <v>200000</v>
      </c>
      <c r="S75" s="405">
        <f t="shared" si="5"/>
        <v>16666.666666666668</v>
      </c>
      <c r="T75" s="406">
        <f t="shared" si="6"/>
        <v>16666.666666666668</v>
      </c>
      <c r="U75" s="406">
        <v>17000</v>
      </c>
    </row>
    <row r="76" spans="3:23">
      <c r="C76" s="412" t="s">
        <v>348</v>
      </c>
      <c r="D76" s="399"/>
      <c r="E76" s="399"/>
      <c r="F76" s="399"/>
      <c r="G76" s="404">
        <v>200000</v>
      </c>
      <c r="S76" s="405">
        <f t="shared" si="5"/>
        <v>16666.666666666668</v>
      </c>
      <c r="T76" s="406">
        <f t="shared" si="6"/>
        <v>16666.666666666668</v>
      </c>
      <c r="U76" s="406">
        <v>18000</v>
      </c>
    </row>
    <row r="77" spans="3:23">
      <c r="C77" s="414" t="s">
        <v>365</v>
      </c>
      <c r="D77" s="399"/>
      <c r="E77" s="399"/>
      <c r="F77" s="399"/>
      <c r="G77" s="405">
        <f>SUM(G63:G76)</f>
        <v>2366000</v>
      </c>
      <c r="H77" s="405">
        <f t="shared" ref="H77:U77" si="7">SUM(H63:H76)</f>
        <v>0</v>
      </c>
      <c r="I77" s="405">
        <f t="shared" si="7"/>
        <v>0</v>
      </c>
      <c r="J77" s="405">
        <f t="shared" si="7"/>
        <v>0</v>
      </c>
      <c r="K77" s="405">
        <f t="shared" si="7"/>
        <v>0</v>
      </c>
      <c r="L77" s="405">
        <f t="shared" si="7"/>
        <v>0</v>
      </c>
      <c r="M77" s="405">
        <f t="shared" si="7"/>
        <v>0</v>
      </c>
      <c r="N77" s="405">
        <f t="shared" si="7"/>
        <v>0</v>
      </c>
      <c r="O77" s="405">
        <f t="shared" si="7"/>
        <v>0</v>
      </c>
      <c r="P77" s="405">
        <f t="shared" si="7"/>
        <v>0</v>
      </c>
      <c r="Q77" s="405">
        <f t="shared" si="7"/>
        <v>0</v>
      </c>
      <c r="R77" s="405">
        <f t="shared" si="7"/>
        <v>0</v>
      </c>
      <c r="S77" s="405">
        <f t="shared" si="7"/>
        <v>197166.66666666663</v>
      </c>
      <c r="T77" s="405">
        <f t="shared" si="7"/>
        <v>197166.66666666663</v>
      </c>
      <c r="U77" s="405">
        <f t="shared" si="7"/>
        <v>198500</v>
      </c>
    </row>
    <row r="78" spans="3:23">
      <c r="W78" s="409">
        <f>W63+W23+W6</f>
        <v>22702776</v>
      </c>
    </row>
    <row r="79" spans="3:23">
      <c r="C79" s="395" t="s">
        <v>1</v>
      </c>
      <c r="G79" s="396">
        <f t="shared" ref="G79:U79" si="8">G23+G40+G77</f>
        <v>15522151</v>
      </c>
      <c r="H79" s="396">
        <f t="shared" si="8"/>
        <v>2323000</v>
      </c>
      <c r="I79" s="396">
        <f t="shared" si="8"/>
        <v>2323000</v>
      </c>
      <c r="J79" s="396">
        <f t="shared" si="8"/>
        <v>2323000</v>
      </c>
      <c r="K79" s="396">
        <f t="shared" si="8"/>
        <v>2323000</v>
      </c>
      <c r="L79" s="396">
        <f t="shared" si="8"/>
        <v>2323000</v>
      </c>
      <c r="M79" s="396">
        <f t="shared" si="8"/>
        <v>2323000</v>
      </c>
      <c r="N79" s="396">
        <f t="shared" si="8"/>
        <v>2323000</v>
      </c>
      <c r="O79" s="396">
        <f t="shared" si="8"/>
        <v>2323000</v>
      </c>
      <c r="P79" s="396">
        <f t="shared" si="8"/>
        <v>2323000</v>
      </c>
      <c r="Q79" s="396">
        <f t="shared" si="8"/>
        <v>2323000</v>
      </c>
      <c r="R79" s="396">
        <f t="shared" si="8"/>
        <v>2323000</v>
      </c>
      <c r="S79" s="396">
        <f t="shared" si="8"/>
        <v>1293512.5833333335</v>
      </c>
      <c r="T79" s="396">
        <f t="shared" si="8"/>
        <v>842131.29166666674</v>
      </c>
      <c r="U79" s="396">
        <f t="shared" si="8"/>
        <v>1109500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0"/>
  <sheetViews>
    <sheetView zoomScale="80" zoomScaleNormal="80" workbookViewId="0">
      <selection activeCell="L1" sqref="L1"/>
    </sheetView>
  </sheetViews>
  <sheetFormatPr defaultRowHeight="12.75"/>
  <cols>
    <col min="2" max="2" width="32.5703125" customWidth="1"/>
    <col min="3" max="3" width="20.5703125" hidden="1" customWidth="1"/>
    <col min="4" max="4" width="13.28515625" customWidth="1"/>
    <col min="5" max="5" width="17.42578125" customWidth="1"/>
    <col min="6" max="6" width="15" hidden="1" customWidth="1"/>
    <col min="7" max="7" width="9.5703125" customWidth="1"/>
    <col min="8" max="9" width="11.28515625" bestFit="1" customWidth="1"/>
    <col min="10" max="17" width="10.28515625" bestFit="1" customWidth="1"/>
    <col min="18" max="18" width="11.28515625" bestFit="1" customWidth="1"/>
  </cols>
  <sheetData>
    <row r="1" spans="1:20" ht="21" customHeight="1">
      <c r="A1" s="178"/>
      <c r="B1" s="180" t="s">
        <v>193</v>
      </c>
      <c r="C1" s="180"/>
      <c r="D1" s="180"/>
      <c r="E1" s="180"/>
      <c r="F1" s="181" t="s">
        <v>194</v>
      </c>
    </row>
    <row r="2" spans="1:20" ht="15">
      <c r="A2" s="134"/>
      <c r="B2" s="135"/>
      <c r="C2" s="135"/>
      <c r="D2" s="135"/>
      <c r="E2" s="136"/>
      <c r="F2" s="133"/>
    </row>
    <row r="3" spans="1:20" ht="16.5" customHeight="1">
      <c r="A3" s="136" t="s">
        <v>16</v>
      </c>
      <c r="B3" s="136" t="s">
        <v>17</v>
      </c>
      <c r="C3" s="136" t="s">
        <v>183</v>
      </c>
      <c r="D3" s="136"/>
      <c r="E3" s="136" t="s">
        <v>2</v>
      </c>
      <c r="F3" s="136" t="s">
        <v>257</v>
      </c>
      <c r="G3" s="136" t="e">
        <f>'Opex  Assumptions'!#REF!</f>
        <v>#REF!</v>
      </c>
      <c r="H3" s="136" t="e">
        <f>'Opex  Assumptions'!#REF!</f>
        <v>#REF!</v>
      </c>
      <c r="I3" s="136" t="e">
        <f>'Opex  Assumptions'!#REF!</f>
        <v>#REF!</v>
      </c>
      <c r="J3" s="136" t="str">
        <f>'Opex  Assumptions'!N3</f>
        <v>Year 3</v>
      </c>
      <c r="K3" s="136" t="str">
        <f>'Opex  Assumptions'!O3</f>
        <v>Year 4</v>
      </c>
      <c r="L3" s="136" t="str">
        <f>'Opex  Assumptions'!P3</f>
        <v>Year 5</v>
      </c>
      <c r="M3" s="136" t="str">
        <f>'Opex  Assumptions'!Q3</f>
        <v>Year 6</v>
      </c>
      <c r="N3" s="136" t="str">
        <f>'Opex  Assumptions'!R3</f>
        <v>Year 7</v>
      </c>
      <c r="O3" s="136" t="str">
        <f>'Opex  Assumptions'!S3</f>
        <v>Year 8</v>
      </c>
      <c r="P3" s="136" t="str">
        <f>'Opex  Assumptions'!T3</f>
        <v>Year 9</v>
      </c>
      <c r="Q3" s="136" t="str">
        <f>'Opex  Assumptions'!U3</f>
        <v>Year 10</v>
      </c>
      <c r="R3" s="134"/>
    </row>
    <row r="4" spans="1:20" ht="15.75" customHeight="1">
      <c r="A4" s="134"/>
      <c r="B4" s="135" t="s">
        <v>182</v>
      </c>
      <c r="C4" s="135"/>
      <c r="D4" s="135"/>
      <c r="E4" s="134"/>
      <c r="F4" s="133"/>
    </row>
    <row r="5" spans="1:20" ht="15">
      <c r="A5" s="361">
        <v>1</v>
      </c>
      <c r="B5" s="361" t="s">
        <v>310</v>
      </c>
      <c r="C5" s="137">
        <v>41365</v>
      </c>
      <c r="D5" s="137"/>
      <c r="E5" s="362">
        <v>1</v>
      </c>
      <c r="F5" s="138">
        <v>2.5</v>
      </c>
      <c r="G5" s="376">
        <f>E5</f>
        <v>1</v>
      </c>
      <c r="H5" s="376">
        <f>G5</f>
        <v>1</v>
      </c>
      <c r="I5" s="376">
        <f t="shared" ref="I5:Q5" si="0">H5</f>
        <v>1</v>
      </c>
      <c r="J5" s="376">
        <f t="shared" si="0"/>
        <v>1</v>
      </c>
      <c r="K5" s="376">
        <f t="shared" si="0"/>
        <v>1</v>
      </c>
      <c r="L5" s="376">
        <f t="shared" si="0"/>
        <v>1</v>
      </c>
      <c r="M5" s="376">
        <f t="shared" si="0"/>
        <v>1</v>
      </c>
      <c r="N5" s="376">
        <f t="shared" si="0"/>
        <v>1</v>
      </c>
      <c r="O5" s="376">
        <f t="shared" si="0"/>
        <v>1</v>
      </c>
      <c r="P5" s="376">
        <f t="shared" si="0"/>
        <v>1</v>
      </c>
      <c r="Q5" s="376">
        <f t="shared" si="0"/>
        <v>1</v>
      </c>
    </row>
    <row r="6" spans="1:20" ht="15">
      <c r="A6" s="361">
        <v>2</v>
      </c>
      <c r="B6" s="363" t="s">
        <v>311</v>
      </c>
      <c r="C6" s="137">
        <v>41365</v>
      </c>
      <c r="D6" s="137"/>
      <c r="E6" s="362">
        <v>1</v>
      </c>
      <c r="F6" s="138">
        <v>1.5</v>
      </c>
      <c r="G6" s="376">
        <f>E6</f>
        <v>1</v>
      </c>
      <c r="H6" s="376">
        <f>G6</f>
        <v>1</v>
      </c>
      <c r="I6" s="376">
        <f t="shared" ref="I6:Q6" si="1">H6</f>
        <v>1</v>
      </c>
      <c r="J6" s="376">
        <f t="shared" si="1"/>
        <v>1</v>
      </c>
      <c r="K6" s="376">
        <f t="shared" si="1"/>
        <v>1</v>
      </c>
      <c r="L6" s="376">
        <f t="shared" si="1"/>
        <v>1</v>
      </c>
      <c r="M6" s="376">
        <f t="shared" si="1"/>
        <v>1</v>
      </c>
      <c r="N6" s="376">
        <f t="shared" si="1"/>
        <v>1</v>
      </c>
      <c r="O6" s="376">
        <f t="shared" si="1"/>
        <v>1</v>
      </c>
      <c r="P6" s="376">
        <f t="shared" si="1"/>
        <v>1</v>
      </c>
      <c r="Q6" s="376">
        <f t="shared" si="1"/>
        <v>1</v>
      </c>
    </row>
    <row r="7" spans="1:20" ht="15">
      <c r="A7" s="361">
        <v>3</v>
      </c>
      <c r="B7" s="363" t="s">
        <v>312</v>
      </c>
      <c r="C7" s="137">
        <v>41365</v>
      </c>
      <c r="D7" s="137"/>
      <c r="E7" s="362">
        <v>1</v>
      </c>
      <c r="F7" s="138">
        <v>1</v>
      </c>
      <c r="G7" s="376">
        <f>E7</f>
        <v>1</v>
      </c>
      <c r="H7" s="376">
        <f t="shared" ref="H7:Q9" si="2">G7</f>
        <v>1</v>
      </c>
      <c r="I7" s="376">
        <f t="shared" si="2"/>
        <v>1</v>
      </c>
      <c r="J7" s="376">
        <f t="shared" si="2"/>
        <v>1</v>
      </c>
      <c r="K7" s="376">
        <f t="shared" si="2"/>
        <v>1</v>
      </c>
      <c r="L7" s="376">
        <f t="shared" si="2"/>
        <v>1</v>
      </c>
      <c r="M7" s="376">
        <f t="shared" si="2"/>
        <v>1</v>
      </c>
      <c r="N7" s="376">
        <f t="shared" si="2"/>
        <v>1</v>
      </c>
      <c r="O7" s="376">
        <f t="shared" si="2"/>
        <v>1</v>
      </c>
      <c r="P7" s="376">
        <f t="shared" si="2"/>
        <v>1</v>
      </c>
      <c r="Q7" s="376">
        <f t="shared" si="2"/>
        <v>1</v>
      </c>
    </row>
    <row r="8" spans="1:20" ht="15">
      <c r="A8" s="361">
        <v>8</v>
      </c>
      <c r="B8" s="363" t="s">
        <v>313</v>
      </c>
      <c r="C8" s="137">
        <v>41365</v>
      </c>
      <c r="D8" s="137"/>
      <c r="E8" s="362">
        <v>1</v>
      </c>
      <c r="F8" s="138">
        <v>0.33</v>
      </c>
      <c r="G8" s="376">
        <f>E8</f>
        <v>1</v>
      </c>
      <c r="H8" s="376">
        <f t="shared" si="2"/>
        <v>1</v>
      </c>
      <c r="I8" s="376">
        <f t="shared" si="2"/>
        <v>1</v>
      </c>
      <c r="J8" s="376">
        <f t="shared" si="2"/>
        <v>1</v>
      </c>
      <c r="K8" s="376">
        <f t="shared" si="2"/>
        <v>1</v>
      </c>
      <c r="L8" s="376">
        <f t="shared" si="2"/>
        <v>1</v>
      </c>
      <c r="M8" s="376">
        <f t="shared" si="2"/>
        <v>1</v>
      </c>
      <c r="N8" s="376">
        <f t="shared" si="2"/>
        <v>1</v>
      </c>
      <c r="O8" s="376">
        <f t="shared" si="2"/>
        <v>1</v>
      </c>
      <c r="P8" s="376">
        <f t="shared" si="2"/>
        <v>1</v>
      </c>
      <c r="Q8" s="376">
        <f t="shared" si="2"/>
        <v>1</v>
      </c>
    </row>
    <row r="9" spans="1:20" ht="15">
      <c r="A9" s="361">
        <v>9</v>
      </c>
      <c r="B9" s="363" t="s">
        <v>314</v>
      </c>
      <c r="C9" s="137">
        <v>41365</v>
      </c>
      <c r="D9" s="137"/>
      <c r="E9" s="362">
        <v>1</v>
      </c>
      <c r="F9" s="138">
        <v>0.25</v>
      </c>
      <c r="G9" s="376">
        <f>E9</f>
        <v>1</v>
      </c>
      <c r="H9" s="376">
        <f t="shared" si="2"/>
        <v>1</v>
      </c>
      <c r="I9" s="376">
        <f t="shared" si="2"/>
        <v>1</v>
      </c>
      <c r="J9" s="376">
        <f t="shared" si="2"/>
        <v>1</v>
      </c>
      <c r="K9" s="376">
        <f t="shared" si="2"/>
        <v>1</v>
      </c>
      <c r="L9" s="376">
        <f t="shared" si="2"/>
        <v>1</v>
      </c>
      <c r="M9" s="376">
        <f t="shared" si="2"/>
        <v>1</v>
      </c>
      <c r="N9" s="376">
        <f t="shared" si="2"/>
        <v>1</v>
      </c>
      <c r="O9" s="376">
        <f t="shared" si="2"/>
        <v>1</v>
      </c>
      <c r="P9" s="376">
        <f t="shared" si="2"/>
        <v>1</v>
      </c>
      <c r="Q9" s="376">
        <f t="shared" si="2"/>
        <v>1</v>
      </c>
    </row>
    <row r="10" spans="1:20" ht="15">
      <c r="A10" s="364"/>
      <c r="B10" s="365"/>
      <c r="C10" s="137"/>
      <c r="D10" s="137"/>
      <c r="E10" s="362"/>
      <c r="F10" s="138"/>
    </row>
    <row r="11" spans="1:20" ht="15">
      <c r="A11" s="366" t="s">
        <v>323</v>
      </c>
      <c r="B11" s="164"/>
      <c r="C11" s="137"/>
      <c r="D11" s="137"/>
      <c r="E11" s="218"/>
      <c r="F11" s="138"/>
      <c r="G11" s="370" t="e">
        <f>'No. of people trained '!#REF!</f>
        <v>#REF!</v>
      </c>
      <c r="H11" s="370" t="e">
        <f>'No. of people trained '!#REF!</f>
        <v>#REF!</v>
      </c>
      <c r="I11" s="370" t="e">
        <f>'No. of people trained '!#REF!</f>
        <v>#REF!</v>
      </c>
      <c r="J11" s="370">
        <f>'No. of people trained '!N7</f>
        <v>12</v>
      </c>
      <c r="K11" s="370">
        <f>'No. of people trained '!O7</f>
        <v>15</v>
      </c>
      <c r="L11" s="370">
        <f>'No. of people trained '!P7</f>
        <v>15</v>
      </c>
      <c r="M11" s="370">
        <f>'No. of people trained '!Q7</f>
        <v>15</v>
      </c>
      <c r="N11" s="370">
        <f>'No. of people trained '!R7</f>
        <v>15</v>
      </c>
      <c r="O11" s="370">
        <f>'No. of people trained '!S7</f>
        <v>15</v>
      </c>
      <c r="P11" s="370">
        <f>'No. of people trained '!T7</f>
        <v>15</v>
      </c>
      <c r="Q11" s="370">
        <f>'No. of people trained '!U7</f>
        <v>15</v>
      </c>
      <c r="R11" s="373"/>
      <c r="S11" s="371"/>
      <c r="T11" s="371"/>
    </row>
    <row r="12" spans="1:20" ht="15">
      <c r="A12" s="367">
        <v>1</v>
      </c>
      <c r="B12" s="368" t="s">
        <v>324</v>
      </c>
      <c r="C12" s="137">
        <v>41730</v>
      </c>
      <c r="D12" s="137"/>
      <c r="E12" s="362">
        <v>5</v>
      </c>
      <c r="F12" s="138">
        <v>0.4</v>
      </c>
      <c r="H12" s="372" t="e">
        <f>H11/$E$12</f>
        <v>#REF!</v>
      </c>
      <c r="I12" s="372" t="e">
        <f t="shared" ref="I12:Q12" si="3">I11/$E$12</f>
        <v>#REF!</v>
      </c>
      <c r="J12" s="372">
        <f t="shared" si="3"/>
        <v>2.4</v>
      </c>
      <c r="K12" s="372">
        <f t="shared" si="3"/>
        <v>3</v>
      </c>
      <c r="L12" s="372">
        <f t="shared" si="3"/>
        <v>3</v>
      </c>
      <c r="M12" s="372">
        <f t="shared" si="3"/>
        <v>3</v>
      </c>
      <c r="N12" s="372">
        <f t="shared" si="3"/>
        <v>3</v>
      </c>
      <c r="O12" s="372">
        <f t="shared" si="3"/>
        <v>3</v>
      </c>
      <c r="P12" s="372">
        <f t="shared" si="3"/>
        <v>3</v>
      </c>
      <c r="Q12" s="372">
        <f t="shared" si="3"/>
        <v>3</v>
      </c>
      <c r="R12" s="372"/>
      <c r="S12" s="371"/>
      <c r="T12" s="371"/>
    </row>
    <row r="13" spans="1:20" ht="15">
      <c r="A13" s="367">
        <v>2</v>
      </c>
      <c r="B13" s="368" t="s">
        <v>315</v>
      </c>
      <c r="C13" s="137">
        <v>41730</v>
      </c>
      <c r="D13" s="137"/>
      <c r="E13" s="362">
        <v>1</v>
      </c>
      <c r="F13" s="138">
        <v>0.4</v>
      </c>
      <c r="H13" s="374" t="e">
        <f>$E$13*H11</f>
        <v>#REF!</v>
      </c>
      <c r="I13" s="374" t="e">
        <f t="shared" ref="I13:Q13" si="4">$E$13*I11</f>
        <v>#REF!</v>
      </c>
      <c r="J13" s="374">
        <f t="shared" si="4"/>
        <v>12</v>
      </c>
      <c r="K13" s="374">
        <f t="shared" si="4"/>
        <v>15</v>
      </c>
      <c r="L13" s="374">
        <f t="shared" si="4"/>
        <v>15</v>
      </c>
      <c r="M13" s="374">
        <f t="shared" si="4"/>
        <v>15</v>
      </c>
      <c r="N13" s="374">
        <f t="shared" si="4"/>
        <v>15</v>
      </c>
      <c r="O13" s="374">
        <f t="shared" si="4"/>
        <v>15</v>
      </c>
      <c r="P13" s="374">
        <f t="shared" si="4"/>
        <v>15</v>
      </c>
      <c r="Q13" s="374">
        <f t="shared" si="4"/>
        <v>15</v>
      </c>
      <c r="R13" s="372"/>
      <c r="S13" s="371"/>
      <c r="T13" s="371"/>
    </row>
    <row r="14" spans="1:20" ht="15">
      <c r="A14" s="367"/>
      <c r="B14" s="368" t="s">
        <v>315</v>
      </c>
      <c r="C14" s="137"/>
      <c r="D14" s="137"/>
      <c r="E14" s="362">
        <v>1</v>
      </c>
      <c r="F14" s="138"/>
      <c r="H14" s="374" t="e">
        <f>$E$14*H11</f>
        <v>#REF!</v>
      </c>
      <c r="I14" s="374" t="e">
        <f t="shared" ref="I14:Q14" si="5">$E$14*I11</f>
        <v>#REF!</v>
      </c>
      <c r="J14" s="374">
        <f t="shared" si="5"/>
        <v>12</v>
      </c>
      <c r="K14" s="374">
        <f t="shared" si="5"/>
        <v>15</v>
      </c>
      <c r="L14" s="374">
        <f t="shared" si="5"/>
        <v>15</v>
      </c>
      <c r="M14" s="374">
        <f t="shared" si="5"/>
        <v>15</v>
      </c>
      <c r="N14" s="374">
        <f t="shared" si="5"/>
        <v>15</v>
      </c>
      <c r="O14" s="374">
        <f t="shared" si="5"/>
        <v>15</v>
      </c>
      <c r="P14" s="374">
        <f t="shared" si="5"/>
        <v>15</v>
      </c>
      <c r="Q14" s="374">
        <f t="shared" si="5"/>
        <v>15</v>
      </c>
      <c r="R14" s="372"/>
      <c r="S14" s="371"/>
      <c r="T14" s="371"/>
    </row>
    <row r="15" spans="1:20" ht="15">
      <c r="A15" s="367">
        <v>4</v>
      </c>
      <c r="B15" s="368" t="s">
        <v>316</v>
      </c>
      <c r="C15" s="137">
        <v>41730</v>
      </c>
      <c r="D15" s="137"/>
      <c r="E15" s="362">
        <v>1</v>
      </c>
      <c r="F15" s="138">
        <v>0.15</v>
      </c>
      <c r="H15" s="376" t="e">
        <f>H11*$E$15</f>
        <v>#REF!</v>
      </c>
      <c r="I15" s="376" t="e">
        <f t="shared" ref="I15:Q15" si="6">I11*$E$15</f>
        <v>#REF!</v>
      </c>
      <c r="J15" s="376">
        <f t="shared" si="6"/>
        <v>12</v>
      </c>
      <c r="K15" s="376">
        <f t="shared" si="6"/>
        <v>15</v>
      </c>
      <c r="L15" s="376">
        <f t="shared" si="6"/>
        <v>15</v>
      </c>
      <c r="M15" s="376">
        <f t="shared" si="6"/>
        <v>15</v>
      </c>
      <c r="N15" s="376">
        <f t="shared" si="6"/>
        <v>15</v>
      </c>
      <c r="O15" s="376">
        <f t="shared" si="6"/>
        <v>15</v>
      </c>
      <c r="P15" s="376">
        <f t="shared" si="6"/>
        <v>15</v>
      </c>
      <c r="Q15" s="376">
        <f t="shared" si="6"/>
        <v>15</v>
      </c>
      <c r="R15" s="372"/>
      <c r="S15" s="371"/>
      <c r="T15" s="371"/>
    </row>
    <row r="16" spans="1:20" ht="15">
      <c r="A16" s="150"/>
      <c r="B16" s="133"/>
      <c r="C16" s="137"/>
      <c r="D16" s="137"/>
      <c r="E16" s="150"/>
      <c r="F16" s="138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1:20" ht="15">
      <c r="A17" s="134"/>
      <c r="B17" s="346" t="s">
        <v>266</v>
      </c>
      <c r="C17" s="347" t="s">
        <v>190</v>
      </c>
      <c r="D17" s="347"/>
      <c r="E17" s="218"/>
      <c r="F17" s="133"/>
      <c r="G17" s="376">
        <v>0</v>
      </c>
      <c r="H17" s="376">
        <v>1</v>
      </c>
      <c r="I17" s="376">
        <v>0</v>
      </c>
      <c r="J17" s="376">
        <v>1</v>
      </c>
      <c r="K17" s="376">
        <v>2</v>
      </c>
      <c r="L17" s="376">
        <v>0</v>
      </c>
      <c r="M17" s="376">
        <v>0</v>
      </c>
      <c r="N17" s="376">
        <v>0</v>
      </c>
      <c r="O17" s="376">
        <v>0</v>
      </c>
      <c r="P17" s="376">
        <v>0</v>
      </c>
      <c r="Q17" s="376">
        <v>0</v>
      </c>
      <c r="R17" s="371"/>
      <c r="S17" s="371"/>
      <c r="T17" s="371"/>
    </row>
    <row r="18" spans="1:20" ht="15">
      <c r="A18" s="134"/>
      <c r="B18" s="346"/>
      <c r="C18" s="347"/>
      <c r="D18" s="347"/>
      <c r="E18" s="218"/>
      <c r="F18" s="133"/>
      <c r="G18" s="376">
        <v>0</v>
      </c>
      <c r="H18" s="376">
        <f>G18+H17</f>
        <v>1</v>
      </c>
      <c r="I18" s="376">
        <f t="shared" ref="I18:Q18" si="7">H18+I17</f>
        <v>1</v>
      </c>
      <c r="J18" s="376">
        <f t="shared" si="7"/>
        <v>2</v>
      </c>
      <c r="K18" s="376">
        <f t="shared" si="7"/>
        <v>4</v>
      </c>
      <c r="L18" s="376">
        <f t="shared" si="7"/>
        <v>4</v>
      </c>
      <c r="M18" s="376">
        <f t="shared" si="7"/>
        <v>4</v>
      </c>
      <c r="N18" s="376">
        <f t="shared" si="7"/>
        <v>4</v>
      </c>
      <c r="O18" s="376">
        <f t="shared" si="7"/>
        <v>4</v>
      </c>
      <c r="P18" s="376">
        <f t="shared" si="7"/>
        <v>4</v>
      </c>
      <c r="Q18" s="376">
        <f t="shared" si="7"/>
        <v>4</v>
      </c>
      <c r="R18" s="371"/>
      <c r="S18" s="371"/>
      <c r="T18" s="371"/>
    </row>
    <row r="19" spans="1:20" ht="15">
      <c r="A19" s="377">
        <v>1</v>
      </c>
      <c r="B19" s="369" t="s">
        <v>326</v>
      </c>
      <c r="C19" s="137">
        <v>42095</v>
      </c>
      <c r="D19" s="137"/>
      <c r="E19" s="218">
        <v>1</v>
      </c>
      <c r="F19" s="138">
        <v>0.5</v>
      </c>
      <c r="G19" s="376">
        <f>$E$19*G18</f>
        <v>0</v>
      </c>
      <c r="H19" s="376">
        <f t="shared" ref="H19:Q19" si="8">$E$19*H18</f>
        <v>1</v>
      </c>
      <c r="I19" s="376">
        <f t="shared" si="8"/>
        <v>1</v>
      </c>
      <c r="J19" s="376">
        <f t="shared" si="8"/>
        <v>2</v>
      </c>
      <c r="K19" s="376">
        <f t="shared" si="8"/>
        <v>4</v>
      </c>
      <c r="L19" s="376">
        <f t="shared" si="8"/>
        <v>4</v>
      </c>
      <c r="M19" s="376">
        <f t="shared" si="8"/>
        <v>4</v>
      </c>
      <c r="N19" s="376">
        <f t="shared" si="8"/>
        <v>4</v>
      </c>
      <c r="O19" s="376">
        <f t="shared" si="8"/>
        <v>4</v>
      </c>
      <c r="P19" s="376">
        <f t="shared" si="8"/>
        <v>4</v>
      </c>
      <c r="Q19" s="376">
        <f t="shared" si="8"/>
        <v>4</v>
      </c>
      <c r="R19" s="371"/>
      <c r="S19" s="371"/>
      <c r="T19" s="371"/>
    </row>
    <row r="20" spans="1:20" ht="15">
      <c r="A20" s="377">
        <v>2</v>
      </c>
      <c r="B20" s="369" t="s">
        <v>316</v>
      </c>
      <c r="C20" s="137">
        <v>42095</v>
      </c>
      <c r="D20" s="137"/>
      <c r="E20" s="218">
        <v>1</v>
      </c>
      <c r="F20" s="138">
        <v>0.15</v>
      </c>
      <c r="G20" s="376">
        <f>$E$20*G18</f>
        <v>0</v>
      </c>
      <c r="H20" s="376">
        <f t="shared" ref="H20:Q20" si="9">$E$20*H18</f>
        <v>1</v>
      </c>
      <c r="I20" s="376">
        <f t="shared" si="9"/>
        <v>1</v>
      </c>
      <c r="J20" s="376">
        <f t="shared" si="9"/>
        <v>2</v>
      </c>
      <c r="K20" s="376">
        <f t="shared" si="9"/>
        <v>4</v>
      </c>
      <c r="L20" s="376">
        <f t="shared" si="9"/>
        <v>4</v>
      </c>
      <c r="M20" s="376">
        <f t="shared" si="9"/>
        <v>4</v>
      </c>
      <c r="N20" s="376">
        <f t="shared" si="9"/>
        <v>4</v>
      </c>
      <c r="O20" s="376">
        <f t="shared" si="9"/>
        <v>4</v>
      </c>
      <c r="P20" s="376">
        <f t="shared" si="9"/>
        <v>4</v>
      </c>
      <c r="Q20" s="376">
        <f t="shared" si="9"/>
        <v>4</v>
      </c>
      <c r="R20" s="371"/>
      <c r="S20" s="371"/>
      <c r="T20" s="371"/>
    </row>
    <row r="21" spans="1:20" ht="15">
      <c r="A21" s="377">
        <v>3</v>
      </c>
      <c r="B21" s="369" t="s">
        <v>317</v>
      </c>
      <c r="C21" s="137">
        <v>42095</v>
      </c>
      <c r="D21" s="137"/>
      <c r="E21" s="218">
        <v>1</v>
      </c>
      <c r="F21" s="219">
        <v>0.15</v>
      </c>
      <c r="G21" s="376">
        <f>$E$21*G18</f>
        <v>0</v>
      </c>
      <c r="H21" s="376">
        <f t="shared" ref="H21:Q21" si="10">$E$21*H18</f>
        <v>1</v>
      </c>
      <c r="I21" s="376">
        <f t="shared" si="10"/>
        <v>1</v>
      </c>
      <c r="J21" s="376">
        <f t="shared" si="10"/>
        <v>2</v>
      </c>
      <c r="K21" s="376">
        <f t="shared" si="10"/>
        <v>4</v>
      </c>
      <c r="L21" s="376">
        <f t="shared" si="10"/>
        <v>4</v>
      </c>
      <c r="M21" s="376">
        <f t="shared" si="10"/>
        <v>4</v>
      </c>
      <c r="N21" s="376">
        <f t="shared" si="10"/>
        <v>4</v>
      </c>
      <c r="O21" s="376">
        <f t="shared" si="10"/>
        <v>4</v>
      </c>
      <c r="P21" s="376">
        <f t="shared" si="10"/>
        <v>4</v>
      </c>
      <c r="Q21" s="376">
        <f t="shared" si="10"/>
        <v>4</v>
      </c>
      <c r="R21" s="371"/>
      <c r="S21" s="371"/>
      <c r="T21" s="371"/>
    </row>
    <row r="22" spans="1:20" ht="15">
      <c r="A22" s="134"/>
      <c r="B22" s="139"/>
      <c r="C22" s="139"/>
      <c r="D22" s="139"/>
      <c r="E22" s="140"/>
      <c r="F22" s="141"/>
      <c r="I22" s="380"/>
    </row>
    <row r="23" spans="1:20" ht="26.25" customHeight="1">
      <c r="G23" t="s">
        <v>327</v>
      </c>
      <c r="I23" s="380">
        <v>0.1</v>
      </c>
    </row>
    <row r="24" spans="1:20" ht="23.25" customHeight="1">
      <c r="A24" s="134"/>
      <c r="B24" s="392" t="s">
        <v>182</v>
      </c>
      <c r="E24" s="136" t="s">
        <v>257</v>
      </c>
    </row>
    <row r="25" spans="1:20" ht="30.75" customHeight="1">
      <c r="A25" s="361">
        <v>1</v>
      </c>
      <c r="B25" s="361" t="s">
        <v>310</v>
      </c>
      <c r="D25" s="381" t="s">
        <v>183</v>
      </c>
      <c r="E25" s="379">
        <v>2.5</v>
      </c>
      <c r="F25" s="375"/>
      <c r="G25" s="375">
        <f>E25*12*G5</f>
        <v>30</v>
      </c>
      <c r="H25" s="375">
        <f>G25+G25*$I$23</f>
        <v>33</v>
      </c>
      <c r="I25" s="375">
        <f t="shared" ref="I25:Q25" si="11">H25+H25*$I$23</f>
        <v>36.299999999999997</v>
      </c>
      <c r="J25" s="375">
        <f t="shared" si="11"/>
        <v>39.93</v>
      </c>
      <c r="K25" s="375">
        <f t="shared" si="11"/>
        <v>43.923000000000002</v>
      </c>
      <c r="L25" s="375">
        <f t="shared" si="11"/>
        <v>48.315300000000001</v>
      </c>
      <c r="M25" s="375">
        <f t="shared" si="11"/>
        <v>53.146830000000001</v>
      </c>
      <c r="N25" s="375">
        <f t="shared" si="11"/>
        <v>58.461513000000004</v>
      </c>
      <c r="O25" s="375">
        <f t="shared" si="11"/>
        <v>64.307664299999999</v>
      </c>
      <c r="P25" s="375">
        <f t="shared" si="11"/>
        <v>70.738430730000005</v>
      </c>
      <c r="Q25" s="375">
        <f t="shared" si="11"/>
        <v>77.812273803000011</v>
      </c>
      <c r="R25" s="375">
        <f>SUM(G25:Q25)</f>
        <v>555.93501183300009</v>
      </c>
    </row>
    <row r="26" spans="1:20" ht="22.5" customHeight="1">
      <c r="A26" s="361">
        <v>2</v>
      </c>
      <c r="B26" s="363" t="s">
        <v>311</v>
      </c>
      <c r="D26" s="382">
        <v>41365</v>
      </c>
      <c r="E26" s="379">
        <v>1.5</v>
      </c>
      <c r="F26" s="375"/>
      <c r="G26" s="375">
        <f>E26*12*G6</f>
        <v>18</v>
      </c>
      <c r="H26" s="375">
        <f t="shared" ref="H26:Q26" si="12">G26+G26*$I$23</f>
        <v>19.8</v>
      </c>
      <c r="I26" s="375">
        <f t="shared" si="12"/>
        <v>21.78</v>
      </c>
      <c r="J26" s="375">
        <f t="shared" si="12"/>
        <v>23.958000000000002</v>
      </c>
      <c r="K26" s="375">
        <f t="shared" si="12"/>
        <v>26.353800000000003</v>
      </c>
      <c r="L26" s="375">
        <f t="shared" si="12"/>
        <v>28.989180000000005</v>
      </c>
      <c r="M26" s="375">
        <f t="shared" si="12"/>
        <v>31.888098000000006</v>
      </c>
      <c r="N26" s="375">
        <f t="shared" si="12"/>
        <v>35.076907800000008</v>
      </c>
      <c r="O26" s="375">
        <f t="shared" si="12"/>
        <v>38.584598580000005</v>
      </c>
      <c r="P26" s="375">
        <f t="shared" si="12"/>
        <v>42.443058438000008</v>
      </c>
      <c r="Q26" s="375">
        <f t="shared" si="12"/>
        <v>46.687364281800008</v>
      </c>
      <c r="R26" s="375">
        <f>SUM(G26:Q26)</f>
        <v>333.56100709980007</v>
      </c>
    </row>
    <row r="27" spans="1:20" ht="22.5" customHeight="1">
      <c r="A27" s="361">
        <v>3</v>
      </c>
      <c r="B27" s="363" t="s">
        <v>312</v>
      </c>
      <c r="D27" s="382">
        <v>41366</v>
      </c>
      <c r="E27" s="379">
        <v>1</v>
      </c>
      <c r="F27" s="375"/>
      <c r="G27" s="375">
        <f>E27*12*G7</f>
        <v>12</v>
      </c>
      <c r="H27" s="375">
        <f t="shared" ref="H27:Q27" si="13">G27+G27*$I$23</f>
        <v>13.2</v>
      </c>
      <c r="I27" s="375">
        <f t="shared" si="13"/>
        <v>14.52</v>
      </c>
      <c r="J27" s="375">
        <f t="shared" si="13"/>
        <v>15.972</v>
      </c>
      <c r="K27" s="375">
        <f t="shared" si="13"/>
        <v>17.569199999999999</v>
      </c>
      <c r="L27" s="375">
        <f t="shared" si="13"/>
        <v>19.32612</v>
      </c>
      <c r="M27" s="375">
        <f t="shared" si="13"/>
        <v>21.258731999999998</v>
      </c>
      <c r="N27" s="375">
        <f t="shared" si="13"/>
        <v>23.384605199999999</v>
      </c>
      <c r="O27" s="375">
        <f t="shared" si="13"/>
        <v>25.723065720000001</v>
      </c>
      <c r="P27" s="375">
        <f t="shared" si="13"/>
        <v>28.295372292000003</v>
      </c>
      <c r="Q27" s="375">
        <f t="shared" si="13"/>
        <v>31.124909521200003</v>
      </c>
      <c r="R27" s="375">
        <f>SUM(G27:Q27)</f>
        <v>222.3740047332</v>
      </c>
    </row>
    <row r="28" spans="1:20" ht="22.5" customHeight="1">
      <c r="A28" s="361">
        <v>8</v>
      </c>
      <c r="B28" s="363" t="s">
        <v>313</v>
      </c>
      <c r="D28" s="382">
        <v>41367</v>
      </c>
      <c r="E28" s="379">
        <v>0.33</v>
      </c>
      <c r="F28" s="375"/>
      <c r="G28" s="375">
        <f>E28*12*G8</f>
        <v>3.96</v>
      </c>
      <c r="H28" s="375">
        <f t="shared" ref="H28:Q28" si="14">G28+G28*$I$23</f>
        <v>4.3559999999999999</v>
      </c>
      <c r="I28" s="375">
        <f t="shared" si="14"/>
        <v>4.7915999999999999</v>
      </c>
      <c r="J28" s="375">
        <f t="shared" si="14"/>
        <v>5.2707600000000001</v>
      </c>
      <c r="K28" s="375">
        <f t="shared" si="14"/>
        <v>5.7978360000000002</v>
      </c>
      <c r="L28" s="375">
        <f t="shared" si="14"/>
        <v>6.3776196000000001</v>
      </c>
      <c r="M28" s="375">
        <f t="shared" si="14"/>
        <v>7.0153815599999998</v>
      </c>
      <c r="N28" s="375">
        <f t="shared" si="14"/>
        <v>7.7169197159999996</v>
      </c>
      <c r="O28" s="375">
        <f t="shared" si="14"/>
        <v>8.4886116875999988</v>
      </c>
      <c r="P28" s="375">
        <f t="shared" si="14"/>
        <v>9.337472856359998</v>
      </c>
      <c r="Q28" s="375">
        <f t="shared" si="14"/>
        <v>10.271220141995999</v>
      </c>
      <c r="R28" s="375">
        <f>SUM(G28:Q28)</f>
        <v>73.383421561955984</v>
      </c>
    </row>
    <row r="29" spans="1:20" ht="22.5" customHeight="1">
      <c r="A29" s="361">
        <v>9</v>
      </c>
      <c r="B29" s="363" t="s">
        <v>314</v>
      </c>
      <c r="D29" s="382">
        <v>41368</v>
      </c>
      <c r="E29" s="379">
        <v>0.25</v>
      </c>
      <c r="F29" s="375"/>
      <c r="G29" s="375">
        <f>E29*12*G9</f>
        <v>3</v>
      </c>
      <c r="H29" s="375">
        <f t="shared" ref="H29:Q29" si="15">G29+G29*$I$23</f>
        <v>3.3</v>
      </c>
      <c r="I29" s="375">
        <f t="shared" si="15"/>
        <v>3.63</v>
      </c>
      <c r="J29" s="375">
        <f t="shared" si="15"/>
        <v>3.9929999999999999</v>
      </c>
      <c r="K29" s="375">
        <f t="shared" si="15"/>
        <v>4.3922999999999996</v>
      </c>
      <c r="L29" s="375">
        <f t="shared" si="15"/>
        <v>4.8315299999999999</v>
      </c>
      <c r="M29" s="375">
        <f t="shared" si="15"/>
        <v>5.3146829999999996</v>
      </c>
      <c r="N29" s="375">
        <f t="shared" si="15"/>
        <v>5.8461512999999998</v>
      </c>
      <c r="O29" s="375">
        <f t="shared" si="15"/>
        <v>6.4307664300000003</v>
      </c>
      <c r="P29" s="375">
        <f t="shared" si="15"/>
        <v>7.0738430730000008</v>
      </c>
      <c r="Q29" s="375">
        <f t="shared" si="15"/>
        <v>7.7812273803000007</v>
      </c>
      <c r="R29" s="375">
        <f>SUM(G29:Q29)</f>
        <v>55.593501183299999</v>
      </c>
    </row>
    <row r="30" spans="1:20">
      <c r="A30" s="364"/>
      <c r="B30" s="36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375"/>
    </row>
    <row r="31" spans="1:20" s="384" customFormat="1" ht="26.25" customHeight="1">
      <c r="A31" s="391"/>
      <c r="B31" s="388" t="s">
        <v>322</v>
      </c>
      <c r="E31" s="386"/>
      <c r="F31" s="386"/>
      <c r="G31" s="386">
        <f>SUM(G25:G30)</f>
        <v>66.960000000000008</v>
      </c>
      <c r="H31" s="386">
        <f t="shared" ref="H31:Q31" si="16">SUM(H25:H30)</f>
        <v>73.655999999999992</v>
      </c>
      <c r="I31" s="386">
        <f t="shared" si="16"/>
        <v>81.021599999999992</v>
      </c>
      <c r="J31" s="386">
        <f t="shared" si="16"/>
        <v>89.12375999999999</v>
      </c>
      <c r="K31" s="386">
        <f t="shared" si="16"/>
        <v>98.036136000000013</v>
      </c>
      <c r="L31" s="386">
        <f t="shared" si="16"/>
        <v>107.83974960000002</v>
      </c>
      <c r="M31" s="386">
        <f t="shared" si="16"/>
        <v>118.62372456</v>
      </c>
      <c r="N31" s="386">
        <f t="shared" si="16"/>
        <v>130.486097016</v>
      </c>
      <c r="O31" s="386">
        <f t="shared" si="16"/>
        <v>143.53470671759999</v>
      </c>
      <c r="P31" s="386">
        <f t="shared" si="16"/>
        <v>157.88817738936001</v>
      </c>
      <c r="Q31" s="386">
        <f t="shared" si="16"/>
        <v>173.67699512829603</v>
      </c>
      <c r="R31" s="386">
        <f>SUM(G31:Q31)</f>
        <v>1240.8469464112561</v>
      </c>
    </row>
    <row r="32" spans="1:20">
      <c r="A32" s="364"/>
      <c r="B32" s="365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  <c r="P32" s="375"/>
      <c r="Q32" s="375"/>
    </row>
    <row r="33" spans="1:18">
      <c r="A33" s="364"/>
      <c r="B33" s="365"/>
      <c r="E33" s="375"/>
      <c r="F33" s="375"/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/>
    </row>
    <row r="34" spans="1:18" ht="15">
      <c r="A34" s="366" t="s">
        <v>323</v>
      </c>
      <c r="B34" s="164"/>
      <c r="E34" s="375"/>
      <c r="F34" s="375"/>
      <c r="G34" s="375"/>
      <c r="H34" s="375"/>
      <c r="I34" s="375"/>
      <c r="J34" s="375"/>
      <c r="K34" s="375"/>
      <c r="L34" s="375"/>
      <c r="M34" s="375"/>
      <c r="N34" s="375"/>
      <c r="O34" s="375"/>
      <c r="P34" s="375"/>
      <c r="Q34" s="375"/>
    </row>
    <row r="35" spans="1:18" ht="21" customHeight="1">
      <c r="A35" s="367">
        <v>1</v>
      </c>
      <c r="B35" s="368" t="s">
        <v>324</v>
      </c>
      <c r="E35" s="379">
        <v>0.4</v>
      </c>
      <c r="F35" s="375"/>
      <c r="G35" s="375">
        <v>0</v>
      </c>
      <c r="H35" s="376" t="e">
        <f>$E$35*12*H12</f>
        <v>#REF!</v>
      </c>
      <c r="I35" s="376" t="e">
        <f>$E$35*12*I12+$E$35*$I$23*12*I12</f>
        <v>#REF!</v>
      </c>
      <c r="J35" s="376">
        <f t="shared" ref="J35:Q35" si="17">$E$35*12*J12+$E$35*$I$23*12*J12</f>
        <v>12.672000000000001</v>
      </c>
      <c r="K35" s="376">
        <f t="shared" si="17"/>
        <v>15.840000000000003</v>
      </c>
      <c r="L35" s="376">
        <f t="shared" si="17"/>
        <v>15.840000000000003</v>
      </c>
      <c r="M35" s="376">
        <f t="shared" si="17"/>
        <v>15.840000000000003</v>
      </c>
      <c r="N35" s="376">
        <f t="shared" si="17"/>
        <v>15.840000000000003</v>
      </c>
      <c r="O35" s="376">
        <f t="shared" si="17"/>
        <v>15.840000000000003</v>
      </c>
      <c r="P35" s="376">
        <f t="shared" si="17"/>
        <v>15.840000000000003</v>
      </c>
      <c r="Q35" s="376">
        <f t="shared" si="17"/>
        <v>15.840000000000003</v>
      </c>
      <c r="R35" s="376" t="e">
        <f>SUM(G35:Q35)</f>
        <v>#REF!</v>
      </c>
    </row>
    <row r="36" spans="1:18" ht="21" customHeight="1">
      <c r="A36" s="367">
        <v>2</v>
      </c>
      <c r="B36" s="368" t="s">
        <v>315</v>
      </c>
      <c r="E36" s="379">
        <v>0.2</v>
      </c>
      <c r="F36" s="375"/>
      <c r="G36" s="375">
        <v>0</v>
      </c>
      <c r="H36" s="376" t="e">
        <f>$E$36*12*H13</f>
        <v>#REF!</v>
      </c>
      <c r="I36" s="376" t="e">
        <f>$E$36*12*I13+$E$36*$I$23*12*I13</f>
        <v>#REF!</v>
      </c>
      <c r="J36" s="376">
        <f t="shared" ref="J36:Q36" si="18">$E$36*12*J13+$E$36*$I$23*12*J13</f>
        <v>31.680000000000007</v>
      </c>
      <c r="K36" s="376">
        <f t="shared" si="18"/>
        <v>39.600000000000009</v>
      </c>
      <c r="L36" s="376">
        <f t="shared" si="18"/>
        <v>39.600000000000009</v>
      </c>
      <c r="M36" s="376">
        <f t="shared" si="18"/>
        <v>39.600000000000009</v>
      </c>
      <c r="N36" s="376">
        <f t="shared" si="18"/>
        <v>39.600000000000009</v>
      </c>
      <c r="O36" s="376">
        <f t="shared" si="18"/>
        <v>39.600000000000009</v>
      </c>
      <c r="P36" s="376">
        <f t="shared" si="18"/>
        <v>39.600000000000009</v>
      </c>
      <c r="Q36" s="376">
        <f t="shared" si="18"/>
        <v>39.600000000000009</v>
      </c>
      <c r="R36" s="376" t="e">
        <f>SUM(G36:Q36)</f>
        <v>#REF!</v>
      </c>
    </row>
    <row r="37" spans="1:18" ht="21" customHeight="1">
      <c r="A37" s="367">
        <v>3</v>
      </c>
      <c r="B37" s="368" t="s">
        <v>315</v>
      </c>
      <c r="E37" s="379">
        <v>0.2</v>
      </c>
      <c r="F37" s="375"/>
      <c r="G37" s="375">
        <v>0</v>
      </c>
      <c r="H37" s="376" t="e">
        <f>$E$37*12*H14</f>
        <v>#REF!</v>
      </c>
      <c r="I37" s="376" t="e">
        <f>$E$37*12*I14+$E$37*$I$23*12*I14</f>
        <v>#REF!</v>
      </c>
      <c r="J37" s="376">
        <f t="shared" ref="J37:Q37" si="19">$E$37*12*J14+$E$37*$I$23*12*J14</f>
        <v>31.680000000000007</v>
      </c>
      <c r="K37" s="376">
        <f t="shared" si="19"/>
        <v>39.600000000000009</v>
      </c>
      <c r="L37" s="376">
        <f t="shared" si="19"/>
        <v>39.600000000000009</v>
      </c>
      <c r="M37" s="376">
        <f t="shared" si="19"/>
        <v>39.600000000000009</v>
      </c>
      <c r="N37" s="376">
        <f t="shared" si="19"/>
        <v>39.600000000000009</v>
      </c>
      <c r="O37" s="376">
        <f t="shared" si="19"/>
        <v>39.600000000000009</v>
      </c>
      <c r="P37" s="376">
        <f t="shared" si="19"/>
        <v>39.600000000000009</v>
      </c>
      <c r="Q37" s="376">
        <f t="shared" si="19"/>
        <v>39.600000000000009</v>
      </c>
      <c r="R37" s="376" t="e">
        <f>SUM(G37:Q37)</f>
        <v>#REF!</v>
      </c>
    </row>
    <row r="38" spans="1:18" ht="21" customHeight="1">
      <c r="A38" s="367">
        <v>4</v>
      </c>
      <c r="B38" s="368" t="s">
        <v>316</v>
      </c>
      <c r="E38" s="379">
        <v>0.15</v>
      </c>
      <c r="F38" s="375"/>
      <c r="G38" s="375">
        <v>0</v>
      </c>
      <c r="H38" s="376" t="e">
        <f>$E$38*12*H15</f>
        <v>#REF!</v>
      </c>
      <c r="I38" s="376" t="e">
        <f>$E$38*12*I15+$E$38*$I$23*12*I15</f>
        <v>#REF!</v>
      </c>
      <c r="J38" s="376">
        <f t="shared" ref="J38:Q38" si="20">$E$38*12*J15+$E$38*$I$23*12*J15</f>
        <v>23.759999999999998</v>
      </c>
      <c r="K38" s="376">
        <f t="shared" si="20"/>
        <v>29.699999999999996</v>
      </c>
      <c r="L38" s="376">
        <f t="shared" si="20"/>
        <v>29.699999999999996</v>
      </c>
      <c r="M38" s="376">
        <f t="shared" si="20"/>
        <v>29.699999999999996</v>
      </c>
      <c r="N38" s="376">
        <f t="shared" si="20"/>
        <v>29.699999999999996</v>
      </c>
      <c r="O38" s="376">
        <f t="shared" si="20"/>
        <v>29.699999999999996</v>
      </c>
      <c r="P38" s="376">
        <f t="shared" si="20"/>
        <v>29.699999999999996</v>
      </c>
      <c r="Q38" s="376">
        <f t="shared" si="20"/>
        <v>29.699999999999996</v>
      </c>
      <c r="R38" s="376" t="e">
        <f>SUM(G38:Q38)</f>
        <v>#REF!</v>
      </c>
    </row>
    <row r="39" spans="1:18" ht="21" customHeight="1">
      <c r="A39" s="383"/>
      <c r="B39" s="220"/>
      <c r="C39" s="387"/>
      <c r="D39" s="387"/>
      <c r="E39" s="378"/>
      <c r="F39" s="375"/>
      <c r="G39" s="375"/>
      <c r="H39" s="376"/>
      <c r="I39" s="376"/>
      <c r="J39" s="376"/>
      <c r="K39" s="376"/>
      <c r="L39" s="376"/>
      <c r="M39" s="376"/>
      <c r="N39" s="376"/>
      <c r="O39" s="376"/>
      <c r="P39" s="376"/>
      <c r="Q39" s="376"/>
    </row>
    <row r="40" spans="1:18" s="384" customFormat="1" ht="21" customHeight="1">
      <c r="A40" s="389"/>
      <c r="B40" s="388" t="s">
        <v>322</v>
      </c>
      <c r="E40" s="385"/>
      <c r="F40" s="386"/>
      <c r="G40" s="386">
        <f>SUM(G35:G39)</f>
        <v>0</v>
      </c>
      <c r="H40" s="386" t="e">
        <f t="shared" ref="H40:Q40" si="21">SUM(H35:H39)</f>
        <v>#REF!</v>
      </c>
      <c r="I40" s="386" t="e">
        <f t="shared" si="21"/>
        <v>#REF!</v>
      </c>
      <c r="J40" s="386">
        <f t="shared" si="21"/>
        <v>99.792000000000002</v>
      </c>
      <c r="K40" s="386">
        <f t="shared" si="21"/>
        <v>124.74000000000001</v>
      </c>
      <c r="L40" s="386">
        <f t="shared" si="21"/>
        <v>124.74000000000001</v>
      </c>
      <c r="M40" s="386">
        <f t="shared" si="21"/>
        <v>124.74000000000001</v>
      </c>
      <c r="N40" s="386">
        <f t="shared" si="21"/>
        <v>124.74000000000001</v>
      </c>
      <c r="O40" s="386">
        <f t="shared" si="21"/>
        <v>124.74000000000001</v>
      </c>
      <c r="P40" s="386">
        <f t="shared" si="21"/>
        <v>124.74000000000001</v>
      </c>
      <c r="Q40" s="386">
        <f t="shared" si="21"/>
        <v>124.74000000000001</v>
      </c>
      <c r="R40" s="390" t="e">
        <f>SUM(G40:Q40)</f>
        <v>#REF!</v>
      </c>
    </row>
    <row r="41" spans="1:18" ht="15">
      <c r="A41" s="150"/>
      <c r="B41" s="133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</row>
    <row r="42" spans="1:18" ht="15">
      <c r="A42" s="134"/>
      <c r="B42" s="346" t="s">
        <v>266</v>
      </c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375"/>
    </row>
    <row r="43" spans="1:18" ht="15">
      <c r="A43" s="134"/>
      <c r="B43" s="346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</row>
    <row r="44" spans="1:18" ht="30.75" customHeight="1">
      <c r="A44" s="377">
        <v>1</v>
      </c>
      <c r="B44" s="369" t="s">
        <v>326</v>
      </c>
      <c r="E44" s="379">
        <v>0.5</v>
      </c>
      <c r="F44" s="375"/>
      <c r="G44" s="375">
        <v>0</v>
      </c>
      <c r="H44" s="376">
        <f>$E$44*12*H19</f>
        <v>6</v>
      </c>
      <c r="I44" s="376">
        <f t="shared" ref="I44:Q44" si="22">$E$44*12*I19+$E$44*$I$23*12*I19</f>
        <v>6.6</v>
      </c>
      <c r="J44" s="376">
        <f t="shared" si="22"/>
        <v>13.2</v>
      </c>
      <c r="K44" s="376">
        <f t="shared" si="22"/>
        <v>26.4</v>
      </c>
      <c r="L44" s="376">
        <f t="shared" si="22"/>
        <v>26.4</v>
      </c>
      <c r="M44" s="376">
        <f t="shared" si="22"/>
        <v>26.4</v>
      </c>
      <c r="N44" s="376">
        <f t="shared" si="22"/>
        <v>26.4</v>
      </c>
      <c r="O44" s="376">
        <f t="shared" si="22"/>
        <v>26.4</v>
      </c>
      <c r="P44" s="376">
        <f t="shared" si="22"/>
        <v>26.4</v>
      </c>
      <c r="Q44" s="376">
        <f t="shared" si="22"/>
        <v>26.4</v>
      </c>
      <c r="R44" s="376">
        <f>SUM(G44:Q44)</f>
        <v>210.60000000000002</v>
      </c>
    </row>
    <row r="45" spans="1:18" ht="30.75" customHeight="1">
      <c r="A45" s="377">
        <v>2</v>
      </c>
      <c r="B45" s="369" t="s">
        <v>316</v>
      </c>
      <c r="E45" s="379">
        <v>0.15</v>
      </c>
      <c r="F45" s="375"/>
      <c r="G45" s="375">
        <v>0</v>
      </c>
      <c r="H45" s="376">
        <f>$E$45*12*H20</f>
        <v>1.7999999999999998</v>
      </c>
      <c r="I45" s="376">
        <f t="shared" ref="I45:Q45" si="23">$E$45*12*I20+$E$45*$I$23*12*I20</f>
        <v>1.9799999999999998</v>
      </c>
      <c r="J45" s="376">
        <f t="shared" si="23"/>
        <v>3.9599999999999995</v>
      </c>
      <c r="K45" s="376">
        <f t="shared" si="23"/>
        <v>7.919999999999999</v>
      </c>
      <c r="L45" s="376">
        <f t="shared" si="23"/>
        <v>7.919999999999999</v>
      </c>
      <c r="M45" s="376">
        <f t="shared" si="23"/>
        <v>7.919999999999999</v>
      </c>
      <c r="N45" s="376">
        <f t="shared" si="23"/>
        <v>7.919999999999999</v>
      </c>
      <c r="O45" s="376">
        <f t="shared" si="23"/>
        <v>7.919999999999999</v>
      </c>
      <c r="P45" s="376">
        <f t="shared" si="23"/>
        <v>7.919999999999999</v>
      </c>
      <c r="Q45" s="376">
        <f t="shared" si="23"/>
        <v>7.919999999999999</v>
      </c>
      <c r="R45" s="376">
        <f>SUM(G45:Q45)</f>
        <v>63.18</v>
      </c>
    </row>
    <row r="46" spans="1:18" ht="30.75" customHeight="1">
      <c r="A46" s="377">
        <v>3</v>
      </c>
      <c r="B46" s="369" t="s">
        <v>317</v>
      </c>
      <c r="E46" s="379">
        <v>0.15</v>
      </c>
      <c r="F46" s="375"/>
      <c r="G46" s="375">
        <v>0</v>
      </c>
      <c r="H46" s="376">
        <f>$E$46*12*H21</f>
        <v>1.7999999999999998</v>
      </c>
      <c r="I46" s="376">
        <f t="shared" ref="I46:Q46" si="24">$E$46*12*I21+$E$46*$I$23*12*I21</f>
        <v>1.9799999999999998</v>
      </c>
      <c r="J46" s="376">
        <f t="shared" si="24"/>
        <v>3.9599999999999995</v>
      </c>
      <c r="K46" s="376">
        <f t="shared" si="24"/>
        <v>7.919999999999999</v>
      </c>
      <c r="L46" s="376">
        <f t="shared" si="24"/>
        <v>7.919999999999999</v>
      </c>
      <c r="M46" s="376">
        <f t="shared" si="24"/>
        <v>7.919999999999999</v>
      </c>
      <c r="N46" s="376">
        <f t="shared" si="24"/>
        <v>7.919999999999999</v>
      </c>
      <c r="O46" s="376">
        <f t="shared" si="24"/>
        <v>7.919999999999999</v>
      </c>
      <c r="P46" s="376">
        <f t="shared" si="24"/>
        <v>7.919999999999999</v>
      </c>
      <c r="Q46" s="376">
        <f t="shared" si="24"/>
        <v>7.919999999999999</v>
      </c>
      <c r="R46" s="376">
        <f>SUM(G46:Q46)</f>
        <v>63.18</v>
      </c>
    </row>
    <row r="47" spans="1:18"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</row>
    <row r="48" spans="1:18" ht="21" customHeight="1">
      <c r="A48" s="384"/>
      <c r="B48" s="388" t="s">
        <v>322</v>
      </c>
      <c r="C48" s="384"/>
      <c r="D48" s="384"/>
      <c r="E48" s="386"/>
      <c r="F48" s="386"/>
      <c r="G48" s="386">
        <f>SUM(G44:G47)</f>
        <v>0</v>
      </c>
      <c r="H48" s="386">
        <f t="shared" ref="H48:R48" si="25">SUM(H44:H47)</f>
        <v>9.6</v>
      </c>
      <c r="I48" s="386">
        <f t="shared" si="25"/>
        <v>10.56</v>
      </c>
      <c r="J48" s="386">
        <f t="shared" si="25"/>
        <v>21.12</v>
      </c>
      <c r="K48" s="386">
        <f t="shared" si="25"/>
        <v>42.24</v>
      </c>
      <c r="L48" s="386">
        <f t="shared" si="25"/>
        <v>42.24</v>
      </c>
      <c r="M48" s="386">
        <f t="shared" si="25"/>
        <v>42.24</v>
      </c>
      <c r="N48" s="386">
        <f t="shared" si="25"/>
        <v>42.24</v>
      </c>
      <c r="O48" s="386">
        <f t="shared" si="25"/>
        <v>42.24</v>
      </c>
      <c r="P48" s="386">
        <f t="shared" si="25"/>
        <v>42.24</v>
      </c>
      <c r="Q48" s="386">
        <f t="shared" si="25"/>
        <v>42.24</v>
      </c>
      <c r="R48" s="386">
        <f t="shared" si="25"/>
        <v>336.96000000000004</v>
      </c>
    </row>
    <row r="50" spans="2:18" ht="23.25" customHeight="1">
      <c r="B50" s="393" t="s">
        <v>328</v>
      </c>
      <c r="C50" s="393"/>
      <c r="D50" s="393"/>
      <c r="E50" s="393"/>
      <c r="F50" s="393"/>
      <c r="G50" s="393">
        <f t="shared" ref="G50:Q50" si="26">G31+G40+G48</f>
        <v>66.960000000000008</v>
      </c>
      <c r="H50" s="393" t="e">
        <f t="shared" si="26"/>
        <v>#REF!</v>
      </c>
      <c r="I50" s="393" t="e">
        <f t="shared" si="26"/>
        <v>#REF!</v>
      </c>
      <c r="J50" s="393">
        <f t="shared" si="26"/>
        <v>210.03575999999998</v>
      </c>
      <c r="K50" s="393">
        <f t="shared" si="26"/>
        <v>265.01613600000002</v>
      </c>
      <c r="L50" s="393">
        <f t="shared" si="26"/>
        <v>274.81974960000002</v>
      </c>
      <c r="M50" s="393">
        <f t="shared" si="26"/>
        <v>285.60372455999999</v>
      </c>
      <c r="N50" s="393">
        <f t="shared" si="26"/>
        <v>297.46609701599999</v>
      </c>
      <c r="O50" s="393">
        <f t="shared" si="26"/>
        <v>310.51470671760001</v>
      </c>
      <c r="P50" s="393">
        <f t="shared" si="26"/>
        <v>324.86817738936003</v>
      </c>
      <c r="Q50" s="393">
        <f t="shared" si="26"/>
        <v>340.65699512829605</v>
      </c>
      <c r="R50" s="393" t="e">
        <f>SUM(G50:Q50)</f>
        <v>#REF!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AL62"/>
  <sheetViews>
    <sheetView zoomScale="70" zoomScaleNormal="70" workbookViewId="0">
      <pane xSplit="2" ySplit="4" topLeftCell="C15" activePane="bottomRight" state="frozen"/>
      <selection pane="topRight" activeCell="C1" sqref="C1"/>
      <selection pane="bottomLeft" activeCell="A5" sqref="A5"/>
      <selection pane="bottomRight" activeCell="U17" sqref="P17:U19"/>
    </sheetView>
  </sheetViews>
  <sheetFormatPr defaultRowHeight="12.75"/>
  <cols>
    <col min="1" max="1" width="6.42578125" style="1" customWidth="1"/>
    <col min="2" max="2" width="35.7109375" style="5" customWidth="1"/>
    <col min="3" max="3" width="9.7109375" style="1" customWidth="1"/>
    <col min="4" max="4" width="7.7109375" style="26" customWidth="1"/>
    <col min="5" max="5" width="7.7109375" style="1" customWidth="1"/>
    <col min="6" max="6" width="7.7109375" style="26" customWidth="1"/>
    <col min="7" max="7" width="7.7109375" style="1" customWidth="1"/>
    <col min="8" max="8" width="8.5703125" style="26" bestFit="1" customWidth="1"/>
    <col min="9" max="9" width="7.7109375" style="1" customWidth="1"/>
    <col min="10" max="10" width="9.42578125" style="26" customWidth="1"/>
    <col min="11" max="11" width="7.7109375" style="1" customWidth="1"/>
    <col min="12" max="12" width="10" style="26" customWidth="1"/>
    <col min="13" max="13" width="7.7109375" style="1" customWidth="1"/>
    <col min="14" max="14" width="10.28515625" style="26" bestFit="1" customWidth="1"/>
    <col min="15" max="15" width="7.7109375" style="1" customWidth="1"/>
    <col min="16" max="16" width="10.28515625" style="26" bestFit="1" customWidth="1"/>
    <col min="17" max="17" width="7.7109375" style="1" customWidth="1"/>
    <col min="18" max="18" width="10.7109375" style="26" bestFit="1" customWidth="1"/>
    <col min="19" max="19" width="7.7109375" style="1" customWidth="1"/>
    <col min="20" max="20" width="10.7109375" style="26" bestFit="1" customWidth="1"/>
    <col min="21" max="21" width="7.7109375" style="1" customWidth="1"/>
    <col min="22" max="22" width="12.28515625" style="26" customWidth="1"/>
    <col min="23" max="23" width="13.7109375" style="1" bestFit="1" customWidth="1"/>
    <col min="24" max="25" width="13.7109375" style="1" customWidth="1"/>
    <col min="26" max="26" width="14.85546875" style="1" customWidth="1"/>
    <col min="27" max="27" width="13.85546875" style="1" bestFit="1" customWidth="1"/>
    <col min="28" max="16384" width="9.140625" style="1"/>
  </cols>
  <sheetData>
    <row r="1" spans="1:26" ht="24" customHeight="1">
      <c r="A1" s="960" t="s">
        <v>285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  <c r="Q1" s="960"/>
      <c r="R1" s="960"/>
      <c r="S1" s="960"/>
      <c r="T1" s="960"/>
      <c r="U1" s="960"/>
      <c r="V1" s="960"/>
      <c r="W1" s="960"/>
      <c r="X1" s="960"/>
      <c r="Y1" s="960"/>
      <c r="Z1" s="960"/>
    </row>
    <row r="2" spans="1:26">
      <c r="C2" s="6"/>
      <c r="D2" s="7"/>
      <c r="E2" s="6"/>
      <c r="F2" s="7"/>
      <c r="G2" s="6"/>
      <c r="H2" s="7"/>
      <c r="I2" s="6"/>
      <c r="J2" s="7"/>
      <c r="K2" s="6"/>
      <c r="L2" s="7"/>
      <c r="M2" s="6"/>
      <c r="N2" s="7"/>
      <c r="O2" s="6"/>
      <c r="P2" s="7"/>
      <c r="Q2" s="6"/>
      <c r="R2" s="7"/>
      <c r="S2" s="6"/>
      <c r="T2" s="7"/>
      <c r="U2" s="6"/>
      <c r="V2" s="7"/>
      <c r="W2" s="6"/>
      <c r="X2" s="6"/>
      <c r="Y2" s="6"/>
      <c r="Z2" s="6"/>
    </row>
    <row r="3" spans="1:26" ht="24.75" customHeight="1">
      <c r="A3" s="971" t="s">
        <v>16</v>
      </c>
      <c r="B3" s="967" t="s">
        <v>0</v>
      </c>
      <c r="C3" s="969"/>
      <c r="D3" s="961" t="e">
        <f>'Fin Smmry'!#REF!</f>
        <v>#REF!</v>
      </c>
      <c r="E3" s="961"/>
      <c r="F3" s="961" t="e">
        <f>'Fin Smmry'!#REF!</f>
        <v>#REF!</v>
      </c>
      <c r="G3" s="961"/>
      <c r="H3" s="961" t="e">
        <f>'Fin Smmry'!#REF!</f>
        <v>#REF!</v>
      </c>
      <c r="I3" s="961"/>
      <c r="J3" s="961" t="str">
        <f>'Fin Smmry'!N5</f>
        <v>Year 3</v>
      </c>
      <c r="K3" s="961"/>
      <c r="L3" s="961" t="str">
        <f>'Fin Smmry'!O5</f>
        <v>Year 4</v>
      </c>
      <c r="M3" s="961"/>
      <c r="N3" s="961" t="str">
        <f>'Fin Smmry'!P5</f>
        <v>Year 5</v>
      </c>
      <c r="O3" s="961"/>
      <c r="P3" s="961" t="str">
        <f>'Fin Smmry'!Q5</f>
        <v>Year 6</v>
      </c>
      <c r="Q3" s="961"/>
      <c r="R3" s="961" t="str">
        <f>'Fin Smmry'!R5</f>
        <v>Year 7</v>
      </c>
      <c r="S3" s="961"/>
      <c r="T3" s="961" t="str">
        <f>'Fin Smmry'!S5</f>
        <v>Year 8</v>
      </c>
      <c r="U3" s="961"/>
      <c r="V3" s="961" t="str">
        <f>'Fin Smmry'!T5</f>
        <v>Year 9</v>
      </c>
      <c r="W3" s="961"/>
      <c r="X3" s="965" t="str">
        <f>'Fin Smmry'!U5</f>
        <v>Year 10</v>
      </c>
      <c r="Y3" s="966"/>
      <c r="Z3" s="8" t="s">
        <v>1</v>
      </c>
    </row>
    <row r="4" spans="1:26" s="6" customFormat="1" ht="45">
      <c r="A4" s="972"/>
      <c r="B4" s="968"/>
      <c r="C4" s="970"/>
      <c r="D4" s="9" t="s">
        <v>2</v>
      </c>
      <c r="E4" s="10" t="s">
        <v>3</v>
      </c>
      <c r="F4" s="9" t="s">
        <v>2</v>
      </c>
      <c r="G4" s="10" t="s">
        <v>3</v>
      </c>
      <c r="H4" s="9" t="s">
        <v>2</v>
      </c>
      <c r="I4" s="10" t="s">
        <v>3</v>
      </c>
      <c r="J4" s="9" t="s">
        <v>2</v>
      </c>
      <c r="K4" s="10" t="s">
        <v>3</v>
      </c>
      <c r="L4" s="9" t="s">
        <v>2</v>
      </c>
      <c r="M4" s="10" t="s">
        <v>3</v>
      </c>
      <c r="N4" s="9" t="s">
        <v>2</v>
      </c>
      <c r="O4" s="10" t="s">
        <v>3</v>
      </c>
      <c r="P4" s="9" t="s">
        <v>2</v>
      </c>
      <c r="Q4" s="10" t="s">
        <v>3</v>
      </c>
      <c r="R4" s="9" t="s">
        <v>2</v>
      </c>
      <c r="S4" s="10" t="s">
        <v>3</v>
      </c>
      <c r="T4" s="9" t="s">
        <v>2</v>
      </c>
      <c r="U4" s="10" t="s">
        <v>3</v>
      </c>
      <c r="V4" s="9" t="s">
        <v>2</v>
      </c>
      <c r="W4" s="10" t="s">
        <v>3</v>
      </c>
      <c r="X4" s="9" t="s">
        <v>2</v>
      </c>
      <c r="Y4" s="10" t="s">
        <v>3</v>
      </c>
      <c r="Z4" s="11"/>
    </row>
    <row r="5" spans="1:26" ht="24" customHeight="1">
      <c r="A5" s="962">
        <v>1</v>
      </c>
      <c r="B5" s="963" t="s">
        <v>4</v>
      </c>
      <c r="C5" s="12" t="s">
        <v>5</v>
      </c>
      <c r="D5" s="21">
        <v>0</v>
      </c>
      <c r="E5" s="14" t="e">
        <f>D5/$Z$6</f>
        <v>#REF!</v>
      </c>
      <c r="F5" s="21" t="e">
        <f>'Key Assumptions'!#REF!</f>
        <v>#REF!</v>
      </c>
      <c r="G5" s="14" t="e">
        <f>F5/$Z$6</f>
        <v>#REF!</v>
      </c>
      <c r="H5" s="21" t="e">
        <f>'Key Assumptions'!#REF!</f>
        <v>#REF!</v>
      </c>
      <c r="I5" s="14" t="e">
        <f>H5/$Z$6</f>
        <v>#REF!</v>
      </c>
      <c r="J5" s="21" t="e">
        <f>'Key Assumptions'!#REF!</f>
        <v>#REF!</v>
      </c>
      <c r="K5" s="14" t="e">
        <f>J5/$Z$6</f>
        <v>#REF!</v>
      </c>
      <c r="L5" s="21" t="e">
        <f>'Key Assumptions'!#REF!</f>
        <v>#REF!</v>
      </c>
      <c r="M5" s="14" t="e">
        <f>L5/$Z$6</f>
        <v>#REF!</v>
      </c>
      <c r="N5" s="21" t="e">
        <f>'Key Assumptions'!#REF!</f>
        <v>#REF!</v>
      </c>
      <c r="O5" s="14" t="e">
        <f>N5/$Z$6</f>
        <v>#REF!</v>
      </c>
      <c r="P5" s="21" t="e">
        <f>'Key Assumptions'!#REF!</f>
        <v>#REF!</v>
      </c>
      <c r="Q5" s="14" t="e">
        <f>P5/$Z$6</f>
        <v>#REF!</v>
      </c>
      <c r="R5" s="21" t="e">
        <f>'Key Assumptions'!#REF!</f>
        <v>#REF!</v>
      </c>
      <c r="S5" s="14" t="e">
        <f>R5/$Z$6</f>
        <v>#REF!</v>
      </c>
      <c r="T5" s="21" t="e">
        <f>'Key Assumptions'!#REF!</f>
        <v>#REF!</v>
      </c>
      <c r="U5" s="14" t="e">
        <f>T5/$Z$6</f>
        <v>#REF!</v>
      </c>
      <c r="V5" s="21" t="e">
        <f>'Key Assumptions'!#REF!</f>
        <v>#REF!</v>
      </c>
      <c r="W5" s="14" t="e">
        <f>V5/$Z$6</f>
        <v>#REF!</v>
      </c>
      <c r="X5" s="21" t="e">
        <f>'Key Assumptions'!#REF!</f>
        <v>#REF!</v>
      </c>
      <c r="Y5" s="14" t="e">
        <f>X5/$Z$6</f>
        <v>#REF!</v>
      </c>
      <c r="Z5" s="15"/>
    </row>
    <row r="6" spans="1:26" ht="24" customHeight="1">
      <c r="A6" s="962"/>
      <c r="B6" s="964"/>
      <c r="C6" s="16" t="s">
        <v>6</v>
      </c>
      <c r="D6" s="17">
        <f>D5</f>
        <v>0</v>
      </c>
      <c r="E6" s="18" t="e">
        <f>E5</f>
        <v>#REF!</v>
      </c>
      <c r="F6" s="17" t="e">
        <f>D6+F5</f>
        <v>#REF!</v>
      </c>
      <c r="G6" s="19" t="e">
        <f>E6+G5</f>
        <v>#REF!</v>
      </c>
      <c r="H6" s="17" t="e">
        <f t="shared" ref="H6:X6" si="0">F6+H5</f>
        <v>#REF!</v>
      </c>
      <c r="I6" s="19" t="e">
        <f>G6+I5</f>
        <v>#REF!</v>
      </c>
      <c r="J6" s="17" t="e">
        <f t="shared" si="0"/>
        <v>#REF!</v>
      </c>
      <c r="K6" s="19" t="e">
        <f>I6+K5</f>
        <v>#REF!</v>
      </c>
      <c r="L6" s="17" t="e">
        <f t="shared" si="0"/>
        <v>#REF!</v>
      </c>
      <c r="M6" s="19" t="e">
        <f>K6+M5</f>
        <v>#REF!</v>
      </c>
      <c r="N6" s="17" t="e">
        <f t="shared" si="0"/>
        <v>#REF!</v>
      </c>
      <c r="O6" s="19" t="e">
        <f>M6+O5</f>
        <v>#REF!</v>
      </c>
      <c r="P6" s="17" t="e">
        <f t="shared" si="0"/>
        <v>#REF!</v>
      </c>
      <c r="Q6" s="19" t="e">
        <f>O6+Q5</f>
        <v>#REF!</v>
      </c>
      <c r="R6" s="17" t="e">
        <f t="shared" si="0"/>
        <v>#REF!</v>
      </c>
      <c r="S6" s="19" t="e">
        <f>Q6+S5</f>
        <v>#REF!</v>
      </c>
      <c r="T6" s="17" t="e">
        <f t="shared" si="0"/>
        <v>#REF!</v>
      </c>
      <c r="U6" s="19" t="e">
        <f>S6+U5</f>
        <v>#REF!</v>
      </c>
      <c r="V6" s="17" t="e">
        <f t="shared" si="0"/>
        <v>#REF!</v>
      </c>
      <c r="W6" s="19" t="e">
        <f>U6+W5</f>
        <v>#REF!</v>
      </c>
      <c r="X6" s="17" t="e">
        <f t="shared" si="0"/>
        <v>#REF!</v>
      </c>
      <c r="Y6" s="19" t="e">
        <f>W6+Y5</f>
        <v>#REF!</v>
      </c>
      <c r="Z6" s="20" t="e">
        <f>X6</f>
        <v>#REF!</v>
      </c>
    </row>
    <row r="7" spans="1:26" ht="24" customHeight="1">
      <c r="A7" s="962">
        <v>2</v>
      </c>
      <c r="B7" s="963" t="s">
        <v>7</v>
      </c>
      <c r="C7" s="12" t="s">
        <v>5</v>
      </c>
      <c r="D7" s="21">
        <f>D5</f>
        <v>0</v>
      </c>
      <c r="E7" s="14" t="e">
        <f>D7/$Z$8</f>
        <v>#REF!</v>
      </c>
      <c r="F7" s="21" t="e">
        <f>F5</f>
        <v>#REF!</v>
      </c>
      <c r="G7" s="14" t="e">
        <f>F7/$Z$8</f>
        <v>#REF!</v>
      </c>
      <c r="H7" s="21" t="e">
        <f>H5</f>
        <v>#REF!</v>
      </c>
      <c r="I7" s="14" t="e">
        <f>H7/$Z$8</f>
        <v>#REF!</v>
      </c>
      <c r="J7" s="21" t="e">
        <f>J5</f>
        <v>#REF!</v>
      </c>
      <c r="K7" s="14" t="e">
        <f>J7/$Z$8</f>
        <v>#REF!</v>
      </c>
      <c r="L7" s="21" t="e">
        <f>L5</f>
        <v>#REF!</v>
      </c>
      <c r="M7" s="14" t="e">
        <f>L7/$Z$8</f>
        <v>#REF!</v>
      </c>
      <c r="N7" s="21" t="e">
        <f>N5</f>
        <v>#REF!</v>
      </c>
      <c r="O7" s="14" t="e">
        <f>N7/$Z$8</f>
        <v>#REF!</v>
      </c>
      <c r="P7" s="21" t="e">
        <f>P5</f>
        <v>#REF!</v>
      </c>
      <c r="Q7" s="14" t="e">
        <f>P7/$Z$8</f>
        <v>#REF!</v>
      </c>
      <c r="R7" s="21" t="e">
        <f>R5</f>
        <v>#REF!</v>
      </c>
      <c r="S7" s="14" t="e">
        <f>R7/$Z$8</f>
        <v>#REF!</v>
      </c>
      <c r="T7" s="21" t="e">
        <f>T5</f>
        <v>#REF!</v>
      </c>
      <c r="U7" s="14" t="e">
        <f>T7/$Z$8</f>
        <v>#REF!</v>
      </c>
      <c r="V7" s="21" t="e">
        <f>V5</f>
        <v>#REF!</v>
      </c>
      <c r="W7" s="14" t="e">
        <f>V7/$Z$8</f>
        <v>#REF!</v>
      </c>
      <c r="X7" s="21" t="e">
        <f>X5</f>
        <v>#REF!</v>
      </c>
      <c r="Y7" s="14" t="e">
        <f>X7/$Z$8</f>
        <v>#REF!</v>
      </c>
      <c r="Z7" s="15"/>
    </row>
    <row r="8" spans="1:26" ht="24" customHeight="1">
      <c r="A8" s="962"/>
      <c r="B8" s="964"/>
      <c r="C8" s="16" t="s">
        <v>6</v>
      </c>
      <c r="D8" s="17">
        <f>D7</f>
        <v>0</v>
      </c>
      <c r="E8" s="18" t="e">
        <f>E7</f>
        <v>#REF!</v>
      </c>
      <c r="F8" s="17" t="e">
        <f t="shared" ref="F8:W8" si="1">D8+F7</f>
        <v>#REF!</v>
      </c>
      <c r="G8" s="19" t="e">
        <f>E8+G7</f>
        <v>#REF!</v>
      </c>
      <c r="H8" s="17" t="e">
        <f t="shared" si="1"/>
        <v>#REF!</v>
      </c>
      <c r="I8" s="19" t="e">
        <f t="shared" si="1"/>
        <v>#REF!</v>
      </c>
      <c r="J8" s="17" t="e">
        <f t="shared" si="1"/>
        <v>#REF!</v>
      </c>
      <c r="K8" s="19" t="e">
        <f t="shared" si="1"/>
        <v>#REF!</v>
      </c>
      <c r="L8" s="17" t="e">
        <f t="shared" si="1"/>
        <v>#REF!</v>
      </c>
      <c r="M8" s="19" t="e">
        <f t="shared" si="1"/>
        <v>#REF!</v>
      </c>
      <c r="N8" s="17" t="e">
        <f t="shared" si="1"/>
        <v>#REF!</v>
      </c>
      <c r="O8" s="19" t="e">
        <f t="shared" si="1"/>
        <v>#REF!</v>
      </c>
      <c r="P8" s="17" t="e">
        <f t="shared" si="1"/>
        <v>#REF!</v>
      </c>
      <c r="Q8" s="19" t="e">
        <f t="shared" si="1"/>
        <v>#REF!</v>
      </c>
      <c r="R8" s="17" t="e">
        <f t="shared" si="1"/>
        <v>#REF!</v>
      </c>
      <c r="S8" s="19" t="e">
        <f t="shared" si="1"/>
        <v>#REF!</v>
      </c>
      <c r="T8" s="17" t="e">
        <f t="shared" si="1"/>
        <v>#REF!</v>
      </c>
      <c r="U8" s="19" t="e">
        <f t="shared" si="1"/>
        <v>#REF!</v>
      </c>
      <c r="V8" s="17" t="e">
        <f t="shared" si="1"/>
        <v>#REF!</v>
      </c>
      <c r="W8" s="19" t="e">
        <f t="shared" si="1"/>
        <v>#REF!</v>
      </c>
      <c r="X8" s="17" t="e">
        <f>V8+X7</f>
        <v>#REF!</v>
      </c>
      <c r="Y8" s="19" t="e">
        <f>W8+Y7</f>
        <v>#REF!</v>
      </c>
      <c r="Z8" s="20" t="e">
        <f>X8</f>
        <v>#REF!</v>
      </c>
    </row>
    <row r="9" spans="1:26" ht="24" customHeight="1">
      <c r="A9" s="962">
        <v>3</v>
      </c>
      <c r="B9" s="973" t="s">
        <v>8</v>
      </c>
      <c r="C9" s="12" t="s">
        <v>5</v>
      </c>
      <c r="D9" s="21">
        <f>D7</f>
        <v>0</v>
      </c>
      <c r="E9" s="14" t="e">
        <f>D9/$Z$10</f>
        <v>#REF!</v>
      </c>
      <c r="F9" s="21" t="e">
        <f>F7</f>
        <v>#REF!</v>
      </c>
      <c r="G9" s="14" t="e">
        <f>F9/$Z$10</f>
        <v>#REF!</v>
      </c>
      <c r="H9" s="21" t="e">
        <f>H7</f>
        <v>#REF!</v>
      </c>
      <c r="I9" s="14" t="e">
        <f>H9/$Z$10</f>
        <v>#REF!</v>
      </c>
      <c r="J9" s="21" t="e">
        <f>J7</f>
        <v>#REF!</v>
      </c>
      <c r="K9" s="14" t="e">
        <f>J9/$Z$10</f>
        <v>#REF!</v>
      </c>
      <c r="L9" s="21" t="e">
        <f>L7</f>
        <v>#REF!</v>
      </c>
      <c r="M9" s="14" t="e">
        <f>L9/$Z$10</f>
        <v>#REF!</v>
      </c>
      <c r="N9" s="21" t="e">
        <f>N7</f>
        <v>#REF!</v>
      </c>
      <c r="O9" s="14" t="e">
        <f>N9/$Z$10</f>
        <v>#REF!</v>
      </c>
      <c r="P9" s="21" t="e">
        <f t="shared" ref="P9:X9" si="2">P7</f>
        <v>#REF!</v>
      </c>
      <c r="Q9" s="22" t="e">
        <f t="shared" si="2"/>
        <v>#REF!</v>
      </c>
      <c r="R9" s="21" t="e">
        <f t="shared" si="2"/>
        <v>#REF!</v>
      </c>
      <c r="S9" s="22" t="e">
        <f t="shared" si="2"/>
        <v>#REF!</v>
      </c>
      <c r="T9" s="21" t="e">
        <f t="shared" si="2"/>
        <v>#REF!</v>
      </c>
      <c r="U9" s="22" t="e">
        <f t="shared" si="2"/>
        <v>#REF!</v>
      </c>
      <c r="V9" s="21" t="e">
        <f t="shared" si="2"/>
        <v>#REF!</v>
      </c>
      <c r="W9" s="22" t="e">
        <f t="shared" si="2"/>
        <v>#REF!</v>
      </c>
      <c r="X9" s="21" t="e">
        <f t="shared" si="2"/>
        <v>#REF!</v>
      </c>
      <c r="Y9" s="14" t="e">
        <f>X9/$Z$10</f>
        <v>#REF!</v>
      </c>
      <c r="Z9" s="23"/>
    </row>
    <row r="10" spans="1:26" ht="24" customHeight="1">
      <c r="A10" s="962"/>
      <c r="B10" s="974"/>
      <c r="C10" s="16" t="s">
        <v>6</v>
      </c>
      <c r="D10" s="17">
        <f>D9</f>
        <v>0</v>
      </c>
      <c r="E10" s="18" t="e">
        <f>E9</f>
        <v>#REF!</v>
      </c>
      <c r="F10" s="17" t="e">
        <f t="shared" ref="F10:N10" si="3">D10+F9</f>
        <v>#REF!</v>
      </c>
      <c r="G10" s="18" t="e">
        <f t="shared" si="3"/>
        <v>#REF!</v>
      </c>
      <c r="H10" s="17" t="e">
        <f t="shared" si="3"/>
        <v>#REF!</v>
      </c>
      <c r="I10" s="18" t="e">
        <f t="shared" si="3"/>
        <v>#REF!</v>
      </c>
      <c r="J10" s="17" t="e">
        <f t="shared" si="3"/>
        <v>#REF!</v>
      </c>
      <c r="K10" s="18" t="e">
        <f t="shared" si="3"/>
        <v>#REF!</v>
      </c>
      <c r="L10" s="17" t="e">
        <f t="shared" si="3"/>
        <v>#REF!</v>
      </c>
      <c r="M10" s="18" t="e">
        <f t="shared" si="3"/>
        <v>#REF!</v>
      </c>
      <c r="N10" s="17" t="e">
        <f t="shared" si="3"/>
        <v>#REF!</v>
      </c>
      <c r="O10" s="19" t="e">
        <f>O8</f>
        <v>#REF!</v>
      </c>
      <c r="P10" s="17" t="e">
        <f t="shared" ref="P10:V10" si="4">N10+P9</f>
        <v>#REF!</v>
      </c>
      <c r="Q10" s="18" t="e">
        <f t="shared" si="4"/>
        <v>#REF!</v>
      </c>
      <c r="R10" s="17" t="e">
        <f t="shared" si="4"/>
        <v>#REF!</v>
      </c>
      <c r="S10" s="18" t="e">
        <f t="shared" si="4"/>
        <v>#REF!</v>
      </c>
      <c r="T10" s="17" t="e">
        <f t="shared" si="4"/>
        <v>#REF!</v>
      </c>
      <c r="U10" s="18" t="e">
        <f t="shared" si="4"/>
        <v>#REF!</v>
      </c>
      <c r="V10" s="17" t="e">
        <f t="shared" si="4"/>
        <v>#REF!</v>
      </c>
      <c r="W10" s="19" t="e">
        <f>W8</f>
        <v>#REF!</v>
      </c>
      <c r="X10" s="17" t="e">
        <f>V10+X9</f>
        <v>#REF!</v>
      </c>
      <c r="Y10" s="19" t="e">
        <f>Y8</f>
        <v>#REF!</v>
      </c>
      <c r="Z10" s="20" t="e">
        <f>X10</f>
        <v>#REF!</v>
      </c>
    </row>
    <row r="11" spans="1:26" ht="24" customHeight="1">
      <c r="A11" s="962">
        <v>4</v>
      </c>
      <c r="B11" s="973" t="s">
        <v>9</v>
      </c>
      <c r="C11" s="12" t="s">
        <v>5</v>
      </c>
      <c r="D11" s="21">
        <f>D9</f>
        <v>0</v>
      </c>
      <c r="E11" s="14" t="e">
        <f>D11/$Z$10</f>
        <v>#REF!</v>
      </c>
      <c r="F11" s="21" t="e">
        <f>F9</f>
        <v>#REF!</v>
      </c>
      <c r="G11" s="14" t="e">
        <f>F11/$Z$10</f>
        <v>#REF!</v>
      </c>
      <c r="H11" s="21" t="e">
        <f>H9</f>
        <v>#REF!</v>
      </c>
      <c r="I11" s="14" t="e">
        <f>H11/$Z$10</f>
        <v>#REF!</v>
      </c>
      <c r="J11" s="21" t="e">
        <f>J9</f>
        <v>#REF!</v>
      </c>
      <c r="K11" s="14" t="e">
        <f>J11/$Z$10</f>
        <v>#REF!</v>
      </c>
      <c r="L11" s="21" t="e">
        <f>L9</f>
        <v>#REF!</v>
      </c>
      <c r="M11" s="14" t="e">
        <f>L11/$Z$10</f>
        <v>#REF!</v>
      </c>
      <c r="N11" s="21" t="e">
        <f>N9</f>
        <v>#REF!</v>
      </c>
      <c r="O11" s="14" t="e">
        <f>N11/$Z$10</f>
        <v>#REF!</v>
      </c>
      <c r="P11" s="21" t="e">
        <f t="shared" ref="P11:V11" si="5">P9</f>
        <v>#REF!</v>
      </c>
      <c r="Q11" s="22" t="e">
        <f t="shared" si="5"/>
        <v>#REF!</v>
      </c>
      <c r="R11" s="21" t="e">
        <f t="shared" si="5"/>
        <v>#REF!</v>
      </c>
      <c r="S11" s="22" t="e">
        <f t="shared" si="5"/>
        <v>#REF!</v>
      </c>
      <c r="T11" s="21" t="e">
        <f t="shared" si="5"/>
        <v>#REF!</v>
      </c>
      <c r="U11" s="22" t="e">
        <f t="shared" si="5"/>
        <v>#REF!</v>
      </c>
      <c r="V11" s="21" t="e">
        <f t="shared" si="5"/>
        <v>#REF!</v>
      </c>
      <c r="W11" s="22" t="e">
        <f>W9</f>
        <v>#REF!</v>
      </c>
      <c r="X11" s="21" t="e">
        <f>X9</f>
        <v>#REF!</v>
      </c>
      <c r="Y11" s="14" t="e">
        <f>X11/$Z$10</f>
        <v>#REF!</v>
      </c>
      <c r="Z11" s="15"/>
    </row>
    <row r="12" spans="1:26" ht="24" customHeight="1">
      <c r="A12" s="962"/>
      <c r="B12" s="974"/>
      <c r="C12" s="16" t="s">
        <v>6</v>
      </c>
      <c r="D12" s="17">
        <f>D11</f>
        <v>0</v>
      </c>
      <c r="E12" s="18" t="e">
        <f>E11</f>
        <v>#REF!</v>
      </c>
      <c r="F12" s="17" t="e">
        <f>D12+F11</f>
        <v>#REF!</v>
      </c>
      <c r="G12" s="19" t="e">
        <f>G10</f>
        <v>#REF!</v>
      </c>
      <c r="H12" s="17" t="e">
        <f>F12+H11</f>
        <v>#REF!</v>
      </c>
      <c r="I12" s="19" t="e">
        <f>I10</f>
        <v>#REF!</v>
      </c>
      <c r="J12" s="17" t="e">
        <f>H12+J11</f>
        <v>#REF!</v>
      </c>
      <c r="K12" s="19" t="e">
        <f>K10</f>
        <v>#REF!</v>
      </c>
      <c r="L12" s="17" t="e">
        <f>J12+L11</f>
        <v>#REF!</v>
      </c>
      <c r="M12" s="19" t="e">
        <f>M10</f>
        <v>#REF!</v>
      </c>
      <c r="N12" s="17" t="e">
        <f>L12+N11</f>
        <v>#REF!</v>
      </c>
      <c r="O12" s="19" t="e">
        <f>O10</f>
        <v>#REF!</v>
      </c>
      <c r="P12" s="17" t="e">
        <f>N12+P11</f>
        <v>#REF!</v>
      </c>
      <c r="Q12" s="19" t="e">
        <f>Q10</f>
        <v>#REF!</v>
      </c>
      <c r="R12" s="17" t="e">
        <f>P12+R11</f>
        <v>#REF!</v>
      </c>
      <c r="S12" s="19" t="e">
        <f>S10</f>
        <v>#REF!</v>
      </c>
      <c r="T12" s="17" t="e">
        <f>R12+T11</f>
        <v>#REF!</v>
      </c>
      <c r="U12" s="19" t="e">
        <f>U10</f>
        <v>#REF!</v>
      </c>
      <c r="V12" s="17" t="e">
        <f>T12+V11</f>
        <v>#REF!</v>
      </c>
      <c r="W12" s="19" t="e">
        <f>W10</f>
        <v>#REF!</v>
      </c>
      <c r="X12" s="17" t="e">
        <f>V12+X11</f>
        <v>#REF!</v>
      </c>
      <c r="Y12" s="19" t="e">
        <f>Y10</f>
        <v>#REF!</v>
      </c>
      <c r="Z12" s="20" t="e">
        <f>X12</f>
        <v>#REF!</v>
      </c>
    </row>
    <row r="13" spans="1:26" ht="24" customHeight="1">
      <c r="A13" s="962">
        <v>5</v>
      </c>
      <c r="B13" s="973" t="s">
        <v>259</v>
      </c>
      <c r="C13" s="12" t="s">
        <v>5</v>
      </c>
      <c r="D13" s="21" t="e">
        <f>'Key Assumptions'!#REF!</f>
        <v>#REF!</v>
      </c>
      <c r="E13" s="14" t="e">
        <f>D13/$Z$14</f>
        <v>#REF!</v>
      </c>
      <c r="F13" s="21" t="e">
        <f>'Key Assumptions'!#REF!</f>
        <v>#REF!</v>
      </c>
      <c r="G13" s="14" t="e">
        <f>F13/$Z$14</f>
        <v>#REF!</v>
      </c>
      <c r="H13" s="21" t="e">
        <f>'Key Assumptions'!#REF!</f>
        <v>#REF!</v>
      </c>
      <c r="I13" s="14" t="e">
        <f>H13/$Z$14</f>
        <v>#REF!</v>
      </c>
      <c r="J13" s="21" t="e">
        <f>'Key Assumptions'!#REF!</f>
        <v>#REF!</v>
      </c>
      <c r="K13" s="24" t="e">
        <f>J13/$Z$14</f>
        <v>#REF!</v>
      </c>
      <c r="L13" s="21" t="e">
        <f>'Key Assumptions'!#REF!</f>
        <v>#REF!</v>
      </c>
      <c r="M13" s="24" t="e">
        <f>L13/$Z$14</f>
        <v>#REF!</v>
      </c>
      <c r="N13" s="21" t="e">
        <f>'Key Assumptions'!#REF!</f>
        <v>#REF!</v>
      </c>
      <c r="O13" s="24" t="e">
        <f>N13/$Z$14</f>
        <v>#REF!</v>
      </c>
      <c r="P13" s="21" t="e">
        <f>'Key Assumptions'!#REF!</f>
        <v>#REF!</v>
      </c>
      <c r="Q13" s="24" t="e">
        <f>P13/$Z$14</f>
        <v>#REF!</v>
      </c>
      <c r="R13" s="21" t="e">
        <f>'Key Assumptions'!#REF!</f>
        <v>#REF!</v>
      </c>
      <c r="S13" s="24" t="e">
        <f>R13/$Z$14</f>
        <v>#REF!</v>
      </c>
      <c r="T13" s="21" t="e">
        <f>'Key Assumptions'!#REF!</f>
        <v>#REF!</v>
      </c>
      <c r="U13" s="24" t="e">
        <f>T13/$Z$14</f>
        <v>#REF!</v>
      </c>
      <c r="V13" s="21" t="e">
        <f>'Key Assumptions'!#REF!</f>
        <v>#REF!</v>
      </c>
      <c r="W13" s="24" t="e">
        <f>V13/$Z$14</f>
        <v>#REF!</v>
      </c>
      <c r="X13" s="21" t="e">
        <f>'Key Assumptions'!#REF!</f>
        <v>#REF!</v>
      </c>
      <c r="Y13" s="24" t="e">
        <f>X13/$Z$14</f>
        <v>#REF!</v>
      </c>
      <c r="Z13" s="15"/>
    </row>
    <row r="14" spans="1:26" ht="24" customHeight="1">
      <c r="A14" s="962"/>
      <c r="B14" s="974"/>
      <c r="C14" s="16" t="s">
        <v>6</v>
      </c>
      <c r="D14" s="17" t="e">
        <f>D13</f>
        <v>#REF!</v>
      </c>
      <c r="E14" s="18" t="e">
        <f>E13</f>
        <v>#REF!</v>
      </c>
      <c r="F14" s="17" t="e">
        <f>D14+F13</f>
        <v>#REF!</v>
      </c>
      <c r="G14" s="19" t="e">
        <f>G13</f>
        <v>#REF!</v>
      </c>
      <c r="H14" s="17" t="e">
        <f t="shared" ref="H14:Y14" si="6">F14+H13</f>
        <v>#REF!</v>
      </c>
      <c r="I14" s="19" t="e">
        <f t="shared" si="6"/>
        <v>#REF!</v>
      </c>
      <c r="J14" s="17" t="e">
        <f t="shared" si="6"/>
        <v>#REF!</v>
      </c>
      <c r="K14" s="19" t="e">
        <f t="shared" si="6"/>
        <v>#REF!</v>
      </c>
      <c r="L14" s="17" t="e">
        <f t="shared" si="6"/>
        <v>#REF!</v>
      </c>
      <c r="M14" s="19" t="e">
        <f t="shared" si="6"/>
        <v>#REF!</v>
      </c>
      <c r="N14" s="17" t="e">
        <f t="shared" si="6"/>
        <v>#REF!</v>
      </c>
      <c r="O14" s="19" t="e">
        <f t="shared" si="6"/>
        <v>#REF!</v>
      </c>
      <c r="P14" s="17" t="e">
        <f t="shared" si="6"/>
        <v>#REF!</v>
      </c>
      <c r="Q14" s="19" t="e">
        <f t="shared" si="6"/>
        <v>#REF!</v>
      </c>
      <c r="R14" s="17" t="e">
        <f t="shared" si="6"/>
        <v>#REF!</v>
      </c>
      <c r="S14" s="19" t="e">
        <f t="shared" si="6"/>
        <v>#REF!</v>
      </c>
      <c r="T14" s="17" t="e">
        <f t="shared" si="6"/>
        <v>#REF!</v>
      </c>
      <c r="U14" s="19" t="e">
        <f t="shared" si="6"/>
        <v>#REF!</v>
      </c>
      <c r="V14" s="17" t="e">
        <f t="shared" si="6"/>
        <v>#REF!</v>
      </c>
      <c r="W14" s="19" t="e">
        <f t="shared" si="6"/>
        <v>#REF!</v>
      </c>
      <c r="X14" s="17" t="e">
        <f t="shared" si="6"/>
        <v>#REF!</v>
      </c>
      <c r="Y14" s="19" t="e">
        <f t="shared" si="6"/>
        <v>#REF!</v>
      </c>
      <c r="Z14" s="20" t="e">
        <f>X14</f>
        <v>#REF!</v>
      </c>
    </row>
    <row r="15" spans="1:26" ht="24" customHeight="1">
      <c r="A15" s="962">
        <v>6</v>
      </c>
      <c r="B15" s="973" t="s">
        <v>10</v>
      </c>
      <c r="C15" s="12" t="s">
        <v>5</v>
      </c>
      <c r="D15" s="13">
        <f>D9</f>
        <v>0</v>
      </c>
      <c r="E15" s="14" t="e">
        <f>D15/$Z$16</f>
        <v>#REF!</v>
      </c>
      <c r="F15" s="13" t="e">
        <f>F9</f>
        <v>#REF!</v>
      </c>
      <c r="G15" s="14" t="e">
        <f>F15/$Z$16</f>
        <v>#REF!</v>
      </c>
      <c r="H15" s="13" t="e">
        <f>H9</f>
        <v>#REF!</v>
      </c>
      <c r="I15" s="14" t="e">
        <f>H15/$Z$16</f>
        <v>#REF!</v>
      </c>
      <c r="J15" s="13" t="e">
        <f>J9</f>
        <v>#REF!</v>
      </c>
      <c r="K15" s="14" t="e">
        <f>J15/$Z$16</f>
        <v>#REF!</v>
      </c>
      <c r="L15" s="13" t="e">
        <f>L9</f>
        <v>#REF!</v>
      </c>
      <c r="M15" s="14" t="e">
        <f>L15/$Z$16</f>
        <v>#REF!</v>
      </c>
      <c r="N15" s="13" t="e">
        <f>N9</f>
        <v>#REF!</v>
      </c>
      <c r="O15" s="14" t="e">
        <f>N15/$Z$16</f>
        <v>#REF!</v>
      </c>
      <c r="P15" s="13" t="e">
        <f>P9</f>
        <v>#REF!</v>
      </c>
      <c r="Q15" s="14" t="e">
        <f>Q5</f>
        <v>#REF!</v>
      </c>
      <c r="R15" s="13" t="e">
        <f>R9</f>
        <v>#REF!</v>
      </c>
      <c r="S15" s="14" t="e">
        <f>S5</f>
        <v>#REF!</v>
      </c>
      <c r="T15" s="13" t="e">
        <f>T9</f>
        <v>#REF!</v>
      </c>
      <c r="U15" s="14" t="e">
        <f>U5</f>
        <v>#REF!</v>
      </c>
      <c r="V15" s="13" t="e">
        <f>V9</f>
        <v>#REF!</v>
      </c>
      <c r="W15" s="14" t="e">
        <f>W5</f>
        <v>#REF!</v>
      </c>
      <c r="X15" s="13" t="e">
        <f>X9</f>
        <v>#REF!</v>
      </c>
      <c r="Y15" s="14" t="e">
        <f>Y5</f>
        <v>#REF!</v>
      </c>
      <c r="Z15" s="15"/>
    </row>
    <row r="16" spans="1:26" ht="24" customHeight="1">
      <c r="A16" s="962"/>
      <c r="B16" s="974"/>
      <c r="C16" s="16" t="s">
        <v>6</v>
      </c>
      <c r="D16" s="17">
        <f>D15</f>
        <v>0</v>
      </c>
      <c r="E16" s="18" t="e">
        <f>E15</f>
        <v>#REF!</v>
      </c>
      <c r="F16" s="17" t="e">
        <f>D16+F15</f>
        <v>#REF!</v>
      </c>
      <c r="G16" s="19" t="e">
        <f>E16+G15</f>
        <v>#REF!</v>
      </c>
      <c r="H16" s="17" t="e">
        <f t="shared" ref="H16:V16" si="7">F16+H15</f>
        <v>#REF!</v>
      </c>
      <c r="I16" s="19" t="e">
        <f>G16+I15</f>
        <v>#REF!</v>
      </c>
      <c r="J16" s="17" t="e">
        <f t="shared" si="7"/>
        <v>#REF!</v>
      </c>
      <c r="K16" s="19" t="e">
        <f>I16+K15</f>
        <v>#REF!</v>
      </c>
      <c r="L16" s="17" t="e">
        <f t="shared" si="7"/>
        <v>#REF!</v>
      </c>
      <c r="M16" s="19" t="e">
        <f>K16+M15</f>
        <v>#REF!</v>
      </c>
      <c r="N16" s="17" t="e">
        <f t="shared" si="7"/>
        <v>#REF!</v>
      </c>
      <c r="O16" s="19" t="e">
        <f>M16+O15</f>
        <v>#REF!</v>
      </c>
      <c r="P16" s="17" t="e">
        <f t="shared" si="7"/>
        <v>#REF!</v>
      </c>
      <c r="Q16" s="19" t="e">
        <f>O16+Q15</f>
        <v>#REF!</v>
      </c>
      <c r="R16" s="17" t="e">
        <f t="shared" si="7"/>
        <v>#REF!</v>
      </c>
      <c r="S16" s="19" t="e">
        <f>Q16+S15</f>
        <v>#REF!</v>
      </c>
      <c r="T16" s="17" t="e">
        <f t="shared" si="7"/>
        <v>#REF!</v>
      </c>
      <c r="U16" s="18" t="e">
        <f>S16+U15</f>
        <v>#REF!</v>
      </c>
      <c r="V16" s="17" t="e">
        <f t="shared" si="7"/>
        <v>#REF!</v>
      </c>
      <c r="W16" s="18" t="e">
        <f>U16+W15</f>
        <v>#REF!</v>
      </c>
      <c r="X16" s="17" t="e">
        <f>V16+X15</f>
        <v>#REF!</v>
      </c>
      <c r="Y16" s="18" t="e">
        <f>W16+Y15</f>
        <v>#REF!</v>
      </c>
      <c r="Z16" s="20" t="e">
        <f>X16</f>
        <v>#REF!</v>
      </c>
    </row>
    <row r="17" spans="1:38" s="321" customFormat="1" ht="24" customHeight="1">
      <c r="A17" s="962">
        <v>7</v>
      </c>
      <c r="B17" s="973" t="s">
        <v>11</v>
      </c>
      <c r="C17" s="317" t="s">
        <v>5</v>
      </c>
      <c r="D17" s="318" t="e">
        <f>'Key Assumptions'!#REF!</f>
        <v>#REF!</v>
      </c>
      <c r="E17" s="319" t="e">
        <f>D17/$Z$18</f>
        <v>#REF!</v>
      </c>
      <c r="F17" s="318" t="e">
        <f>'Key Assumptions'!#REF!</f>
        <v>#REF!</v>
      </c>
      <c r="G17" s="319" t="e">
        <f>F17/$Z$18</f>
        <v>#REF!</v>
      </c>
      <c r="H17" s="318" t="e">
        <f>'Key Assumptions'!#REF!</f>
        <v>#REF!</v>
      </c>
      <c r="I17" s="319" t="e">
        <f>H17/$Z$18</f>
        <v>#REF!</v>
      </c>
      <c r="J17" s="318" t="e">
        <f>'Key Assumptions'!#REF!</f>
        <v>#REF!</v>
      </c>
      <c r="K17" s="319" t="e">
        <f>J17/$Z$18</f>
        <v>#REF!</v>
      </c>
      <c r="L17" s="318" t="e">
        <f>'Key Assumptions'!#REF!</f>
        <v>#REF!</v>
      </c>
      <c r="M17" s="319" t="e">
        <f>L17/$Z$18</f>
        <v>#REF!</v>
      </c>
      <c r="N17" s="318" t="e">
        <f>'Key Assumptions'!#REF!</f>
        <v>#REF!</v>
      </c>
      <c r="O17" s="319" t="e">
        <f>N17/$Z$18</f>
        <v>#REF!</v>
      </c>
      <c r="P17" s="318" t="e">
        <f>'Key Assumptions'!#REF!</f>
        <v>#REF!</v>
      </c>
      <c r="Q17" s="319" t="e">
        <f>P17/$Z$18</f>
        <v>#REF!</v>
      </c>
      <c r="R17" s="318" t="e">
        <f>'Key Assumptions'!#REF!</f>
        <v>#REF!</v>
      </c>
      <c r="S17" s="319" t="e">
        <f>R17/$Z$18</f>
        <v>#REF!</v>
      </c>
      <c r="T17" s="318" t="e">
        <f>'Key Assumptions'!#REF!</f>
        <v>#REF!</v>
      </c>
      <c r="U17" s="319" t="e">
        <f>T17/$Z$18</f>
        <v>#REF!</v>
      </c>
      <c r="V17" s="318" t="e">
        <f>'Key Assumptions'!#REF!</f>
        <v>#REF!</v>
      </c>
      <c r="W17" s="319" t="e">
        <f>V17/$Z$18</f>
        <v>#REF!</v>
      </c>
      <c r="X17" s="318" t="e">
        <f>'Key Assumptions'!#REF!</f>
        <v>#REF!</v>
      </c>
      <c r="Y17" s="319" t="e">
        <f>X17/$Z$18</f>
        <v>#REF!</v>
      </c>
      <c r="Z17" s="320"/>
    </row>
    <row r="18" spans="1:38" ht="24" customHeight="1">
      <c r="A18" s="962"/>
      <c r="B18" s="974"/>
      <c r="C18" s="16" t="s">
        <v>6</v>
      </c>
      <c r="D18" s="17" t="e">
        <f>D17</f>
        <v>#REF!</v>
      </c>
      <c r="E18" s="18" t="e">
        <f>E17</f>
        <v>#REF!</v>
      </c>
      <c r="F18" s="17" t="e">
        <f t="shared" ref="F18:Y18" si="8">D18+F17</f>
        <v>#REF!</v>
      </c>
      <c r="G18" s="19" t="e">
        <f t="shared" si="8"/>
        <v>#REF!</v>
      </c>
      <c r="H18" s="17" t="e">
        <f t="shared" si="8"/>
        <v>#REF!</v>
      </c>
      <c r="I18" s="19" t="e">
        <f t="shared" si="8"/>
        <v>#REF!</v>
      </c>
      <c r="J18" s="17" t="e">
        <f t="shared" si="8"/>
        <v>#REF!</v>
      </c>
      <c r="K18" s="19" t="e">
        <f t="shared" si="8"/>
        <v>#REF!</v>
      </c>
      <c r="L18" s="17" t="e">
        <f t="shared" si="8"/>
        <v>#REF!</v>
      </c>
      <c r="M18" s="19" t="e">
        <f t="shared" si="8"/>
        <v>#REF!</v>
      </c>
      <c r="N18" s="17" t="e">
        <f t="shared" si="8"/>
        <v>#REF!</v>
      </c>
      <c r="O18" s="19" t="e">
        <f t="shared" si="8"/>
        <v>#REF!</v>
      </c>
      <c r="P18" s="17" t="e">
        <f t="shared" si="8"/>
        <v>#REF!</v>
      </c>
      <c r="Q18" s="19" t="e">
        <f t="shared" si="8"/>
        <v>#REF!</v>
      </c>
      <c r="R18" s="17" t="e">
        <f t="shared" si="8"/>
        <v>#REF!</v>
      </c>
      <c r="S18" s="19" t="e">
        <f t="shared" si="8"/>
        <v>#REF!</v>
      </c>
      <c r="T18" s="17" t="e">
        <f t="shared" si="8"/>
        <v>#REF!</v>
      </c>
      <c r="U18" s="19" t="e">
        <f t="shared" si="8"/>
        <v>#REF!</v>
      </c>
      <c r="V18" s="17" t="e">
        <f t="shared" si="8"/>
        <v>#REF!</v>
      </c>
      <c r="W18" s="19" t="e">
        <f t="shared" si="8"/>
        <v>#REF!</v>
      </c>
      <c r="X18" s="17" t="e">
        <f t="shared" si="8"/>
        <v>#REF!</v>
      </c>
      <c r="Y18" s="19" t="e">
        <f t="shared" si="8"/>
        <v>#REF!</v>
      </c>
      <c r="Z18" s="20" t="e">
        <f>X18</f>
        <v>#REF!</v>
      </c>
    </row>
    <row r="19" spans="1:38" s="321" customFormat="1" ht="24" customHeight="1">
      <c r="A19" s="962">
        <v>8</v>
      </c>
      <c r="B19" s="973" t="s">
        <v>12</v>
      </c>
      <c r="C19" s="317" t="s">
        <v>5</v>
      </c>
      <c r="D19" s="318">
        <f>'Revenue Assumptions'!D31</f>
        <v>0</v>
      </c>
      <c r="E19" s="319">
        <f>D19/$Z$20</f>
        <v>0</v>
      </c>
      <c r="F19" s="318">
        <f>'Revenue Assumptions'!E31</f>
        <v>5100</v>
      </c>
      <c r="G19" s="319">
        <f>F19/$Z$20</f>
        <v>0.16574585635359115</v>
      </c>
      <c r="H19" s="318">
        <f>'Revenue Assumptions'!F31</f>
        <v>1010</v>
      </c>
      <c r="I19" s="319">
        <f>H19/$Z$20</f>
        <v>3.2824179395515109E-2</v>
      </c>
      <c r="J19" s="318">
        <f>'Revenue Assumptions'!G31</f>
        <v>700</v>
      </c>
      <c r="K19" s="319">
        <f>J19/$Z$20</f>
        <v>2.2749431264218394E-2</v>
      </c>
      <c r="L19" s="318">
        <f>'Revenue Assumptions'!H31</f>
        <v>2970</v>
      </c>
      <c r="M19" s="319">
        <f>L19/$Z$20</f>
        <v>9.6522586935326615E-2</v>
      </c>
      <c r="N19" s="318">
        <f>'Revenue Assumptions'!I31</f>
        <v>4200</v>
      </c>
      <c r="O19" s="319">
        <f>N19/$Z$20</f>
        <v>0.13649658758531036</v>
      </c>
      <c r="P19" s="318">
        <f>'Revenue Assumptions'!J31</f>
        <v>4200</v>
      </c>
      <c r="Q19" s="319">
        <f>P19/$Z$20</f>
        <v>0.13649658758531036</v>
      </c>
      <c r="R19" s="318">
        <f>'Revenue Assumptions'!K31</f>
        <v>3240</v>
      </c>
      <c r="S19" s="319">
        <f>R19/$Z$20</f>
        <v>0.10529736756581086</v>
      </c>
      <c r="T19" s="318">
        <f>'Revenue Assumptions'!L31</f>
        <v>3120</v>
      </c>
      <c r="U19" s="319">
        <f>T19/$Z$20</f>
        <v>0.10139746506337341</v>
      </c>
      <c r="V19" s="318">
        <f>'Revenue Assumptions'!M31</f>
        <v>3110</v>
      </c>
      <c r="W19" s="319">
        <f>V19/$Z$20</f>
        <v>0.10107247318817029</v>
      </c>
      <c r="X19" s="318">
        <f>'Revenue Assumptions'!N31</f>
        <v>3120</v>
      </c>
      <c r="Y19" s="319">
        <f>X19/$Z$20</f>
        <v>0.10139746506337341</v>
      </c>
      <c r="Z19" s="320"/>
    </row>
    <row r="20" spans="1:38" ht="24" customHeight="1">
      <c r="A20" s="962"/>
      <c r="B20" s="974"/>
      <c r="C20" s="153" t="s">
        <v>6</v>
      </c>
      <c r="D20" s="21">
        <f>D19</f>
        <v>0</v>
      </c>
      <c r="E20" s="162">
        <f>E19</f>
        <v>0</v>
      </c>
      <c r="F20" s="21">
        <f>F19+D20</f>
        <v>5100</v>
      </c>
      <c r="G20" s="22">
        <f t="shared" ref="G20:W20" si="9">E20+G19</f>
        <v>0.16574585635359115</v>
      </c>
      <c r="H20" s="21">
        <f t="shared" si="9"/>
        <v>6110</v>
      </c>
      <c r="I20" s="22">
        <f t="shared" si="9"/>
        <v>0.19857003574910626</v>
      </c>
      <c r="J20" s="21">
        <f t="shared" si="9"/>
        <v>6810</v>
      </c>
      <c r="K20" s="22">
        <f t="shared" si="9"/>
        <v>0.22131946701332464</v>
      </c>
      <c r="L20" s="21">
        <f t="shared" si="9"/>
        <v>9780</v>
      </c>
      <c r="M20" s="22">
        <f t="shared" si="9"/>
        <v>0.31784205394865128</v>
      </c>
      <c r="N20" s="21">
        <f t="shared" si="9"/>
        <v>13980</v>
      </c>
      <c r="O20" s="22">
        <f t="shared" si="9"/>
        <v>0.45433864153396164</v>
      </c>
      <c r="P20" s="21">
        <f t="shared" si="9"/>
        <v>18180</v>
      </c>
      <c r="Q20" s="22">
        <f t="shared" si="9"/>
        <v>0.590835229119272</v>
      </c>
      <c r="R20" s="21">
        <f t="shared" si="9"/>
        <v>21420</v>
      </c>
      <c r="S20" s="22">
        <f t="shared" si="9"/>
        <v>0.69613259668508287</v>
      </c>
      <c r="T20" s="21">
        <f t="shared" si="9"/>
        <v>24540</v>
      </c>
      <c r="U20" s="22">
        <f t="shared" si="9"/>
        <v>0.79753006174845631</v>
      </c>
      <c r="V20" s="21">
        <f t="shared" si="9"/>
        <v>27650</v>
      </c>
      <c r="W20" s="22">
        <f t="shared" si="9"/>
        <v>0.89860253493662656</v>
      </c>
      <c r="X20" s="21">
        <f>V20+X19</f>
        <v>30770</v>
      </c>
      <c r="Y20" s="22">
        <f>W20+Y19</f>
        <v>1</v>
      </c>
      <c r="Z20" s="20">
        <f>X20</f>
        <v>30770</v>
      </c>
      <c r="AA20" s="154">
        <f>Z20-'Revenue Assumptions'!O31</f>
        <v>0</v>
      </c>
    </row>
    <row r="21" spans="1:38" s="316" customFormat="1" ht="24" customHeight="1">
      <c r="A21" s="962">
        <v>9</v>
      </c>
      <c r="B21" s="973" t="s">
        <v>222</v>
      </c>
      <c r="C21" s="312" t="s">
        <v>5</v>
      </c>
      <c r="D21" s="313">
        <f>'Revenue Assumptions'!D15</f>
        <v>0</v>
      </c>
      <c r="E21" s="314">
        <f>D21/$Z$22</f>
        <v>0</v>
      </c>
      <c r="F21" s="313">
        <f>'Revenue Assumptions'!E15</f>
        <v>200</v>
      </c>
      <c r="G21" s="314">
        <f>F21/$Z$22</f>
        <v>2.5316455696202532E-3</v>
      </c>
      <c r="H21" s="313">
        <f>'Revenue Assumptions'!F15</f>
        <v>1200</v>
      </c>
      <c r="I21" s="314">
        <f>H21/$Z$22</f>
        <v>1.5189873417721518E-2</v>
      </c>
      <c r="J21" s="313">
        <f>'Revenue Assumptions'!G15</f>
        <v>2400</v>
      </c>
      <c r="K21" s="314">
        <f>J21/$Z$22</f>
        <v>3.0379746835443037E-2</v>
      </c>
      <c r="L21" s="313">
        <f>'Revenue Assumptions'!H15</f>
        <v>3200</v>
      </c>
      <c r="M21" s="314">
        <f>L21/$Z$22</f>
        <v>4.0506329113924051E-2</v>
      </c>
      <c r="N21" s="313">
        <f>'Revenue Assumptions'!I15</f>
        <v>8000</v>
      </c>
      <c r="O21" s="314">
        <f>N21/$Z$22</f>
        <v>0.10126582278481013</v>
      </c>
      <c r="P21" s="313">
        <f>'Revenue Assumptions'!J15</f>
        <v>9600</v>
      </c>
      <c r="Q21" s="314">
        <f>P21/$Z$22</f>
        <v>0.12151898734177215</v>
      </c>
      <c r="R21" s="313">
        <f>'Revenue Assumptions'!K15</f>
        <v>11200</v>
      </c>
      <c r="S21" s="314">
        <f>R21/$Z$22</f>
        <v>0.14177215189873418</v>
      </c>
      <c r="T21" s="313">
        <f>'Revenue Assumptions'!L15</f>
        <v>12800</v>
      </c>
      <c r="U21" s="314">
        <f>T21/$Z$22</f>
        <v>0.16202531645569621</v>
      </c>
      <c r="V21" s="313">
        <f>'Revenue Assumptions'!M15</f>
        <v>14400</v>
      </c>
      <c r="W21" s="314">
        <f>V21/$Z$22</f>
        <v>0.18227848101265823</v>
      </c>
      <c r="X21" s="313">
        <f>'Revenue Assumptions'!N15</f>
        <v>16000</v>
      </c>
      <c r="Y21" s="314">
        <f>X21/$Z$22</f>
        <v>0.20253164556962025</v>
      </c>
      <c r="Z21" s="315"/>
      <c r="AA21" s="322"/>
    </row>
    <row r="22" spans="1:38" ht="24" customHeight="1">
      <c r="A22" s="962"/>
      <c r="B22" s="974"/>
      <c r="C22" s="16" t="s">
        <v>6</v>
      </c>
      <c r="D22" s="17"/>
      <c r="E22" s="18">
        <v>0</v>
      </c>
      <c r="F22" s="17">
        <f t="shared" ref="F22:W22" si="10">D22+F21</f>
        <v>200</v>
      </c>
      <c r="G22" s="18">
        <f t="shared" si="10"/>
        <v>2.5316455696202532E-3</v>
      </c>
      <c r="H22" s="17">
        <f t="shared" si="10"/>
        <v>1400</v>
      </c>
      <c r="I22" s="18">
        <f t="shared" si="10"/>
        <v>1.7721518987341773E-2</v>
      </c>
      <c r="J22" s="17">
        <f t="shared" si="10"/>
        <v>3800</v>
      </c>
      <c r="K22" s="18">
        <f t="shared" si="10"/>
        <v>4.810126582278481E-2</v>
      </c>
      <c r="L22" s="17">
        <f t="shared" si="10"/>
        <v>7000</v>
      </c>
      <c r="M22" s="18">
        <f t="shared" si="10"/>
        <v>8.8607594936708861E-2</v>
      </c>
      <c r="N22" s="17">
        <f t="shared" si="10"/>
        <v>15000</v>
      </c>
      <c r="O22" s="18">
        <f t="shared" si="10"/>
        <v>0.189873417721519</v>
      </c>
      <c r="P22" s="17">
        <f t="shared" si="10"/>
        <v>24600</v>
      </c>
      <c r="Q22" s="18">
        <f t="shared" si="10"/>
        <v>0.31139240506329113</v>
      </c>
      <c r="R22" s="17">
        <f t="shared" si="10"/>
        <v>35800</v>
      </c>
      <c r="S22" s="18">
        <f t="shared" si="10"/>
        <v>0.45316455696202529</v>
      </c>
      <c r="T22" s="17">
        <f t="shared" si="10"/>
        <v>48600</v>
      </c>
      <c r="U22" s="18">
        <f t="shared" si="10"/>
        <v>0.61518987341772147</v>
      </c>
      <c r="V22" s="17">
        <f t="shared" si="10"/>
        <v>63000</v>
      </c>
      <c r="W22" s="18">
        <f t="shared" si="10"/>
        <v>0.79746835443037967</v>
      </c>
      <c r="X22" s="17">
        <f>V22+X21</f>
        <v>79000</v>
      </c>
      <c r="Y22" s="18">
        <f>W22+Y21</f>
        <v>0.99999999999999989</v>
      </c>
      <c r="Z22" s="20">
        <f>X22</f>
        <v>79000</v>
      </c>
      <c r="AA22" s="154"/>
    </row>
    <row r="23" spans="1:38" s="360" customFormat="1" ht="24" customHeight="1">
      <c r="A23" s="962">
        <v>10</v>
      </c>
      <c r="B23" s="973" t="s">
        <v>13</v>
      </c>
      <c r="C23" s="355" t="s">
        <v>5</v>
      </c>
      <c r="D23" s="356">
        <v>0</v>
      </c>
      <c r="E23" s="357">
        <f>D23/$Z$24</f>
        <v>0</v>
      </c>
      <c r="F23" s="356">
        <f>'Revenue Assumptions'!E24+'Revenue Assumptions'!E17</f>
        <v>330000</v>
      </c>
      <c r="G23" s="357">
        <f>F23/$Z$24</f>
        <v>2.9004614370468029E-2</v>
      </c>
      <c r="H23" s="356">
        <f>'Revenue Assumptions'!F24+'Revenue Assumptions'!F17</f>
        <v>380000</v>
      </c>
      <c r="I23" s="357">
        <f>H23/$Z$24</f>
        <v>3.3399252911448032E-2</v>
      </c>
      <c r="J23" s="356">
        <f>'Revenue Assumptions'!G24+'Revenue Assumptions'!G17</f>
        <v>435000</v>
      </c>
      <c r="K23" s="357">
        <f>J23/$Z$24</f>
        <v>3.8233355306526037E-2</v>
      </c>
      <c r="L23" s="356">
        <f>'Revenue Assumptions'!H24+'Revenue Assumptions'!H17</f>
        <v>642500</v>
      </c>
      <c r="M23" s="357">
        <f>L23/$Z$24</f>
        <v>5.6471105251593059E-2</v>
      </c>
      <c r="N23" s="356">
        <f>'Revenue Assumptions'!I24+'Revenue Assumptions'!I17</f>
        <v>920000</v>
      </c>
      <c r="O23" s="357">
        <f>N23/$Z$24</f>
        <v>8.0861349154032078E-2</v>
      </c>
      <c r="P23" s="356">
        <f>'Revenue Assumptions'!J24+'Revenue Assumptions'!J17</f>
        <v>1260000</v>
      </c>
      <c r="Q23" s="357">
        <f>P23/$Z$24</f>
        <v>0.11074489123269611</v>
      </c>
      <c r="R23" s="356">
        <f>'Revenue Assumptions'!K24+'Revenue Assumptions'!K17</f>
        <v>1470000</v>
      </c>
      <c r="S23" s="357">
        <f>R23/$Z$24</f>
        <v>0.12920237310481214</v>
      </c>
      <c r="T23" s="356">
        <f>'Revenue Assumptions'!L24+'Revenue Assumptions'!L17</f>
        <v>1760000</v>
      </c>
      <c r="U23" s="357">
        <f>T23/$Z$24</f>
        <v>0.15469127664249616</v>
      </c>
      <c r="V23" s="356">
        <f>'Revenue Assumptions'!M24+'Revenue Assumptions'!M17</f>
        <v>1980000</v>
      </c>
      <c r="W23" s="357">
        <f>V23/$Z$24</f>
        <v>0.17402768622280818</v>
      </c>
      <c r="X23" s="356">
        <f>'Revenue Assumptions'!N24+'Revenue Assumptions'!N17</f>
        <v>2200000</v>
      </c>
      <c r="Y23" s="357">
        <f>X23/$Z$24</f>
        <v>0.1933640958031202</v>
      </c>
      <c r="Z23" s="358"/>
      <c r="AA23" s="359"/>
    </row>
    <row r="24" spans="1:38" ht="24" customHeight="1">
      <c r="A24" s="962"/>
      <c r="B24" s="974"/>
      <c r="C24" s="16" t="s">
        <v>6</v>
      </c>
      <c r="D24" s="17">
        <f>D23</f>
        <v>0</v>
      </c>
      <c r="E24" s="18">
        <f>E23</f>
        <v>0</v>
      </c>
      <c r="F24" s="17">
        <f t="shared" ref="F24:T24" si="11">D24+F23</f>
        <v>330000</v>
      </c>
      <c r="G24" s="18">
        <f>E24+G23</f>
        <v>2.9004614370468029E-2</v>
      </c>
      <c r="H24" s="17">
        <f t="shared" si="11"/>
        <v>710000</v>
      </c>
      <c r="I24" s="18">
        <f>G24+I23</f>
        <v>6.2403867281916062E-2</v>
      </c>
      <c r="J24" s="17">
        <f t="shared" si="11"/>
        <v>1145000</v>
      </c>
      <c r="K24" s="18">
        <f>I24+K23</f>
        <v>0.1006372225884421</v>
      </c>
      <c r="L24" s="17">
        <f t="shared" si="11"/>
        <v>1787500</v>
      </c>
      <c r="M24" s="18">
        <f>K24+M23</f>
        <v>0.15710832784003514</v>
      </c>
      <c r="N24" s="17">
        <f t="shared" si="11"/>
        <v>2707500</v>
      </c>
      <c r="O24" s="18">
        <f>M24+O23</f>
        <v>0.23796967699406724</v>
      </c>
      <c r="P24" s="17">
        <f t="shared" si="11"/>
        <v>3967500</v>
      </c>
      <c r="Q24" s="18">
        <f>O24+Q23</f>
        <v>0.34871456822676333</v>
      </c>
      <c r="R24" s="17">
        <f t="shared" si="11"/>
        <v>5437500</v>
      </c>
      <c r="S24" s="18">
        <f>Q24+S23</f>
        <v>0.47791694133157547</v>
      </c>
      <c r="T24" s="17">
        <f t="shared" si="11"/>
        <v>7197500</v>
      </c>
      <c r="U24" s="18">
        <f>S24+U23</f>
        <v>0.63260821797407163</v>
      </c>
      <c r="V24" s="17">
        <f>T24+V23</f>
        <v>9177500</v>
      </c>
      <c r="W24" s="18">
        <f>U24+W23</f>
        <v>0.8066359041968798</v>
      </c>
      <c r="X24" s="17">
        <f>V24+X23</f>
        <v>11377500</v>
      </c>
      <c r="Y24" s="18">
        <f>W24+Y23</f>
        <v>1</v>
      </c>
      <c r="Z24" s="20">
        <f>X24</f>
        <v>11377500</v>
      </c>
      <c r="AA24" s="154"/>
    </row>
    <row r="25" spans="1:38" ht="42" customHeight="1">
      <c r="A25" s="156">
        <v>11</v>
      </c>
      <c r="B25" s="345" t="s">
        <v>14</v>
      </c>
      <c r="C25" s="153" t="s">
        <v>5</v>
      </c>
      <c r="D25" s="21"/>
      <c r="E25" s="152">
        <v>0</v>
      </c>
      <c r="F25" s="21"/>
      <c r="G25" s="152">
        <v>0.95</v>
      </c>
      <c r="H25" s="21"/>
      <c r="I25" s="152">
        <v>0.8</v>
      </c>
      <c r="J25" s="21"/>
      <c r="K25" s="152">
        <v>0.9</v>
      </c>
      <c r="L25" s="21"/>
      <c r="M25" s="152">
        <v>0.9</v>
      </c>
      <c r="N25" s="21"/>
      <c r="O25" s="152">
        <v>0.9</v>
      </c>
      <c r="P25" s="21"/>
      <c r="Q25" s="152">
        <v>0.85</v>
      </c>
      <c r="R25" s="21"/>
      <c r="S25" s="152">
        <v>0.85</v>
      </c>
      <c r="T25" s="21"/>
      <c r="U25" s="152">
        <v>0.85</v>
      </c>
      <c r="V25" s="21"/>
      <c r="W25" s="152">
        <v>0.85</v>
      </c>
      <c r="X25" s="217"/>
      <c r="Y25" s="217">
        <v>0.85</v>
      </c>
      <c r="Z25" s="25"/>
    </row>
    <row r="27" spans="1:38" ht="15" hidden="1">
      <c r="B27" s="143"/>
      <c r="C27" s="144"/>
      <c r="D27" s="145"/>
      <c r="E27" s="144"/>
      <c r="F27" s="146"/>
      <c r="G27" s="144"/>
      <c r="H27" s="146"/>
      <c r="I27" s="144"/>
      <c r="J27" s="146"/>
      <c r="K27" s="144"/>
      <c r="L27" s="146"/>
      <c r="M27" s="144"/>
      <c r="N27" s="146"/>
      <c r="O27" s="144"/>
      <c r="P27" s="146"/>
      <c r="Q27" s="144"/>
      <c r="R27" s="146"/>
      <c r="S27" s="144"/>
      <c r="T27" s="146"/>
      <c r="U27" s="144"/>
      <c r="V27" s="146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</row>
    <row r="28" spans="1:38" ht="15" hidden="1">
      <c r="B28" s="147"/>
      <c r="C28" s="144"/>
      <c r="D28" s="146"/>
      <c r="E28" s="144"/>
      <c r="F28" s="146"/>
      <c r="G28" s="148"/>
      <c r="H28" s="146"/>
      <c r="I28" s="148"/>
      <c r="J28" s="146"/>
      <c r="K28" s="148"/>
      <c r="L28" s="146"/>
      <c r="M28" s="148"/>
      <c r="N28" s="146"/>
      <c r="O28" s="148"/>
      <c r="P28" s="146"/>
      <c r="Q28" s="148"/>
      <c r="R28" s="146"/>
      <c r="S28" s="148"/>
      <c r="T28" s="146"/>
      <c r="U28" s="148"/>
      <c r="V28" s="149"/>
      <c r="W28" s="148"/>
      <c r="X28" s="148"/>
      <c r="Y28" s="148"/>
      <c r="Z28" s="112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</row>
    <row r="29" spans="1:38" hidden="1">
      <c r="Z29" s="27"/>
    </row>
    <row r="30" spans="1:38">
      <c r="B30" s="183"/>
      <c r="I30" s="26"/>
      <c r="W30" s="28"/>
      <c r="X30" s="28"/>
      <c r="Y30" s="28"/>
    </row>
    <row r="31" spans="1:38">
      <c r="B31" s="183"/>
      <c r="C31" s="27"/>
      <c r="I31" s="26"/>
      <c r="W31" s="28"/>
      <c r="X31" s="28"/>
      <c r="Y31" s="28"/>
    </row>
    <row r="32" spans="1:38">
      <c r="B32" s="183"/>
      <c r="C32" s="27"/>
      <c r="I32" s="26"/>
      <c r="K32" s="26"/>
      <c r="M32" s="26"/>
      <c r="O32" s="26"/>
      <c r="Q32" s="26"/>
      <c r="S32" s="26"/>
      <c r="U32" s="26"/>
      <c r="W32" s="28"/>
      <c r="X32" s="28"/>
      <c r="Y32" s="28"/>
    </row>
    <row r="33" spans="2:27">
      <c r="D33" s="1"/>
      <c r="F33" s="1"/>
      <c r="H33" s="1"/>
      <c r="J33" s="1"/>
      <c r="L33" s="1"/>
      <c r="N33" s="1"/>
      <c r="P33" s="1"/>
      <c r="R33" s="1"/>
      <c r="T33" s="1"/>
      <c r="V33" s="1"/>
    </row>
    <row r="34" spans="2:27">
      <c r="W34" s="28"/>
      <c r="X34" s="28"/>
      <c r="Y34" s="28"/>
    </row>
    <row r="43" spans="2:27">
      <c r="B43" s="1"/>
    </row>
    <row r="44" spans="2:27">
      <c r="B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9"/>
      <c r="P44" s="29"/>
      <c r="Q44" s="29"/>
      <c r="R44" s="29"/>
    </row>
    <row r="45" spans="2:27">
      <c r="B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9"/>
      <c r="P45" s="29"/>
      <c r="Q45" s="29"/>
      <c r="R45" s="29"/>
      <c r="AA45" s="30"/>
    </row>
    <row r="49" spans="6:14" ht="15">
      <c r="F49" s="31"/>
      <c r="G49" s="32"/>
      <c r="H49" s="31"/>
      <c r="I49" s="32"/>
      <c r="J49" s="31"/>
      <c r="K49" s="32"/>
      <c r="L49" s="31"/>
      <c r="M49" s="32"/>
      <c r="N49" s="31"/>
    </row>
    <row r="50" spans="6:14" ht="15">
      <c r="F50" s="33"/>
      <c r="G50" s="33"/>
      <c r="H50" s="33"/>
      <c r="I50" s="33"/>
      <c r="J50" s="33"/>
      <c r="K50" s="33"/>
      <c r="L50" s="33"/>
      <c r="M50" s="33"/>
      <c r="N50" s="33"/>
    </row>
    <row r="62" spans="6:14" ht="15">
      <c r="H62" s="34"/>
    </row>
  </sheetData>
  <mergeCells count="35">
    <mergeCell ref="A23:A24"/>
    <mergeCell ref="B23:B24"/>
    <mergeCell ref="A19:A20"/>
    <mergeCell ref="B19:B20"/>
    <mergeCell ref="A21:A22"/>
    <mergeCell ref="B21:B22"/>
    <mergeCell ref="A15:A16"/>
    <mergeCell ref="B15:B16"/>
    <mergeCell ref="A17:A18"/>
    <mergeCell ref="B17:B18"/>
    <mergeCell ref="A9:A10"/>
    <mergeCell ref="B9:B10"/>
    <mergeCell ref="A11:A12"/>
    <mergeCell ref="B11:B12"/>
    <mergeCell ref="A13:A14"/>
    <mergeCell ref="B13:B14"/>
    <mergeCell ref="A7:A8"/>
    <mergeCell ref="B7:B8"/>
    <mergeCell ref="J3:K3"/>
    <mergeCell ref="L3:M3"/>
    <mergeCell ref="N3:O3"/>
    <mergeCell ref="B3:B4"/>
    <mergeCell ref="C3:C4"/>
    <mergeCell ref="D3:E3"/>
    <mergeCell ref="F3:G3"/>
    <mergeCell ref="H3:I3"/>
    <mergeCell ref="A3:A4"/>
    <mergeCell ref="A1:Z1"/>
    <mergeCell ref="T3:U3"/>
    <mergeCell ref="V3:W3"/>
    <mergeCell ref="A5:A6"/>
    <mergeCell ref="B5:B6"/>
    <mergeCell ref="P3:Q3"/>
    <mergeCell ref="R3:S3"/>
    <mergeCell ref="X3:Y3"/>
  </mergeCells>
  <pageMargins left="0.32" right="0.38" top="0.52" bottom="0.75" header="0.3" footer="0.3"/>
  <pageSetup paperSize="5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42"/>
  <sheetViews>
    <sheetView topLeftCell="A2" zoomScale="85" zoomScaleNormal="85" workbookViewId="0">
      <pane xSplit="3" ySplit="2" topLeftCell="D23" activePane="bottomRight" state="frozen"/>
      <selection activeCell="A2" sqref="A2"/>
      <selection pane="topRight" activeCell="D2" sqref="D2"/>
      <selection pane="bottomLeft" activeCell="A5" sqref="A5"/>
      <selection pane="bottomRight" activeCell="I27" sqref="I27"/>
    </sheetView>
  </sheetViews>
  <sheetFormatPr defaultColWidth="15.5703125" defaultRowHeight="15"/>
  <cols>
    <col min="1" max="1" width="9.140625" style="244" customWidth="1"/>
    <col min="2" max="2" width="46.28515625" style="244" customWidth="1"/>
    <col min="3" max="3" width="10.42578125" style="244" customWidth="1"/>
    <col min="4" max="4" width="10.140625" style="244" customWidth="1"/>
    <col min="5" max="6" width="12.7109375" style="244" bestFit="1" customWidth="1"/>
    <col min="7" max="7" width="12.7109375" style="244" customWidth="1"/>
    <col min="8" max="8" width="14.28515625" style="244" customWidth="1"/>
    <col min="9" max="9" width="14.28515625" style="244" bestFit="1" customWidth="1"/>
    <col min="10" max="13" width="14.42578125" style="244" customWidth="1"/>
    <col min="14" max="14" width="14.42578125" style="244" bestFit="1" customWidth="1"/>
    <col min="15" max="15" width="15.42578125" style="244" bestFit="1" customWidth="1"/>
    <col min="16" max="16" width="56" style="250" bestFit="1" customWidth="1"/>
    <col min="17" max="17" width="11.5703125" style="244" bestFit="1" customWidth="1"/>
    <col min="18" max="18" width="10.5703125" style="244" bestFit="1" customWidth="1"/>
    <col min="19" max="242" width="9.140625" style="244" customWidth="1"/>
    <col min="243" max="243" width="32.7109375" style="244" bestFit="1" customWidth="1"/>
    <col min="244" max="246" width="21.42578125" style="244" customWidth="1"/>
    <col min="247" max="247" width="23.5703125" style="244" customWidth="1"/>
    <col min="248" max="248" width="9.42578125" style="244" customWidth="1"/>
    <col min="249" max="249" width="15.28515625" style="244" bestFit="1" customWidth="1"/>
    <col min="250" max="250" width="8" style="244" customWidth="1"/>
    <col min="251" max="251" width="12.5703125" style="244" bestFit="1" customWidth="1"/>
    <col min="252" max="252" width="11.85546875" style="244" customWidth="1"/>
    <col min="253" max="16384" width="15.5703125" style="244"/>
  </cols>
  <sheetData>
    <row r="2" spans="1:16" ht="30.75" customHeight="1">
      <c r="A2" s="976" t="s">
        <v>309</v>
      </c>
      <c r="B2" s="976"/>
      <c r="C2" s="976"/>
      <c r="D2" s="976"/>
      <c r="E2" s="976"/>
      <c r="F2" s="976"/>
      <c r="G2" s="976"/>
      <c r="H2" s="976"/>
      <c r="I2" s="976"/>
      <c r="J2" s="976"/>
      <c r="K2" s="976"/>
      <c r="L2" s="976"/>
      <c r="M2" s="976"/>
      <c r="N2" s="976"/>
      <c r="O2" s="976"/>
    </row>
    <row r="3" spans="1:16" s="245" customFormat="1" ht="25.5">
      <c r="A3" s="340" t="s">
        <v>16</v>
      </c>
      <c r="B3" s="340" t="s">
        <v>0</v>
      </c>
      <c r="C3" s="340"/>
      <c r="D3" s="341" t="s">
        <v>267</v>
      </c>
      <c r="E3" s="341" t="s">
        <v>143</v>
      </c>
      <c r="F3" s="341" t="s">
        <v>144</v>
      </c>
      <c r="G3" s="341" t="s">
        <v>149</v>
      </c>
      <c r="H3" s="341" t="s">
        <v>150</v>
      </c>
      <c r="I3" s="341" t="s">
        <v>151</v>
      </c>
      <c r="J3" s="341" t="s">
        <v>177</v>
      </c>
      <c r="K3" s="341" t="s">
        <v>178</v>
      </c>
      <c r="L3" s="341" t="s">
        <v>179</v>
      </c>
      <c r="M3" s="341" t="s">
        <v>180</v>
      </c>
      <c r="N3" s="341" t="s">
        <v>181</v>
      </c>
      <c r="O3" s="342" t="s">
        <v>270</v>
      </c>
      <c r="P3" s="251"/>
    </row>
    <row r="4" spans="1:16" ht="30">
      <c r="A4" s="234">
        <v>1</v>
      </c>
      <c r="B4" s="246" t="s">
        <v>271</v>
      </c>
      <c r="C4" s="290"/>
      <c r="D4" s="290"/>
      <c r="E4" s="273">
        <v>25</v>
      </c>
      <c r="F4" s="223">
        <v>50</v>
      </c>
      <c r="G4" s="223">
        <v>25</v>
      </c>
      <c r="H4" s="223"/>
      <c r="I4" s="223"/>
      <c r="J4" s="223"/>
      <c r="K4" s="223"/>
      <c r="L4" s="223"/>
      <c r="M4" s="223"/>
      <c r="N4" s="223"/>
      <c r="O4" s="224">
        <f>E4+F4+G4+H4+I4+J4+K4+L4+M4+N4</f>
        <v>100</v>
      </c>
      <c r="P4" s="252"/>
    </row>
    <row r="5" spans="1:16" ht="35.25" customHeight="1">
      <c r="A5" s="234">
        <v>2</v>
      </c>
      <c r="B5" s="296" t="s">
        <v>273</v>
      </c>
      <c r="C5" s="222"/>
      <c r="D5" s="222"/>
      <c r="E5" s="274">
        <v>20</v>
      </c>
      <c r="F5" s="223">
        <v>20</v>
      </c>
      <c r="G5" s="223">
        <v>20</v>
      </c>
      <c r="H5" s="223">
        <v>20</v>
      </c>
      <c r="I5" s="223">
        <v>20</v>
      </c>
      <c r="J5" s="223">
        <v>20</v>
      </c>
      <c r="K5" s="223">
        <v>20</v>
      </c>
      <c r="L5" s="223">
        <v>20</v>
      </c>
      <c r="M5" s="223">
        <v>20</v>
      </c>
      <c r="N5" s="223">
        <v>20</v>
      </c>
      <c r="O5" s="224">
        <f>SUM(E5:N5)</f>
        <v>200</v>
      </c>
      <c r="P5" s="252"/>
    </row>
    <row r="6" spans="1:16" ht="35.25" customHeight="1">
      <c r="A6" s="234">
        <v>3</v>
      </c>
      <c r="B6" s="297" t="s">
        <v>286</v>
      </c>
      <c r="C6" s="222"/>
      <c r="D6" s="222"/>
      <c r="E6" s="275">
        <v>50</v>
      </c>
      <c r="F6" s="240">
        <v>50</v>
      </c>
      <c r="G6" s="240">
        <v>50</v>
      </c>
      <c r="H6" s="240">
        <v>75</v>
      </c>
      <c r="I6" s="240">
        <v>90</v>
      </c>
      <c r="J6" s="240">
        <v>120</v>
      </c>
      <c r="K6" s="240">
        <v>140</v>
      </c>
      <c r="L6" s="240">
        <v>160</v>
      </c>
      <c r="M6" s="240">
        <v>180</v>
      </c>
      <c r="N6" s="240">
        <v>200</v>
      </c>
      <c r="O6" s="224">
        <f>SUM(E6:N6)</f>
        <v>1115</v>
      </c>
      <c r="P6" s="252"/>
    </row>
    <row r="7" spans="1:16" ht="35.25" customHeight="1">
      <c r="A7" s="979" t="s">
        <v>272</v>
      </c>
      <c r="B7" s="980"/>
      <c r="C7" s="222"/>
      <c r="D7" s="222"/>
      <c r="E7" s="274"/>
      <c r="F7" s="223"/>
      <c r="G7" s="223"/>
      <c r="H7" s="223"/>
      <c r="I7" s="223"/>
      <c r="J7" s="223"/>
      <c r="K7" s="223"/>
      <c r="L7" s="223"/>
      <c r="M7" s="223"/>
      <c r="N7" s="223"/>
      <c r="O7" s="224"/>
      <c r="P7" s="252"/>
    </row>
    <row r="8" spans="1:16" ht="35.25" customHeight="1">
      <c r="A8" s="234">
        <v>1</v>
      </c>
      <c r="B8" s="297" t="s">
        <v>284</v>
      </c>
      <c r="C8" s="247"/>
      <c r="D8" s="247"/>
      <c r="E8" s="276">
        <v>0.1</v>
      </c>
      <c r="F8" s="227">
        <v>0.1</v>
      </c>
      <c r="G8" s="227">
        <v>0.1</v>
      </c>
      <c r="H8" s="227">
        <v>0.1</v>
      </c>
      <c r="I8" s="227">
        <v>0.2</v>
      </c>
      <c r="J8" s="227">
        <v>0.2</v>
      </c>
      <c r="K8" s="227">
        <v>0.2</v>
      </c>
      <c r="L8" s="227">
        <v>0.2</v>
      </c>
      <c r="M8" s="227">
        <v>0.2</v>
      </c>
      <c r="N8" s="227">
        <v>0.2</v>
      </c>
      <c r="O8" s="228">
        <v>0.2</v>
      </c>
      <c r="P8" s="252"/>
    </row>
    <row r="9" spans="1:16" ht="35.25" customHeight="1">
      <c r="A9" s="234">
        <f>+A8+1</f>
        <v>2</v>
      </c>
      <c r="B9" s="296" t="s">
        <v>274</v>
      </c>
      <c r="C9" s="222"/>
      <c r="D9" s="222"/>
      <c r="E9" s="277">
        <f>E4*E5*E8</f>
        <v>50</v>
      </c>
      <c r="F9" s="229">
        <f>(F5*(F4+E4)+E5*F4)*F8</f>
        <v>250</v>
      </c>
      <c r="G9" s="229">
        <f>(G5*(G4+F4+E4)+SUM(E5+F5)*G4)*G8</f>
        <v>300</v>
      </c>
      <c r="H9" s="229">
        <f t="shared" ref="H9:N9" si="0">(H5*100)*H8</f>
        <v>200</v>
      </c>
      <c r="I9" s="229">
        <f t="shared" si="0"/>
        <v>400</v>
      </c>
      <c r="J9" s="229">
        <f t="shared" si="0"/>
        <v>400</v>
      </c>
      <c r="K9" s="229">
        <f t="shared" si="0"/>
        <v>400</v>
      </c>
      <c r="L9" s="229">
        <f t="shared" si="0"/>
        <v>400</v>
      </c>
      <c r="M9" s="229">
        <f t="shared" si="0"/>
        <v>400</v>
      </c>
      <c r="N9" s="229">
        <f t="shared" si="0"/>
        <v>400</v>
      </c>
      <c r="O9" s="239">
        <f>SUM(E9:N9)</f>
        <v>3200</v>
      </c>
      <c r="P9" s="252"/>
    </row>
    <row r="10" spans="1:16" s="271" customFormat="1" ht="35.25" customHeight="1">
      <c r="A10" s="270">
        <f>+A9+1</f>
        <v>3</v>
      </c>
      <c r="B10" s="296" t="e">
        <f>'Key Assumptions'!#REF!</f>
        <v>#REF!</v>
      </c>
      <c r="C10" s="303" t="e">
        <f>'Key Assumptions'!#REF!</f>
        <v>#REF!</v>
      </c>
      <c r="D10" s="222"/>
      <c r="E10" s="278" t="e">
        <f t="shared" ref="E10:N10" si="1">E9*$C$10</f>
        <v>#REF!</v>
      </c>
      <c r="F10" s="237" t="e">
        <f t="shared" si="1"/>
        <v>#REF!</v>
      </c>
      <c r="G10" s="237" t="e">
        <f t="shared" si="1"/>
        <v>#REF!</v>
      </c>
      <c r="H10" s="237" t="e">
        <f t="shared" si="1"/>
        <v>#REF!</v>
      </c>
      <c r="I10" s="237" t="e">
        <f t="shared" si="1"/>
        <v>#REF!</v>
      </c>
      <c r="J10" s="237" t="e">
        <f t="shared" si="1"/>
        <v>#REF!</v>
      </c>
      <c r="K10" s="237" t="e">
        <f t="shared" si="1"/>
        <v>#REF!</v>
      </c>
      <c r="L10" s="237" t="e">
        <f t="shared" si="1"/>
        <v>#REF!</v>
      </c>
      <c r="M10" s="237" t="e">
        <f t="shared" si="1"/>
        <v>#REF!</v>
      </c>
      <c r="N10" s="237" t="e">
        <f t="shared" si="1"/>
        <v>#REF!</v>
      </c>
      <c r="O10" s="239" t="e">
        <f>SUM(E10:N10)</f>
        <v>#REF!</v>
      </c>
      <c r="P10" s="326"/>
    </row>
    <row r="11" spans="1:16" s="271" customFormat="1" ht="35.25" customHeight="1">
      <c r="A11" s="270">
        <f>+A10+1</f>
        <v>4</v>
      </c>
      <c r="B11" s="296" t="e">
        <f>'Key Assumptions'!#REF!</f>
        <v>#REF!</v>
      </c>
      <c r="C11" s="303" t="e">
        <f>'Key Assumptions'!#REF!</f>
        <v>#REF!</v>
      </c>
      <c r="D11" s="222"/>
      <c r="E11" s="279">
        <v>0</v>
      </c>
      <c r="F11" s="241">
        <v>0</v>
      </c>
      <c r="G11" s="241">
        <v>0</v>
      </c>
      <c r="H11" s="241" t="e">
        <f>$C$11*E9</f>
        <v>#REF!</v>
      </c>
      <c r="I11" s="241" t="e">
        <f>$C$11*(E9+F9)</f>
        <v>#REF!</v>
      </c>
      <c r="J11" s="241" t="e">
        <f>$C$11*(E9+F9+G9)</f>
        <v>#REF!</v>
      </c>
      <c r="K11" s="241" t="e">
        <f>$C$11*(E9+F9+G9+H9)</f>
        <v>#REF!</v>
      </c>
      <c r="L11" s="241" t="e">
        <f>$C$11*(E9+F9+G9+H9+I9)</f>
        <v>#REF!</v>
      </c>
      <c r="M11" s="241" t="e">
        <f>$C$11*(E9+F9+G9+H9+I9+J9)</f>
        <v>#REF!</v>
      </c>
      <c r="N11" s="241" t="e">
        <f>$C$11*(E9+F9+G9+H9+I9+J9+K9)</f>
        <v>#REF!</v>
      </c>
      <c r="O11" s="239" t="e">
        <f>SUM(E11:N11)</f>
        <v>#REF!</v>
      </c>
      <c r="P11" s="326"/>
    </row>
    <row r="12" spans="1:16" s="271" customFormat="1" ht="35.25" customHeight="1">
      <c r="A12" s="270">
        <f>+A11+1</f>
        <v>5</v>
      </c>
      <c r="B12" s="296" t="e">
        <f>'Key Assumptions'!#REF!</f>
        <v>#REF!</v>
      </c>
      <c r="C12" s="303" t="e">
        <f>'Key Assumptions'!#REF!</f>
        <v>#REF!</v>
      </c>
      <c r="D12" s="222"/>
      <c r="E12" s="278" t="e">
        <f>$C$12*E6</f>
        <v>#REF!</v>
      </c>
      <c r="F12" s="237" t="e">
        <f t="shared" ref="F12:N12" si="2">E12+$C$12*F6</f>
        <v>#REF!</v>
      </c>
      <c r="G12" s="237" t="e">
        <f t="shared" si="2"/>
        <v>#REF!</v>
      </c>
      <c r="H12" s="237" t="e">
        <f t="shared" si="2"/>
        <v>#REF!</v>
      </c>
      <c r="I12" s="237" t="e">
        <f t="shared" si="2"/>
        <v>#REF!</v>
      </c>
      <c r="J12" s="237" t="e">
        <f t="shared" si="2"/>
        <v>#REF!</v>
      </c>
      <c r="K12" s="237" t="e">
        <f t="shared" si="2"/>
        <v>#REF!</v>
      </c>
      <c r="L12" s="237" t="e">
        <f t="shared" si="2"/>
        <v>#REF!</v>
      </c>
      <c r="M12" s="237" t="e">
        <f t="shared" si="2"/>
        <v>#REF!</v>
      </c>
      <c r="N12" s="237" t="e">
        <f t="shared" si="2"/>
        <v>#REF!</v>
      </c>
      <c r="O12" s="239" t="e">
        <f>SUM(E12:N12)</f>
        <v>#REF!</v>
      </c>
      <c r="P12" s="272"/>
    </row>
    <row r="13" spans="1:16" ht="35.25" customHeight="1">
      <c r="A13" s="979" t="s">
        <v>275</v>
      </c>
      <c r="B13" s="980"/>
      <c r="C13" s="291"/>
      <c r="D13" s="291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1"/>
      <c r="P13" s="252"/>
    </row>
    <row r="14" spans="1:16" ht="35.25" customHeight="1">
      <c r="A14" s="225"/>
      <c r="B14" s="343" t="s">
        <v>290</v>
      </c>
      <c r="C14" s="291"/>
      <c r="D14" s="291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49"/>
      <c r="P14" s="252"/>
    </row>
    <row r="15" spans="1:16" ht="35.25" customHeight="1">
      <c r="A15" s="234">
        <v>1</v>
      </c>
      <c r="B15" s="298" t="s">
        <v>287</v>
      </c>
      <c r="C15" s="291">
        <v>4</v>
      </c>
      <c r="D15" s="266"/>
      <c r="E15" s="280">
        <f>(E5*E4*E8*C15)</f>
        <v>200</v>
      </c>
      <c r="F15" s="223">
        <f>(($E$5+$F$5)*($E$4+$F$4))*$C$15*F8</f>
        <v>1200</v>
      </c>
      <c r="G15" s="223">
        <f>(SUM(E5:G5)*($G$4+$F$4+$E$4))*$C$15*G8</f>
        <v>2400</v>
      </c>
      <c r="H15" s="223">
        <f>(SUM(E5:H5)*($G$4+$F$4+$E$4))*$C$15*H8</f>
        <v>3200</v>
      </c>
      <c r="I15" s="223">
        <f>(SUM(E5:I5)*($G$4+$F$4+$E$4))*$C$15*I8</f>
        <v>8000</v>
      </c>
      <c r="J15" s="223">
        <f>(SUM(E5:J5)*($G$4+$F$4+$E$4))*$C$15*J8</f>
        <v>9600</v>
      </c>
      <c r="K15" s="223">
        <f>(SUM(E5:K5)*($G$4+$F$4+$E$4))*$C$15*K8</f>
        <v>11200</v>
      </c>
      <c r="L15" s="223">
        <f>(SUM(E5:L5)*($G$4+$F$4+$E$4))*$C$15*L8</f>
        <v>12800</v>
      </c>
      <c r="M15" s="223">
        <f>(SUM(E5:M5)*($G$4+$F$4+$E$4))*$C$15*M8</f>
        <v>14400</v>
      </c>
      <c r="N15" s="223">
        <f>(SUM(E5:N5)*($G$4+$F$4+$E$4))*$C$15*N8</f>
        <v>16000</v>
      </c>
      <c r="O15" s="224">
        <f>SUM(E15:N15)</f>
        <v>79000</v>
      </c>
      <c r="P15" s="252"/>
    </row>
    <row r="16" spans="1:16" ht="35.25" customHeight="1">
      <c r="A16" s="234">
        <f>A15+1</f>
        <v>2</v>
      </c>
      <c r="B16" s="298" t="s">
        <v>288</v>
      </c>
      <c r="C16" s="291">
        <v>25</v>
      </c>
      <c r="D16" s="266"/>
      <c r="E16" s="281">
        <f>$C$16</f>
        <v>25</v>
      </c>
      <c r="F16" s="223">
        <f t="shared" ref="F16:N16" si="3">$C$16</f>
        <v>25</v>
      </c>
      <c r="G16" s="223">
        <f t="shared" si="3"/>
        <v>25</v>
      </c>
      <c r="H16" s="223">
        <f t="shared" si="3"/>
        <v>25</v>
      </c>
      <c r="I16" s="223">
        <f t="shared" si="3"/>
        <v>25</v>
      </c>
      <c r="J16" s="223">
        <f t="shared" si="3"/>
        <v>25</v>
      </c>
      <c r="K16" s="223">
        <f t="shared" si="3"/>
        <v>25</v>
      </c>
      <c r="L16" s="223">
        <f t="shared" si="3"/>
        <v>25</v>
      </c>
      <c r="M16" s="223">
        <f t="shared" si="3"/>
        <v>25</v>
      </c>
      <c r="N16" s="223">
        <f t="shared" si="3"/>
        <v>25</v>
      </c>
      <c r="O16" s="224"/>
      <c r="P16" s="252"/>
    </row>
    <row r="17" spans="1:18" ht="35.25" customHeight="1">
      <c r="A17" s="234">
        <f>A16+1</f>
        <v>3</v>
      </c>
      <c r="B17" s="298" t="s">
        <v>289</v>
      </c>
      <c r="C17" s="222"/>
      <c r="D17" s="222"/>
      <c r="E17" s="282">
        <f>E15*E16</f>
        <v>5000</v>
      </c>
      <c r="F17" s="241">
        <f t="shared" ref="F17:N17" si="4">F15*F16</f>
        <v>30000</v>
      </c>
      <c r="G17" s="241">
        <f t="shared" si="4"/>
        <v>60000</v>
      </c>
      <c r="H17" s="241">
        <f t="shared" si="4"/>
        <v>80000</v>
      </c>
      <c r="I17" s="241">
        <f t="shared" si="4"/>
        <v>200000</v>
      </c>
      <c r="J17" s="241">
        <f t="shared" si="4"/>
        <v>240000</v>
      </c>
      <c r="K17" s="241">
        <f t="shared" si="4"/>
        <v>280000</v>
      </c>
      <c r="L17" s="241">
        <f t="shared" si="4"/>
        <v>320000</v>
      </c>
      <c r="M17" s="241">
        <f t="shared" si="4"/>
        <v>360000</v>
      </c>
      <c r="N17" s="241">
        <f t="shared" si="4"/>
        <v>400000</v>
      </c>
      <c r="O17" s="232">
        <f>E17+F17+G17+H17+I17+J17+K17+L17+M17+N17</f>
        <v>1975000</v>
      </c>
      <c r="P17" s="252"/>
    </row>
    <row r="18" spans="1:18" ht="35.25" customHeight="1">
      <c r="A18" s="234">
        <f>A17+1</f>
        <v>4</v>
      </c>
      <c r="B18" s="299"/>
      <c r="C18" s="293" t="s">
        <v>276</v>
      </c>
      <c r="D18" s="293"/>
      <c r="E18" s="325">
        <v>0.65</v>
      </c>
      <c r="F18" s="228">
        <v>0.7</v>
      </c>
      <c r="G18" s="228">
        <v>0.75</v>
      </c>
      <c r="H18" s="228">
        <v>0.75</v>
      </c>
      <c r="I18" s="228">
        <v>0.8</v>
      </c>
      <c r="J18" s="228">
        <v>0.85</v>
      </c>
      <c r="K18" s="228">
        <f>J18</f>
        <v>0.85</v>
      </c>
      <c r="L18" s="228">
        <v>0.9</v>
      </c>
      <c r="M18" s="228">
        <f>L18</f>
        <v>0.9</v>
      </c>
      <c r="N18" s="228">
        <f>M18</f>
        <v>0.9</v>
      </c>
      <c r="O18" s="232"/>
      <c r="P18" s="252"/>
    </row>
    <row r="19" spans="1:18" ht="35.25" customHeight="1">
      <c r="A19" s="234"/>
      <c r="B19" s="344" t="s">
        <v>291</v>
      </c>
      <c r="C19" s="292"/>
      <c r="D19" s="292"/>
      <c r="E19" s="283"/>
      <c r="F19" s="242"/>
      <c r="G19" s="242"/>
      <c r="H19" s="242"/>
      <c r="I19" s="242"/>
      <c r="J19" s="242"/>
      <c r="K19" s="242"/>
      <c r="L19" s="242"/>
      <c r="M19" s="242"/>
      <c r="N19" s="242"/>
      <c r="O19" s="243"/>
      <c r="P19" s="252"/>
    </row>
    <row r="20" spans="1:18" ht="35.25" customHeight="1">
      <c r="A20" s="234">
        <v>1</v>
      </c>
      <c r="B20" s="300" t="s">
        <v>292</v>
      </c>
      <c r="C20" s="293">
        <v>200</v>
      </c>
      <c r="D20" s="293"/>
      <c r="E20" s="284">
        <f>$C$20</f>
        <v>200</v>
      </c>
      <c r="F20" s="238">
        <f t="shared" ref="F20:N20" si="5">$C$20</f>
        <v>200</v>
      </c>
      <c r="G20" s="238">
        <f t="shared" si="5"/>
        <v>200</v>
      </c>
      <c r="H20" s="238">
        <f t="shared" si="5"/>
        <v>200</v>
      </c>
      <c r="I20" s="238">
        <f t="shared" si="5"/>
        <v>200</v>
      </c>
      <c r="J20" s="238">
        <f t="shared" si="5"/>
        <v>200</v>
      </c>
      <c r="K20" s="238">
        <f t="shared" si="5"/>
        <v>200</v>
      </c>
      <c r="L20" s="238">
        <f t="shared" si="5"/>
        <v>200</v>
      </c>
      <c r="M20" s="238">
        <f t="shared" si="5"/>
        <v>200</v>
      </c>
      <c r="N20" s="238">
        <f t="shared" si="5"/>
        <v>200</v>
      </c>
      <c r="O20" s="232"/>
      <c r="P20" s="252"/>
    </row>
    <row r="21" spans="1:18" ht="35.25" customHeight="1">
      <c r="A21" s="234">
        <f>A20+1</f>
        <v>2</v>
      </c>
      <c r="B21" s="300" t="s">
        <v>293</v>
      </c>
      <c r="C21" s="293">
        <v>50</v>
      </c>
      <c r="D21" s="293"/>
      <c r="E21" s="284">
        <f>$C$21</f>
        <v>50</v>
      </c>
      <c r="F21" s="238">
        <f t="shared" ref="F21:N21" si="6">$C$21</f>
        <v>50</v>
      </c>
      <c r="G21" s="238">
        <f t="shared" si="6"/>
        <v>50</v>
      </c>
      <c r="H21" s="238">
        <f t="shared" si="6"/>
        <v>50</v>
      </c>
      <c r="I21" s="238">
        <f t="shared" si="6"/>
        <v>50</v>
      </c>
      <c r="J21" s="238">
        <f t="shared" si="6"/>
        <v>50</v>
      </c>
      <c r="K21" s="238">
        <f t="shared" si="6"/>
        <v>50</v>
      </c>
      <c r="L21" s="238">
        <f t="shared" si="6"/>
        <v>50</v>
      </c>
      <c r="M21" s="238">
        <f t="shared" si="6"/>
        <v>50</v>
      </c>
      <c r="N21" s="238">
        <f t="shared" si="6"/>
        <v>50</v>
      </c>
      <c r="O21" s="232"/>
      <c r="P21" s="252"/>
    </row>
    <row r="22" spans="1:18" ht="35.25" customHeight="1">
      <c r="A22" s="234">
        <f>A21+1</f>
        <v>3</v>
      </c>
      <c r="B22" s="297" t="s">
        <v>294</v>
      </c>
      <c r="C22" s="304"/>
      <c r="D22" s="222"/>
      <c r="E22" s="285">
        <f t="shared" ref="E22:N22" si="7">E6*E20*E21</f>
        <v>500000</v>
      </c>
      <c r="F22" s="233">
        <f t="shared" si="7"/>
        <v>500000</v>
      </c>
      <c r="G22" s="233">
        <f t="shared" si="7"/>
        <v>500000</v>
      </c>
      <c r="H22" s="233">
        <f t="shared" si="7"/>
        <v>750000</v>
      </c>
      <c r="I22" s="233">
        <f t="shared" si="7"/>
        <v>900000</v>
      </c>
      <c r="J22" s="233">
        <f t="shared" si="7"/>
        <v>1200000</v>
      </c>
      <c r="K22" s="233">
        <f t="shared" si="7"/>
        <v>1400000</v>
      </c>
      <c r="L22" s="233">
        <f t="shared" si="7"/>
        <v>1600000</v>
      </c>
      <c r="M22" s="233">
        <f t="shared" si="7"/>
        <v>1800000</v>
      </c>
      <c r="N22" s="233">
        <f t="shared" si="7"/>
        <v>2000000</v>
      </c>
      <c r="O22" s="232">
        <f>E22+F22+G22+H22+I22+J22+K22+L22+M22+N22</f>
        <v>11150000</v>
      </c>
      <c r="P22" s="253"/>
      <c r="Q22" s="248"/>
      <c r="R22" s="248">
        <f>Q22/4</f>
        <v>0</v>
      </c>
    </row>
    <row r="23" spans="1:18" ht="35.25" customHeight="1">
      <c r="A23" s="234"/>
      <c r="B23" s="301" t="s">
        <v>307</v>
      </c>
      <c r="C23" s="305"/>
      <c r="D23" s="294"/>
      <c r="E23" s="286">
        <f>E17+E22</f>
        <v>505000</v>
      </c>
      <c r="F23" s="254">
        <f t="shared" ref="F23:N23" si="8">F17+F22</f>
        <v>530000</v>
      </c>
      <c r="G23" s="254">
        <f t="shared" si="8"/>
        <v>560000</v>
      </c>
      <c r="H23" s="254">
        <f t="shared" si="8"/>
        <v>830000</v>
      </c>
      <c r="I23" s="254">
        <f t="shared" si="8"/>
        <v>1100000</v>
      </c>
      <c r="J23" s="254">
        <f t="shared" si="8"/>
        <v>1440000</v>
      </c>
      <c r="K23" s="254">
        <f t="shared" si="8"/>
        <v>1680000</v>
      </c>
      <c r="L23" s="254">
        <f t="shared" si="8"/>
        <v>1920000</v>
      </c>
      <c r="M23" s="254">
        <f t="shared" si="8"/>
        <v>2160000</v>
      </c>
      <c r="N23" s="254">
        <f t="shared" si="8"/>
        <v>2400000</v>
      </c>
      <c r="O23" s="255">
        <f>E23+F23+G23+H23+I23+J23+K23+L23+M23+N23</f>
        <v>13125000</v>
      </c>
      <c r="P23" s="272"/>
      <c r="Q23" s="248"/>
      <c r="R23" s="248"/>
    </row>
    <row r="24" spans="1:18" ht="35.25" customHeight="1">
      <c r="A24" s="235"/>
      <c r="B24" s="301" t="s">
        <v>308</v>
      </c>
      <c r="C24" s="305"/>
      <c r="D24" s="294"/>
      <c r="E24" s="286">
        <f>E22*E18</f>
        <v>325000</v>
      </c>
      <c r="F24" s="286">
        <f>F22*F18</f>
        <v>350000</v>
      </c>
      <c r="G24" s="286">
        <f t="shared" ref="G24:N24" si="9">G22*G18</f>
        <v>375000</v>
      </c>
      <c r="H24" s="286">
        <f t="shared" si="9"/>
        <v>562500</v>
      </c>
      <c r="I24" s="286">
        <f t="shared" si="9"/>
        <v>720000</v>
      </c>
      <c r="J24" s="286">
        <f t="shared" si="9"/>
        <v>1020000</v>
      </c>
      <c r="K24" s="286">
        <f t="shared" si="9"/>
        <v>1190000</v>
      </c>
      <c r="L24" s="286">
        <f t="shared" si="9"/>
        <v>1440000</v>
      </c>
      <c r="M24" s="286">
        <f t="shared" si="9"/>
        <v>1620000</v>
      </c>
      <c r="N24" s="286">
        <f t="shared" si="9"/>
        <v>1800000</v>
      </c>
      <c r="O24" s="255">
        <f>E24+F24+G24+H24+I24+J24+K24+L24+M24+N24</f>
        <v>9402500</v>
      </c>
      <c r="P24" s="272"/>
      <c r="Q24" s="248"/>
      <c r="R24" s="248"/>
    </row>
    <row r="25" spans="1:18" ht="35.25" customHeight="1">
      <c r="A25" s="234"/>
      <c r="B25" s="301" t="s">
        <v>295</v>
      </c>
      <c r="C25" s="306" t="e">
        <f>'Key Assumptions'!#REF!</f>
        <v>#REF!</v>
      </c>
      <c r="D25" s="294"/>
      <c r="E25" s="287" t="e">
        <f>$C$25*E23</f>
        <v>#REF!</v>
      </c>
      <c r="F25" s="256" t="e">
        <f t="shared" ref="F25:N25" si="10">$C$25*F23</f>
        <v>#REF!</v>
      </c>
      <c r="G25" s="256" t="e">
        <f t="shared" si="10"/>
        <v>#REF!</v>
      </c>
      <c r="H25" s="256" t="e">
        <f t="shared" si="10"/>
        <v>#REF!</v>
      </c>
      <c r="I25" s="256" t="e">
        <f t="shared" si="10"/>
        <v>#REF!</v>
      </c>
      <c r="J25" s="256" t="e">
        <f t="shared" si="10"/>
        <v>#REF!</v>
      </c>
      <c r="K25" s="256" t="e">
        <f t="shared" si="10"/>
        <v>#REF!</v>
      </c>
      <c r="L25" s="256" t="e">
        <f t="shared" si="10"/>
        <v>#REF!</v>
      </c>
      <c r="M25" s="256" t="e">
        <f t="shared" si="10"/>
        <v>#REF!</v>
      </c>
      <c r="N25" s="256" t="e">
        <f t="shared" si="10"/>
        <v>#REF!</v>
      </c>
      <c r="O25" s="255" t="e">
        <f>E25+F25+G25+H25+I25+J25+K25+L25+M25+N25</f>
        <v>#REF!</v>
      </c>
      <c r="P25" s="272"/>
      <c r="Q25" s="248"/>
      <c r="R25" s="248"/>
    </row>
    <row r="26" spans="1:18" ht="25.5" customHeight="1">
      <c r="A26" s="979" t="s">
        <v>302</v>
      </c>
      <c r="B26" s="980"/>
      <c r="C26" s="233"/>
      <c r="D26" s="222"/>
      <c r="E26" s="274"/>
      <c r="F26" s="223"/>
      <c r="G26" s="223"/>
      <c r="H26" s="223"/>
      <c r="I26" s="223"/>
      <c r="J26" s="223"/>
      <c r="K26" s="223"/>
      <c r="L26" s="223"/>
      <c r="M26" s="223"/>
      <c r="N26" s="223"/>
      <c r="O26" s="232"/>
      <c r="P26" s="226"/>
      <c r="Q26" s="248"/>
      <c r="R26" s="248"/>
    </row>
    <row r="27" spans="1:18" ht="31.5" customHeight="1">
      <c r="A27" s="234">
        <v>1</v>
      </c>
      <c r="B27" s="297" t="s">
        <v>297</v>
      </c>
      <c r="C27" s="233"/>
      <c r="D27" s="222"/>
      <c r="E27" s="279">
        <f>E17</f>
        <v>5000</v>
      </c>
      <c r="F27" s="241">
        <f t="shared" ref="F27:N27" si="11">F17</f>
        <v>30000</v>
      </c>
      <c r="G27" s="241">
        <f t="shared" si="11"/>
        <v>60000</v>
      </c>
      <c r="H27" s="241">
        <f t="shared" si="11"/>
        <v>80000</v>
      </c>
      <c r="I27" s="241">
        <f t="shared" si="11"/>
        <v>200000</v>
      </c>
      <c r="J27" s="241">
        <f t="shared" si="11"/>
        <v>240000</v>
      </c>
      <c r="K27" s="241">
        <f t="shared" si="11"/>
        <v>280000</v>
      </c>
      <c r="L27" s="241">
        <f t="shared" si="11"/>
        <v>320000</v>
      </c>
      <c r="M27" s="241">
        <f t="shared" si="11"/>
        <v>360000</v>
      </c>
      <c r="N27" s="241">
        <f t="shared" si="11"/>
        <v>400000</v>
      </c>
      <c r="O27" s="232"/>
      <c r="P27" s="226"/>
      <c r="Q27" s="248"/>
      <c r="R27" s="248"/>
    </row>
    <row r="28" spans="1:18" ht="43.5" customHeight="1">
      <c r="A28" s="234">
        <f>A27+1</f>
        <v>2</v>
      </c>
      <c r="B28" s="297" t="s">
        <v>298</v>
      </c>
      <c r="C28" s="307">
        <v>0.5</v>
      </c>
      <c r="D28" s="222"/>
      <c r="E28" s="279">
        <f>E22*$C$28</f>
        <v>250000</v>
      </c>
      <c r="F28" s="241">
        <f t="shared" ref="F28:N28" si="12">F22*$C$28</f>
        <v>250000</v>
      </c>
      <c r="G28" s="241">
        <f t="shared" si="12"/>
        <v>250000</v>
      </c>
      <c r="H28" s="241">
        <f t="shared" si="12"/>
        <v>375000</v>
      </c>
      <c r="I28" s="241">
        <f t="shared" si="12"/>
        <v>450000</v>
      </c>
      <c r="J28" s="241">
        <f t="shared" si="12"/>
        <v>600000</v>
      </c>
      <c r="K28" s="241">
        <f t="shared" si="12"/>
        <v>700000</v>
      </c>
      <c r="L28" s="241">
        <f t="shared" si="12"/>
        <v>800000</v>
      </c>
      <c r="M28" s="241">
        <f t="shared" si="12"/>
        <v>900000</v>
      </c>
      <c r="N28" s="241">
        <f t="shared" si="12"/>
        <v>1000000</v>
      </c>
      <c r="O28" s="232"/>
      <c r="P28" s="226"/>
      <c r="Q28" s="248"/>
      <c r="R28" s="248"/>
    </row>
    <row r="29" spans="1:18" ht="31.5" customHeight="1">
      <c r="A29" s="234">
        <f>A28+1</f>
        <v>3</v>
      </c>
      <c r="B29" s="297" t="s">
        <v>299</v>
      </c>
      <c r="C29" s="233"/>
      <c r="D29" s="222"/>
      <c r="E29" s="288">
        <f>SUM(E27:E28)</f>
        <v>255000</v>
      </c>
      <c r="F29" s="257">
        <f t="shared" ref="F29:N29" si="13">SUM(F27:F28)</f>
        <v>280000</v>
      </c>
      <c r="G29" s="257">
        <f t="shared" si="13"/>
        <v>310000</v>
      </c>
      <c r="H29" s="257">
        <f t="shared" si="13"/>
        <v>455000</v>
      </c>
      <c r="I29" s="257">
        <f t="shared" si="13"/>
        <v>650000</v>
      </c>
      <c r="J29" s="257">
        <f t="shared" si="13"/>
        <v>840000</v>
      </c>
      <c r="K29" s="257">
        <f t="shared" si="13"/>
        <v>980000</v>
      </c>
      <c r="L29" s="257">
        <f t="shared" si="13"/>
        <v>1120000</v>
      </c>
      <c r="M29" s="257">
        <f t="shared" si="13"/>
        <v>1260000</v>
      </c>
      <c r="N29" s="257">
        <f t="shared" si="13"/>
        <v>1400000</v>
      </c>
      <c r="O29" s="232"/>
      <c r="P29" s="226"/>
      <c r="Q29" s="248"/>
      <c r="R29" s="248"/>
    </row>
    <row r="30" spans="1:18" ht="31.5" customHeight="1">
      <c r="A30" s="234">
        <f>A29+1</f>
        <v>4</v>
      </c>
      <c r="B30" s="297" t="s">
        <v>296</v>
      </c>
      <c r="C30" s="233">
        <v>50</v>
      </c>
      <c r="D30" s="222"/>
      <c r="E30" s="289">
        <f>$C$30</f>
        <v>50</v>
      </c>
      <c r="F30" s="258">
        <f t="shared" ref="F30:N30" si="14">$C$30</f>
        <v>50</v>
      </c>
      <c r="G30" s="258">
        <f t="shared" si="14"/>
        <v>50</v>
      </c>
      <c r="H30" s="258">
        <f t="shared" si="14"/>
        <v>50</v>
      </c>
      <c r="I30" s="258">
        <f t="shared" si="14"/>
        <v>50</v>
      </c>
      <c r="J30" s="258">
        <f t="shared" si="14"/>
        <v>50</v>
      </c>
      <c r="K30" s="258">
        <f t="shared" si="14"/>
        <v>50</v>
      </c>
      <c r="L30" s="258">
        <f t="shared" si="14"/>
        <v>50</v>
      </c>
      <c r="M30" s="258">
        <f t="shared" si="14"/>
        <v>50</v>
      </c>
      <c r="N30" s="258">
        <f t="shared" si="14"/>
        <v>50</v>
      </c>
      <c r="O30" s="232"/>
      <c r="P30" s="226"/>
      <c r="Q30" s="248"/>
      <c r="R30" s="248"/>
    </row>
    <row r="31" spans="1:18" ht="31.5" customHeight="1">
      <c r="A31" s="234">
        <f>A30+1</f>
        <v>5</v>
      </c>
      <c r="B31" s="297" t="s">
        <v>300</v>
      </c>
      <c r="C31" s="222"/>
      <c r="D31" s="295"/>
      <c r="E31" s="274">
        <f>(E29/E30)</f>
        <v>5100</v>
      </c>
      <c r="F31" s="223">
        <f>(F29/F30)-(E31*0.9)</f>
        <v>1010</v>
      </c>
      <c r="G31" s="223">
        <f>ROUND((G29/G30)-(E31+F31)*0.9,-1)</f>
        <v>700</v>
      </c>
      <c r="H31" s="259">
        <f>ROUND((H29/H30)-(E31+F31+G31)*0.9,-1)</f>
        <v>2970</v>
      </c>
      <c r="I31" s="259">
        <f>ROUND((I29/I30)-(E31+F31+G31+H31)*0.9,-2)</f>
        <v>4200</v>
      </c>
      <c r="J31" s="259">
        <f>ROUND((J29/J30)-(F31+E31+G31+H31+I31)*0.9,-2)</f>
        <v>4200</v>
      </c>
      <c r="K31" s="259">
        <f>ROUND((K29/K30)-(E31+F31+G31+H31+I31+J31)*0.9,-1)</f>
        <v>3240</v>
      </c>
      <c r="L31" s="259">
        <f>ROUND((L29/L30)-(E31+F31+G31+H31+I31+J31+K31)*0.9,-1)</f>
        <v>3120</v>
      </c>
      <c r="M31" s="259">
        <f>ROUND((M29/M30)-(E31+F31+G31+H31+I31+J31+K31+L31)*0.9,-1)</f>
        <v>3110</v>
      </c>
      <c r="N31" s="259">
        <f>ROUND((N29/N30)-(E31+F31+G31+H31+I31+J31+K31+L31+M31)*0.9,-1)</f>
        <v>3120</v>
      </c>
      <c r="O31" s="255">
        <f>E31+F31+G31+H31+I31+J31+K31+L31+M31+N31</f>
        <v>30770</v>
      </c>
      <c r="P31" s="226"/>
      <c r="Q31" s="248"/>
    </row>
    <row r="32" spans="1:18" s="262" customFormat="1" ht="31.5" customHeight="1">
      <c r="A32" s="234">
        <v>6</v>
      </c>
      <c r="B32" s="302" t="s">
        <v>301</v>
      </c>
      <c r="C32" s="265" t="e">
        <f>'Key Assumptions'!#REF!</f>
        <v>#REF!</v>
      </c>
      <c r="D32" s="265"/>
      <c r="E32" s="287" t="e">
        <f>E31*$C$32</f>
        <v>#REF!</v>
      </c>
      <c r="F32" s="256" t="e">
        <f t="shared" ref="F32:N32" si="15">F31*$C$32</f>
        <v>#REF!</v>
      </c>
      <c r="G32" s="256" t="e">
        <f t="shared" si="15"/>
        <v>#REF!</v>
      </c>
      <c r="H32" s="256" t="e">
        <f t="shared" si="15"/>
        <v>#REF!</v>
      </c>
      <c r="I32" s="256" t="e">
        <f t="shared" si="15"/>
        <v>#REF!</v>
      </c>
      <c r="J32" s="256" t="e">
        <f t="shared" si="15"/>
        <v>#REF!</v>
      </c>
      <c r="K32" s="256" t="e">
        <f t="shared" si="15"/>
        <v>#REF!</v>
      </c>
      <c r="L32" s="256" t="e">
        <f t="shared" si="15"/>
        <v>#REF!</v>
      </c>
      <c r="M32" s="256" t="e">
        <f t="shared" si="15"/>
        <v>#REF!</v>
      </c>
      <c r="N32" s="256" t="e">
        <f t="shared" si="15"/>
        <v>#REF!</v>
      </c>
      <c r="O32" s="261" t="e">
        <f>E32+F32+G32+H32+I32+J32+K32+L32+M32+N32</f>
        <v>#REF!</v>
      </c>
      <c r="P32" s="272"/>
    </row>
    <row r="33" spans="1:16" s="262" customFormat="1" ht="31.5" customHeight="1">
      <c r="A33" s="981" t="s">
        <v>303</v>
      </c>
      <c r="B33" s="981"/>
      <c r="C33" s="265"/>
      <c r="D33" s="265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4"/>
      <c r="P33" s="263"/>
    </row>
    <row r="34" spans="1:16" s="262" customFormat="1" ht="31.5" customHeight="1">
      <c r="A34" s="234">
        <v>1</v>
      </c>
      <c r="B34" s="302" t="s">
        <v>304</v>
      </c>
      <c r="C34" s="265" t="e">
        <f>'Key Assumptions'!#REF!</f>
        <v>#REF!</v>
      </c>
      <c r="D34" s="977"/>
      <c r="E34" s="982"/>
      <c r="F34" s="975"/>
      <c r="G34" s="975" t="e">
        <f>C34</f>
        <v>#REF!</v>
      </c>
      <c r="H34" s="975" t="e">
        <f>C34</f>
        <v>#REF!</v>
      </c>
      <c r="I34" s="975" t="e">
        <f>C35</f>
        <v>#REF!</v>
      </c>
      <c r="J34" s="975" t="e">
        <f>C35</f>
        <v>#REF!</v>
      </c>
      <c r="K34" s="975" t="e">
        <f>C35</f>
        <v>#REF!</v>
      </c>
      <c r="L34" s="975" t="e">
        <f>C35</f>
        <v>#REF!</v>
      </c>
      <c r="M34" s="975" t="e">
        <f>C35</f>
        <v>#REF!</v>
      </c>
      <c r="N34" s="975" t="e">
        <f>C35</f>
        <v>#REF!</v>
      </c>
      <c r="O34" s="983"/>
      <c r="P34" s="263"/>
    </row>
    <row r="35" spans="1:16" s="262" customFormat="1" ht="31.5" customHeight="1">
      <c r="A35" s="234">
        <v>2</v>
      </c>
      <c r="B35" s="302" t="s">
        <v>305</v>
      </c>
      <c r="C35" s="265" t="e">
        <f>'Key Assumptions'!#REF!</f>
        <v>#REF!</v>
      </c>
      <c r="D35" s="978"/>
      <c r="E35" s="982"/>
      <c r="F35" s="975"/>
      <c r="G35" s="975"/>
      <c r="H35" s="975"/>
      <c r="I35" s="975"/>
      <c r="J35" s="975"/>
      <c r="K35" s="975"/>
      <c r="L35" s="975"/>
      <c r="M35" s="975"/>
      <c r="N35" s="975"/>
      <c r="O35" s="984"/>
      <c r="P35" s="263"/>
    </row>
    <row r="36" spans="1:16" s="262" customFormat="1" ht="31.5" customHeight="1">
      <c r="A36" s="235">
        <v>3</v>
      </c>
      <c r="B36" s="260" t="s">
        <v>306</v>
      </c>
      <c r="C36" s="265"/>
      <c r="D36" s="265"/>
      <c r="E36" s="267">
        <f>E34*E23*10%</f>
        <v>0</v>
      </c>
      <c r="F36" s="256">
        <f>F34*F23*10%</f>
        <v>0</v>
      </c>
      <c r="G36" s="256" t="e">
        <f>(E17+F17+G17+E24+F24+G24)*10%*G34</f>
        <v>#REF!</v>
      </c>
      <c r="H36" s="256" t="e">
        <f>(H17+H24)*10%*H34+G36</f>
        <v>#REF!</v>
      </c>
      <c r="I36" s="309" t="e">
        <f t="shared" ref="I36:N36" si="16">(I17+I24)*10%*I34+H36</f>
        <v>#REF!</v>
      </c>
      <c r="J36" s="309" t="e">
        <f t="shared" si="16"/>
        <v>#REF!</v>
      </c>
      <c r="K36" s="309" t="e">
        <f t="shared" si="16"/>
        <v>#REF!</v>
      </c>
      <c r="L36" s="309" t="e">
        <f t="shared" si="16"/>
        <v>#REF!</v>
      </c>
      <c r="M36" s="309" t="e">
        <f t="shared" si="16"/>
        <v>#REF!</v>
      </c>
      <c r="N36" s="309" t="e">
        <f t="shared" si="16"/>
        <v>#REF!</v>
      </c>
      <c r="O36" s="261" t="e">
        <f>SUM(E36:N36)</f>
        <v>#REF!</v>
      </c>
      <c r="P36" s="272"/>
    </row>
    <row r="37" spans="1:16" ht="30.75" customHeight="1">
      <c r="A37" s="308"/>
      <c r="B37" s="308"/>
      <c r="C37" s="308"/>
      <c r="D37" s="308"/>
      <c r="E37" s="308"/>
      <c r="G37" s="310"/>
      <c r="H37" s="310"/>
      <c r="I37" s="310"/>
      <c r="J37" s="310"/>
      <c r="K37" s="310"/>
      <c r="L37" s="310"/>
      <c r="M37" s="310"/>
      <c r="N37" s="310"/>
      <c r="O37" s="310"/>
      <c r="P37" s="327"/>
    </row>
    <row r="38" spans="1:16" ht="27" customHeight="1">
      <c r="A38" s="308" t="s">
        <v>277</v>
      </c>
      <c r="B38" s="308"/>
      <c r="C38" s="308"/>
      <c r="D38" s="308"/>
      <c r="E38" s="308"/>
      <c r="P38" s="328"/>
    </row>
    <row r="39" spans="1:16">
      <c r="P39" s="328"/>
    </row>
    <row r="40" spans="1:16">
      <c r="P40" s="328"/>
    </row>
    <row r="41" spans="1:16">
      <c r="P41" s="328"/>
    </row>
    <row r="42" spans="1:16">
      <c r="P42" s="328"/>
    </row>
  </sheetData>
  <mergeCells count="17">
    <mergeCell ref="K34:K35"/>
    <mergeCell ref="L34:L35"/>
    <mergeCell ref="M34:M35"/>
    <mergeCell ref="N34:N35"/>
    <mergeCell ref="A2:O2"/>
    <mergeCell ref="D34:D35"/>
    <mergeCell ref="A26:B26"/>
    <mergeCell ref="A13:B13"/>
    <mergeCell ref="A7:B7"/>
    <mergeCell ref="A33:B33"/>
    <mergeCell ref="E34:E35"/>
    <mergeCell ref="F34:F35"/>
    <mergeCell ref="G34:G35"/>
    <mergeCell ref="H34:H35"/>
    <mergeCell ref="O34:O35"/>
    <mergeCell ref="I34:I35"/>
    <mergeCell ref="J34:J35"/>
  </mergeCells>
  <pageMargins left="0.2" right="0.2" top="0.75" bottom="0.75" header="0.3" footer="0.3"/>
  <pageSetup paperSize="9" scale="51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A2" sqref="A2"/>
    </sheetView>
  </sheetViews>
  <sheetFormatPr defaultRowHeight="12.75"/>
  <cols>
    <col min="1" max="1" width="51.140625" customWidth="1"/>
    <col min="2" max="4" width="0" hidden="1" customWidth="1"/>
    <col min="5" max="7" width="7.42578125" bestFit="1" customWidth="1"/>
    <col min="8" max="8" width="9.5703125" customWidth="1"/>
  </cols>
  <sheetData>
    <row r="1" spans="1:14" ht="28.5" customHeight="1">
      <c r="A1" s="985" t="s">
        <v>164</v>
      </c>
      <c r="B1" s="985"/>
      <c r="C1" s="985"/>
      <c r="D1" s="985"/>
      <c r="E1" s="985"/>
      <c r="F1" s="985"/>
      <c r="G1" s="985"/>
      <c r="H1" s="985"/>
      <c r="I1" s="133"/>
      <c r="J1" s="133"/>
      <c r="K1" s="133"/>
      <c r="L1" s="133"/>
      <c r="M1" s="133"/>
      <c r="N1" s="133"/>
    </row>
    <row r="2" spans="1:14" ht="15">
      <c r="A2" s="158"/>
      <c r="B2" s="110"/>
      <c r="C2" s="110"/>
      <c r="D2" s="110"/>
      <c r="E2" s="202" t="s">
        <v>281</v>
      </c>
      <c r="F2" s="202" t="s">
        <v>195</v>
      </c>
      <c r="G2" s="202" t="s">
        <v>196</v>
      </c>
      <c r="H2" s="203" t="s">
        <v>1</v>
      </c>
      <c r="I2" s="133"/>
      <c r="J2" s="133"/>
      <c r="K2" s="133"/>
      <c r="L2" s="133"/>
      <c r="M2" s="133"/>
      <c r="N2" s="133"/>
    </row>
    <row r="3" spans="1:14" ht="15" hidden="1">
      <c r="A3" s="110"/>
      <c r="B3" s="110"/>
      <c r="C3" s="110"/>
      <c r="D3" s="133"/>
      <c r="E3" s="211"/>
      <c r="F3" s="211"/>
      <c r="G3" s="211"/>
      <c r="H3" s="204"/>
      <c r="I3" s="133"/>
      <c r="J3" s="133"/>
      <c r="K3" s="133"/>
      <c r="L3" s="133"/>
      <c r="M3" s="133"/>
      <c r="N3" s="133"/>
    </row>
    <row r="4" spans="1:14" ht="15">
      <c r="A4" s="205" t="s">
        <v>263</v>
      </c>
      <c r="B4" s="206"/>
      <c r="C4" s="206"/>
      <c r="D4" s="207"/>
      <c r="E4" s="160"/>
      <c r="F4" s="160"/>
      <c r="G4" s="160"/>
      <c r="H4" s="158"/>
      <c r="I4" s="133"/>
      <c r="J4" s="133"/>
      <c r="K4" s="133"/>
      <c r="L4" s="133"/>
      <c r="M4" s="133"/>
      <c r="N4" s="133"/>
    </row>
    <row r="5" spans="1:14" ht="15">
      <c r="A5" s="208" t="s">
        <v>219</v>
      </c>
      <c r="B5" s="209"/>
      <c r="C5" s="209"/>
      <c r="D5" s="210"/>
      <c r="E5" s="160"/>
      <c r="F5" s="198">
        <v>3</v>
      </c>
      <c r="G5" s="160">
        <v>0</v>
      </c>
      <c r="H5" s="158"/>
      <c r="I5" s="133"/>
      <c r="J5" s="133"/>
      <c r="K5" s="133"/>
      <c r="L5" s="133"/>
      <c r="M5" s="133"/>
      <c r="N5" s="133"/>
    </row>
    <row r="6" spans="1:14" ht="15">
      <c r="A6" s="208" t="s">
        <v>282</v>
      </c>
      <c r="B6" s="209"/>
      <c r="C6" s="209"/>
      <c r="D6" s="210"/>
      <c r="E6" s="160"/>
      <c r="F6" s="198">
        <v>10</v>
      </c>
      <c r="G6" s="160"/>
      <c r="H6" s="158"/>
      <c r="I6" s="133"/>
      <c r="J6" s="133"/>
      <c r="K6" s="133"/>
      <c r="L6" s="133"/>
      <c r="M6" s="133"/>
      <c r="N6" s="133"/>
    </row>
    <row r="7" spans="1:14" ht="15">
      <c r="A7" s="208" t="s">
        <v>220</v>
      </c>
      <c r="B7" s="209"/>
      <c r="C7" s="209"/>
      <c r="D7" s="210"/>
      <c r="E7" s="160"/>
      <c r="F7" s="198">
        <v>2</v>
      </c>
      <c r="G7" s="160"/>
      <c r="H7" s="158"/>
      <c r="I7" s="133"/>
      <c r="J7" s="133"/>
      <c r="K7" s="133"/>
      <c r="L7" s="133"/>
      <c r="M7" s="133"/>
      <c r="N7" s="133"/>
    </row>
    <row r="8" spans="1:14" ht="15">
      <c r="A8" s="208" t="s">
        <v>142</v>
      </c>
      <c r="B8" s="209"/>
      <c r="C8" s="209"/>
      <c r="D8" s="210"/>
      <c r="E8" s="160"/>
      <c r="F8" s="160">
        <v>25</v>
      </c>
      <c r="G8" s="160"/>
      <c r="H8" s="158"/>
      <c r="I8" s="133"/>
      <c r="J8" s="133"/>
      <c r="K8" s="133"/>
      <c r="L8" s="133"/>
      <c r="M8" s="133"/>
      <c r="N8" s="133"/>
    </row>
    <row r="9" spans="1:14" ht="15">
      <c r="A9" s="208" t="s">
        <v>221</v>
      </c>
      <c r="B9" s="209"/>
      <c r="C9" s="209"/>
      <c r="D9" s="210"/>
      <c r="E9" s="160"/>
      <c r="F9" s="160">
        <f>F5*F7*F8*F6</f>
        <v>1500</v>
      </c>
      <c r="G9" s="160"/>
      <c r="H9" s="158"/>
      <c r="I9" s="133"/>
      <c r="J9" s="133"/>
      <c r="K9" s="133"/>
      <c r="L9" s="133"/>
      <c r="M9" s="133"/>
      <c r="N9" s="133"/>
    </row>
    <row r="10" spans="1:14" ht="15">
      <c r="A10" s="338" t="s">
        <v>264</v>
      </c>
      <c r="B10" s="339"/>
      <c r="C10" s="339"/>
      <c r="D10" s="215"/>
      <c r="E10" s="201">
        <f>E9*5000*2/10^5</f>
        <v>0</v>
      </c>
      <c r="F10" s="201">
        <f>F9*0*3/10^5</f>
        <v>0</v>
      </c>
      <c r="G10" s="201">
        <f>G9*5000*2/10^5</f>
        <v>0</v>
      </c>
      <c r="H10" s="199">
        <f>SUM(E10:G10)</f>
        <v>0</v>
      </c>
      <c r="I10" s="190" t="e">
        <f>H10-'Fin Smmry'!#REF!</f>
        <v>#REF!</v>
      </c>
      <c r="J10" s="133"/>
      <c r="K10" s="133"/>
      <c r="L10" s="133"/>
      <c r="M10" s="133"/>
      <c r="N10" s="133"/>
    </row>
    <row r="11" spans="1:14" ht="15">
      <c r="A11" s="111"/>
      <c r="B11" s="111"/>
      <c r="C11" s="111"/>
      <c r="D11" s="133"/>
      <c r="E11" s="212"/>
      <c r="F11" s="212"/>
      <c r="G11" s="212"/>
      <c r="H11" s="212"/>
      <c r="I11" s="133"/>
      <c r="J11" s="133"/>
      <c r="K11" s="133"/>
      <c r="L11" s="133"/>
      <c r="M11" s="133"/>
      <c r="N11" s="133"/>
    </row>
    <row r="12" spans="1:14" ht="15">
      <c r="A12" s="205"/>
      <c r="B12" s="213"/>
      <c r="C12" s="213"/>
      <c r="D12" s="207"/>
      <c r="E12" s="159"/>
      <c r="F12" s="200"/>
      <c r="G12" s="159"/>
      <c r="H12" s="159"/>
      <c r="I12" s="133"/>
      <c r="J12" s="133"/>
      <c r="K12" s="133"/>
      <c r="L12" s="133"/>
      <c r="M12" s="133"/>
      <c r="N12" s="133"/>
    </row>
    <row r="13" spans="1:14" ht="15">
      <c r="A13" s="214" t="s">
        <v>283</v>
      </c>
      <c r="B13" s="215"/>
      <c r="C13" s="216"/>
      <c r="D13" s="215"/>
      <c r="E13" s="201">
        <v>0</v>
      </c>
      <c r="F13" s="201">
        <f>F9</f>
        <v>1500</v>
      </c>
      <c r="G13" s="201">
        <f>G9</f>
        <v>0</v>
      </c>
      <c r="H13" s="199">
        <f>SUM(E13:G13)</f>
        <v>1500</v>
      </c>
      <c r="I13" s="133"/>
      <c r="J13" s="133"/>
      <c r="K13" s="133"/>
      <c r="L13" s="133"/>
      <c r="M13" s="133"/>
      <c r="N13" s="133"/>
    </row>
    <row r="15" spans="1:14">
      <c r="A15" s="236" t="s">
        <v>279</v>
      </c>
    </row>
    <row r="16" spans="1:14">
      <c r="A16" s="236" t="s">
        <v>280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B1:F40"/>
  <sheetViews>
    <sheetView tabSelected="1" workbookViewId="0">
      <selection activeCell="G18" sqref="G18"/>
    </sheetView>
  </sheetViews>
  <sheetFormatPr defaultRowHeight="15"/>
  <cols>
    <col min="1" max="1" width="9.140625" style="35"/>
    <col min="2" max="2" width="26.5703125" style="35" customWidth="1"/>
    <col min="3" max="5" width="9.140625" style="35"/>
    <col min="6" max="6" width="15.5703125" style="35" customWidth="1"/>
    <col min="7" max="16384" width="9.140625" style="35"/>
  </cols>
  <sheetData>
    <row r="1" spans="2:6">
      <c r="B1" s="35" t="s">
        <v>70</v>
      </c>
    </row>
    <row r="2" spans="2:6" ht="15" customHeight="1">
      <c r="B2" s="988" t="s">
        <v>69</v>
      </c>
      <c r="C2" s="988"/>
      <c r="D2" s="988"/>
      <c r="E2" s="988"/>
      <c r="F2" s="988"/>
    </row>
    <row r="3" spans="2:6">
      <c r="B3" s="988"/>
      <c r="C3" s="988"/>
      <c r="D3" s="988"/>
      <c r="E3" s="988"/>
      <c r="F3" s="988"/>
    </row>
    <row r="4" spans="2:6">
      <c r="B4" s="988"/>
      <c r="C4" s="988"/>
      <c r="D4" s="988"/>
      <c r="E4" s="988"/>
      <c r="F4" s="988"/>
    </row>
    <row r="5" spans="2:6">
      <c r="B5" s="988"/>
      <c r="C5" s="988"/>
      <c r="D5" s="988"/>
      <c r="E5" s="988"/>
      <c r="F5" s="988"/>
    </row>
    <row r="6" spans="2:6">
      <c r="B6" s="42"/>
      <c r="C6" s="42"/>
      <c r="D6" s="42"/>
      <c r="E6" s="42"/>
      <c r="F6" s="42"/>
    </row>
    <row r="7" spans="2:6" ht="15" customHeight="1">
      <c r="B7" s="41" t="s">
        <v>68</v>
      </c>
      <c r="C7" s="989" t="s">
        <v>67</v>
      </c>
      <c r="D7" s="989"/>
      <c r="E7" s="989"/>
      <c r="F7" s="989"/>
    </row>
    <row r="8" spans="2:6">
      <c r="B8" s="39" t="s">
        <v>66</v>
      </c>
      <c r="C8" s="986" t="s">
        <v>158</v>
      </c>
      <c r="D8" s="986"/>
      <c r="E8" s="986"/>
      <c r="F8" s="986"/>
    </row>
    <row r="9" spans="2:6">
      <c r="B9" s="352" t="s">
        <v>260</v>
      </c>
      <c r="C9" s="114" t="s">
        <v>260</v>
      </c>
      <c r="D9" s="114"/>
      <c r="E9" s="114"/>
      <c r="F9" s="114"/>
    </row>
    <row r="10" spans="2:6" hidden="1">
      <c r="B10" s="39" t="s">
        <v>160</v>
      </c>
      <c r="C10" s="114" t="s">
        <v>161</v>
      </c>
      <c r="D10" s="114"/>
      <c r="E10" s="114"/>
      <c r="F10" s="114"/>
    </row>
    <row r="11" spans="2:6">
      <c r="B11" s="353" t="s">
        <v>162</v>
      </c>
      <c r="C11" s="114" t="s">
        <v>163</v>
      </c>
      <c r="D11" s="114"/>
      <c r="E11" s="114"/>
      <c r="F11" s="114"/>
    </row>
    <row r="12" spans="2:6">
      <c r="B12" s="353" t="s">
        <v>433</v>
      </c>
      <c r="C12" s="114" t="s">
        <v>384</v>
      </c>
      <c r="D12" s="114"/>
      <c r="E12" s="114"/>
      <c r="F12" s="114"/>
    </row>
    <row r="13" spans="2:6">
      <c r="B13" s="353" t="s">
        <v>385</v>
      </c>
      <c r="C13" s="114" t="s">
        <v>385</v>
      </c>
      <c r="D13" s="114"/>
      <c r="E13" s="114"/>
      <c r="F13" s="114"/>
    </row>
    <row r="14" spans="2:6">
      <c r="B14" s="353" t="s">
        <v>258</v>
      </c>
      <c r="C14" s="114" t="s">
        <v>159</v>
      </c>
      <c r="D14" s="114"/>
      <c r="E14" s="114"/>
      <c r="F14" s="114"/>
    </row>
    <row r="15" spans="2:6">
      <c r="B15" s="39" t="s">
        <v>226</v>
      </c>
      <c r="C15" s="35" t="s">
        <v>227</v>
      </c>
    </row>
    <row r="16" spans="2:6">
      <c r="B16" s="39" t="s">
        <v>65</v>
      </c>
      <c r="C16" s="986" t="s">
        <v>262</v>
      </c>
      <c r="D16" s="986"/>
      <c r="E16" s="986"/>
      <c r="F16" s="986"/>
    </row>
    <row r="17" spans="2:6">
      <c r="B17" s="39" t="s">
        <v>64</v>
      </c>
      <c r="C17" s="986" t="s">
        <v>262</v>
      </c>
      <c r="D17" s="986"/>
      <c r="E17" s="986"/>
      <c r="F17" s="986"/>
    </row>
    <row r="18" spans="2:6">
      <c r="B18" s="39" t="s">
        <v>63</v>
      </c>
      <c r="C18" s="986" t="s">
        <v>262</v>
      </c>
      <c r="D18" s="986"/>
      <c r="E18" s="986"/>
      <c r="F18" s="986"/>
    </row>
    <row r="19" spans="2:6">
      <c r="B19" s="39" t="s">
        <v>62</v>
      </c>
      <c r="C19" s="986" t="s">
        <v>61</v>
      </c>
      <c r="D19" s="986"/>
      <c r="E19" s="986"/>
      <c r="F19" s="986"/>
    </row>
    <row r="20" spans="2:6">
      <c r="B20" s="353" t="s">
        <v>60</v>
      </c>
      <c r="C20" s="986" t="s">
        <v>59</v>
      </c>
      <c r="D20" s="986"/>
      <c r="E20" s="986"/>
      <c r="F20" s="986"/>
    </row>
    <row r="21" spans="2:6">
      <c r="B21" s="353" t="s">
        <v>24</v>
      </c>
      <c r="C21" s="986" t="s">
        <v>58</v>
      </c>
      <c r="D21" s="986"/>
      <c r="E21" s="986"/>
      <c r="F21" s="986"/>
    </row>
    <row r="22" spans="2:6">
      <c r="B22" s="40" t="s">
        <v>25</v>
      </c>
      <c r="C22" s="986" t="s">
        <v>57</v>
      </c>
      <c r="D22" s="986"/>
      <c r="E22" s="986"/>
      <c r="F22" s="986"/>
    </row>
    <row r="23" spans="2:6">
      <c r="B23" s="353" t="s">
        <v>56</v>
      </c>
      <c r="C23" s="987" t="s">
        <v>55</v>
      </c>
      <c r="D23" s="987"/>
      <c r="E23" s="987"/>
      <c r="F23" s="987"/>
    </row>
    <row r="24" spans="2:6">
      <c r="B24" s="39" t="s">
        <v>44</v>
      </c>
      <c r="C24" s="986" t="s">
        <v>54</v>
      </c>
      <c r="D24" s="986"/>
      <c r="E24" s="986"/>
      <c r="F24" s="986"/>
    </row>
    <row r="25" spans="2:6">
      <c r="B25" s="39" t="s">
        <v>53</v>
      </c>
      <c r="C25" s="986" t="s">
        <v>52</v>
      </c>
      <c r="D25" s="986"/>
      <c r="E25" s="986"/>
      <c r="F25" s="986"/>
    </row>
    <row r="27" spans="2:6">
      <c r="B27" s="38" t="s">
        <v>51</v>
      </c>
    </row>
    <row r="28" spans="2:6">
      <c r="B28" s="37" t="s">
        <v>50</v>
      </c>
    </row>
    <row r="35" spans="3:4">
      <c r="C35" s="36"/>
      <c r="D35" s="36"/>
    </row>
    <row r="36" spans="3:4">
      <c r="C36" s="36"/>
      <c r="D36" s="36"/>
    </row>
    <row r="37" spans="3:4">
      <c r="C37" s="36"/>
      <c r="D37" s="36"/>
    </row>
    <row r="38" spans="3:4">
      <c r="C38" s="36"/>
      <c r="D38" s="36"/>
    </row>
    <row r="39" spans="3:4">
      <c r="C39" s="36"/>
      <c r="D39" s="36"/>
    </row>
    <row r="40" spans="3:4">
      <c r="C40" s="36"/>
      <c r="D40" s="36"/>
    </row>
  </sheetData>
  <mergeCells count="13">
    <mergeCell ref="B2:F5"/>
    <mergeCell ref="C20:F20"/>
    <mergeCell ref="C19:F19"/>
    <mergeCell ref="C18:F18"/>
    <mergeCell ref="C17:F17"/>
    <mergeCell ref="C16:F16"/>
    <mergeCell ref="C8:F8"/>
    <mergeCell ref="C7:F7"/>
    <mergeCell ref="C25:F25"/>
    <mergeCell ref="C21:F21"/>
    <mergeCell ref="C22:F22"/>
    <mergeCell ref="C24:F24"/>
    <mergeCell ref="C23:F23"/>
  </mergeCells>
  <hyperlinks>
    <hyperlink ref="B17" location="'P&amp;L Statement'!A1" display="P&amp;L Statement"/>
    <hyperlink ref="B19" location="'Revenue Schedule'!A1" display="Revenue Schedule"/>
    <hyperlink ref="B16" location="'Balance Sheet'!A1" display="Balance Sheet"/>
    <hyperlink ref="B18" location="'Cashflow Statement'!A1" display="Cash Flow Statement"/>
    <hyperlink ref="B24" location="Capex!A1" display="Capex"/>
    <hyperlink ref="B22" location="Amortisation!A1" display="c. Amortisation"/>
    <hyperlink ref="B8" location="'Key Assumptions'!A1" display="Key Assumptions"/>
    <hyperlink ref="B25" location="Taxes!A1" display="Taxes"/>
    <hyperlink ref="B10" location="'Utilisation of grant and loan'!A1" display="Utilisation of Grant and Loan"/>
    <hyperlink ref="B15" location="'Loan-Int'!A1" display="Loan-Int"/>
    <hyperlink ref="B9" location="Highlights!A1" display="Highlights"/>
    <hyperlink ref="B11" location="'Exp  Assumptions'!A1" display="Expenses Assumptions"/>
    <hyperlink ref="B14" location="'Fin Smmry'!A1" display="Fin Smmry"/>
    <hyperlink ref="B20" location="'Operational Expenses'!A1" display="Operational Expenses"/>
    <hyperlink ref="B21" location="'Depreciation '!A1" display="Depreciation"/>
    <hyperlink ref="B23" location="'Interest-Principal'!A1" display="Interest-Principal "/>
    <hyperlink ref="B12" location="'No. of people certified '!A1" display="No.of people certified"/>
    <hyperlink ref="B13" location="'CAPEX Assumption'!A1" display="CAPEX Assumptions"/>
  </hyperlinks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notes</vt:lpstr>
      <vt:lpstr>Workforce</vt:lpstr>
      <vt:lpstr>Utilisation of Grant and Loan</vt:lpstr>
      <vt:lpstr>OPEX </vt:lpstr>
      <vt:lpstr>Manpower</vt:lpstr>
      <vt:lpstr>Assumptions &amp; Likely Impact</vt:lpstr>
      <vt:lpstr>Revenue Assumptions</vt:lpstr>
      <vt:lpstr>Pilot Project</vt:lpstr>
      <vt:lpstr>Index</vt:lpstr>
      <vt:lpstr>Key Assumptions</vt:lpstr>
      <vt:lpstr>Highlights</vt:lpstr>
      <vt:lpstr>Opex  Assumptions</vt:lpstr>
      <vt:lpstr>No. of people trained </vt:lpstr>
      <vt:lpstr>Check Sheet Crs Wise</vt:lpstr>
      <vt:lpstr>Depreciation </vt:lpstr>
      <vt:lpstr>Check Sheet Centre Wise</vt:lpstr>
      <vt:lpstr>Fin Smmry</vt:lpstr>
      <vt:lpstr>CAPEX Assumption</vt:lpstr>
      <vt:lpstr>Loan-Int</vt:lpstr>
      <vt:lpstr>Balance Sheet</vt:lpstr>
      <vt:lpstr>P&amp;L Statement</vt:lpstr>
      <vt:lpstr>Cashflow Statement</vt:lpstr>
      <vt:lpstr>Revenue Schedule</vt:lpstr>
      <vt:lpstr>Operational Expenses</vt:lpstr>
      <vt:lpstr>Amortisation</vt:lpstr>
      <vt:lpstr>Interest-Principal</vt:lpstr>
      <vt:lpstr>Capex</vt:lpstr>
      <vt:lpstr>Taxes</vt:lpstr>
      <vt:lpstr>Content Development Cost</vt:lpstr>
      <vt:lpstr>'Fin Smmry'!Print_Area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GAURAV</cp:lastModifiedBy>
  <cp:lastPrinted>2014-01-20T09:27:10Z</cp:lastPrinted>
  <dcterms:created xsi:type="dcterms:W3CDTF">2011-08-24T18:13:06Z</dcterms:created>
  <dcterms:modified xsi:type="dcterms:W3CDTF">2014-04-12T09:46:45Z</dcterms:modified>
</cp:coreProperties>
</file>