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comments4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-15" windowWidth="7800" windowHeight="7470" tabRatio="867" firstSheet="21" activeTab="28"/>
  </bookViews>
  <sheets>
    <sheet name="notes" sheetId="22" state="hidden" r:id="rId1"/>
    <sheet name="Workforce" sheetId="24" state="hidden" r:id="rId2"/>
    <sheet name="Utilisation of Grant and Loan" sheetId="31" state="hidden" r:id="rId3"/>
    <sheet name="OPEX " sheetId="35" state="hidden" r:id="rId4"/>
    <sheet name="Manpower" sheetId="34" state="hidden" r:id="rId5"/>
    <sheet name="Assumptions &amp; Likely Impact" sheetId="2" state="hidden" r:id="rId6"/>
    <sheet name="Revenue Assumptions" sheetId="28" state="hidden" r:id="rId7"/>
    <sheet name="Pilot Project" sheetId="25" state="hidden" r:id="rId8"/>
    <sheet name="Key Assumptions" sheetId="5" r:id="rId9"/>
    <sheet name="Index" sheetId="7" r:id="rId10"/>
    <sheet name="Highlights" sheetId="21" r:id="rId11"/>
    <sheet name="Exp  Assumptions" sheetId="3" r:id="rId12"/>
    <sheet name="No. of people trained " sheetId="32" r:id="rId13"/>
    <sheet name="CAPEX Assumption" sheetId="36" r:id="rId14"/>
    <sheet name="Fin Smmry" sheetId="4" r:id="rId15"/>
    <sheet name="Loan-Int" sheetId="20" r:id="rId16"/>
    <sheet name="Balance Sheet" sheetId="9" r:id="rId17"/>
    <sheet name="P&amp;L Statement" sheetId="10" r:id="rId18"/>
    <sheet name="Cashflow Statement" sheetId="11" r:id="rId19"/>
    <sheet name="Revenue Schedule" sheetId="12" r:id="rId20"/>
    <sheet name="Operational Expenses" sheetId="13" r:id="rId21"/>
    <sheet name="Depreciation " sheetId="16" r:id="rId22"/>
    <sheet name="Amortisation" sheetId="17" r:id="rId23"/>
    <sheet name="Interest-Principal" sheetId="14" r:id="rId24"/>
    <sheet name="Capex" sheetId="15" r:id="rId25"/>
    <sheet name="Taxes" sheetId="18" r:id="rId26"/>
    <sheet name="Pre-operative cost" sheetId="37" r:id="rId27"/>
    <sheet name="Ratio analysis" sheetId="38" r:id="rId28"/>
    <sheet name="Content Development Cost" sheetId="39" r:id="rId29"/>
  </sheets>
  <externalReferences>
    <externalReference r:id="rId30"/>
    <externalReference r:id="rId31"/>
    <externalReference r:id="rId32"/>
    <externalReference r:id="rId33"/>
  </externalReferences>
  <definedNames>
    <definedName name="_DER1" localSheetId="13">#REF!</definedName>
    <definedName name="_DER1" localSheetId="28">#REF!</definedName>
    <definedName name="_DER1" localSheetId="15">#REF!</definedName>
    <definedName name="_DER1" localSheetId="12">#REF!</definedName>
    <definedName name="_DER1" localSheetId="2">#REF!</definedName>
    <definedName name="_DER2" localSheetId="13">#REF!</definedName>
    <definedName name="_DER2" localSheetId="28">#REF!</definedName>
    <definedName name="_DER2" localSheetId="15">#REF!</definedName>
    <definedName name="_DER2" localSheetId="2">#REF!</definedName>
    <definedName name="_xlnm._FilterDatabase" localSheetId="11" hidden="1">'Exp  Assumptions'!$A$4:$W$43</definedName>
    <definedName name="Area" localSheetId="13">#REF!</definedName>
    <definedName name="Area" localSheetId="28">#REF!</definedName>
    <definedName name="Area" localSheetId="11">#REF!</definedName>
    <definedName name="Area" localSheetId="15">#REF!</definedName>
    <definedName name="Area" localSheetId="12">#REF!</definedName>
    <definedName name="Area" localSheetId="2">#REF!</definedName>
    <definedName name="Blue_Mix" localSheetId="13">#REF!</definedName>
    <definedName name="Blue_Mix" localSheetId="15">#REF!</definedName>
    <definedName name="Blue_Mix" localSheetId="2">#REF!</definedName>
    <definedName name="building" localSheetId="13">#REF!</definedName>
    <definedName name="Building_Unit_Cost" localSheetId="13">#REF!</definedName>
    <definedName name="Building_Unit_Cost" localSheetId="15">#REF!</definedName>
    <definedName name="Building_Unit_Cost" localSheetId="2">#REF!</definedName>
    <definedName name="comp" localSheetId="13">#REF!</definedName>
    <definedName name="comp" localSheetId="15">#REF!</definedName>
    <definedName name="comp" localSheetId="2">#REF!</definedName>
    <definedName name="Consumables" localSheetId="13">#REF!</definedName>
    <definedName name="Consumables" localSheetId="15">#REF!</definedName>
    <definedName name="Consumables" localSheetId="2">#REF!</definedName>
    <definedName name="DURATION" localSheetId="13">#REF!</definedName>
    <definedName name="DURATION" localSheetId="15">#REF!</definedName>
    <definedName name="DURATION" localSheetId="2">#REF!</definedName>
    <definedName name="employees" localSheetId="13">#REF!</definedName>
    <definedName name="Fee" localSheetId="13">#REF!</definedName>
    <definedName name="Fee" localSheetId="15">#REF!</definedName>
    <definedName name="Fee" localSheetId="2">#REF!</definedName>
    <definedName name="fx" localSheetId="13">#REF!</definedName>
    <definedName name="fx" localSheetId="15">#REF!</definedName>
    <definedName name="fx" localSheetId="2">#REF!</definedName>
    <definedName name="Growth_Rate" localSheetId="13">#REF!</definedName>
    <definedName name="Growth_Rate" localSheetId="15">#REF!</definedName>
    <definedName name="Growth_Rate" localSheetId="2">#REF!</definedName>
    <definedName name="Growth_Rate_CB" localSheetId="13">#REF!</definedName>
    <definedName name="Growth_Rate_CB" localSheetId="2">#REF!</definedName>
    <definedName name="Inflation" localSheetId="13">#REF!</definedName>
    <definedName name="Inflation" localSheetId="2">#REF!</definedName>
    <definedName name="Interest_Rate" localSheetId="13">#REF!</definedName>
    <definedName name="Interest_Rate" localSheetId="11">#REF!</definedName>
    <definedName name="Interest_Rate" localSheetId="15">#REF!</definedName>
    <definedName name="Interest_Rate" localSheetId="2">#REF!</definedName>
    <definedName name="Interest_Rate_CB" localSheetId="13">#REF!</definedName>
    <definedName name="Interest_Rate_CB" localSheetId="2">#REF!</definedName>
    <definedName name="IRR" localSheetId="13">#REF!</definedName>
    <definedName name="IRR" localSheetId="11">#REF!</definedName>
    <definedName name="IRR" localSheetId="15">#REF!</definedName>
    <definedName name="IRR" localSheetId="2">#REF!</definedName>
    <definedName name="IRR_9" localSheetId="13">#REF!</definedName>
    <definedName name="IRR_9" localSheetId="15">#REF!</definedName>
    <definedName name="IRR_9" localSheetId="2">#REF!</definedName>
    <definedName name="kd" localSheetId="13">#REF!</definedName>
    <definedName name="kd" localSheetId="2">#REF!</definedName>
    <definedName name="ke" localSheetId="13">#REF!</definedName>
    <definedName name="ke" localSheetId="2">#REF!</definedName>
    <definedName name="land" localSheetId="13">#REF!</definedName>
    <definedName name="Land_Unit_Cost" localSheetId="13">#REF!</definedName>
    <definedName name="Land_Unit_Cost" localSheetId="11">#REF!</definedName>
    <definedName name="Land_Unit_Cost" localSheetId="15">#REF!</definedName>
    <definedName name="Land_Unit_Cost" localSheetId="2">#REF!</definedName>
    <definedName name="Manpower" localSheetId="13">#REF!</definedName>
    <definedName name="MCDuration" localSheetId="13">#REF!</definedName>
    <definedName name="MCDuration" localSheetId="15">#REF!</definedName>
    <definedName name="MCDuration" localSheetId="2">#REF!</definedName>
    <definedName name="n" localSheetId="15">[1]COP!$A$1</definedName>
    <definedName name="n" localSheetId="12">[2]COP!$A$1</definedName>
    <definedName name="NPV_INR" localSheetId="13">#REF!</definedName>
    <definedName name="NPV_INR" localSheetId="15">#REF!</definedName>
    <definedName name="NPV_INR" localSheetId="12">#REF!</definedName>
    <definedName name="NPV_INR" localSheetId="2">#REF!</definedName>
    <definedName name="NPV_INR_9" localSheetId="13">#REF!</definedName>
    <definedName name="NPV_INR_9" localSheetId="15">#REF!</definedName>
    <definedName name="NPV_INR_9" localSheetId="2">#REF!</definedName>
    <definedName name="NPV_USD" localSheetId="13">#REF!</definedName>
    <definedName name="NPV_USD" localSheetId="15">#REF!</definedName>
    <definedName name="NPV_USD" localSheetId="2">#REF!</definedName>
    <definedName name="NPV_USD_9" localSheetId="13">#REF!</definedName>
    <definedName name="NPV_USD_9" localSheetId="15">#REF!</definedName>
    <definedName name="NPV_USD_9" localSheetId="2">#REF!</definedName>
    <definedName name="PE" localSheetId="13">#REF!</definedName>
    <definedName name="PE" localSheetId="15">#REF!</definedName>
    <definedName name="PE" localSheetId="2">#REF!</definedName>
    <definedName name="PE_CB" localSheetId="13">#REF!</definedName>
    <definedName name="PE_CB" localSheetId="2">#REF!</definedName>
    <definedName name="Placements" localSheetId="13">#REF!</definedName>
    <definedName name="Placements" localSheetId="11">#REF!</definedName>
    <definedName name="Placements" localSheetId="15">#REF!</definedName>
    <definedName name="Placements" localSheetId="2">#REF!</definedName>
    <definedName name="_xlnm.Print_Area" localSheetId="14">'Fin Smmry'!$A$1:$R$134</definedName>
    <definedName name="s" localSheetId="13">#REF!</definedName>
    <definedName name="s" localSheetId="11">#REF!</definedName>
    <definedName name="s" localSheetId="15">#REF!</definedName>
    <definedName name="s" localSheetId="12">#REF!</definedName>
    <definedName name="s" localSheetId="2">#REF!</definedName>
    <definedName name="Spon_Fee" localSheetId="13">#REF!</definedName>
    <definedName name="Spon_Fee" localSheetId="15">#REF!</definedName>
    <definedName name="Spon_Fee" localSheetId="2">#REF!</definedName>
    <definedName name="Sponsored_Ratio_Blue" localSheetId="13">#REF!</definedName>
    <definedName name="Sponsored_Ratio_Blue" localSheetId="15">#REF!</definedName>
    <definedName name="Sponsored_Ratio_Blue" localSheetId="2">#REF!</definedName>
    <definedName name="Sponsored_Ratio_White" localSheetId="13">#REF!</definedName>
    <definedName name="Sponsored_Ratio_White" localSheetId="15">#REF!</definedName>
    <definedName name="Sponsored_Ratio_White" localSheetId="2">#REF!</definedName>
    <definedName name="Students" localSheetId="13">#REF!</definedName>
    <definedName name="Students" localSheetId="2">#REF!</definedName>
    <definedName name="sunil" localSheetId="13">#REF!</definedName>
    <definedName name="Tax_Rate" localSheetId="13">#REF!</definedName>
    <definedName name="Tax_Rate" localSheetId="11">#REF!</definedName>
    <definedName name="Tax_Rate" localSheetId="15">#REF!</definedName>
    <definedName name="Tax_Rate" localSheetId="2">#REF!</definedName>
    <definedName name="TV_PE_Multiple_INR" localSheetId="13">#REF!</definedName>
    <definedName name="TV_PE_Multiple_INR" localSheetId="15">#REF!</definedName>
    <definedName name="TV_PE_Multiple_INR" localSheetId="2">#REF!</definedName>
    <definedName name="TV_Stable_Growth_INR" localSheetId="13">#REF!</definedName>
    <definedName name="TV_Stable_Growth_INR" localSheetId="15">#REF!</definedName>
    <definedName name="TV_Stable_Growth_INR" localSheetId="2">#REF!</definedName>
    <definedName name="vv" localSheetId="13">#REF!</definedName>
    <definedName name="vv" localSheetId="15">#REF!</definedName>
    <definedName name="vv" localSheetId="2">#REF!</definedName>
    <definedName name="WACC" localSheetId="13">#REF!</definedName>
    <definedName name="WACC" localSheetId="2">#REF!</definedName>
    <definedName name="WACC_CB" localSheetId="28">#REF!</definedName>
    <definedName name="WACC_CB" localSheetId="11">'[3]b. Sensitivity Analysis'!$D$25</definedName>
    <definedName name="WACC_CB" localSheetId="15">#REF!</definedName>
    <definedName name="WACC_CB" localSheetId="12">'[4]b. Sensitivity Analysis'!$D$25</definedName>
    <definedName name="White_Duration" localSheetId="13">#REF!</definedName>
    <definedName name="White_Duration" localSheetId="11">#REF!</definedName>
    <definedName name="White_Duration" localSheetId="15">#REF!</definedName>
    <definedName name="White_Duration" localSheetId="12">#REF!</definedName>
    <definedName name="White_Duration" localSheetId="2">#REF!</definedName>
    <definedName name="White_Fee" localSheetId="13">#REF!</definedName>
    <definedName name="White_Fee" localSheetId="15">#REF!</definedName>
    <definedName name="White_Fee" localSheetId="2">#REF!</definedName>
    <definedName name="White_Mix" localSheetId="13">#REF!</definedName>
    <definedName name="White_Mix" localSheetId="15">#REF!</definedName>
    <definedName name="White_Mix" localSheetId="2">#REF!</definedName>
    <definedName name="White_Spon_Fee" localSheetId="13">#REF!</definedName>
    <definedName name="White_Spon_Fee" localSheetId="15">#REF!</definedName>
    <definedName name="White_Spon_Fee" localSheetId="2">#REF!</definedName>
  </definedNames>
  <calcPr calcId="124519"/>
  <fileRecoveryPr autoRecover="0"/>
</workbook>
</file>

<file path=xl/calcChain.xml><?xml version="1.0" encoding="utf-8"?>
<calcChain xmlns="http://schemas.openxmlformats.org/spreadsheetml/2006/main">
  <c r="AR81" i="4"/>
  <c r="AQ81"/>
  <c r="AP81"/>
  <c r="AO81"/>
  <c r="Q95"/>
  <c r="Q100" s="1"/>
  <c r="Q11" i="11"/>
  <c r="M95" i="4"/>
  <c r="M100" s="1"/>
  <c r="M26" i="11"/>
  <c r="I95" i="4"/>
  <c r="I100" s="1"/>
  <c r="H95"/>
  <c r="H100" s="1"/>
  <c r="E27" i="31"/>
  <c r="E11" i="11"/>
  <c r="F83" i="3"/>
  <c r="F82"/>
  <c r="B79" i="4"/>
  <c r="R31"/>
  <c r="V53" i="3"/>
  <c r="T53"/>
  <c r="S53"/>
  <c r="Q53"/>
  <c r="P53"/>
  <c r="O53"/>
  <c r="H53"/>
  <c r="D35" i="38" s="1"/>
  <c r="I53" i="3"/>
  <c r="J53"/>
  <c r="F35" i="38" s="1"/>
  <c r="K53" i="3"/>
  <c r="G35" i="38" s="1"/>
  <c r="L53" i="3"/>
  <c r="M53"/>
  <c r="N53"/>
  <c r="J35" i="38" s="1"/>
  <c r="H131" i="3"/>
  <c r="I131"/>
  <c r="J131"/>
  <c r="K131"/>
  <c r="L131"/>
  <c r="M131"/>
  <c r="N131"/>
  <c r="O131"/>
  <c r="P131"/>
  <c r="Q131"/>
  <c r="R131"/>
  <c r="S131"/>
  <c r="T131"/>
  <c r="U131"/>
  <c r="V131"/>
  <c r="G131"/>
  <c r="W131" s="1"/>
  <c r="E12" i="20"/>
  <c r="G42" i="38"/>
  <c r="C42"/>
  <c r="D19"/>
  <c r="E19"/>
  <c r="F19"/>
  <c r="C19"/>
  <c r="R26" i="11"/>
  <c r="O95" i="4"/>
  <c r="O100" s="1"/>
  <c r="L26" i="11"/>
  <c r="I27" i="31"/>
  <c r="G95" i="4"/>
  <c r="G100" s="1"/>
  <c r="D26" i="11"/>
  <c r="M103" i="4"/>
  <c r="O103"/>
  <c r="P103"/>
  <c r="Q103"/>
  <c r="N95"/>
  <c r="N100" s="1"/>
  <c r="J95"/>
  <c r="J100" s="1"/>
  <c r="F95"/>
  <c r="F100" s="1"/>
  <c r="C102"/>
  <c r="D102"/>
  <c r="E102"/>
  <c r="F102"/>
  <c r="G102"/>
  <c r="H102"/>
  <c r="I102"/>
  <c r="J102"/>
  <c r="K102"/>
  <c r="L102"/>
  <c r="M102"/>
  <c r="N102"/>
  <c r="O102"/>
  <c r="P102"/>
  <c r="Q102"/>
  <c r="B102"/>
  <c r="E68" i="37"/>
  <c r="D70"/>
  <c r="D68"/>
  <c r="D69"/>
  <c r="D66"/>
  <c r="E66"/>
  <c r="F66" s="1"/>
  <c r="D64"/>
  <c r="D62"/>
  <c r="D67"/>
  <c r="D60"/>
  <c r="D61" s="1"/>
  <c r="D95" i="4"/>
  <c r="D100" s="1"/>
  <c r="L95"/>
  <c r="L100" s="1"/>
  <c r="P95"/>
  <c r="P100" s="1"/>
  <c r="E20" i="21"/>
  <c r="E18"/>
  <c r="D18"/>
  <c r="R105" i="38"/>
  <c r="U134" i="3"/>
  <c r="P17" i="4"/>
  <c r="Q10" i="13" s="1"/>
  <c r="T134" i="3"/>
  <c r="O17" i="4" s="1"/>
  <c r="P10" i="13" s="1"/>
  <c r="S134" i="3"/>
  <c r="N17" i="4"/>
  <c r="O10" i="13" s="1"/>
  <c r="N105" i="38"/>
  <c r="M105"/>
  <c r="L105"/>
  <c r="C47" i="4"/>
  <c r="D34" i="9" s="1"/>
  <c r="D23" i="11" s="1"/>
  <c r="D47" i="4"/>
  <c r="E34" i="9" s="1"/>
  <c r="E47" i="4"/>
  <c r="F34" i="9"/>
  <c r="F47" i="4"/>
  <c r="G47"/>
  <c r="H34" i="9" s="1"/>
  <c r="H47" i="4"/>
  <c r="I34" i="9"/>
  <c r="I47" i="4"/>
  <c r="J34" i="9" s="1"/>
  <c r="J47" i="4"/>
  <c r="K34" i="9"/>
  <c r="K47" i="4"/>
  <c r="L34" i="9" s="1"/>
  <c r="L47" i="4"/>
  <c r="M34" i="9" s="1"/>
  <c r="M47" i="4"/>
  <c r="N34" i="9" s="1"/>
  <c r="N47" i="4"/>
  <c r="O47"/>
  <c r="P34" i="9"/>
  <c r="P23" i="11" s="1"/>
  <c r="P47" i="4"/>
  <c r="Q34" i="9"/>
  <c r="Q47" i="4"/>
  <c r="R34" i="9" s="1"/>
  <c r="R23" i="11" s="1"/>
  <c r="B47" i="4"/>
  <c r="C34" i="9"/>
  <c r="C23" i="11" s="1"/>
  <c r="B24" i="20"/>
  <c r="G26" i="11"/>
  <c r="I26"/>
  <c r="K26"/>
  <c r="O26"/>
  <c r="Q26"/>
  <c r="C26"/>
  <c r="G11"/>
  <c r="I11"/>
  <c r="K11"/>
  <c r="M11"/>
  <c r="O11"/>
  <c r="C11"/>
  <c r="C114" i="32"/>
  <c r="G2"/>
  <c r="K2"/>
  <c r="L2"/>
  <c r="M2"/>
  <c r="N2"/>
  <c r="O2"/>
  <c r="P2"/>
  <c r="Q2"/>
  <c r="R2"/>
  <c r="C2"/>
  <c r="G94" i="36"/>
  <c r="H94"/>
  <c r="I94"/>
  <c r="J94"/>
  <c r="K94"/>
  <c r="L94"/>
  <c r="M94"/>
  <c r="N94"/>
  <c r="O94"/>
  <c r="P94"/>
  <c r="Q94"/>
  <c r="R94"/>
  <c r="S94"/>
  <c r="T94"/>
  <c r="U94"/>
  <c r="C59"/>
  <c r="C58"/>
  <c r="C57"/>
  <c r="D66"/>
  <c r="D61"/>
  <c r="D60"/>
  <c r="D59"/>
  <c r="D58"/>
  <c r="D57"/>
  <c r="D56"/>
  <c r="D55"/>
  <c r="D54"/>
  <c r="D53"/>
  <c r="D52"/>
  <c r="G49"/>
  <c r="H49"/>
  <c r="I49"/>
  <c r="J49"/>
  <c r="K49"/>
  <c r="L49"/>
  <c r="M49"/>
  <c r="N49"/>
  <c r="O49"/>
  <c r="P49"/>
  <c r="Q49"/>
  <c r="R49"/>
  <c r="R57" s="1"/>
  <c r="S49"/>
  <c r="T49"/>
  <c r="U49"/>
  <c r="F49"/>
  <c r="E115" i="5"/>
  <c r="E114"/>
  <c r="E113"/>
  <c r="E112"/>
  <c r="E111"/>
  <c r="E110"/>
  <c r="G60" i="37"/>
  <c r="G61" s="1"/>
  <c r="J52"/>
  <c r="K130" i="3"/>
  <c r="O130"/>
  <c r="P130"/>
  <c r="Q130"/>
  <c r="R130"/>
  <c r="S130"/>
  <c r="T130"/>
  <c r="U130"/>
  <c r="V130"/>
  <c r="G130"/>
  <c r="H136"/>
  <c r="I136"/>
  <c r="J136"/>
  <c r="K136"/>
  <c r="L136"/>
  <c r="L140" s="1"/>
  <c r="M136"/>
  <c r="N136"/>
  <c r="O136"/>
  <c r="O139" s="1"/>
  <c r="P136"/>
  <c r="Q136"/>
  <c r="R136"/>
  <c r="S136"/>
  <c r="T136"/>
  <c r="T140" s="1"/>
  <c r="U136"/>
  <c r="V136"/>
  <c r="G136"/>
  <c r="G140" s="1"/>
  <c r="F92"/>
  <c r="B85" i="4" s="1"/>
  <c r="B9" i="31" s="1"/>
  <c r="F117" i="3"/>
  <c r="F85"/>
  <c r="F84"/>
  <c r="F79"/>
  <c r="W41" i="5"/>
  <c r="O23" i="32"/>
  <c r="K11"/>
  <c r="P11"/>
  <c r="K23"/>
  <c r="K25" s="1"/>
  <c r="N23"/>
  <c r="P23"/>
  <c r="Q23"/>
  <c r="R23"/>
  <c r="L35"/>
  <c r="A70"/>
  <c r="A108" s="1"/>
  <c r="A140" s="1"/>
  <c r="A58"/>
  <c r="A105"/>
  <c r="A139" s="1"/>
  <c r="A46"/>
  <c r="A102"/>
  <c r="A138"/>
  <c r="B81" i="5"/>
  <c r="B82"/>
  <c r="B80"/>
  <c r="K57"/>
  <c r="K52"/>
  <c r="L52"/>
  <c r="D71" i="32"/>
  <c r="K51" i="5"/>
  <c r="K50"/>
  <c r="L50"/>
  <c r="M50"/>
  <c r="E47" i="32"/>
  <c r="C71"/>
  <c r="G56" i="5"/>
  <c r="Q22" i="11"/>
  <c r="R22"/>
  <c r="N19" i="9"/>
  <c r="O19"/>
  <c r="P19"/>
  <c r="Q19"/>
  <c r="R19"/>
  <c r="O34"/>
  <c r="O23" i="11" s="1"/>
  <c r="G119" i="5"/>
  <c r="H48" i="37"/>
  <c r="H50" s="1"/>
  <c r="M14" i="10"/>
  <c r="N14"/>
  <c r="O14"/>
  <c r="P14"/>
  <c r="Q14"/>
  <c r="N24" i="11"/>
  <c r="P24"/>
  <c r="Q24"/>
  <c r="R24"/>
  <c r="A10" i="13"/>
  <c r="A11"/>
  <c r="A12"/>
  <c r="A13"/>
  <c r="D16" i="12"/>
  <c r="E16"/>
  <c r="F16"/>
  <c r="G16"/>
  <c r="H16"/>
  <c r="I16"/>
  <c r="J16"/>
  <c r="C16"/>
  <c r="A11"/>
  <c r="A12"/>
  <c r="A13"/>
  <c r="A14"/>
  <c r="A15"/>
  <c r="A16"/>
  <c r="A10"/>
  <c r="A9"/>
  <c r="N12" i="11"/>
  <c r="O12"/>
  <c r="P12"/>
  <c r="Q12"/>
  <c r="R12"/>
  <c r="M57" i="4"/>
  <c r="M107" s="1"/>
  <c r="N57"/>
  <c r="N107" s="1"/>
  <c r="O57"/>
  <c r="O107" s="1"/>
  <c r="P57"/>
  <c r="P107" s="1"/>
  <c r="Q57"/>
  <c r="Q107" s="1"/>
  <c r="A57"/>
  <c r="M30"/>
  <c r="M94" s="1"/>
  <c r="N30"/>
  <c r="N94"/>
  <c r="O30"/>
  <c r="O94" s="1"/>
  <c r="P30"/>
  <c r="P94"/>
  <c r="Q30"/>
  <c r="Q94" s="1"/>
  <c r="B21" i="36"/>
  <c r="B97"/>
  <c r="A14" i="15" s="1"/>
  <c r="A35" i="16" s="1"/>
  <c r="B19" i="36"/>
  <c r="B96"/>
  <c r="A12" i="15"/>
  <c r="B17" i="36"/>
  <c r="B95" s="1"/>
  <c r="A13" i="15"/>
  <c r="A29" i="16" s="1"/>
  <c r="B15" i="36"/>
  <c r="B94" s="1"/>
  <c r="A10" i="15" s="1"/>
  <c r="A11" i="16" s="1"/>
  <c r="B13" i="36"/>
  <c r="B93" s="1"/>
  <c r="A11" i="15" s="1"/>
  <c r="A17" i="16" s="1"/>
  <c r="B9" i="36"/>
  <c r="B92" s="1"/>
  <c r="D11"/>
  <c r="F10" i="15"/>
  <c r="J10"/>
  <c r="M10"/>
  <c r="N10"/>
  <c r="P10"/>
  <c r="Q10"/>
  <c r="P24" i="36"/>
  <c r="F6"/>
  <c r="D10" i="15"/>
  <c r="E10"/>
  <c r="G10"/>
  <c r="H10"/>
  <c r="I10"/>
  <c r="K10"/>
  <c r="H24" i="36"/>
  <c r="I24"/>
  <c r="J24"/>
  <c r="K24"/>
  <c r="L24"/>
  <c r="M24"/>
  <c r="N24"/>
  <c r="T24"/>
  <c r="A8" i="18"/>
  <c r="I24" i="37"/>
  <c r="I26"/>
  <c r="I27"/>
  <c r="F25"/>
  <c r="G25"/>
  <c r="H25"/>
  <c r="I25"/>
  <c r="F28"/>
  <c r="G28"/>
  <c r="H28"/>
  <c r="I28"/>
  <c r="F29"/>
  <c r="G29"/>
  <c r="H29"/>
  <c r="I29"/>
  <c r="F30"/>
  <c r="G30"/>
  <c r="H30"/>
  <c r="I30"/>
  <c r="F31"/>
  <c r="G31"/>
  <c r="H31"/>
  <c r="I31"/>
  <c r="F32"/>
  <c r="G32"/>
  <c r="H32"/>
  <c r="I32"/>
  <c r="F33"/>
  <c r="G33"/>
  <c r="H33"/>
  <c r="I33"/>
  <c r="F34"/>
  <c r="G34"/>
  <c r="H34"/>
  <c r="I34"/>
  <c r="F35"/>
  <c r="G35"/>
  <c r="H35"/>
  <c r="I35"/>
  <c r="F36"/>
  <c r="G36"/>
  <c r="H36"/>
  <c r="I36"/>
  <c r="F37"/>
  <c r="G37"/>
  <c r="H37"/>
  <c r="I37"/>
  <c r="F38"/>
  <c r="G38"/>
  <c r="H38"/>
  <c r="I38"/>
  <c r="F39"/>
  <c r="G39"/>
  <c r="H39"/>
  <c r="I39"/>
  <c r="F40"/>
  <c r="G40"/>
  <c r="H40"/>
  <c r="I40"/>
  <c r="F41"/>
  <c r="G41"/>
  <c r="H41"/>
  <c r="I41"/>
  <c r="F23"/>
  <c r="G23"/>
  <c r="D13" i="39"/>
  <c r="C11"/>
  <c r="B10"/>
  <c r="C10"/>
  <c r="B11"/>
  <c r="B9"/>
  <c r="C9"/>
  <c r="D140" i="3"/>
  <c r="D139"/>
  <c r="D138"/>
  <c r="C13" i="39"/>
  <c r="K80" i="5"/>
  <c r="C102" i="32"/>
  <c r="K81" i="5"/>
  <c r="L81"/>
  <c r="M81"/>
  <c r="K82"/>
  <c r="C108" i="32"/>
  <c r="B109"/>
  <c r="B106"/>
  <c r="B103"/>
  <c r="L76"/>
  <c r="C76"/>
  <c r="L64"/>
  <c r="C64"/>
  <c r="C74"/>
  <c r="C62"/>
  <c r="C63"/>
  <c r="C65" s="1"/>
  <c r="G73"/>
  <c r="G75" s="1"/>
  <c r="K73"/>
  <c r="K75" s="1"/>
  <c r="L73"/>
  <c r="C73"/>
  <c r="C75" s="1"/>
  <c r="G61"/>
  <c r="G63" s="1"/>
  <c r="K61"/>
  <c r="L61"/>
  <c r="C61"/>
  <c r="L52"/>
  <c r="C52"/>
  <c r="C50"/>
  <c r="G49"/>
  <c r="K49"/>
  <c r="K51" s="1"/>
  <c r="L49"/>
  <c r="C49"/>
  <c r="L72" i="5"/>
  <c r="M72"/>
  <c r="U71"/>
  <c r="M73" i="32"/>
  <c r="P71" i="5"/>
  <c r="Q71"/>
  <c r="L71"/>
  <c r="M71"/>
  <c r="U70"/>
  <c r="V70"/>
  <c r="L70"/>
  <c r="L67"/>
  <c r="M67"/>
  <c r="N67"/>
  <c r="F62" i="32"/>
  <c r="E62"/>
  <c r="U66" i="5"/>
  <c r="V66"/>
  <c r="W66"/>
  <c r="P66"/>
  <c r="L66"/>
  <c r="U65"/>
  <c r="V65"/>
  <c r="W65"/>
  <c r="L65"/>
  <c r="L62"/>
  <c r="U61"/>
  <c r="P61"/>
  <c r="Q61"/>
  <c r="R61"/>
  <c r="J49" i="32"/>
  <c r="L61" i="5"/>
  <c r="M61"/>
  <c r="U60"/>
  <c r="V60"/>
  <c r="L60"/>
  <c r="M60"/>
  <c r="E52" i="32"/>
  <c r="L45" i="5"/>
  <c r="M45"/>
  <c r="U45"/>
  <c r="V45"/>
  <c r="W45"/>
  <c r="X45"/>
  <c r="P38" i="32"/>
  <c r="O38"/>
  <c r="L46" i="5"/>
  <c r="P46"/>
  <c r="U46"/>
  <c r="L47"/>
  <c r="D36" i="32"/>
  <c r="M14" i="17"/>
  <c r="F14"/>
  <c r="J14"/>
  <c r="D14"/>
  <c r="H14"/>
  <c r="K14"/>
  <c r="C14"/>
  <c r="L14"/>
  <c r="E14"/>
  <c r="I14"/>
  <c r="C9"/>
  <c r="G14"/>
  <c r="M61" i="32"/>
  <c r="H49"/>
  <c r="H73"/>
  <c r="D73"/>
  <c r="D75" s="1"/>
  <c r="D62"/>
  <c r="D74"/>
  <c r="E13" i="39"/>
  <c r="D49" i="32"/>
  <c r="F13" i="39"/>
  <c r="D40" i="36"/>
  <c r="C11" i="32"/>
  <c r="C13" s="1"/>
  <c r="C12"/>
  <c r="C14"/>
  <c r="C23"/>
  <c r="C24"/>
  <c r="C25"/>
  <c r="C26"/>
  <c r="C35"/>
  <c r="C36"/>
  <c r="C38"/>
  <c r="C33"/>
  <c r="B117"/>
  <c r="B118"/>
  <c r="C133" i="3"/>
  <c r="D133"/>
  <c r="G6"/>
  <c r="F27" i="36"/>
  <c r="F43" s="1"/>
  <c r="C10"/>
  <c r="D11" i="32"/>
  <c r="D13" s="1"/>
  <c r="D23"/>
  <c r="E11"/>
  <c r="E13" s="1"/>
  <c r="E23"/>
  <c r="F11"/>
  <c r="F23"/>
  <c r="F25" s="1"/>
  <c r="G11"/>
  <c r="G23"/>
  <c r="G35"/>
  <c r="J27" i="36"/>
  <c r="J40" s="1"/>
  <c r="J74"/>
  <c r="H11" i="32"/>
  <c r="K74" i="36"/>
  <c r="I11" i="32"/>
  <c r="L74" i="36"/>
  <c r="J11" i="32"/>
  <c r="J13" s="1"/>
  <c r="M74" i="36"/>
  <c r="M83" s="1"/>
  <c r="K12" i="32"/>
  <c r="K24"/>
  <c r="K33"/>
  <c r="B120"/>
  <c r="B123"/>
  <c r="N27" i="36"/>
  <c r="N74"/>
  <c r="N97"/>
  <c r="K14" i="15"/>
  <c r="L38" i="32"/>
  <c r="O27" i="36"/>
  <c r="O74"/>
  <c r="O97"/>
  <c r="P27"/>
  <c r="P74"/>
  <c r="N14" i="32"/>
  <c r="N26"/>
  <c r="Q27" i="36"/>
  <c r="Q74"/>
  <c r="Q78" s="1"/>
  <c r="Q77"/>
  <c r="O12" i="32"/>
  <c r="R27" i="36"/>
  <c r="R29" s="1"/>
  <c r="R74"/>
  <c r="P12" i="32"/>
  <c r="P13" s="1"/>
  <c r="S27" i="36"/>
  <c r="S42" s="1"/>
  <c r="S74"/>
  <c r="S97"/>
  <c r="T27"/>
  <c r="T74"/>
  <c r="T97"/>
  <c r="U74"/>
  <c r="U77"/>
  <c r="U27"/>
  <c r="U42" s="1"/>
  <c r="L14" i="15"/>
  <c r="Q14"/>
  <c r="P14"/>
  <c r="G13" i="39"/>
  <c r="L10" i="5"/>
  <c r="P67" i="3"/>
  <c r="Q67" s="1"/>
  <c r="F81"/>
  <c r="K33" i="5"/>
  <c r="G20" i="3" s="1"/>
  <c r="G23" s="1"/>
  <c r="L32" i="5"/>
  <c r="D2" i="32" s="1"/>
  <c r="P32" i="5"/>
  <c r="Q32" s="1"/>
  <c r="O67" i="3"/>
  <c r="K42" i="38" s="1"/>
  <c r="K67" i="3"/>
  <c r="L67" s="1"/>
  <c r="G61"/>
  <c r="C49" i="38" s="1"/>
  <c r="G67" i="3"/>
  <c r="H61"/>
  <c r="C131" i="4"/>
  <c r="I61" i="3"/>
  <c r="E49" i="38" s="1"/>
  <c r="J61" i="3"/>
  <c r="F49" i="38"/>
  <c r="H5" i="37"/>
  <c r="H6"/>
  <c r="H7"/>
  <c r="H8"/>
  <c r="H9"/>
  <c r="H10"/>
  <c r="H11"/>
  <c r="H12"/>
  <c r="H13"/>
  <c r="I5"/>
  <c r="I6"/>
  <c r="I7"/>
  <c r="I8"/>
  <c r="I9"/>
  <c r="I10"/>
  <c r="I11"/>
  <c r="I12"/>
  <c r="I13"/>
  <c r="L37" i="5"/>
  <c r="D12" i="32"/>
  <c r="L35" i="5"/>
  <c r="K19"/>
  <c r="K77"/>
  <c r="L77" s="1"/>
  <c r="L42"/>
  <c r="D24" i="32"/>
  <c r="D25" s="1"/>
  <c r="L40" i="5"/>
  <c r="K22"/>
  <c r="K78"/>
  <c r="L78" s="1"/>
  <c r="L25"/>
  <c r="D33" i="32"/>
  <c r="K79" i="5"/>
  <c r="C99" i="32" s="1"/>
  <c r="K13" i="5"/>
  <c r="L12"/>
  <c r="F67" i="3"/>
  <c r="F69" s="1"/>
  <c r="C77"/>
  <c r="D77"/>
  <c r="C78"/>
  <c r="F78" s="1"/>
  <c r="D78"/>
  <c r="E78"/>
  <c r="F111"/>
  <c r="D122" s="1"/>
  <c r="F122" s="1"/>
  <c r="G53"/>
  <c r="G55"/>
  <c r="C37" i="38" s="1"/>
  <c r="G56" i="3"/>
  <c r="C38" i="38" s="1"/>
  <c r="G57" i="3"/>
  <c r="C39" i="38" s="1"/>
  <c r="G58" i="3"/>
  <c r="C47" i="38" s="1"/>
  <c r="G59" i="3"/>
  <c r="C40" i="38" s="1"/>
  <c r="G60" i="3"/>
  <c r="C48" i="38" s="1"/>
  <c r="G62" i="3"/>
  <c r="C41" i="38" s="1"/>
  <c r="G63" i="3"/>
  <c r="C50" i="38" s="1"/>
  <c r="G64" i="3"/>
  <c r="C43" i="38" s="1"/>
  <c r="G65" i="3"/>
  <c r="C51" i="38" s="1"/>
  <c r="G66" i="3"/>
  <c r="C52" i="38" s="1"/>
  <c r="D42" i="36"/>
  <c r="D43"/>
  <c r="H55" i="3"/>
  <c r="D37" i="38" s="1"/>
  <c r="H56" i="3"/>
  <c r="D38" i="38" s="1"/>
  <c r="H57" i="3"/>
  <c r="D39" i="38" s="1"/>
  <c r="H58" i="3"/>
  <c r="D47" i="38" s="1"/>
  <c r="H59" i="3"/>
  <c r="D40" i="38" s="1"/>
  <c r="H60" i="3"/>
  <c r="D48" i="38" s="1"/>
  <c r="H62" i="3"/>
  <c r="D41" i="38" s="1"/>
  <c r="H63" i="3"/>
  <c r="D50" i="38" s="1"/>
  <c r="H64" i="3"/>
  <c r="D43" i="38" s="1"/>
  <c r="H65" i="3"/>
  <c r="D51" i="38" s="1"/>
  <c r="H66" i="3"/>
  <c r="D52" i="38" s="1"/>
  <c r="G92" i="36"/>
  <c r="G97"/>
  <c r="E35" i="38"/>
  <c r="I55" i="3"/>
  <c r="E37" i="38"/>
  <c r="I56" i="3"/>
  <c r="I57"/>
  <c r="E39" i="38"/>
  <c r="I58" i="3"/>
  <c r="E47" i="38" s="1"/>
  <c r="I59" i="3"/>
  <c r="E40" i="38"/>
  <c r="I60" i="3"/>
  <c r="E48" i="38" s="1"/>
  <c r="I62" i="3"/>
  <c r="E41" i="38"/>
  <c r="I63" i="3"/>
  <c r="E50" i="38" s="1"/>
  <c r="I64" i="3"/>
  <c r="E43" i="38"/>
  <c r="I65" i="3"/>
  <c r="E51" i="38" s="1"/>
  <c r="I66" i="3"/>
  <c r="E52" i="38"/>
  <c r="H92" i="36"/>
  <c r="H97"/>
  <c r="J55" i="3"/>
  <c r="F37" i="38"/>
  <c r="J56" i="3"/>
  <c r="F38" i="38" s="1"/>
  <c r="J57" i="3"/>
  <c r="F39" i="38" s="1"/>
  <c r="J58" i="3"/>
  <c r="F47" i="38" s="1"/>
  <c r="J59" i="3"/>
  <c r="F40" i="38" s="1"/>
  <c r="J60" i="3"/>
  <c r="F48" i="38" s="1"/>
  <c r="J62" i="3"/>
  <c r="F41" i="38" s="1"/>
  <c r="J63" i="3"/>
  <c r="F50" i="38" s="1"/>
  <c r="J64" i="3"/>
  <c r="F43" i="38" s="1"/>
  <c r="J65" i="3"/>
  <c r="F51" i="38" s="1"/>
  <c r="J66" i="3"/>
  <c r="F52" i="38" s="1"/>
  <c r="J114" i="3"/>
  <c r="J116" s="1"/>
  <c r="I92" i="36"/>
  <c r="I97"/>
  <c r="D77"/>
  <c r="D78"/>
  <c r="D79"/>
  <c r="D83"/>
  <c r="D84"/>
  <c r="J97"/>
  <c r="P41" i="5"/>
  <c r="Q41"/>
  <c r="K97" i="36"/>
  <c r="L97"/>
  <c r="M97"/>
  <c r="K88" i="5"/>
  <c r="L88"/>
  <c r="M88"/>
  <c r="N88"/>
  <c r="O88"/>
  <c r="N92" i="36"/>
  <c r="T36" i="5"/>
  <c r="U36"/>
  <c r="V36"/>
  <c r="N11" i="32"/>
  <c r="T37" i="5"/>
  <c r="U37"/>
  <c r="M12" i="32"/>
  <c r="T41" i="5"/>
  <c r="L23" i="32"/>
  <c r="T42" i="5"/>
  <c r="L24" i="32"/>
  <c r="T25" i="5"/>
  <c r="L33" i="32"/>
  <c r="P92" i="36"/>
  <c r="P97"/>
  <c r="W40" i="5"/>
  <c r="R92" i="36"/>
  <c r="R97"/>
  <c r="Y36" i="5"/>
  <c r="Y37"/>
  <c r="Z37"/>
  <c r="R12" i="32"/>
  <c r="T92" i="36"/>
  <c r="E42" i="37"/>
  <c r="G13"/>
  <c r="G12"/>
  <c r="G11"/>
  <c r="G10"/>
  <c r="G9"/>
  <c r="G8"/>
  <c r="G7"/>
  <c r="G6"/>
  <c r="G5"/>
  <c r="B97" i="32"/>
  <c r="B94"/>
  <c r="A39" i="5"/>
  <c r="A44"/>
  <c r="A20" i="32"/>
  <c r="A96" s="1"/>
  <c r="A136"/>
  <c r="B78" i="5"/>
  <c r="A35" i="9"/>
  <c r="A134" i="4"/>
  <c r="A133"/>
  <c r="A132"/>
  <c r="A131"/>
  <c r="C9" i="31"/>
  <c r="D9"/>
  <c r="E9"/>
  <c r="G9"/>
  <c r="H9"/>
  <c r="L15"/>
  <c r="J15"/>
  <c r="K15"/>
  <c r="G24" i="36"/>
  <c r="I15" i="31"/>
  <c r="G51" i="3"/>
  <c r="J92" i="36"/>
  <c r="K92"/>
  <c r="L92"/>
  <c r="M92"/>
  <c r="W24" i="3"/>
  <c r="F74" i="36"/>
  <c r="G94" i="5"/>
  <c r="J2" i="4"/>
  <c r="J16" s="1"/>
  <c r="K2"/>
  <c r="K77" s="1"/>
  <c r="L2"/>
  <c r="L140" s="1"/>
  <c r="L16"/>
  <c r="M2"/>
  <c r="N6" i="9" s="1"/>
  <c r="N2" i="4"/>
  <c r="O6" i="9" s="1"/>
  <c r="O6" i="11" s="1"/>
  <c r="O2" i="4"/>
  <c r="T3" i="2" s="1"/>
  <c r="P2" i="4"/>
  <c r="U49" i="3" s="1"/>
  <c r="Q2" i="4"/>
  <c r="V4" i="3" s="1"/>
  <c r="Q3" i="34" s="1"/>
  <c r="K13" i="37"/>
  <c r="K6"/>
  <c r="K7"/>
  <c r="K8"/>
  <c r="K9"/>
  <c r="K10"/>
  <c r="K11"/>
  <c r="K12"/>
  <c r="K5"/>
  <c r="K15"/>
  <c r="R140" i="4"/>
  <c r="R16"/>
  <c r="S16"/>
  <c r="T16"/>
  <c r="U16"/>
  <c r="V16"/>
  <c r="W16"/>
  <c r="X16"/>
  <c r="Y16"/>
  <c r="Z16"/>
  <c r="AA16"/>
  <c r="AB16"/>
  <c r="AC16"/>
  <c r="AD16"/>
  <c r="AE16"/>
  <c r="AF16"/>
  <c r="AG16"/>
  <c r="AH16"/>
  <c r="AI16"/>
  <c r="AJ16"/>
  <c r="AK16"/>
  <c r="AL16"/>
  <c r="AM16"/>
  <c r="A32" i="32"/>
  <c r="A99"/>
  <c r="A137" s="1"/>
  <c r="A8"/>
  <c r="A93" s="1"/>
  <c r="A135"/>
  <c r="F44" i="3"/>
  <c r="F18"/>
  <c r="F51"/>
  <c r="E6"/>
  <c r="U92" i="36"/>
  <c r="E74"/>
  <c r="U97"/>
  <c r="B36" i="16"/>
  <c r="B37"/>
  <c r="B38" s="1"/>
  <c r="B35"/>
  <c r="B18"/>
  <c r="B19" s="1"/>
  <c r="B20" s="1"/>
  <c r="B29"/>
  <c r="B17"/>
  <c r="E18" i="3"/>
  <c r="O108"/>
  <c r="P108"/>
  <c r="Q108"/>
  <c r="R108"/>
  <c r="S108"/>
  <c r="T108"/>
  <c r="U108"/>
  <c r="V108"/>
  <c r="B121" i="32"/>
  <c r="B122"/>
  <c r="B79" i="5"/>
  <c r="B77"/>
  <c r="B144" i="32"/>
  <c r="R77" i="35"/>
  <c r="Q77"/>
  <c r="P77"/>
  <c r="O77"/>
  <c r="O79"/>
  <c r="N77"/>
  <c r="M77"/>
  <c r="L77"/>
  <c r="K77"/>
  <c r="K79"/>
  <c r="J77"/>
  <c r="I77"/>
  <c r="H77"/>
  <c r="S76"/>
  <c r="T76"/>
  <c r="S75"/>
  <c r="T75"/>
  <c r="S74"/>
  <c r="T74"/>
  <c r="S73"/>
  <c r="T73"/>
  <c r="U73"/>
  <c r="S72"/>
  <c r="T72"/>
  <c r="U72"/>
  <c r="S71"/>
  <c r="T71"/>
  <c r="U71"/>
  <c r="S70"/>
  <c r="T70"/>
  <c r="U70"/>
  <c r="S69"/>
  <c r="T69"/>
  <c r="U69"/>
  <c r="S68"/>
  <c r="T68"/>
  <c r="S67"/>
  <c r="T67"/>
  <c r="S66"/>
  <c r="T66"/>
  <c r="U66"/>
  <c r="S65"/>
  <c r="T65"/>
  <c r="U65"/>
  <c r="G63"/>
  <c r="G77"/>
  <c r="W63"/>
  <c r="S59"/>
  <c r="S58"/>
  <c r="S57"/>
  <c r="S56"/>
  <c r="S55"/>
  <c r="S54"/>
  <c r="S53"/>
  <c r="S52"/>
  <c r="S51"/>
  <c r="S50"/>
  <c r="S49"/>
  <c r="S48"/>
  <c r="S47"/>
  <c r="S46"/>
  <c r="S44"/>
  <c r="S43"/>
  <c r="S41"/>
  <c r="R40"/>
  <c r="Q40"/>
  <c r="P40"/>
  <c r="O40"/>
  <c r="N40"/>
  <c r="M40"/>
  <c r="L40"/>
  <c r="K40"/>
  <c r="J40"/>
  <c r="I40"/>
  <c r="I79"/>
  <c r="H40"/>
  <c r="H79"/>
  <c r="G40"/>
  <c r="S39"/>
  <c r="T39"/>
  <c r="S38"/>
  <c r="T38"/>
  <c r="U38"/>
  <c r="S37"/>
  <c r="T37"/>
  <c r="U37"/>
  <c r="S36"/>
  <c r="T36"/>
  <c r="U36"/>
  <c r="S35"/>
  <c r="T35"/>
  <c r="U35"/>
  <c r="S34"/>
  <c r="S33"/>
  <c r="T33"/>
  <c r="S32"/>
  <c r="T32"/>
  <c r="S31"/>
  <c r="T31"/>
  <c r="S30"/>
  <c r="T30"/>
  <c r="S29"/>
  <c r="T29"/>
  <c r="S28"/>
  <c r="T28"/>
  <c r="S27"/>
  <c r="T27"/>
  <c r="S26"/>
  <c r="T26"/>
  <c r="S24"/>
  <c r="U23"/>
  <c r="R23"/>
  <c r="Q23"/>
  <c r="P23"/>
  <c r="O23"/>
  <c r="N23"/>
  <c r="M23"/>
  <c r="L23"/>
  <c r="K23"/>
  <c r="J23"/>
  <c r="I23"/>
  <c r="H23"/>
  <c r="S22"/>
  <c r="T22"/>
  <c r="S21"/>
  <c r="T21"/>
  <c r="S20"/>
  <c r="T20"/>
  <c r="S19"/>
  <c r="T19"/>
  <c r="S18"/>
  <c r="T18"/>
  <c r="S17"/>
  <c r="T17"/>
  <c r="S16"/>
  <c r="T16"/>
  <c r="S15"/>
  <c r="T15"/>
  <c r="G14"/>
  <c r="S13"/>
  <c r="T13"/>
  <c r="S12"/>
  <c r="T12"/>
  <c r="S11"/>
  <c r="T11"/>
  <c r="S10"/>
  <c r="T10"/>
  <c r="S9"/>
  <c r="T9"/>
  <c r="S8"/>
  <c r="T8"/>
  <c r="S7"/>
  <c r="T7"/>
  <c r="S5"/>
  <c r="T5"/>
  <c r="G48" i="34"/>
  <c r="G40"/>
  <c r="G5"/>
  <c r="G25"/>
  <c r="H25"/>
  <c r="I25"/>
  <c r="G7"/>
  <c r="H7"/>
  <c r="I7"/>
  <c r="J7"/>
  <c r="K7"/>
  <c r="L7"/>
  <c r="M7"/>
  <c r="N7"/>
  <c r="O7"/>
  <c r="P7"/>
  <c r="Q7"/>
  <c r="G6"/>
  <c r="H5"/>
  <c r="I5"/>
  <c r="J5"/>
  <c r="K5"/>
  <c r="L5"/>
  <c r="M5"/>
  <c r="N5"/>
  <c r="O5"/>
  <c r="P5"/>
  <c r="Q5"/>
  <c r="G27"/>
  <c r="G8"/>
  <c r="G9"/>
  <c r="H9"/>
  <c r="I9"/>
  <c r="J9"/>
  <c r="K9"/>
  <c r="L9"/>
  <c r="M9"/>
  <c r="N9"/>
  <c r="O9"/>
  <c r="P9"/>
  <c r="Q9"/>
  <c r="G21"/>
  <c r="G20"/>
  <c r="G19"/>
  <c r="H18"/>
  <c r="G11"/>
  <c r="A119" i="32"/>
  <c r="A116"/>
  <c r="B100"/>
  <c r="A100"/>
  <c r="P91"/>
  <c r="P133"/>
  <c r="L91"/>
  <c r="L133"/>
  <c r="N91"/>
  <c r="N133"/>
  <c r="R91"/>
  <c r="R133"/>
  <c r="K91"/>
  <c r="K133"/>
  <c r="M91"/>
  <c r="M133"/>
  <c r="O91"/>
  <c r="O133"/>
  <c r="Q91"/>
  <c r="Q133"/>
  <c r="H11" i="34"/>
  <c r="S63" i="35"/>
  <c r="G23"/>
  <c r="M79"/>
  <c r="Q79"/>
  <c r="J79"/>
  <c r="N79"/>
  <c r="R79"/>
  <c r="H27" i="34"/>
  <c r="I27"/>
  <c r="J27"/>
  <c r="K27"/>
  <c r="L27"/>
  <c r="M27"/>
  <c r="N27"/>
  <c r="O27"/>
  <c r="P27"/>
  <c r="Q27"/>
  <c r="G29"/>
  <c r="I11"/>
  <c r="I14" s="1"/>
  <c r="I37" s="1"/>
  <c r="H29"/>
  <c r="N20" i="28"/>
  <c r="N22"/>
  <c r="N28"/>
  <c r="N21"/>
  <c r="M18"/>
  <c r="N18"/>
  <c r="N24"/>
  <c r="N15"/>
  <c r="N16"/>
  <c r="N17"/>
  <c r="X23" i="2"/>
  <c r="M20" i="28"/>
  <c r="M21"/>
  <c r="M22"/>
  <c r="M24"/>
  <c r="M15"/>
  <c r="V21" i="2"/>
  <c r="M16" i="28"/>
  <c r="M17"/>
  <c r="V23" i="2"/>
  <c r="L20" i="28"/>
  <c r="L21"/>
  <c r="L22"/>
  <c r="L28"/>
  <c r="L24"/>
  <c r="L15"/>
  <c r="L16"/>
  <c r="L17"/>
  <c r="T23" i="2"/>
  <c r="K20" i="28"/>
  <c r="K21"/>
  <c r="K22"/>
  <c r="K18"/>
  <c r="K15"/>
  <c r="K16"/>
  <c r="K17"/>
  <c r="K23"/>
  <c r="J20"/>
  <c r="J21"/>
  <c r="J22"/>
  <c r="J15"/>
  <c r="J16"/>
  <c r="J17"/>
  <c r="I20"/>
  <c r="I21"/>
  <c r="I22"/>
  <c r="I15"/>
  <c r="I16"/>
  <c r="I17"/>
  <c r="H20"/>
  <c r="H21"/>
  <c r="H22"/>
  <c r="H15"/>
  <c r="H16"/>
  <c r="H17"/>
  <c r="G20"/>
  <c r="G21"/>
  <c r="G22"/>
  <c r="G15"/>
  <c r="G16"/>
  <c r="G17"/>
  <c r="F20"/>
  <c r="F21"/>
  <c r="F22"/>
  <c r="F15"/>
  <c r="F16"/>
  <c r="F17"/>
  <c r="F23"/>
  <c r="E20"/>
  <c r="E21"/>
  <c r="E22"/>
  <c r="E15"/>
  <c r="E16"/>
  <c r="E17"/>
  <c r="M28"/>
  <c r="M30"/>
  <c r="E30"/>
  <c r="F27"/>
  <c r="F30"/>
  <c r="G27"/>
  <c r="G30"/>
  <c r="H30"/>
  <c r="I30"/>
  <c r="J27"/>
  <c r="J30"/>
  <c r="K27"/>
  <c r="K30"/>
  <c r="L30"/>
  <c r="X21" i="2"/>
  <c r="T21"/>
  <c r="R21"/>
  <c r="P21"/>
  <c r="N21"/>
  <c r="L21"/>
  <c r="J21"/>
  <c r="H21"/>
  <c r="F21"/>
  <c r="F22"/>
  <c r="H22" s="1"/>
  <c r="J22" s="1"/>
  <c r="L22" s="1"/>
  <c r="N22" s="1"/>
  <c r="P22" s="1"/>
  <c r="R22" s="1"/>
  <c r="T22" s="1"/>
  <c r="V22" s="1"/>
  <c r="X22" s="1"/>
  <c r="Z22" s="1"/>
  <c r="D21"/>
  <c r="D19"/>
  <c r="X13"/>
  <c r="V13"/>
  <c r="T13"/>
  <c r="R13"/>
  <c r="P13"/>
  <c r="N13"/>
  <c r="L13"/>
  <c r="J13"/>
  <c r="H13"/>
  <c r="F13"/>
  <c r="D13"/>
  <c r="V5"/>
  <c r="T5"/>
  <c r="T7" s="1"/>
  <c r="T9"/>
  <c r="T11" s="1"/>
  <c r="R5"/>
  <c r="P5"/>
  <c r="N5"/>
  <c r="L5"/>
  <c r="X5"/>
  <c r="X7" s="1"/>
  <c r="F9" i="25"/>
  <c r="F10"/>
  <c r="B9" i="13"/>
  <c r="B17"/>
  <c r="B18" s="1"/>
  <c r="F3" i="2"/>
  <c r="H3"/>
  <c r="D3"/>
  <c r="B10" i="13"/>
  <c r="C35" i="28"/>
  <c r="C34"/>
  <c r="G34" s="1"/>
  <c r="H34"/>
  <c r="C32"/>
  <c r="N30"/>
  <c r="A28"/>
  <c r="A29"/>
  <c r="A30"/>
  <c r="A31"/>
  <c r="C25"/>
  <c r="N25"/>
  <c r="A21"/>
  <c r="A22"/>
  <c r="A16"/>
  <c r="A17"/>
  <c r="A18"/>
  <c r="O6"/>
  <c r="C12"/>
  <c r="E12"/>
  <c r="B12"/>
  <c r="C11"/>
  <c r="B11"/>
  <c r="C10"/>
  <c r="B10"/>
  <c r="I9"/>
  <c r="J9"/>
  <c r="K9"/>
  <c r="L9"/>
  <c r="M9"/>
  <c r="N9"/>
  <c r="H9"/>
  <c r="G9"/>
  <c r="F9"/>
  <c r="E9"/>
  <c r="X17" i="2"/>
  <c r="V17"/>
  <c r="T17"/>
  <c r="R17"/>
  <c r="P17"/>
  <c r="N17"/>
  <c r="L17"/>
  <c r="J17"/>
  <c r="H17"/>
  <c r="F17"/>
  <c r="D17"/>
  <c r="J5"/>
  <c r="H5"/>
  <c r="H7"/>
  <c r="F5"/>
  <c r="F13" i="25"/>
  <c r="H13"/>
  <c r="R22" i="28"/>
  <c r="A9"/>
  <c r="A10"/>
  <c r="A11"/>
  <c r="A12"/>
  <c r="O5"/>
  <c r="O4"/>
  <c r="O15"/>
  <c r="N27"/>
  <c r="N29"/>
  <c r="G13" i="25"/>
  <c r="G10"/>
  <c r="E10"/>
  <c r="H10"/>
  <c r="I10"/>
  <c r="D7" i="2"/>
  <c r="A2" i="5"/>
  <c r="B1" i="21"/>
  <c r="H3" i="34"/>
  <c r="I3"/>
  <c r="G3"/>
  <c r="E10" i="24"/>
  <c r="E24"/>
  <c r="E21"/>
  <c r="D24"/>
  <c r="F21"/>
  <c r="G21"/>
  <c r="H21"/>
  <c r="I21"/>
  <c r="J21"/>
  <c r="K21"/>
  <c r="L21"/>
  <c r="M21"/>
  <c r="N21"/>
  <c r="O21"/>
  <c r="P21"/>
  <c r="Q21"/>
  <c r="R21"/>
  <c r="D17"/>
  <c r="E9"/>
  <c r="P6"/>
  <c r="Q6"/>
  <c r="R6"/>
  <c r="J6"/>
  <c r="K6"/>
  <c r="L6"/>
  <c r="M6"/>
  <c r="N6"/>
  <c r="E6"/>
  <c r="P5"/>
  <c r="Q5"/>
  <c r="R5"/>
  <c r="J5"/>
  <c r="K5"/>
  <c r="L5"/>
  <c r="M5"/>
  <c r="N5"/>
  <c r="E5"/>
  <c r="F9"/>
  <c r="F5"/>
  <c r="G5"/>
  <c r="H5"/>
  <c r="E15"/>
  <c r="D15"/>
  <c r="E17"/>
  <c r="F15"/>
  <c r="D20" i="2"/>
  <c r="B6" i="13"/>
  <c r="AK69" i="3"/>
  <c r="D6" i="2"/>
  <c r="D9"/>
  <c r="B24" i="16"/>
  <c r="B25"/>
  <c r="B26"/>
  <c r="D10" i="2"/>
  <c r="D15"/>
  <c r="D11"/>
  <c r="D12"/>
  <c r="D8"/>
  <c r="B23" i="16"/>
  <c r="B11"/>
  <c r="B17" i="15"/>
  <c r="D16" i="2"/>
  <c r="B11" i="13"/>
  <c r="B17" i="17"/>
  <c r="B12" i="16"/>
  <c r="B12" i="13"/>
  <c r="D24" i="2"/>
  <c r="B9" i="14"/>
  <c r="B15"/>
  <c r="B10" i="18"/>
  <c r="J14" i="15"/>
  <c r="I14"/>
  <c r="H14"/>
  <c r="F14"/>
  <c r="E14"/>
  <c r="G14"/>
  <c r="D14"/>
  <c r="R14"/>
  <c r="O14"/>
  <c r="H13" i="39"/>
  <c r="Q85" i="36"/>
  <c r="D85"/>
  <c r="B30" i="16"/>
  <c r="B31"/>
  <c r="B32" s="1"/>
  <c r="A75" i="5"/>
  <c r="A88"/>
  <c r="A90"/>
  <c r="A69"/>
  <c r="U25"/>
  <c r="M33" i="32"/>
  <c r="Q92" i="36"/>
  <c r="G121" i="5"/>
  <c r="F36" i="28"/>
  <c r="F6" i="24"/>
  <c r="G6"/>
  <c r="H6"/>
  <c r="F10"/>
  <c r="D14" i="2"/>
  <c r="J29" i="28"/>
  <c r="F24"/>
  <c r="H23" i="2"/>
  <c r="F28" i="28"/>
  <c r="F29"/>
  <c r="O22"/>
  <c r="H27"/>
  <c r="H23"/>
  <c r="J24"/>
  <c r="P23" i="2"/>
  <c r="J28" i="28"/>
  <c r="K29"/>
  <c r="G29"/>
  <c r="H24"/>
  <c r="L23" i="2"/>
  <c r="H28" i="28"/>
  <c r="J23"/>
  <c r="H6" i="34"/>
  <c r="I6"/>
  <c r="J6"/>
  <c r="K6"/>
  <c r="L6"/>
  <c r="M6"/>
  <c r="N6"/>
  <c r="O6"/>
  <c r="P6"/>
  <c r="Q6"/>
  <c r="G26"/>
  <c r="E27" i="28"/>
  <c r="O17"/>
  <c r="E23"/>
  <c r="G24"/>
  <c r="J23" i="2"/>
  <c r="G28" i="28"/>
  <c r="I23"/>
  <c r="I27"/>
  <c r="I29"/>
  <c r="Q12" i="32"/>
  <c r="U42" i="5"/>
  <c r="V42"/>
  <c r="W42"/>
  <c r="O24" i="32"/>
  <c r="O25" s="1"/>
  <c r="X42" i="5"/>
  <c r="G9" i="24"/>
  <c r="E24" i="28"/>
  <c r="E28"/>
  <c r="G23"/>
  <c r="I24"/>
  <c r="N23" i="2"/>
  <c r="I28" i="28"/>
  <c r="W23" i="35"/>
  <c r="G79"/>
  <c r="I18" i="34"/>
  <c r="H19"/>
  <c r="H44"/>
  <c r="H20"/>
  <c r="H45"/>
  <c r="H21"/>
  <c r="H46"/>
  <c r="K24" i="28"/>
  <c r="K28"/>
  <c r="L27"/>
  <c r="L29"/>
  <c r="L23"/>
  <c r="M27"/>
  <c r="M29"/>
  <c r="M23"/>
  <c r="N23"/>
  <c r="I29" i="34"/>
  <c r="J29"/>
  <c r="K29"/>
  <c r="L29"/>
  <c r="M29"/>
  <c r="N29"/>
  <c r="O29"/>
  <c r="P29"/>
  <c r="Q29"/>
  <c r="R29"/>
  <c r="J25"/>
  <c r="T40" i="35"/>
  <c r="S92" i="36"/>
  <c r="O9" i="28"/>
  <c r="R27" i="34"/>
  <c r="T34" i="35"/>
  <c r="U34"/>
  <c r="U40"/>
  <c r="S40"/>
  <c r="G28" i="34"/>
  <c r="H8"/>
  <c r="I8"/>
  <c r="J8"/>
  <c r="K8"/>
  <c r="L8"/>
  <c r="M8"/>
  <c r="N8"/>
  <c r="O8"/>
  <c r="P8"/>
  <c r="Q8"/>
  <c r="O26" i="32"/>
  <c r="X40" i="5"/>
  <c r="O92" i="36"/>
  <c r="D80"/>
  <c r="S77" i="35"/>
  <c r="T63"/>
  <c r="S14"/>
  <c r="W6"/>
  <c r="W78"/>
  <c r="O14" i="32"/>
  <c r="X35" i="5"/>
  <c r="Y35"/>
  <c r="M38" i="32"/>
  <c r="M42" i="5"/>
  <c r="L79" i="35"/>
  <c r="P79"/>
  <c r="M25" i="5"/>
  <c r="M37"/>
  <c r="N37"/>
  <c r="F12" i="32"/>
  <c r="F13" s="1"/>
  <c r="U24" i="36"/>
  <c r="B39" i="9"/>
  <c r="I13" i="39"/>
  <c r="D87" i="36"/>
  <c r="V25" i="5"/>
  <c r="V92" i="36"/>
  <c r="R23" i="2"/>
  <c r="I20" i="34"/>
  <c r="I45"/>
  <c r="J18"/>
  <c r="I21"/>
  <c r="I46"/>
  <c r="I19"/>
  <c r="I44"/>
  <c r="I48"/>
  <c r="E36" i="28"/>
  <c r="O23"/>
  <c r="H26" i="34"/>
  <c r="G31"/>
  <c r="T14" i="35"/>
  <c r="T23"/>
  <c r="T79"/>
  <c r="S23"/>
  <c r="S79"/>
  <c r="M24" i="32"/>
  <c r="F24" i="24"/>
  <c r="G10"/>
  <c r="F17"/>
  <c r="O37" i="5"/>
  <c r="P14" i="32"/>
  <c r="H28" i="34"/>
  <c r="I28"/>
  <c r="J28"/>
  <c r="K28"/>
  <c r="L28"/>
  <c r="M28"/>
  <c r="N28"/>
  <c r="O28"/>
  <c r="P28"/>
  <c r="Q28"/>
  <c r="E29" i="28"/>
  <c r="E31"/>
  <c r="F23" i="2"/>
  <c r="O24" i="28"/>
  <c r="G15" i="24"/>
  <c r="H9"/>
  <c r="T85" i="36"/>
  <c r="N38" i="32"/>
  <c r="U63" i="35"/>
  <c r="U77"/>
  <c r="U79"/>
  <c r="T77"/>
  <c r="K25" i="34"/>
  <c r="H48"/>
  <c r="H29" i="28"/>
  <c r="S24" i="36"/>
  <c r="R10" i="15"/>
  <c r="R24" i="36"/>
  <c r="B40" i="9"/>
  <c r="J13" i="39"/>
  <c r="P88" i="5"/>
  <c r="Q88"/>
  <c r="R88"/>
  <c r="S88"/>
  <c r="T88"/>
  <c r="H10" i="24"/>
  <c r="G24"/>
  <c r="G17"/>
  <c r="J19" i="34"/>
  <c r="J44"/>
  <c r="J48"/>
  <c r="J21"/>
  <c r="J46"/>
  <c r="K18"/>
  <c r="J20"/>
  <c r="J45"/>
  <c r="L25"/>
  <c r="R28"/>
  <c r="I26"/>
  <c r="H31"/>
  <c r="F24" i="2"/>
  <c r="H24"/>
  <c r="J24" s="1"/>
  <c r="L24" s="1"/>
  <c r="F19"/>
  <c r="F31" i="28"/>
  <c r="I9" i="24"/>
  <c r="H15"/>
  <c r="G50" i="34"/>
  <c r="O10" i="15"/>
  <c r="L10"/>
  <c r="O24" i="36"/>
  <c r="Q24"/>
  <c r="K13" i="39"/>
  <c r="H19" i="2"/>
  <c r="I15" i="24"/>
  <c r="J9"/>
  <c r="H31" i="28"/>
  <c r="K19" i="34"/>
  <c r="K44"/>
  <c r="K20"/>
  <c r="K45"/>
  <c r="L18"/>
  <c r="K21"/>
  <c r="K46"/>
  <c r="I31" i="28"/>
  <c r="J26" i="34"/>
  <c r="I31"/>
  <c r="G31" i="28"/>
  <c r="M25" i="34"/>
  <c r="H17" i="24"/>
  <c r="I10"/>
  <c r="H24"/>
  <c r="Q97" i="36"/>
  <c r="L13" i="39"/>
  <c r="N25" i="34"/>
  <c r="N19" i="2"/>
  <c r="K26" i="34"/>
  <c r="J31"/>
  <c r="M18"/>
  <c r="L20"/>
  <c r="L45"/>
  <c r="L21"/>
  <c r="L46"/>
  <c r="L19"/>
  <c r="L44"/>
  <c r="J15" i="24"/>
  <c r="K9"/>
  <c r="L19" i="2"/>
  <c r="J31" i="28"/>
  <c r="J19" i="2"/>
  <c r="K48" i="34"/>
  <c r="I17" i="24"/>
  <c r="J10"/>
  <c r="I24"/>
  <c r="N14" i="15"/>
  <c r="M13" i="39"/>
  <c r="O25" i="34"/>
  <c r="J24" i="24"/>
  <c r="J17"/>
  <c r="K10"/>
  <c r="L26" i="34"/>
  <c r="K31"/>
  <c r="P19" i="2"/>
  <c r="L9" i="24"/>
  <c r="K15"/>
  <c r="M21" i="34"/>
  <c r="M46"/>
  <c r="N18"/>
  <c r="M20"/>
  <c r="M45"/>
  <c r="M19"/>
  <c r="M44"/>
  <c r="K31" i="28"/>
  <c r="L48" i="34"/>
  <c r="N13" i="39"/>
  <c r="N20" i="34"/>
  <c r="N45"/>
  <c r="N19"/>
  <c r="N44"/>
  <c r="N48"/>
  <c r="O18"/>
  <c r="N21"/>
  <c r="N46"/>
  <c r="R19" i="2"/>
  <c r="L15" i="24"/>
  <c r="M9"/>
  <c r="M26" i="34"/>
  <c r="L31"/>
  <c r="L10" i="24"/>
  <c r="K24"/>
  <c r="K17"/>
  <c r="L31" i="28"/>
  <c r="M48" i="34"/>
  <c r="P25"/>
  <c r="O13" i="39"/>
  <c r="L24" i="24"/>
  <c r="L17"/>
  <c r="M10"/>
  <c r="N9"/>
  <c r="M15"/>
  <c r="O21" i="34"/>
  <c r="O46"/>
  <c r="O20"/>
  <c r="O45"/>
  <c r="P18"/>
  <c r="O19"/>
  <c r="O44"/>
  <c r="O48"/>
  <c r="B29" i="31"/>
  <c r="N26" i="34"/>
  <c r="M31"/>
  <c r="T19" i="2"/>
  <c r="M31" i="28"/>
  <c r="Q25" i="34"/>
  <c r="P13" i="39"/>
  <c r="R25" i="34"/>
  <c r="Q18"/>
  <c r="P20"/>
  <c r="P45"/>
  <c r="P19"/>
  <c r="P44"/>
  <c r="P21"/>
  <c r="P46"/>
  <c r="M24" i="24"/>
  <c r="M17"/>
  <c r="N10"/>
  <c r="V19" i="2"/>
  <c r="N15" i="24"/>
  <c r="O9"/>
  <c r="O26" i="34"/>
  <c r="N31"/>
  <c r="N31" i="28"/>
  <c r="R13" i="39"/>
  <c r="Q13"/>
  <c r="Q19" i="34"/>
  <c r="Q44"/>
  <c r="Q20"/>
  <c r="Q45"/>
  <c r="R45"/>
  <c r="Q21"/>
  <c r="Q46"/>
  <c r="R46"/>
  <c r="N24" i="24"/>
  <c r="N17"/>
  <c r="O10"/>
  <c r="P48" i="34"/>
  <c r="X19" i="2"/>
  <c r="O31" i="28"/>
  <c r="P26" i="34"/>
  <c r="O31"/>
  <c r="P9" i="24"/>
  <c r="O15"/>
  <c r="Q48" i="34"/>
  <c r="R44"/>
  <c r="R48"/>
  <c r="P15" i="24"/>
  <c r="Q9"/>
  <c r="Q26" i="34"/>
  <c r="P31"/>
  <c r="O17" i="24"/>
  <c r="O24"/>
  <c r="P10"/>
  <c r="P17"/>
  <c r="P24"/>
  <c r="Q10"/>
  <c r="Q31" i="34"/>
  <c r="R26"/>
  <c r="Q15" i="24"/>
  <c r="R9"/>
  <c r="R31" i="34"/>
  <c r="S9" i="24"/>
  <c r="R15"/>
  <c r="Q24"/>
  <c r="R10"/>
  <c r="Q17"/>
  <c r="S85" i="36"/>
  <c r="R24" i="24"/>
  <c r="R17"/>
  <c r="S10"/>
  <c r="U85" i="36"/>
  <c r="J27" i="31"/>
  <c r="L27"/>
  <c r="H27"/>
  <c r="F27"/>
  <c r="C30"/>
  <c r="D22" i="11"/>
  <c r="J106" i="5"/>
  <c r="F30" i="31"/>
  <c r="K22" i="11"/>
  <c r="E30" i="31"/>
  <c r="N22" i="11"/>
  <c r="K30" i="31"/>
  <c r="H30"/>
  <c r="F22" i="11"/>
  <c r="G30" i="31"/>
  <c r="L22" i="11"/>
  <c r="J22"/>
  <c r="L30" i="31"/>
  <c r="P22" i="11"/>
  <c r="O22"/>
  <c r="J30" i="31"/>
  <c r="U106" i="5"/>
  <c r="M106"/>
  <c r="G22" i="11"/>
  <c r="Q106" i="5"/>
  <c r="I22" i="11"/>
  <c r="S106" i="5"/>
  <c r="M22" i="11"/>
  <c r="D30" i="31"/>
  <c r="I30"/>
  <c r="P106" i="5"/>
  <c r="L106"/>
  <c r="V106"/>
  <c r="O106"/>
  <c r="N106"/>
  <c r="H22" i="11"/>
  <c r="T106" i="5"/>
  <c r="R106"/>
  <c r="K106"/>
  <c r="E22" i="11"/>
  <c r="N24" i="32"/>
  <c r="D26"/>
  <c r="M40" i="5"/>
  <c r="G75" i="3"/>
  <c r="G79" s="1"/>
  <c r="C102" i="38" s="1"/>
  <c r="G6" i="36"/>
  <c r="G65"/>
  <c r="M10" i="5"/>
  <c r="E114" i="32"/>
  <c r="M79" i="36"/>
  <c r="K79"/>
  <c r="C96" i="32"/>
  <c r="C47"/>
  <c r="M25" i="28"/>
  <c r="D76" i="32"/>
  <c r="M70" i="5"/>
  <c r="E76" i="32"/>
  <c r="L12"/>
  <c r="G74" i="36"/>
  <c r="M12" i="5"/>
  <c r="M35"/>
  <c r="D14" i="32"/>
  <c r="D47"/>
  <c r="N12" i="5"/>
  <c r="I74" i="36"/>
  <c r="N40" i="5"/>
  <c r="O40"/>
  <c r="E26" i="32"/>
  <c r="F26"/>
  <c r="N50" i="5"/>
  <c r="Q134" i="3"/>
  <c r="L17" i="4" s="1"/>
  <c r="M10" i="13" s="1"/>
  <c r="J12" i="4"/>
  <c r="K16" i="12" s="1"/>
  <c r="P105" i="38"/>
  <c r="Q105"/>
  <c r="V71" i="5"/>
  <c r="M47"/>
  <c r="O67"/>
  <c r="P67"/>
  <c r="C42" i="32"/>
  <c r="G90" i="3"/>
  <c r="L57" i="5"/>
  <c r="G21" i="3"/>
  <c r="D38" i="32"/>
  <c r="Q66" i="5"/>
  <c r="H61" i="32"/>
  <c r="M52" i="5"/>
  <c r="E71" i="32"/>
  <c r="N70" i="5"/>
  <c r="O70"/>
  <c r="E33" i="32"/>
  <c r="N25" i="5"/>
  <c r="U41"/>
  <c r="M23" i="32"/>
  <c r="M25" s="1"/>
  <c r="C9"/>
  <c r="L19" i="5"/>
  <c r="D9" i="32"/>
  <c r="Y45" i="5"/>
  <c r="H74" i="36"/>
  <c r="G12" i="5"/>
  <c r="K32" i="28"/>
  <c r="G32"/>
  <c r="V37" i="5"/>
  <c r="N12" i="32"/>
  <c r="H2"/>
  <c r="I6" i="3"/>
  <c r="I11" s="1"/>
  <c r="I51"/>
  <c r="L11" i="32"/>
  <c r="L13"/>
  <c r="H23"/>
  <c r="N71" i="5"/>
  <c r="F73" i="32"/>
  <c r="E73"/>
  <c r="E75" s="1"/>
  <c r="H6" i="3"/>
  <c r="H12" s="1"/>
  <c r="N61" i="32"/>
  <c r="D52"/>
  <c r="I49"/>
  <c r="J132" i="4"/>
  <c r="B132"/>
  <c r="V134" i="3"/>
  <c r="Q17" i="4"/>
  <c r="R10" i="13" s="1"/>
  <c r="O105" i="38"/>
  <c r="R134" i="3"/>
  <c r="M17" i="4" s="1"/>
  <c r="N10" i="13" s="1"/>
  <c r="P134" i="3"/>
  <c r="K17" i="4"/>
  <c r="K21" i="31" s="1"/>
  <c r="G34" i="9"/>
  <c r="G23" i="11" s="1"/>
  <c r="F76" i="32"/>
  <c r="X66" i="5"/>
  <c r="O61" i="32"/>
  <c r="E38"/>
  <c r="N45" i="5"/>
  <c r="Z45"/>
  <c r="R38" i="32"/>
  <c r="Q38"/>
  <c r="N52" i="5"/>
  <c r="F71" i="32"/>
  <c r="M11"/>
  <c r="F33"/>
  <c r="O25" i="5"/>
  <c r="I23" i="32"/>
  <c r="R41" i="5"/>
  <c r="J23" i="32"/>
  <c r="J25"/>
  <c r="H21" i="3"/>
  <c r="M57" i="5"/>
  <c r="H90" i="3"/>
  <c r="H99" s="1"/>
  <c r="D126" i="38" s="1"/>
  <c r="D42" i="32"/>
  <c r="G62"/>
  <c r="E36"/>
  <c r="N47" i="5"/>
  <c r="O47"/>
  <c r="N60"/>
  <c r="F52" i="32"/>
  <c r="R66" i="5"/>
  <c r="J61" i="32"/>
  <c r="I61"/>
  <c r="Q67" i="5"/>
  <c r="H62" i="32"/>
  <c r="O52" i="5"/>
  <c r="G71" i="32"/>
  <c r="P61"/>
  <c r="Y66" i="5"/>
  <c r="F36" i="32"/>
  <c r="F37"/>
  <c r="I90" i="3"/>
  <c r="E42" i="32"/>
  <c r="E48" s="1"/>
  <c r="W36" i="5"/>
  <c r="O11" i="32"/>
  <c r="O13" s="1"/>
  <c r="Z66" i="5"/>
  <c r="R61" i="32"/>
  <c r="Q61"/>
  <c r="P52" i="5"/>
  <c r="G36" i="32"/>
  <c r="P47" i="5"/>
  <c r="Q47"/>
  <c r="I36" i="32"/>
  <c r="H36"/>
  <c r="H37" s="1"/>
  <c r="R47" i="5"/>
  <c r="J36" i="32"/>
  <c r="S47" i="5"/>
  <c r="T47"/>
  <c r="U47"/>
  <c r="M36" i="32"/>
  <c r="K36"/>
  <c r="C19" i="21"/>
  <c r="Q4" i="3"/>
  <c r="L3" i="34" s="1"/>
  <c r="G42" i="37"/>
  <c r="I15"/>
  <c r="I46"/>
  <c r="J46"/>
  <c r="H15"/>
  <c r="H46"/>
  <c r="H23"/>
  <c r="E116" i="5"/>
  <c r="I62" i="32"/>
  <c r="I63"/>
  <c r="R67" i="5"/>
  <c r="V47"/>
  <c r="L36" i="32"/>
  <c r="Q52" i="5"/>
  <c r="H71" i="32"/>
  <c r="P40" i="5"/>
  <c r="G26" i="32"/>
  <c r="U88" i="5"/>
  <c r="L121" i="32"/>
  <c r="N57" i="5"/>
  <c r="I21" i="3"/>
  <c r="E24" i="32"/>
  <c r="N42" i="5"/>
  <c r="P26" i="32"/>
  <c r="Y40" i="5"/>
  <c r="Y42"/>
  <c r="P24" i="32"/>
  <c r="F38"/>
  <c r="O45" i="5"/>
  <c r="N7" i="2"/>
  <c r="N9" s="1"/>
  <c r="N15" s="1"/>
  <c r="N11"/>
  <c r="V7"/>
  <c r="O140" i="4"/>
  <c r="L13" i="5"/>
  <c r="G109" i="3"/>
  <c r="G117" s="1"/>
  <c r="C68" i="38" s="1"/>
  <c r="G40" i="3"/>
  <c r="P25" i="5"/>
  <c r="G33" i="32"/>
  <c r="F47"/>
  <c r="O50" i="5"/>
  <c r="N33" i="32"/>
  <c r="W25" i="5"/>
  <c r="J7" i="2"/>
  <c r="N61" i="5"/>
  <c r="F49" i="32"/>
  <c r="F51"/>
  <c r="E49"/>
  <c r="C59"/>
  <c r="L51" i="5"/>
  <c r="M19"/>
  <c r="G12" i="32"/>
  <c r="P37" i="5"/>
  <c r="M34" i="28"/>
  <c r="L34"/>
  <c r="K34"/>
  <c r="Q11" i="32"/>
  <c r="Z36" i="5"/>
  <c r="R11" i="32"/>
  <c r="R13" s="1"/>
  <c r="C21"/>
  <c r="L22" i="5"/>
  <c r="L130" i="3"/>
  <c r="M65" i="5"/>
  <c r="E64" i="32"/>
  <c r="D64"/>
  <c r="E74"/>
  <c r="N72" i="5"/>
  <c r="H35" i="32"/>
  <c r="Q46" i="5"/>
  <c r="M62"/>
  <c r="D50" i="32"/>
  <c r="W71" i="5"/>
  <c r="N73" i="32"/>
  <c r="N75" s="1"/>
  <c r="N35" i="5"/>
  <c r="E14" i="32"/>
  <c r="L18" i="20"/>
  <c r="N3" i="2"/>
  <c r="M6" i="9"/>
  <c r="H51" i="3"/>
  <c r="D114" i="32"/>
  <c r="M46" i="5"/>
  <c r="D35" i="32"/>
  <c r="D37"/>
  <c r="M49"/>
  <c r="M51" s="1"/>
  <c r="V61" i="5"/>
  <c r="I73" i="32"/>
  <c r="I75"/>
  <c r="R71" i="5"/>
  <c r="J73" i="32"/>
  <c r="E12"/>
  <c r="N10" i="5"/>
  <c r="F114" i="32"/>
  <c r="H6" i="36"/>
  <c r="Q14" i="32"/>
  <c r="Z35" i="5"/>
  <c r="R14" i="32"/>
  <c r="N16" i="4"/>
  <c r="M35" i="32"/>
  <c r="M37"/>
  <c r="V46" i="5"/>
  <c r="D61" i="32"/>
  <c r="D63"/>
  <c r="M66" i="5"/>
  <c r="I23" i="37"/>
  <c r="I42"/>
  <c r="I47"/>
  <c r="H42"/>
  <c r="H47"/>
  <c r="J51" i="3"/>
  <c r="N46" i="5"/>
  <c r="F35" i="32"/>
  <c r="E35"/>
  <c r="E37" s="1"/>
  <c r="H33"/>
  <c r="Q25" i="5"/>
  <c r="O42"/>
  <c r="F24" i="32"/>
  <c r="M121"/>
  <c r="V88" i="5"/>
  <c r="W46"/>
  <c r="N35" i="32"/>
  <c r="W61" i="5"/>
  <c r="N49" i="32"/>
  <c r="O35" i="5"/>
  <c r="F14" i="32"/>
  <c r="I35"/>
  <c r="I37" s="1"/>
  <c r="R46" i="5"/>
  <c r="N19"/>
  <c r="E9" i="32"/>
  <c r="G47"/>
  <c r="P50" i="5"/>
  <c r="F42" i="32"/>
  <c r="F60"/>
  <c r="J21" i="3"/>
  <c r="J34" s="1"/>
  <c r="O57" i="5"/>
  <c r="K90" i="3" s="1"/>
  <c r="J90"/>
  <c r="Q40" i="5"/>
  <c r="H26" i="32"/>
  <c r="E50"/>
  <c r="E51"/>
  <c r="N62" i="5"/>
  <c r="F74" i="32"/>
  <c r="O72" i="5"/>
  <c r="H12" i="32"/>
  <c r="Q37" i="5"/>
  <c r="V9" i="2"/>
  <c r="V11" s="1"/>
  <c r="G38" i="32"/>
  <c r="P45" i="5"/>
  <c r="Q26" i="32"/>
  <c r="Z40" i="5"/>
  <c r="R26" i="32"/>
  <c r="R52" i="5"/>
  <c r="I71" i="32"/>
  <c r="N36"/>
  <c r="W47" i="5"/>
  <c r="E61" i="32"/>
  <c r="E63" s="1"/>
  <c r="N66" i="5"/>
  <c r="F61" i="32"/>
  <c r="F63" s="1"/>
  <c r="X71" i="5"/>
  <c r="O73" i="32"/>
  <c r="M22" i="5"/>
  <c r="D21" i="32"/>
  <c r="M51" i="5"/>
  <c r="D59" i="32"/>
  <c r="O33"/>
  <c r="X25" i="5"/>
  <c r="H109" i="3"/>
  <c r="M13" i="5"/>
  <c r="H40" i="3"/>
  <c r="Q24" i="32"/>
  <c r="Z42" i="5"/>
  <c r="R24" i="32"/>
  <c r="J62"/>
  <c r="S67" i="5"/>
  <c r="J47" i="37"/>
  <c r="E59" i="32"/>
  <c r="N51" i="5"/>
  <c r="I12" i="32"/>
  <c r="I13"/>
  <c r="R37" i="5"/>
  <c r="J12" i="32"/>
  <c r="P42" i="5"/>
  <c r="G24" i="32"/>
  <c r="G25" s="1"/>
  <c r="O36"/>
  <c r="X47" i="5"/>
  <c r="K21" i="3"/>
  <c r="K30" s="1"/>
  <c r="G42" i="32"/>
  <c r="G48" s="1"/>
  <c r="Q50" i="5"/>
  <c r="H47" i="32"/>
  <c r="S52" i="5"/>
  <c r="J71" i="32"/>
  <c r="Q45" i="5"/>
  <c r="H38" i="32"/>
  <c r="F50"/>
  <c r="O62" i="5"/>
  <c r="R25"/>
  <c r="J33" i="32"/>
  <c r="I33"/>
  <c r="P72" i="5"/>
  <c r="G74" i="32"/>
  <c r="O19" i="5"/>
  <c r="F9" i="32"/>
  <c r="P35" i="5"/>
  <c r="G14" i="32"/>
  <c r="N13" i="5"/>
  <c r="I109" i="3"/>
  <c r="I117" s="1"/>
  <c r="E68" i="38" s="1"/>
  <c r="I40" i="3"/>
  <c r="X61" i="5"/>
  <c r="O49" i="32"/>
  <c r="O51"/>
  <c r="T67" i="5"/>
  <c r="K62" i="32"/>
  <c r="Y25" i="5"/>
  <c r="P33" i="32"/>
  <c r="E21"/>
  <c r="N22" i="5"/>
  <c r="Y71"/>
  <c r="P73" i="32"/>
  <c r="P75" s="1"/>
  <c r="I26"/>
  <c r="R40" i="5"/>
  <c r="J35" i="32"/>
  <c r="K35"/>
  <c r="K37" s="1"/>
  <c r="O35"/>
  <c r="X46" i="5"/>
  <c r="W88"/>
  <c r="N121" i="32"/>
  <c r="H24"/>
  <c r="Q42" i="5"/>
  <c r="U67"/>
  <c r="L62" i="32"/>
  <c r="L63"/>
  <c r="H74"/>
  <c r="H75" s="1"/>
  <c r="Q72" i="5"/>
  <c r="Y46"/>
  <c r="P35" i="32"/>
  <c r="O22" i="5"/>
  <c r="F21" i="32"/>
  <c r="R45" i="5"/>
  <c r="I38" i="32"/>
  <c r="P36"/>
  <c r="Y47" i="5"/>
  <c r="F59" i="32"/>
  <c r="O51" i="5"/>
  <c r="K71" i="32"/>
  <c r="T52" i="5"/>
  <c r="J26" i="32"/>
  <c r="S40" i="5"/>
  <c r="G9" i="32"/>
  <c r="P19" i="5"/>
  <c r="R50"/>
  <c r="I47" i="32"/>
  <c r="X88" i="5"/>
  <c r="O121" i="32"/>
  <c r="Z71" i="5"/>
  <c r="R73" i="32"/>
  <c r="Q73"/>
  <c r="Z25" i="5"/>
  <c r="R33" i="32"/>
  <c r="Q33"/>
  <c r="P49"/>
  <c r="Y61" i="5"/>
  <c r="J109" i="3"/>
  <c r="O13" i="5"/>
  <c r="J40" i="3"/>
  <c r="J42" s="1"/>
  <c r="H14" i="32"/>
  <c r="Q35" i="5"/>
  <c r="G50" i="32"/>
  <c r="G51"/>
  <c r="P62" i="5"/>
  <c r="R35"/>
  <c r="I14" i="32"/>
  <c r="Q62" i="5"/>
  <c r="H50" i="32"/>
  <c r="H51"/>
  <c r="P13" i="5"/>
  <c r="K40" i="3"/>
  <c r="K41" s="1"/>
  <c r="K109"/>
  <c r="S50" i="5"/>
  <c r="J47" i="32"/>
  <c r="Z46" i="5"/>
  <c r="R35" i="32"/>
  <c r="Q35"/>
  <c r="Q37" s="1"/>
  <c r="I74"/>
  <c r="R72" i="5"/>
  <c r="G59" i="32"/>
  <c r="P51" i="5"/>
  <c r="J38" i="32"/>
  <c r="S45" i="5"/>
  <c r="K38" i="32"/>
  <c r="I24"/>
  <c r="R42" i="5"/>
  <c r="J24" i="32"/>
  <c r="Q19" i="5"/>
  <c r="H9" i="32"/>
  <c r="T40" i="5"/>
  <c r="K26" i="32"/>
  <c r="G21"/>
  <c r="P22" i="5"/>
  <c r="Z61"/>
  <c r="R49" i="32"/>
  <c r="R51" s="1"/>
  <c r="Q49"/>
  <c r="Y88" i="5"/>
  <c r="P121" i="32"/>
  <c r="U52" i="5"/>
  <c r="L71" i="32"/>
  <c r="Z47" i="5"/>
  <c r="R36" i="32"/>
  <c r="Q36"/>
  <c r="V67" i="5"/>
  <c r="M62" i="32"/>
  <c r="Q121"/>
  <c r="Z88" i="5"/>
  <c r="R121" i="32"/>
  <c r="V52" i="5"/>
  <c r="M71" i="32"/>
  <c r="I9"/>
  <c r="R19" i="5"/>
  <c r="T50"/>
  <c r="K47" i="32"/>
  <c r="Q22" i="5"/>
  <c r="H21" i="32"/>
  <c r="S35" i="5"/>
  <c r="J14" i="32"/>
  <c r="J74"/>
  <c r="S72" i="5"/>
  <c r="W67"/>
  <c r="N62" i="32"/>
  <c r="N63" s="1"/>
  <c r="L26"/>
  <c r="U40" i="5"/>
  <c r="M26" i="32"/>
  <c r="H59"/>
  <c r="Q51" i="5"/>
  <c r="L40" i="3"/>
  <c r="Q13" i="5"/>
  <c r="L109" i="3"/>
  <c r="I50" i="32"/>
  <c r="I51"/>
  <c r="R62" i="5"/>
  <c r="R51"/>
  <c r="I59" i="32"/>
  <c r="T72" i="5"/>
  <c r="K74" i="32"/>
  <c r="K14"/>
  <c r="T35" i="5"/>
  <c r="I21" i="32"/>
  <c r="R22" i="5"/>
  <c r="J50" i="32"/>
  <c r="S62" i="5"/>
  <c r="O62" i="32"/>
  <c r="O63"/>
  <c r="X67" i="5"/>
  <c r="L47" i="32"/>
  <c r="U50" i="5"/>
  <c r="J9" i="32"/>
  <c r="S19" i="5"/>
  <c r="M40" i="3"/>
  <c r="R13" i="5"/>
  <c r="M109" i="3"/>
  <c r="W52" i="5"/>
  <c r="N71" i="32"/>
  <c r="O71"/>
  <c r="X52" i="5"/>
  <c r="N109" i="3"/>
  <c r="N120" s="1"/>
  <c r="J76" i="38" s="1"/>
  <c r="N40" i="3"/>
  <c r="N42" s="1"/>
  <c r="S13" i="5"/>
  <c r="V50"/>
  <c r="M47" i="32"/>
  <c r="Y67" i="5"/>
  <c r="P62" i="32"/>
  <c r="J21"/>
  <c r="S22" i="5"/>
  <c r="U35"/>
  <c r="M14" i="32"/>
  <c r="L14"/>
  <c r="S51" i="5"/>
  <c r="J59" i="32"/>
  <c r="T19" i="5"/>
  <c r="K9" i="32"/>
  <c r="T62" i="5"/>
  <c r="K50" i="32"/>
  <c r="L74"/>
  <c r="U72" i="5"/>
  <c r="K59" i="32"/>
  <c r="T51" i="5"/>
  <c r="L9" i="32"/>
  <c r="U19" i="5"/>
  <c r="M74" i="32"/>
  <c r="M75"/>
  <c r="V72" i="5"/>
  <c r="U62"/>
  <c r="L50" i="32"/>
  <c r="K21"/>
  <c r="T22" i="5"/>
  <c r="T13"/>
  <c r="O109" i="3"/>
  <c r="O40"/>
  <c r="P71" i="32"/>
  <c r="Y52" i="5"/>
  <c r="Q62" i="32"/>
  <c r="Q63"/>
  <c r="Z67" i="5"/>
  <c r="R62" i="32"/>
  <c r="R63" s="1"/>
  <c r="N47"/>
  <c r="W50" i="5"/>
  <c r="N74" i="32"/>
  <c r="W72" i="5"/>
  <c r="L21" i="32"/>
  <c r="U22" i="5"/>
  <c r="M50" i="32"/>
  <c r="V62" i="5"/>
  <c r="U13"/>
  <c r="P40" i="3"/>
  <c r="P109"/>
  <c r="P118" s="1"/>
  <c r="L74" i="38" s="1"/>
  <c r="L59" i="32"/>
  <c r="U51" i="5"/>
  <c r="X50"/>
  <c r="O47" i="32"/>
  <c r="Q71"/>
  <c r="Z52" i="5"/>
  <c r="R71" i="32"/>
  <c r="V19" i="5"/>
  <c r="M9" i="32"/>
  <c r="P47"/>
  <c r="Y50" i="5"/>
  <c r="M21" i="32"/>
  <c r="V22" i="5"/>
  <c r="V51"/>
  <c r="M59" i="32"/>
  <c r="N50"/>
  <c r="N51" s="1"/>
  <c r="W62" i="5"/>
  <c r="V13"/>
  <c r="Q40" i="3"/>
  <c r="Q109"/>
  <c r="O74" i="32"/>
  <c r="X72" i="5"/>
  <c r="W19"/>
  <c r="N9" i="32"/>
  <c r="O9"/>
  <c r="X19" i="5"/>
  <c r="W22"/>
  <c r="N21" i="32"/>
  <c r="Y72" i="5"/>
  <c r="P74" i="32"/>
  <c r="W51" i="5"/>
  <c r="N59" i="32"/>
  <c r="R109" i="3"/>
  <c r="R114" s="1"/>
  <c r="N66" i="38" s="1"/>
  <c r="R40" i="3"/>
  <c r="R41" s="1"/>
  <c r="W13" i="5"/>
  <c r="O50" i="32"/>
  <c r="X62" i="5"/>
  <c r="Z50"/>
  <c r="R47" i="32"/>
  <c r="Q47"/>
  <c r="S109" i="3"/>
  <c r="S117" s="1"/>
  <c r="O68" i="38" s="1"/>
  <c r="S40" i="3"/>
  <c r="S41" s="1"/>
  <c r="X13" i="5"/>
  <c r="P9" i="32"/>
  <c r="Y19" i="5"/>
  <c r="X22"/>
  <c r="O21" i="32"/>
  <c r="Y62" i="5"/>
  <c r="P50" i="32"/>
  <c r="O59"/>
  <c r="X51" i="5"/>
  <c r="Q74" i="32"/>
  <c r="Q75"/>
  <c r="Z72" i="5"/>
  <c r="R74" i="32"/>
  <c r="Q50"/>
  <c r="Q51"/>
  <c r="Z62" i="5"/>
  <c r="R50" i="32"/>
  <c r="Z19" i="5"/>
  <c r="R9" i="32"/>
  <c r="Q9"/>
  <c r="P59"/>
  <c r="Y51" i="5"/>
  <c r="P21" i="32"/>
  <c r="Y22" i="5"/>
  <c r="Y13"/>
  <c r="T109" i="3"/>
  <c r="T40"/>
  <c r="T41" s="1"/>
  <c r="Z22" i="5"/>
  <c r="R21" i="32"/>
  <c r="Q21"/>
  <c r="Z13" i="5"/>
  <c r="U40" i="3"/>
  <c r="U109"/>
  <c r="U121" s="1"/>
  <c r="Q77" i="38" s="1"/>
  <c r="Q59" i="32"/>
  <c r="Z51" i="5"/>
  <c r="R59" i="32"/>
  <c r="V109" i="3"/>
  <c r="V121" s="1"/>
  <c r="R77" i="38" s="1"/>
  <c r="V40" i="3"/>
  <c r="V43" s="1"/>
  <c r="C27" i="31"/>
  <c r="D11" i="11"/>
  <c r="B27" i="31"/>
  <c r="B95" i="4"/>
  <c r="B100" s="1"/>
  <c r="H11" i="11"/>
  <c r="H26"/>
  <c r="K27" i="31"/>
  <c r="C93" i="32"/>
  <c r="P26" i="11"/>
  <c r="L11"/>
  <c r="C95" i="4"/>
  <c r="C100" s="1"/>
  <c r="K95"/>
  <c r="K100" s="1"/>
  <c r="G27" i="31"/>
  <c r="P11" i="11"/>
  <c r="G76" i="32"/>
  <c r="P70" i="5"/>
  <c r="M76" i="32"/>
  <c r="N64"/>
  <c r="M64"/>
  <c r="N65" i="5"/>
  <c r="W60"/>
  <c r="N52" i="32"/>
  <c r="M52"/>
  <c r="O60" i="5"/>
  <c r="H76" i="32"/>
  <c r="Q70" i="5"/>
  <c r="O65"/>
  <c r="F64" i="32"/>
  <c r="X60" i="5"/>
  <c r="P52" i="32"/>
  <c r="O52"/>
  <c r="G52"/>
  <c r="P60" i="5"/>
  <c r="R70"/>
  <c r="I76" i="32"/>
  <c r="P65" i="5"/>
  <c r="G64" i="32"/>
  <c r="Y60" i="5"/>
  <c r="Q52" i="32"/>
  <c r="H52"/>
  <c r="Q60" i="5"/>
  <c r="S70"/>
  <c r="K76" i="32"/>
  <c r="J76"/>
  <c r="H64"/>
  <c r="Q65" i="5"/>
  <c r="I52" i="32"/>
  <c r="R60" i="5"/>
  <c r="R65"/>
  <c r="I64" i="32"/>
  <c r="J52"/>
  <c r="S60" i="5"/>
  <c r="K52" i="32"/>
  <c r="S65" i="5"/>
  <c r="K64" i="32"/>
  <c r="J64"/>
  <c r="L25"/>
  <c r="N25"/>
  <c r="H63"/>
  <c r="L51"/>
  <c r="R37"/>
  <c r="P51"/>
  <c r="C37"/>
  <c r="C51"/>
  <c r="F48"/>
  <c r="F72"/>
  <c r="I13" i="34"/>
  <c r="I36"/>
  <c r="M63" i="32"/>
  <c r="D49" i="38"/>
  <c r="F77" i="3"/>
  <c r="E131" i="4"/>
  <c r="H67" i="3"/>
  <c r="D42" i="38" s="1"/>
  <c r="D131" i="4"/>
  <c r="F132"/>
  <c r="K132"/>
  <c r="G11" i="3"/>
  <c r="H113"/>
  <c r="C132" i="4"/>
  <c r="I67" i="3"/>
  <c r="E42" i="38" s="1"/>
  <c r="D65"/>
  <c r="G74" i="37"/>
  <c r="J9" i="2"/>
  <c r="J11" s="1"/>
  <c r="G121" i="3"/>
  <c r="C77" i="38" s="1"/>
  <c r="K16" i="4"/>
  <c r="K44"/>
  <c r="K91"/>
  <c r="K140"/>
  <c r="L78" i="36"/>
  <c r="L84"/>
  <c r="L77"/>
  <c r="L80"/>
  <c r="L79"/>
  <c r="J83"/>
  <c r="H12" i="34"/>
  <c r="H35"/>
  <c r="H13"/>
  <c r="H36"/>
  <c r="R36" s="1"/>
  <c r="H14"/>
  <c r="H37" s="1"/>
  <c r="R37" s="1"/>
  <c r="G53" i="32"/>
  <c r="G85" i="3"/>
  <c r="C103" i="38" s="1"/>
  <c r="F6" i="2"/>
  <c r="H6" s="1"/>
  <c r="J6" s="1"/>
  <c r="L6" s="1"/>
  <c r="N6" s="1"/>
  <c r="P6" s="1"/>
  <c r="R6" s="1"/>
  <c r="T6" s="1"/>
  <c r="V6" s="1"/>
  <c r="X6" s="1"/>
  <c r="Z6" s="1"/>
  <c r="D18"/>
  <c r="I11" i="28"/>
  <c r="J11"/>
  <c r="L11"/>
  <c r="K11"/>
  <c r="N11"/>
  <c r="H11"/>
  <c r="O11" s="1"/>
  <c r="M11"/>
  <c r="L83" i="36"/>
  <c r="L85" s="1"/>
  <c r="H15" i="34"/>
  <c r="H38"/>
  <c r="R38" s="1"/>
  <c r="N24" i="2"/>
  <c r="C72" i="32"/>
  <c r="C48"/>
  <c r="C53" s="1"/>
  <c r="L32" i="28"/>
  <c r="E32"/>
  <c r="J32"/>
  <c r="X3" i="2"/>
  <c r="Q18" i="20"/>
  <c r="U78" i="36"/>
  <c r="U79"/>
  <c r="U80" s="1"/>
  <c r="U87" s="1"/>
  <c r="Q79"/>
  <c r="Q80" s="1"/>
  <c r="Q87" s="1"/>
  <c r="E67" i="37"/>
  <c r="P7" i="2"/>
  <c r="R49" i="3"/>
  <c r="E64" i="37"/>
  <c r="D65"/>
  <c r="N13" i="32"/>
  <c r="C60"/>
  <c r="G55" i="36"/>
  <c r="F10" i="28"/>
  <c r="H10"/>
  <c r="K25"/>
  <c r="I34"/>
  <c r="N34"/>
  <c r="J34"/>
  <c r="P6" i="9"/>
  <c r="P6" i="11" s="1"/>
  <c r="O16" i="4"/>
  <c r="O44"/>
  <c r="O77" i="36"/>
  <c r="L75" i="32"/>
  <c r="Z60" i="5"/>
  <c r="R52" i="32"/>
  <c r="O64"/>
  <c r="X65" i="5"/>
  <c r="N76" i="32"/>
  <c r="W70" i="5"/>
  <c r="P9" i="2"/>
  <c r="J15"/>
  <c r="Y65" i="5"/>
  <c r="P64" i="32"/>
  <c r="O76"/>
  <c r="X70" i="5"/>
  <c r="Q64" i="32"/>
  <c r="Z65" i="5"/>
  <c r="R64" i="32"/>
  <c r="P76"/>
  <c r="Y70" i="5"/>
  <c r="Q76" i="32"/>
  <c r="Z70" i="5"/>
  <c r="R76" i="32"/>
  <c r="I25" i="28"/>
  <c r="H25"/>
  <c r="F25"/>
  <c r="L82" i="5"/>
  <c r="M82"/>
  <c r="L80"/>
  <c r="M80"/>
  <c r="J6" i="3"/>
  <c r="J31"/>
  <c r="F55" i="36"/>
  <c r="I6"/>
  <c r="I14" i="3"/>
  <c r="O10" i="5"/>
  <c r="G114" i="32"/>
  <c r="F52" i="36"/>
  <c r="H34" i="3"/>
  <c r="D105" i="32"/>
  <c r="C105"/>
  <c r="C106"/>
  <c r="I21" i="2"/>
  <c r="C138" i="32"/>
  <c r="G57" i="36"/>
  <c r="G58"/>
  <c r="G61"/>
  <c r="G56"/>
  <c r="G53"/>
  <c r="G52"/>
  <c r="G54"/>
  <c r="B40" i="16"/>
  <c r="F68" i="37"/>
  <c r="F69" s="1"/>
  <c r="G66" i="36"/>
  <c r="G67"/>
  <c r="I113" i="3"/>
  <c r="E65" i="38" s="1"/>
  <c r="F58" i="36"/>
  <c r="F61"/>
  <c r="F57"/>
  <c r="F56"/>
  <c r="H118" i="3"/>
  <c r="D74" i="38" s="1"/>
  <c r="H115" i="3"/>
  <c r="D67" i="38" s="1"/>
  <c r="V15" i="2"/>
  <c r="N10" i="28"/>
  <c r="K10"/>
  <c r="G10"/>
  <c r="E10"/>
  <c r="O10"/>
  <c r="I12" i="34"/>
  <c r="I35" s="1"/>
  <c r="I40" s="1"/>
  <c r="I50" s="1"/>
  <c r="I15"/>
  <c r="I38" s="1"/>
  <c r="I56" i="36"/>
  <c r="H96" i="3"/>
  <c r="D124" i="38" s="1"/>
  <c r="H94" i="3"/>
  <c r="D121" i="38" s="1"/>
  <c r="I98" i="3"/>
  <c r="E122" i="38" s="1"/>
  <c r="O78" i="36"/>
  <c r="O83"/>
  <c r="D63" i="37"/>
  <c r="E62"/>
  <c r="I58" i="36"/>
  <c r="F14" i="2"/>
  <c r="H14" s="1"/>
  <c r="J14" s="1"/>
  <c r="L14" s="1"/>
  <c r="N14" s="1"/>
  <c r="P14" s="1"/>
  <c r="R14" s="1"/>
  <c r="T14" s="1"/>
  <c r="V14" s="1"/>
  <c r="X14" s="1"/>
  <c r="Z14" s="1"/>
  <c r="L10" i="28"/>
  <c r="H117" i="3"/>
  <c r="D68" i="38" s="1"/>
  <c r="F54" i="36"/>
  <c r="I120" i="3"/>
  <c r="E76" i="38" s="1"/>
  <c r="I53" i="36"/>
  <c r="G36" i="28"/>
  <c r="H13" i="32"/>
  <c r="K63"/>
  <c r="K13"/>
  <c r="M32" i="28"/>
  <c r="T15" i="2"/>
  <c r="E11" i="36"/>
  <c r="E12" s="1"/>
  <c r="D12"/>
  <c r="D24" s="1"/>
  <c r="H57"/>
  <c r="H61"/>
  <c r="H58"/>
  <c r="H54"/>
  <c r="F67" i="37"/>
  <c r="G66"/>
  <c r="G67"/>
  <c r="E18" i="36" s="1"/>
  <c r="E95" s="1"/>
  <c r="Y21" i="2"/>
  <c r="Q49" i="3"/>
  <c r="L77" i="4"/>
  <c r="L91" s="1"/>
  <c r="M77" i="36"/>
  <c r="M84"/>
  <c r="M78"/>
  <c r="R75" i="32"/>
  <c r="E53"/>
  <c r="E60"/>
  <c r="E65" s="1"/>
  <c r="E72"/>
  <c r="P63"/>
  <c r="M13"/>
  <c r="G59" i="36"/>
  <c r="M14" i="15"/>
  <c r="D108" i="32"/>
  <c r="D102"/>
  <c r="J96" i="3"/>
  <c r="F124" i="38" s="1"/>
  <c r="J97" i="3"/>
  <c r="F125" i="38" s="1"/>
  <c r="I65" i="36"/>
  <c r="I52"/>
  <c r="I54"/>
  <c r="I59"/>
  <c r="J16" i="3"/>
  <c r="J10"/>
  <c r="J9"/>
  <c r="J8"/>
  <c r="J33"/>
  <c r="J13"/>
  <c r="J95"/>
  <c r="F123" i="38" s="1"/>
  <c r="J15" i="3"/>
  <c r="J14"/>
  <c r="S14" s="1"/>
  <c r="J12"/>
  <c r="J11"/>
  <c r="J32"/>
  <c r="K6"/>
  <c r="K11" s="1"/>
  <c r="K51"/>
  <c r="P10" i="5"/>
  <c r="J6" i="36"/>
  <c r="I57"/>
  <c r="E92"/>
  <c r="X9" i="2"/>
  <c r="F18" i="36"/>
  <c r="E138" i="32"/>
  <c r="E54"/>
  <c r="E140"/>
  <c r="M80" i="36"/>
  <c r="K6"/>
  <c r="L51" i="3"/>
  <c r="L66" s="1"/>
  <c r="H52" i="38" s="1"/>
  <c r="H114" i="32"/>
  <c r="L6" i="3"/>
  <c r="Q10" i="5"/>
  <c r="K12" i="3"/>
  <c r="K10"/>
  <c r="K43"/>
  <c r="K32"/>
  <c r="K9"/>
  <c r="K14"/>
  <c r="K8"/>
  <c r="J57" i="36"/>
  <c r="J56"/>
  <c r="J65"/>
  <c r="J59"/>
  <c r="J52"/>
  <c r="J43"/>
  <c r="J54"/>
  <c r="J58"/>
  <c r="J60"/>
  <c r="J53"/>
  <c r="X15" i="2"/>
  <c r="X11"/>
  <c r="M6" i="3"/>
  <c r="M51"/>
  <c r="L6" i="36"/>
  <c r="R10" i="5"/>
  <c r="I114" i="32"/>
  <c r="L58" i="3"/>
  <c r="H47" i="38" s="1"/>
  <c r="L62" i="3"/>
  <c r="H41" i="38" s="1"/>
  <c r="K54" i="36"/>
  <c r="K58"/>
  <c r="K53"/>
  <c r="L14" i="3"/>
  <c r="L43"/>
  <c r="L8"/>
  <c r="L9"/>
  <c r="L10"/>
  <c r="L16"/>
  <c r="L15"/>
  <c r="L42"/>
  <c r="L13"/>
  <c r="L11"/>
  <c r="L12"/>
  <c r="L41"/>
  <c r="M64"/>
  <c r="I43" i="38" s="1"/>
  <c r="L66" i="36"/>
  <c r="L52"/>
  <c r="L54"/>
  <c r="L62" s="1"/>
  <c r="L60"/>
  <c r="L65"/>
  <c r="L55"/>
  <c r="L59"/>
  <c r="L57"/>
  <c r="L58"/>
  <c r="L61"/>
  <c r="L56"/>
  <c r="L53"/>
  <c r="M6"/>
  <c r="N51" i="3"/>
  <c r="J114" i="32"/>
  <c r="S10" i="5"/>
  <c r="N6" i="3"/>
  <c r="M9"/>
  <c r="M12"/>
  <c r="M14"/>
  <c r="M8"/>
  <c r="O6"/>
  <c r="O10" s="1"/>
  <c r="T10" i="5"/>
  <c r="K114" i="32"/>
  <c r="N6" i="36"/>
  <c r="N40" s="1"/>
  <c r="O51" i="3"/>
  <c r="N116"/>
  <c r="J73" i="38" s="1"/>
  <c r="N57" i="3"/>
  <c r="J39" i="38" s="1"/>
  <c r="N62" i="3"/>
  <c r="J41" i="38" s="1"/>
  <c r="N113" i="3"/>
  <c r="J65" i="38" s="1"/>
  <c r="N66" i="3"/>
  <c r="J52" i="38" s="1"/>
  <c r="N61" i="3"/>
  <c r="I131" i="4" s="1"/>
  <c r="N13" i="3"/>
  <c r="N9"/>
  <c r="N11"/>
  <c r="M61" i="36"/>
  <c r="M60"/>
  <c r="M55"/>
  <c r="M52"/>
  <c r="N42"/>
  <c r="N58"/>
  <c r="N65"/>
  <c r="O115" i="3"/>
  <c r="K67" i="38" s="1"/>
  <c r="O118" i="3"/>
  <c r="K74" i="38" s="1"/>
  <c r="O120" i="3"/>
  <c r="K76" i="38" s="1"/>
  <c r="O116" i="3"/>
  <c r="K73" i="38" s="1"/>
  <c r="O119" i="3"/>
  <c r="K75" i="38" s="1"/>
  <c r="O9" i="3"/>
  <c r="U10" i="5"/>
  <c r="L114" i="32"/>
  <c r="P51" i="3"/>
  <c r="O6" i="36"/>
  <c r="O65" s="1"/>
  <c r="O67" s="1"/>
  <c r="P6" i="3"/>
  <c r="O40" i="36"/>
  <c r="O56"/>
  <c r="O61"/>
  <c r="O42"/>
  <c r="O44" s="1"/>
  <c r="O96" s="1"/>
  <c r="O60"/>
  <c r="O52"/>
  <c r="O36"/>
  <c r="O37" s="1"/>
  <c r="O32"/>
  <c r="O55"/>
  <c r="O54"/>
  <c r="O30"/>
  <c r="O43"/>
  <c r="O41"/>
  <c r="O53"/>
  <c r="O66"/>
  <c r="O29"/>
  <c r="P6"/>
  <c r="Q51" i="3"/>
  <c r="Q118" s="1"/>
  <c r="M74" i="38" s="1"/>
  <c r="Q6" i="3"/>
  <c r="V10" i="5"/>
  <c r="M114" i="32"/>
  <c r="L12" i="15"/>
  <c r="Q121" i="3"/>
  <c r="M77" i="38" s="1"/>
  <c r="Q111" i="3"/>
  <c r="M63" i="38" s="1"/>
  <c r="R6" i="3"/>
  <c r="Q6" i="36"/>
  <c r="Q58" s="1"/>
  <c r="W10" i="5"/>
  <c r="N114" i="32"/>
  <c r="R51" i="3"/>
  <c r="P61" i="36"/>
  <c r="P36"/>
  <c r="P37" s="1"/>
  <c r="X10" i="5"/>
  <c r="S6" i="3"/>
  <c r="S9" s="1"/>
  <c r="O114" i="32"/>
  <c r="R6" i="36"/>
  <c r="S51" i="3"/>
  <c r="R42"/>
  <c r="Q41" i="36"/>
  <c r="Q65"/>
  <c r="Q61"/>
  <c r="Q54"/>
  <c r="Q42"/>
  <c r="S111" i="3"/>
  <c r="S120"/>
  <c r="O76" i="38" s="1"/>
  <c r="S118" i="3"/>
  <c r="O74" i="38" s="1"/>
  <c r="Y10" i="5"/>
  <c r="S6" i="36"/>
  <c r="T51" i="3"/>
  <c r="T113" s="1"/>
  <c r="P65" i="38" s="1"/>
  <c r="P114" i="32"/>
  <c r="T6" i="3"/>
  <c r="S11"/>
  <c r="S10"/>
  <c r="S13"/>
  <c r="S43"/>
  <c r="R58" i="36"/>
  <c r="R84"/>
  <c r="R83"/>
  <c r="R66"/>
  <c r="R61"/>
  <c r="R41"/>
  <c r="R65"/>
  <c r="R67" s="1"/>
  <c r="R36"/>
  <c r="R37" s="1"/>
  <c r="R78"/>
  <c r="R31"/>
  <c r="R43"/>
  <c r="R42"/>
  <c r="R60"/>
  <c r="R79"/>
  <c r="R59"/>
  <c r="R40"/>
  <c r="R30"/>
  <c r="R56"/>
  <c r="R32"/>
  <c r="R77"/>
  <c r="R80" s="1"/>
  <c r="T6"/>
  <c r="T54" s="1"/>
  <c r="Q114" i="32"/>
  <c r="U51" i="3"/>
  <c r="U6"/>
  <c r="Z10" i="5"/>
  <c r="S57" i="36"/>
  <c r="S41"/>
  <c r="S53"/>
  <c r="S66"/>
  <c r="S67" s="1"/>
  <c r="S55"/>
  <c r="S58"/>
  <c r="S52"/>
  <c r="S61"/>
  <c r="S56"/>
  <c r="S65"/>
  <c r="S59"/>
  <c r="S54"/>
  <c r="S60"/>
  <c r="R85"/>
  <c r="T11" i="3"/>
  <c r="T10"/>
  <c r="T8"/>
  <c r="T13"/>
  <c r="T9"/>
  <c r="V6"/>
  <c r="U6" i="36"/>
  <c r="V51" i="3"/>
  <c r="R114" i="32"/>
  <c r="T61" i="36"/>
  <c r="T36"/>
  <c r="T37" s="1"/>
  <c r="T55"/>
  <c r="T66"/>
  <c r="T59"/>
  <c r="T52"/>
  <c r="U55"/>
  <c r="U43"/>
  <c r="U58"/>
  <c r="U30"/>
  <c r="U59"/>
  <c r="V116" i="3"/>
  <c r="R73" i="38" s="1"/>
  <c r="V8" i="3"/>
  <c r="V41"/>
  <c r="V11"/>
  <c r="V13"/>
  <c r="E108" i="32"/>
  <c r="N82" i="5"/>
  <c r="B8" i="4"/>
  <c r="E105" i="32"/>
  <c r="E106"/>
  <c r="D8" i="4" s="1"/>
  <c r="E13" i="12" s="1"/>
  <c r="N81" i="5"/>
  <c r="E102" i="32"/>
  <c r="E103" s="1"/>
  <c r="N80" i="5"/>
  <c r="L79"/>
  <c r="D99" i="32" s="1"/>
  <c r="O6" i="12"/>
  <c r="O6" i="13"/>
  <c r="O6" i="16" s="1"/>
  <c r="O6" i="17" s="1"/>
  <c r="O6" i="14" s="1"/>
  <c r="O5" i="15" s="1"/>
  <c r="O6" i="18" s="1"/>
  <c r="N5" i="10"/>
  <c r="R3" i="2"/>
  <c r="N77" i="4"/>
  <c r="N91" s="1"/>
  <c r="S4" i="3"/>
  <c r="N3" i="34" s="1"/>
  <c r="N44" i="4"/>
  <c r="N18" i="20"/>
  <c r="S49" i="3"/>
  <c r="N140" i="4"/>
  <c r="J44"/>
  <c r="J77"/>
  <c r="J91" s="1"/>
  <c r="K6" i="9"/>
  <c r="J5" i="10" s="1"/>
  <c r="O4" i="3"/>
  <c r="J3" i="34" s="1"/>
  <c r="J18" i="20"/>
  <c r="O5" i="10"/>
  <c r="P6" i="12"/>
  <c r="P6" i="13" s="1"/>
  <c r="P6" i="16" s="1"/>
  <c r="P6" i="17" s="1"/>
  <c r="P6" i="14" s="1"/>
  <c r="P5" i="15" s="1"/>
  <c r="P6" i="18" s="1"/>
  <c r="P140" i="4"/>
  <c r="P44"/>
  <c r="T4" i="3"/>
  <c r="O3" i="34" s="1"/>
  <c r="O18" i="20"/>
  <c r="T49" i="3"/>
  <c r="L6" i="9"/>
  <c r="L3" i="2"/>
  <c r="P49" i="3"/>
  <c r="K18" i="20"/>
  <c r="P4" i="3"/>
  <c r="K3" i="34" s="1"/>
  <c r="Q140" i="4"/>
  <c r="Q44"/>
  <c r="P3" i="2"/>
  <c r="M44" i="4"/>
  <c r="O82" i="5"/>
  <c r="F108" i="32"/>
  <c r="O81" i="5"/>
  <c r="F105" i="32"/>
  <c r="C13" i="12"/>
  <c r="D7" i="4"/>
  <c r="F102" i="32"/>
  <c r="O80" i="5"/>
  <c r="M79"/>
  <c r="E99" i="32" s="1"/>
  <c r="K5" i="10"/>
  <c r="K6" i="11"/>
  <c r="G108" i="32"/>
  <c r="P82" i="5"/>
  <c r="G105" i="32"/>
  <c r="P81" i="5"/>
  <c r="E12" i="12"/>
  <c r="P80" i="5"/>
  <c r="G102" i="32"/>
  <c r="H108"/>
  <c r="Q82" i="5"/>
  <c r="H105" i="32"/>
  <c r="Q81" i="5"/>
  <c r="Q80"/>
  <c r="H102" i="32"/>
  <c r="I108"/>
  <c r="R82" i="5"/>
  <c r="R81"/>
  <c r="I105" i="32"/>
  <c r="R80" i="5"/>
  <c r="I102" i="32"/>
  <c r="S82" i="5"/>
  <c r="J108" i="32"/>
  <c r="J105"/>
  <c r="S81" i="5"/>
  <c r="J102" i="32"/>
  <c r="S80" i="5"/>
  <c r="T82"/>
  <c r="K108" i="32"/>
  <c r="K105"/>
  <c r="T81" i="5"/>
  <c r="T80"/>
  <c r="K102" i="32"/>
  <c r="U82" i="5"/>
  <c r="L108" i="32"/>
  <c r="L105"/>
  <c r="U81" i="5"/>
  <c r="L102" i="32"/>
  <c r="U80" i="5"/>
  <c r="V82"/>
  <c r="M108" i="32"/>
  <c r="M105"/>
  <c r="V81" i="5"/>
  <c r="V80"/>
  <c r="M102" i="32"/>
  <c r="N108"/>
  <c r="W82" i="5"/>
  <c r="N105" i="32"/>
  <c r="W81" i="5"/>
  <c r="W80"/>
  <c r="N102" i="32"/>
  <c r="O108"/>
  <c r="X82" i="5"/>
  <c r="O105" i="32"/>
  <c r="X81" i="5"/>
  <c r="X80"/>
  <c r="O102" i="32"/>
  <c r="P108"/>
  <c r="Y82" i="5"/>
  <c r="Y81"/>
  <c r="P105" i="32"/>
  <c r="Y80" i="5"/>
  <c r="P102" i="32"/>
  <c r="Z82" i="5"/>
  <c r="R108" i="32"/>
  <c r="Q108"/>
  <c r="Q105"/>
  <c r="Z81" i="5"/>
  <c r="R105" i="32"/>
  <c r="Z80" i="5"/>
  <c r="R102" i="32"/>
  <c r="Q102"/>
  <c r="F11" i="11" l="1"/>
  <c r="J26"/>
  <c r="N11"/>
  <c r="R11"/>
  <c r="F26"/>
  <c r="J11"/>
  <c r="E26"/>
  <c r="E95" i="4"/>
  <c r="E100" s="1"/>
  <c r="N26" i="11"/>
  <c r="D27" i="31"/>
  <c r="N79" i="5"/>
  <c r="L33"/>
  <c r="B141" i="4"/>
  <c r="C3" i="32"/>
  <c r="C7" i="38" s="1"/>
  <c r="G77" i="3"/>
  <c r="C96" i="38" s="1"/>
  <c r="F30" i="36"/>
  <c r="R32" i="5"/>
  <c r="N130" i="3" s="1"/>
  <c r="N133" s="1"/>
  <c r="I2" i="32"/>
  <c r="M130" i="3"/>
  <c r="K27" i="36"/>
  <c r="K32" s="1"/>
  <c r="J42"/>
  <c r="R33"/>
  <c r="S31"/>
  <c r="U29"/>
  <c r="U41"/>
  <c r="U44" s="1"/>
  <c r="U96" s="1"/>
  <c r="R12" i="15" s="1"/>
  <c r="U40" i="36"/>
  <c r="S30"/>
  <c r="S29"/>
  <c r="S33" s="1"/>
  <c r="S36"/>
  <c r="S37" s="1"/>
  <c r="S93" s="1"/>
  <c r="P11" i="15" s="1"/>
  <c r="S32" i="36"/>
  <c r="S40"/>
  <c r="S44" s="1"/>
  <c r="S96" s="1"/>
  <c r="P12" i="15" s="1"/>
  <c r="S43" i="36"/>
  <c r="R44"/>
  <c r="R96" s="1"/>
  <c r="O12" i="15" s="1"/>
  <c r="J29" i="36"/>
  <c r="J30"/>
  <c r="J32"/>
  <c r="L27"/>
  <c r="H130" i="3"/>
  <c r="H133"/>
  <c r="C34" i="32"/>
  <c r="C39" s="1"/>
  <c r="C40" s="1"/>
  <c r="F32" i="36"/>
  <c r="H20" i="3"/>
  <c r="H25" s="1"/>
  <c r="G27" i="36"/>
  <c r="G43" s="1"/>
  <c r="M32" i="5"/>
  <c r="C10" i="32"/>
  <c r="C15" s="1"/>
  <c r="C135" s="1"/>
  <c r="F36" i="36"/>
  <c r="F37" s="1"/>
  <c r="C22" i="32"/>
  <c r="C27" s="1"/>
  <c r="C141" i="4"/>
  <c r="R53" i="36"/>
  <c r="R54"/>
  <c r="R55"/>
  <c r="R93"/>
  <c r="O11" i="15" s="1"/>
  <c r="R52" i="36"/>
  <c r="R62" s="1"/>
  <c r="R70" s="1"/>
  <c r="K96" i="3"/>
  <c r="G124" i="38" s="1"/>
  <c r="K98" i="3"/>
  <c r="G122" i="38" s="1"/>
  <c r="K33" i="3"/>
  <c r="P57" i="5"/>
  <c r="G19" i="38"/>
  <c r="G72" i="32"/>
  <c r="G77" s="1"/>
  <c r="G60"/>
  <c r="G65" s="1"/>
  <c r="G106" s="1"/>
  <c r="F8" i="4" s="1"/>
  <c r="G13" i="12" s="1"/>
  <c r="M78" i="5"/>
  <c r="D96" i="32"/>
  <c r="D93"/>
  <c r="M77" i="5"/>
  <c r="N6" i="12"/>
  <c r="N6" i="13" s="1"/>
  <c r="N6" i="16" s="1"/>
  <c r="N6" i="17" s="1"/>
  <c r="N6" i="14" s="1"/>
  <c r="N5" i="15" s="1"/>
  <c r="N6" i="18" s="1"/>
  <c r="M5" i="10"/>
  <c r="N6" i="11"/>
  <c r="J23"/>
  <c r="K23"/>
  <c r="I23"/>
  <c r="H23"/>
  <c r="E23"/>
  <c r="F23"/>
  <c r="K6" i="12"/>
  <c r="K6" i="13" s="1"/>
  <c r="K6" i="16" s="1"/>
  <c r="K6" i="17" s="1"/>
  <c r="K6" i="14" s="1"/>
  <c r="K5" i="15" s="1"/>
  <c r="K6" i="18" s="1"/>
  <c r="Q77" i="4"/>
  <c r="Q91" s="1"/>
  <c r="Q16"/>
  <c r="Q6" i="9"/>
  <c r="J140" i="4"/>
  <c r="D19" i="21"/>
  <c r="Q23" i="11"/>
  <c r="L23"/>
  <c r="P16" i="4"/>
  <c r="U4" i="3"/>
  <c r="P3" i="34" s="1"/>
  <c r="E19" i="21"/>
  <c r="F19" s="1"/>
  <c r="M77" i="4"/>
  <c r="M91" s="1"/>
  <c r="O77"/>
  <c r="O91" s="1"/>
  <c r="L44"/>
  <c r="F73" i="38"/>
  <c r="J118" i="3"/>
  <c r="H122"/>
  <c r="D78" i="38" s="1"/>
  <c r="Q122" i="3"/>
  <c r="M78" i="38" s="1"/>
  <c r="S122" i="3"/>
  <c r="O78" i="38" s="1"/>
  <c r="O122" i="3"/>
  <c r="K78" i="38" s="1"/>
  <c r="F123" i="3"/>
  <c r="M42" i="38"/>
  <c r="L132" i="4"/>
  <c r="R67" i="3"/>
  <c r="G78"/>
  <c r="C101" i="38" s="1"/>
  <c r="G69" i="3"/>
  <c r="C53" i="38" s="1"/>
  <c r="I69" i="3"/>
  <c r="E53" i="38" s="1"/>
  <c r="F70" i="3"/>
  <c r="J69"/>
  <c r="F53" i="38" s="1"/>
  <c r="H69" i="3"/>
  <c r="D53" i="38" s="1"/>
  <c r="G132" i="4"/>
  <c r="M67" i="3"/>
  <c r="H42" i="38"/>
  <c r="G70" i="3"/>
  <c r="K138"/>
  <c r="V120"/>
  <c r="R76" i="38" s="1"/>
  <c r="N85" i="4"/>
  <c r="S113" i="3"/>
  <c r="O65" i="38" s="1"/>
  <c r="Q119" i="3"/>
  <c r="M75" i="38" s="1"/>
  <c r="M80" s="1"/>
  <c r="N119" i="3"/>
  <c r="J75" i="38" s="1"/>
  <c r="L118" i="3"/>
  <c r="H74" i="38" s="1"/>
  <c r="K101" i="3"/>
  <c r="G128" i="38" s="1"/>
  <c r="J43" i="3"/>
  <c r="J67"/>
  <c r="L113"/>
  <c r="H65" i="38" s="1"/>
  <c r="F66"/>
  <c r="B131" i="4"/>
  <c r="P140" i="3"/>
  <c r="H140"/>
  <c r="H141" s="1"/>
  <c r="V9"/>
  <c r="V118"/>
  <c r="R74" i="38" s="1"/>
  <c r="S8" i="3"/>
  <c r="S42"/>
  <c r="S44" s="1"/>
  <c r="S114"/>
  <c r="O66" i="38" s="1"/>
  <c r="S115" i="3"/>
  <c r="O67" i="38" s="1"/>
  <c r="S119" i="3"/>
  <c r="O75" i="38" s="1"/>
  <c r="Q117" i="3"/>
  <c r="M68" i="38" s="1"/>
  <c r="L85" i="4"/>
  <c r="Q114" i="3"/>
  <c r="M66" i="38" s="1"/>
  <c r="N65" i="3"/>
  <c r="J51" i="38" s="1"/>
  <c r="N118" i="3"/>
  <c r="J74" i="38" s="1"/>
  <c r="M11" i="3"/>
  <c r="L116"/>
  <c r="H73" i="38" s="1"/>
  <c r="L59" i="3"/>
  <c r="H40" i="38" s="1"/>
  <c r="M118" i="3"/>
  <c r="I74" i="38" s="1"/>
  <c r="K31" i="3"/>
  <c r="H31"/>
  <c r="H101"/>
  <c r="D128" i="38" s="1"/>
  <c r="H11" i="3"/>
  <c r="D132" i="4"/>
  <c r="G84" i="3"/>
  <c r="C98" i="38" s="1"/>
  <c r="C35"/>
  <c r="O113" i="3"/>
  <c r="K65" i="38" s="1"/>
  <c r="J111" i="3"/>
  <c r="F63" i="38" s="1"/>
  <c r="H111" i="3"/>
  <c r="D63" i="38" s="1"/>
  <c r="J98" i="3"/>
  <c r="F122" i="38" s="1"/>
  <c r="E38"/>
  <c r="G43" i="3"/>
  <c r="U140"/>
  <c r="Q140"/>
  <c r="M140"/>
  <c r="I140"/>
  <c r="L42" i="38"/>
  <c r="G133" i="3"/>
  <c r="K133"/>
  <c r="G105" i="38" s="1"/>
  <c r="O133" i="3"/>
  <c r="O134" s="1"/>
  <c r="J17" i="4" s="1"/>
  <c r="K10" i="13" s="1"/>
  <c r="G82" i="3"/>
  <c r="B134" i="4" s="1"/>
  <c r="U122" i="3"/>
  <c r="Q78" i="38" s="1"/>
  <c r="S138" i="3"/>
  <c r="M133"/>
  <c r="V117"/>
  <c r="R68" i="38" s="1"/>
  <c r="S121" i="3"/>
  <c r="O77" i="38" s="1"/>
  <c r="S116" i="3"/>
  <c r="O73" i="38" s="1"/>
  <c r="Q120" i="3"/>
  <c r="M76" i="38" s="1"/>
  <c r="Q113" i="3"/>
  <c r="M65" i="38" s="1"/>
  <c r="Q116" i="3"/>
  <c r="M73" i="38" s="1"/>
  <c r="L44" i="3"/>
  <c r="H64" i="38" s="1"/>
  <c r="K93" i="3"/>
  <c r="G120" i="38" s="1"/>
  <c r="K99" i="3"/>
  <c r="G126" i="38" s="1"/>
  <c r="J30" i="3"/>
  <c r="J35" s="1"/>
  <c r="F115" i="38" s="1"/>
  <c r="Q115" i="3"/>
  <c r="M67" i="38" s="1"/>
  <c r="M15" i="3"/>
  <c r="V15" s="1"/>
  <c r="M16"/>
  <c r="M13"/>
  <c r="M10"/>
  <c r="L57"/>
  <c r="H39" i="38" s="1"/>
  <c r="K97" i="3"/>
  <c r="G125" i="38" s="1"/>
  <c r="K16" i="3"/>
  <c r="J18"/>
  <c r="H100"/>
  <c r="D127" i="38" s="1"/>
  <c r="I43" i="3"/>
  <c r="H30"/>
  <c r="V140"/>
  <c r="R140"/>
  <c r="N140"/>
  <c r="J140"/>
  <c r="L133"/>
  <c r="G83"/>
  <c r="C100" i="38" s="1"/>
  <c r="D54"/>
  <c r="F54"/>
  <c r="H70" i="3"/>
  <c r="H35" i="38"/>
  <c r="K35"/>
  <c r="I35"/>
  <c r="K92" i="3"/>
  <c r="G114" i="38" s="1"/>
  <c r="H92" i="3"/>
  <c r="F103"/>
  <c r="E86"/>
  <c r="F86" s="1"/>
  <c r="G81"/>
  <c r="W136"/>
  <c r="T138"/>
  <c r="P138"/>
  <c r="L138"/>
  <c r="H138"/>
  <c r="T139"/>
  <c r="P139"/>
  <c r="P141" s="1"/>
  <c r="L139"/>
  <c r="H139"/>
  <c r="G138"/>
  <c r="O138"/>
  <c r="G139"/>
  <c r="S139"/>
  <c r="K139"/>
  <c r="S140"/>
  <c r="O140"/>
  <c r="K140"/>
  <c r="U120"/>
  <c r="Q76" i="38" s="1"/>
  <c r="U117" i="3"/>
  <c r="Q68" i="38" s="1"/>
  <c r="R120" i="3"/>
  <c r="N76" i="38" s="1"/>
  <c r="V14" i="3"/>
  <c r="O42"/>
  <c r="O13"/>
  <c r="O11"/>
  <c r="N10"/>
  <c r="V16"/>
  <c r="L115"/>
  <c r="H67" i="38" s="1"/>
  <c r="L121" i="3"/>
  <c r="H77" i="38" s="1"/>
  <c r="J93" i="3"/>
  <c r="F120" i="38" s="1"/>
  <c r="H33" i="3"/>
  <c r="I31"/>
  <c r="H119"/>
  <c r="D75" i="38" s="1"/>
  <c r="I122" i="3"/>
  <c r="E78" i="38" s="1"/>
  <c r="G92" i="3"/>
  <c r="C114" i="38" s="1"/>
  <c r="I111" i="3"/>
  <c r="E63" i="38" s="1"/>
  <c r="G9" i="3"/>
  <c r="G96"/>
  <c r="C124" i="38" s="1"/>
  <c r="L10" i="13"/>
  <c r="V119" i="3"/>
  <c r="R75" i="38" s="1"/>
  <c r="V114" i="3"/>
  <c r="R66" i="38" s="1"/>
  <c r="U43" i="3"/>
  <c r="U116"/>
  <c r="Q73" i="38" s="1"/>
  <c r="Q80" s="1"/>
  <c r="T43" i="3"/>
  <c r="R10"/>
  <c r="R9"/>
  <c r="R111"/>
  <c r="N63" i="38" s="1"/>
  <c r="O14" i="3"/>
  <c r="O8"/>
  <c r="O12"/>
  <c r="O111"/>
  <c r="K63" i="38" s="1"/>
  <c r="O117" i="3"/>
  <c r="K68" i="38" s="1"/>
  <c r="O121" i="3"/>
  <c r="K77" i="38" s="1"/>
  <c r="J49"/>
  <c r="N8" i="3"/>
  <c r="N12"/>
  <c r="N14"/>
  <c r="N117"/>
  <c r="J68" i="38" s="1"/>
  <c r="N55" i="3"/>
  <c r="J37" i="38" s="1"/>
  <c r="N60" i="3"/>
  <c r="J48" i="38" s="1"/>
  <c r="N58" i="3"/>
  <c r="J47" i="38" s="1"/>
  <c r="N111" i="3"/>
  <c r="J63" i="38" s="1"/>
  <c r="N122" i="3"/>
  <c r="J78" i="38" s="1"/>
  <c r="N114" i="3"/>
  <c r="J66" i="38" s="1"/>
  <c r="N121" i="3"/>
  <c r="J77" i="38" s="1"/>
  <c r="N56" i="3"/>
  <c r="M116"/>
  <c r="I73" i="38" s="1"/>
  <c r="M59" i="3"/>
  <c r="I40" i="38" s="1"/>
  <c r="L60" i="3"/>
  <c r="H48" i="38" s="1"/>
  <c r="L119" i="3"/>
  <c r="H75" i="38" s="1"/>
  <c r="L55" i="3"/>
  <c r="H37" i="38" s="1"/>
  <c r="L114" i="3"/>
  <c r="H66" i="38" s="1"/>
  <c r="L64" i="3"/>
  <c r="H43" i="38" s="1"/>
  <c r="L65" i="3"/>
  <c r="H51" i="38" s="1"/>
  <c r="T14" i="3"/>
  <c r="J92"/>
  <c r="J100"/>
  <c r="F127" i="38" s="1"/>
  <c r="H16" i="3"/>
  <c r="I115"/>
  <c r="E67" i="38" s="1"/>
  <c r="I119" i="3"/>
  <c r="E75" i="38" s="1"/>
  <c r="I10" i="3"/>
  <c r="I12"/>
  <c r="R12" s="1"/>
  <c r="H98"/>
  <c r="D122" i="38" s="1"/>
  <c r="H120" i="3"/>
  <c r="D76" i="38" s="1"/>
  <c r="H121" i="3"/>
  <c r="D77" i="38" s="1"/>
  <c r="D80" s="1"/>
  <c r="I114" i="3"/>
  <c r="E66" i="38" s="1"/>
  <c r="H10" i="3"/>
  <c r="I34"/>
  <c r="G97"/>
  <c r="C125" i="38" s="1"/>
  <c r="G42" i="3"/>
  <c r="G10"/>
  <c r="G12"/>
  <c r="P12" s="1"/>
  <c r="G15"/>
  <c r="P15" s="1"/>
  <c r="L21" i="31"/>
  <c r="U138" i="3"/>
  <c r="Q138"/>
  <c r="Q141" s="1"/>
  <c r="M138"/>
  <c r="I138"/>
  <c r="U139"/>
  <c r="Q139"/>
  <c r="M139"/>
  <c r="I139"/>
  <c r="T12"/>
  <c r="R119"/>
  <c r="N75" i="38" s="1"/>
  <c r="O15" i="3"/>
  <c r="O16"/>
  <c r="O43"/>
  <c r="N16"/>
  <c r="M63"/>
  <c r="I50" i="38" s="1"/>
  <c r="M58" i="3"/>
  <c r="I47" i="38" s="1"/>
  <c r="L117" i="3"/>
  <c r="H68" i="38" s="1"/>
  <c r="L61" i="3"/>
  <c r="L56"/>
  <c r="H38" i="38" s="1"/>
  <c r="J101" i="3"/>
  <c r="F128" i="38" s="1"/>
  <c r="J94" i="3"/>
  <c r="F121" i="38" s="1"/>
  <c r="I116" i="3"/>
  <c r="E73" i="38" s="1"/>
  <c r="G14" i="3"/>
  <c r="V122"/>
  <c r="R78" i="38" s="1"/>
  <c r="V113" i="3"/>
  <c r="R65" i="38" s="1"/>
  <c r="V111" i="3"/>
  <c r="R63" i="38" s="1"/>
  <c r="V115" i="3"/>
  <c r="R67" i="38" s="1"/>
  <c r="U8" i="3"/>
  <c r="U111"/>
  <c r="Q63" i="38" s="1"/>
  <c r="U118" i="3"/>
  <c r="Q74" i="38" s="1"/>
  <c r="U115" i="3"/>
  <c r="Q67" i="38" s="1"/>
  <c r="T42" i="3"/>
  <c r="R8"/>
  <c r="R11"/>
  <c r="O41"/>
  <c r="O114"/>
  <c r="K66" i="38" s="1"/>
  <c r="N15" i="3"/>
  <c r="N43"/>
  <c r="N41"/>
  <c r="N63"/>
  <c r="J50" i="38" s="1"/>
  <c r="N115" i="3"/>
  <c r="N123" s="1"/>
  <c r="N59"/>
  <c r="J40" i="38" s="1"/>
  <c r="N64" i="3"/>
  <c r="J43" i="38" s="1"/>
  <c r="M56" i="3"/>
  <c r="I38" i="38" s="1"/>
  <c r="L63" i="3"/>
  <c r="H50" i="38" s="1"/>
  <c r="L120" i="3"/>
  <c r="H76" i="38" s="1"/>
  <c r="L122" i="3"/>
  <c r="H78" i="38" s="1"/>
  <c r="L111" i="3"/>
  <c r="J99"/>
  <c r="F126" i="38" s="1"/>
  <c r="I99" i="3"/>
  <c r="E126" i="38" s="1"/>
  <c r="H97" i="3"/>
  <c r="D125" i="38" s="1"/>
  <c r="H93" i="3"/>
  <c r="D120" i="38" s="1"/>
  <c r="H114" i="3"/>
  <c r="D66" i="38" s="1"/>
  <c r="H116" i="3"/>
  <c r="D73" i="38" s="1"/>
  <c r="G98" i="3"/>
  <c r="C122" i="38" s="1"/>
  <c r="G41" i="3"/>
  <c r="G44" s="1"/>
  <c r="G8"/>
  <c r="C54" i="38"/>
  <c r="J41" i="3"/>
  <c r="J44" s="1"/>
  <c r="F64" i="38" s="1"/>
  <c r="V138" i="3"/>
  <c r="R138"/>
  <c r="N138"/>
  <c r="J138"/>
  <c r="V139"/>
  <c r="R139"/>
  <c r="N139"/>
  <c r="J139"/>
  <c r="M141"/>
  <c r="H19" i="4" s="1"/>
  <c r="I12" i="13" s="1"/>
  <c r="Q13" i="2"/>
  <c r="Y13"/>
  <c r="S13"/>
  <c r="G13"/>
  <c r="G14" s="1"/>
  <c r="E13"/>
  <c r="E14" s="1"/>
  <c r="K13"/>
  <c r="I13"/>
  <c r="O13"/>
  <c r="W13"/>
  <c r="M13"/>
  <c r="R87" i="36"/>
  <c r="O63" i="38"/>
  <c r="P58" i="36"/>
  <c r="P57"/>
  <c r="P53"/>
  <c r="P54"/>
  <c r="P31"/>
  <c r="P29"/>
  <c r="P79"/>
  <c r="P55"/>
  <c r="P43"/>
  <c r="P41"/>
  <c r="P78"/>
  <c r="P77"/>
  <c r="P83"/>
  <c r="P52"/>
  <c r="P56"/>
  <c r="P32"/>
  <c r="P11" i="3"/>
  <c r="P8"/>
  <c r="P10"/>
  <c r="P9"/>
  <c r="P41"/>
  <c r="K114"/>
  <c r="G66" i="38" s="1"/>
  <c r="K121" i="3"/>
  <c r="G77" i="38" s="1"/>
  <c r="K65" i="3"/>
  <c r="K118"/>
  <c r="G74" i="38" s="1"/>
  <c r="K55" i="3"/>
  <c r="K58"/>
  <c r="O58" s="1"/>
  <c r="K117"/>
  <c r="G68" i="38" s="1"/>
  <c r="K60" i="3"/>
  <c r="K62"/>
  <c r="K59"/>
  <c r="K113"/>
  <c r="G65" i="38" s="1"/>
  <c r="K111" i="3"/>
  <c r="K69"/>
  <c r="K56"/>
  <c r="K66"/>
  <c r="O66" s="1"/>
  <c r="K64"/>
  <c r="K119"/>
  <c r="G75" i="38" s="1"/>
  <c r="K57" i="3"/>
  <c r="K122"/>
  <c r="G78" i="38" s="1"/>
  <c r="M43" i="3"/>
  <c r="M41"/>
  <c r="M42"/>
  <c r="H41"/>
  <c r="H43"/>
  <c r="H42"/>
  <c r="U32" i="36"/>
  <c r="U31"/>
  <c r="U53"/>
  <c r="U36"/>
  <c r="U37" s="1"/>
  <c r="U54"/>
  <c r="U56"/>
  <c r="U66"/>
  <c r="U61"/>
  <c r="U57"/>
  <c r="U60"/>
  <c r="R113" i="3"/>
  <c r="R122"/>
  <c r="N78" i="38" s="1"/>
  <c r="R117" i="3"/>
  <c r="N68" i="38" s="1"/>
  <c r="R118" i="3"/>
  <c r="N74" i="38" s="1"/>
  <c r="R115" i="3"/>
  <c r="N67" i="38" s="1"/>
  <c r="M115" i="3"/>
  <c r="I67" i="38" s="1"/>
  <c r="M117" i="3"/>
  <c r="I68" i="38" s="1"/>
  <c r="M66" i="3"/>
  <c r="I52" i="38" s="1"/>
  <c r="M113" i="3"/>
  <c r="I65" i="38" s="1"/>
  <c r="M114" i="3"/>
  <c r="I66" i="38" s="1"/>
  <c r="M57" i="3"/>
  <c r="I39" i="38" s="1"/>
  <c r="M121" i="3"/>
  <c r="I77" i="38" s="1"/>
  <c r="M120" i="3"/>
  <c r="I76" i="38" s="1"/>
  <c r="M61" i="3"/>
  <c r="M55"/>
  <c r="M119"/>
  <c r="I75" i="38" s="1"/>
  <c r="M62" i="3"/>
  <c r="I41" i="38" s="1"/>
  <c r="M60" i="3"/>
  <c r="I48" i="38" s="1"/>
  <c r="M65" i="3"/>
  <c r="I51" i="38" s="1"/>
  <c r="K41" i="36"/>
  <c r="K43"/>
  <c r="K40"/>
  <c r="K29"/>
  <c r="K66"/>
  <c r="K36"/>
  <c r="K37" s="1"/>
  <c r="K59"/>
  <c r="K42"/>
  <c r="K52"/>
  <c r="K60"/>
  <c r="K57"/>
  <c r="K65"/>
  <c r="K67" s="1"/>
  <c r="K61"/>
  <c r="K55"/>
  <c r="L87"/>
  <c r="G34" i="3"/>
  <c r="G32"/>
  <c r="G30"/>
  <c r="G33"/>
  <c r="G31"/>
  <c r="H9" i="2"/>
  <c r="F18"/>
  <c r="H18" s="1"/>
  <c r="J18" s="1"/>
  <c r="L18" s="1"/>
  <c r="N18" s="1"/>
  <c r="P18" s="1"/>
  <c r="R18" s="1"/>
  <c r="T18" s="1"/>
  <c r="V18" s="1"/>
  <c r="X18" s="1"/>
  <c r="Z18" s="1"/>
  <c r="G17" s="1"/>
  <c r="R80" i="38"/>
  <c r="T58" i="36"/>
  <c r="T57"/>
  <c r="S62"/>
  <c r="S70" s="1"/>
  <c r="Q30"/>
  <c r="P59"/>
  <c r="P66"/>
  <c r="P40"/>
  <c r="P44" s="1"/>
  <c r="P96" s="1"/>
  <c r="M12" i="15" s="1"/>
  <c r="J80" i="38"/>
  <c r="K115" i="3"/>
  <c r="G67" i="38" s="1"/>
  <c r="Q23" i="2"/>
  <c r="T122" i="3"/>
  <c r="P78" i="38" s="1"/>
  <c r="T121" i="3"/>
  <c r="P77" i="38" s="1"/>
  <c r="T116" i="3"/>
  <c r="P73" i="38" s="1"/>
  <c r="T114" i="3"/>
  <c r="P66" i="38" s="1"/>
  <c r="T115" i="3"/>
  <c r="P67" i="38" s="1"/>
  <c r="T118" i="3"/>
  <c r="P74" i="38" s="1"/>
  <c r="T120" i="3"/>
  <c r="P76" i="38" s="1"/>
  <c r="U42" i="3"/>
  <c r="U41"/>
  <c r="U10"/>
  <c r="U13"/>
  <c r="U11"/>
  <c r="T65" i="36"/>
  <c r="T67" s="1"/>
  <c r="T93" s="1"/>
  <c r="T40"/>
  <c r="T53"/>
  <c r="T62" s="1"/>
  <c r="T70" s="1"/>
  <c r="T32"/>
  <c r="T30"/>
  <c r="T42"/>
  <c r="T60"/>
  <c r="T41"/>
  <c r="T43"/>
  <c r="T31"/>
  <c r="Q57"/>
  <c r="Q31"/>
  <c r="Q55"/>
  <c r="Q40"/>
  <c r="Q32"/>
  <c r="Q43"/>
  <c r="Q53"/>
  <c r="Q29"/>
  <c r="Q60"/>
  <c r="Q66"/>
  <c r="Q67" s="1"/>
  <c r="Q36"/>
  <c r="Q37" s="1"/>
  <c r="Q41" i="3"/>
  <c r="Q8"/>
  <c r="Q10"/>
  <c r="Q13"/>
  <c r="Q11"/>
  <c r="Q42"/>
  <c r="Q43"/>
  <c r="P114"/>
  <c r="L66" i="38" s="1"/>
  <c r="P120" i="3"/>
  <c r="L76" i="38" s="1"/>
  <c r="P119" i="3"/>
  <c r="L75" i="38" s="1"/>
  <c r="P111" i="3"/>
  <c r="P115"/>
  <c r="L67" i="38" s="1"/>
  <c r="P113" i="3"/>
  <c r="L65" i="38" s="1"/>
  <c r="P116" i="3"/>
  <c r="L73" i="38" s="1"/>
  <c r="P122" i="3"/>
  <c r="L78" i="38" s="1"/>
  <c r="P117" i="3"/>
  <c r="L68" i="38" s="1"/>
  <c r="N66" i="36"/>
  <c r="N67" s="1"/>
  <c r="N53"/>
  <c r="N29"/>
  <c r="N32"/>
  <c r="N43"/>
  <c r="N52"/>
  <c r="N55"/>
  <c r="N41"/>
  <c r="N59"/>
  <c r="N61"/>
  <c r="N36"/>
  <c r="N37" s="1"/>
  <c r="N54"/>
  <c r="N30"/>
  <c r="N60"/>
  <c r="N57"/>
  <c r="O5" i="2"/>
  <c r="U5"/>
  <c r="U15" s="1"/>
  <c r="E5"/>
  <c r="E6" s="1"/>
  <c r="G6" s="1"/>
  <c r="Q5"/>
  <c r="Q15" s="1"/>
  <c r="K5"/>
  <c r="Y5"/>
  <c r="Y15" s="1"/>
  <c r="I5"/>
  <c r="G54" i="32"/>
  <c r="G138"/>
  <c r="G140"/>
  <c r="G103"/>
  <c r="L129" i="38"/>
  <c r="K19" i="4"/>
  <c r="L12" i="13" s="1"/>
  <c r="P14" i="3"/>
  <c r="L6" i="12"/>
  <c r="L6" i="13" s="1"/>
  <c r="L6" i="16" s="1"/>
  <c r="L6" i="17" s="1"/>
  <c r="L6" i="14" s="1"/>
  <c r="L5" i="15" s="1"/>
  <c r="L6" i="18" s="1"/>
  <c r="L6" i="11"/>
  <c r="U12" i="3"/>
  <c r="L18"/>
  <c r="O36" i="28"/>
  <c r="H36"/>
  <c r="I36" s="1"/>
  <c r="J36" s="1"/>
  <c r="K36" s="1"/>
  <c r="L36" s="1"/>
  <c r="M36" s="1"/>
  <c r="N36" s="1"/>
  <c r="C28" i="32"/>
  <c r="C97"/>
  <c r="C136"/>
  <c r="D72"/>
  <c r="D77" s="1"/>
  <c r="D48"/>
  <c r="D60"/>
  <c r="D65" s="1"/>
  <c r="T117" i="3"/>
  <c r="P68" i="38" s="1"/>
  <c r="T119" i="3"/>
  <c r="P75" i="38" s="1"/>
  <c r="O80"/>
  <c r="P65" i="36"/>
  <c r="P67" s="1"/>
  <c r="P60"/>
  <c r="P42"/>
  <c r="P13" i="3"/>
  <c r="F36" i="38"/>
  <c r="K63" i="3"/>
  <c r="K61"/>
  <c r="K116"/>
  <c r="G73" i="38" s="1"/>
  <c r="U52" i="36"/>
  <c r="U65"/>
  <c r="T56"/>
  <c r="T29"/>
  <c r="U9" i="3"/>
  <c r="T111"/>
  <c r="Q52" i="36"/>
  <c r="Q62" s="1"/>
  <c r="Q70" s="1"/>
  <c r="Q56"/>
  <c r="Q59"/>
  <c r="R116" i="3"/>
  <c r="N73" i="38" s="1"/>
  <c r="R121" i="3"/>
  <c r="N77" i="38" s="1"/>
  <c r="P30" i="36"/>
  <c r="P84"/>
  <c r="Q9" i="3"/>
  <c r="P42"/>
  <c r="P121"/>
  <c r="L77" i="38" s="1"/>
  <c r="O55" i="3"/>
  <c r="N56" i="36"/>
  <c r="N31"/>
  <c r="M111" i="3"/>
  <c r="M122"/>
  <c r="I78" i="38" s="1"/>
  <c r="K56" i="36"/>
  <c r="K120" i="3"/>
  <c r="G76" i="38" s="1"/>
  <c r="F85" i="4"/>
  <c r="O85" i="36"/>
  <c r="O93" s="1"/>
  <c r="J38" i="38"/>
  <c r="M58" i="36"/>
  <c r="M53"/>
  <c r="M59"/>
  <c r="M65"/>
  <c r="M56"/>
  <c r="M57"/>
  <c r="F114" i="38"/>
  <c r="C81" i="32"/>
  <c r="C117"/>
  <c r="C103"/>
  <c r="C54"/>
  <c r="C84"/>
  <c r="H40" i="34"/>
  <c r="R35"/>
  <c r="M6" i="12"/>
  <c r="M6" i="13" s="1"/>
  <c r="M6" i="16" s="1"/>
  <c r="M6" i="17" s="1"/>
  <c r="M6" i="14" s="1"/>
  <c r="M5" i="15" s="1"/>
  <c r="M6" i="18" s="1"/>
  <c r="M6" i="11"/>
  <c r="L5" i="10"/>
  <c r="Q21" i="2"/>
  <c r="O21"/>
  <c r="S21"/>
  <c r="G21"/>
  <c r="G22" s="1"/>
  <c r="I22" s="1"/>
  <c r="K22" s="1"/>
  <c r="M22" s="1"/>
  <c r="O22" s="1"/>
  <c r="Q22" s="1"/>
  <c r="S22" s="1"/>
  <c r="U22" s="1"/>
  <c r="W22" s="1"/>
  <c r="Y22" s="1"/>
  <c r="W21"/>
  <c r="T79" i="36"/>
  <c r="T78"/>
  <c r="T77"/>
  <c r="C139" i="32"/>
  <c r="C66"/>
  <c r="G68" i="37"/>
  <c r="G69" s="1"/>
  <c r="E20" i="36" s="1"/>
  <c r="E69" i="37"/>
  <c r="L67" i="36"/>
  <c r="L70" s="1"/>
  <c r="M87"/>
  <c r="P43" i="3"/>
  <c r="M21" i="2"/>
  <c r="U21"/>
  <c r="E54" i="38"/>
  <c r="D72" i="37"/>
  <c r="E139" i="32"/>
  <c r="E66"/>
  <c r="G64" i="37"/>
  <c r="G65" s="1"/>
  <c r="E16" i="36" s="1"/>
  <c r="E65" i="37"/>
  <c r="F64"/>
  <c r="F65" s="1"/>
  <c r="G119" i="3"/>
  <c r="G114"/>
  <c r="G115"/>
  <c r="G113"/>
  <c r="G122"/>
  <c r="G118"/>
  <c r="G120"/>
  <c r="G111"/>
  <c r="G116"/>
  <c r="P18" i="20"/>
  <c r="P77" i="4"/>
  <c r="P91" s="1"/>
  <c r="V3" i="2"/>
  <c r="N84" i="36"/>
  <c r="N77"/>
  <c r="N83"/>
  <c r="N79"/>
  <c r="N78"/>
  <c r="V10" i="3"/>
  <c r="V42"/>
  <c r="V44" s="1"/>
  <c r="U113"/>
  <c r="Q65" i="38" s="1"/>
  <c r="U114" i="3"/>
  <c r="Q66" i="38" s="1"/>
  <c r="U119" i="3"/>
  <c r="Q75" i="38" s="1"/>
  <c r="Q123" i="3"/>
  <c r="R43"/>
  <c r="R44" s="1"/>
  <c r="R13"/>
  <c r="M66" i="36"/>
  <c r="M54"/>
  <c r="M62" s="1"/>
  <c r="V12" i="3"/>
  <c r="U14"/>
  <c r="P25" i="32"/>
  <c r="C100"/>
  <c r="I16" i="3"/>
  <c r="I8"/>
  <c r="I93"/>
  <c r="E120" i="38" s="1"/>
  <c r="I15" i="3"/>
  <c r="I101"/>
  <c r="E128" i="38" s="1"/>
  <c r="I95" i="3"/>
  <c r="E123" i="38" s="1"/>
  <c r="I9" i="3"/>
  <c r="I97"/>
  <c r="I41"/>
  <c r="I13"/>
  <c r="I42"/>
  <c r="I94"/>
  <c r="E121" i="38" s="1"/>
  <c r="I92" i="3"/>
  <c r="I96"/>
  <c r="I32"/>
  <c r="B13" i="16"/>
  <c r="B14" s="1"/>
  <c r="B41"/>
  <c r="B42" s="1"/>
  <c r="F7" i="2"/>
  <c r="G5"/>
  <c r="K77" i="36"/>
  <c r="K83"/>
  <c r="K78"/>
  <c r="K84"/>
  <c r="H52"/>
  <c r="H60"/>
  <c r="H65"/>
  <c r="H59"/>
  <c r="H53"/>
  <c r="H56"/>
  <c r="H66"/>
  <c r="H55"/>
  <c r="U141" i="3"/>
  <c r="G37" i="32"/>
  <c r="K95" i="3"/>
  <c r="G123" i="38" s="1"/>
  <c r="K13" i="3"/>
  <c r="K15"/>
  <c r="K94"/>
  <c r="K100"/>
  <c r="G127" i="38" s="1"/>
  <c r="K42" i="3"/>
  <c r="K44" s="1"/>
  <c r="P15" i="2"/>
  <c r="P11"/>
  <c r="J113" i="3"/>
  <c r="K30" i="36"/>
  <c r="K31"/>
  <c r="N23" i="11"/>
  <c r="M23"/>
  <c r="F20" i="2"/>
  <c r="H20" s="1"/>
  <c r="J20" s="1"/>
  <c r="L20" s="1"/>
  <c r="N20" s="1"/>
  <c r="P20" s="1"/>
  <c r="R20" s="1"/>
  <c r="T20" s="1"/>
  <c r="V20" s="1"/>
  <c r="X20" s="1"/>
  <c r="Z20" s="1"/>
  <c r="G19" s="1"/>
  <c r="S79" i="36"/>
  <c r="S78"/>
  <c r="S77"/>
  <c r="F31"/>
  <c r="F42"/>
  <c r="F41"/>
  <c r="F40"/>
  <c r="F29"/>
  <c r="O31"/>
  <c r="O33" s="1"/>
  <c r="O46" s="1"/>
  <c r="O58"/>
  <c r="O59"/>
  <c r="O57"/>
  <c r="C77" i="32"/>
  <c r="P24" i="2"/>
  <c r="R24" s="1"/>
  <c r="T24" s="1"/>
  <c r="V24" s="1"/>
  <c r="X24" s="1"/>
  <c r="Z24" s="1"/>
  <c r="Y23" s="1"/>
  <c r="F53" i="32"/>
  <c r="S19" i="2"/>
  <c r="O19"/>
  <c r="J55" i="36"/>
  <c r="J61"/>
  <c r="J66"/>
  <c r="J67" s="1"/>
  <c r="D114" i="38"/>
  <c r="I121" i="3"/>
  <c r="I118"/>
  <c r="E74" i="38" s="1"/>
  <c r="H13" i="3"/>
  <c r="H15"/>
  <c r="H8"/>
  <c r="H14"/>
  <c r="H95"/>
  <c r="D123" i="38" s="1"/>
  <c r="H9" i="3"/>
  <c r="G101"/>
  <c r="G100"/>
  <c r="G94"/>
  <c r="G99"/>
  <c r="G93"/>
  <c r="G95"/>
  <c r="E25" i="28"/>
  <c r="L25"/>
  <c r="J25"/>
  <c r="G25"/>
  <c r="L7" i="2"/>
  <c r="M5"/>
  <c r="R6" i="9"/>
  <c r="V49" i="3"/>
  <c r="M16" i="4"/>
  <c r="R4" i="3"/>
  <c r="M3" i="34" s="1"/>
  <c r="M140" i="4"/>
  <c r="M18" i="20"/>
  <c r="O49" i="3"/>
  <c r="J3" i="2"/>
  <c r="J31" i="36"/>
  <c r="J41"/>
  <c r="J44" s="1"/>
  <c r="J96" s="1"/>
  <c r="G12" i="15" s="1"/>
  <c r="J36" i="36"/>
  <c r="J37" s="1"/>
  <c r="I66"/>
  <c r="I67" s="1"/>
  <c r="I61"/>
  <c r="I55"/>
  <c r="I60"/>
  <c r="I62" s="1"/>
  <c r="D71" i="37"/>
  <c r="E70"/>
  <c r="E77" i="32"/>
  <c r="H123" i="3"/>
  <c r="O37" i="32"/>
  <c r="N37"/>
  <c r="I19" i="2"/>
  <c r="K21"/>
  <c r="M85" i="36"/>
  <c r="D51" i="32"/>
  <c r="F62" i="37"/>
  <c r="E63"/>
  <c r="G36" i="36"/>
  <c r="G37" s="1"/>
  <c r="G31"/>
  <c r="I33" i="3"/>
  <c r="I30"/>
  <c r="I10" i="28"/>
  <c r="M10"/>
  <c r="J10"/>
  <c r="F12"/>
  <c r="G12" s="1"/>
  <c r="H12" s="1"/>
  <c r="I12" s="1"/>
  <c r="J12" s="1"/>
  <c r="K12" s="1"/>
  <c r="L12" s="1"/>
  <c r="M12" s="1"/>
  <c r="N12" s="1"/>
  <c r="O12"/>
  <c r="S5" i="2"/>
  <c r="S15" s="1"/>
  <c r="R7"/>
  <c r="O84" i="36"/>
  <c r="O79"/>
  <c r="O80" s="1"/>
  <c r="J78"/>
  <c r="J79"/>
  <c r="J77"/>
  <c r="J84"/>
  <c r="J85" s="1"/>
  <c r="P37" i="32"/>
  <c r="O75"/>
  <c r="F65"/>
  <c r="F75"/>
  <c r="F77" s="1"/>
  <c r="I17" i="2"/>
  <c r="U13"/>
  <c r="E21"/>
  <c r="G13" i="32"/>
  <c r="E25"/>
  <c r="R25"/>
  <c r="F32" i="28"/>
  <c r="N32"/>
  <c r="H32"/>
  <c r="I32"/>
  <c r="F66" i="36"/>
  <c r="F60"/>
  <c r="F59"/>
  <c r="F53"/>
  <c r="F65"/>
  <c r="F67" s="1"/>
  <c r="W5" i="2"/>
  <c r="W15" s="1"/>
  <c r="U23"/>
  <c r="L37" i="32"/>
  <c r="G16" i="3"/>
  <c r="G26"/>
  <c r="G25"/>
  <c r="G13"/>
  <c r="J37" i="32"/>
  <c r="J75"/>
  <c r="Q13"/>
  <c r="I100" i="3"/>
  <c r="E127" i="38" s="1"/>
  <c r="J63" i="32"/>
  <c r="H32" i="3"/>
  <c r="H35" s="1"/>
  <c r="I25" i="32"/>
  <c r="H25"/>
  <c r="J51"/>
  <c r="Q25"/>
  <c r="G60" i="36"/>
  <c r="G62" s="1"/>
  <c r="G70" s="1"/>
  <c r="C99" i="38" l="1"/>
  <c r="O79" i="5"/>
  <c r="F99" i="32"/>
  <c r="G139"/>
  <c r="G66"/>
  <c r="J62" i="36"/>
  <c r="J21" i="31"/>
  <c r="R95" i="36"/>
  <c r="O13" i="15" s="1"/>
  <c r="O17" s="1"/>
  <c r="S141" i="3"/>
  <c r="U67" i="36"/>
  <c r="W139" i="3"/>
  <c r="H75"/>
  <c r="D3" i="32"/>
  <c r="H26" i="3"/>
  <c r="C16" i="32"/>
  <c r="B143" i="4" s="1"/>
  <c r="C137" i="32"/>
  <c r="C94"/>
  <c r="C112" s="1"/>
  <c r="J2"/>
  <c r="M27" i="36"/>
  <c r="K44"/>
  <c r="K96" s="1"/>
  <c r="H12" i="15" s="1"/>
  <c r="N44" i="36"/>
  <c r="N96" s="1"/>
  <c r="K12" i="15" s="1"/>
  <c r="U33" i="36"/>
  <c r="U46" s="1"/>
  <c r="S46"/>
  <c r="R46"/>
  <c r="R89" s="1"/>
  <c r="N33"/>
  <c r="M30"/>
  <c r="M32"/>
  <c r="L42"/>
  <c r="L41"/>
  <c r="L29"/>
  <c r="L36"/>
  <c r="L37" s="1"/>
  <c r="L93" s="1"/>
  <c r="L31"/>
  <c r="L43"/>
  <c r="L30"/>
  <c r="L40"/>
  <c r="L32"/>
  <c r="J33"/>
  <c r="J46" s="1"/>
  <c r="K33"/>
  <c r="K46" s="1"/>
  <c r="E2" i="32"/>
  <c r="H27" i="36"/>
  <c r="N32" i="5"/>
  <c r="G32" s="1"/>
  <c r="I130" i="3"/>
  <c r="M33" i="5"/>
  <c r="G30" i="36"/>
  <c r="G42"/>
  <c r="G41"/>
  <c r="G29"/>
  <c r="G40"/>
  <c r="G44" s="1"/>
  <c r="G96" s="1"/>
  <c r="D12" i="15" s="1"/>
  <c r="G32" i="36"/>
  <c r="H23" i="3"/>
  <c r="H28" s="1"/>
  <c r="F33" i="36"/>
  <c r="O141" i="3"/>
  <c r="J19" i="4" s="1"/>
  <c r="K12" i="13" s="1"/>
  <c r="G78" i="32"/>
  <c r="G109"/>
  <c r="F9" i="4" s="1"/>
  <c r="G14" i="12" s="1"/>
  <c r="Q57" i="5"/>
  <c r="H19" i="38"/>
  <c r="L90" i="3"/>
  <c r="H42" i="32"/>
  <c r="L21" i="3"/>
  <c r="J70" i="36"/>
  <c r="G84" i="32"/>
  <c r="G22" i="38" s="1"/>
  <c r="G23" s="1"/>
  <c r="K134" i="3"/>
  <c r="F17" i="4" s="1"/>
  <c r="F5" i="31" s="1"/>
  <c r="N78" i="5"/>
  <c r="E96" i="32"/>
  <c r="N77" i="5"/>
  <c r="E93" i="32"/>
  <c r="Q6" i="12"/>
  <c r="Q6" i="13" s="1"/>
  <c r="Q6" i="16" s="1"/>
  <c r="Q6" i="17" s="1"/>
  <c r="Q6" i="14" s="1"/>
  <c r="Q5" i="15" s="1"/>
  <c r="Q6" i="18" s="1"/>
  <c r="Q6" i="11"/>
  <c r="P5" i="10"/>
  <c r="J120" i="3"/>
  <c r="F74" i="38"/>
  <c r="V18" i="3"/>
  <c r="R36" i="38" s="1"/>
  <c r="S123" i="3"/>
  <c r="V141"/>
  <c r="Q19" i="4" s="1"/>
  <c r="R12" i="13" s="1"/>
  <c r="Q12" i="3"/>
  <c r="M18"/>
  <c r="I36" i="38" s="1"/>
  <c r="E132" i="4"/>
  <c r="F42" i="38"/>
  <c r="I42"/>
  <c r="N67" i="3"/>
  <c r="H132" i="4"/>
  <c r="T16" i="3"/>
  <c r="U16"/>
  <c r="M132" i="4"/>
  <c r="N42" i="38"/>
  <c r="S67" i="3"/>
  <c r="T141"/>
  <c r="O19" i="4" s="1"/>
  <c r="P12" i="13" s="1"/>
  <c r="F116" i="38"/>
  <c r="F44"/>
  <c r="F57" s="1"/>
  <c r="O65" i="3"/>
  <c r="K51" i="38" s="1"/>
  <c r="N18" i="3"/>
  <c r="O44"/>
  <c r="K64" i="38" s="1"/>
  <c r="K70" s="1"/>
  <c r="K82" s="1"/>
  <c r="L141" i="3"/>
  <c r="J70"/>
  <c r="J72" s="1"/>
  <c r="V123"/>
  <c r="J67" i="38"/>
  <c r="I129"/>
  <c r="O59" i="3"/>
  <c r="O56"/>
  <c r="J103"/>
  <c r="K80" i="38"/>
  <c r="K105"/>
  <c r="I70" i="3"/>
  <c r="H80" i="38"/>
  <c r="L35"/>
  <c r="F87" i="3"/>
  <c r="G86"/>
  <c r="G87" s="1"/>
  <c r="O129" i="38"/>
  <c r="N19" i="4"/>
  <c r="O12" i="13" s="1"/>
  <c r="H129" i="38"/>
  <c r="G19" i="4"/>
  <c r="H12" i="13" s="1"/>
  <c r="J36" i="38"/>
  <c r="L123" i="3"/>
  <c r="L125" s="1"/>
  <c r="H63" i="38"/>
  <c r="H70" s="1"/>
  <c r="H82" s="1"/>
  <c r="H49"/>
  <c r="G131" i="4"/>
  <c r="N141" i="3"/>
  <c r="O18"/>
  <c r="K36" i="38" s="1"/>
  <c r="H103" i="3"/>
  <c r="D26" i="38" s="1"/>
  <c r="O123" i="3"/>
  <c r="O125" s="1"/>
  <c r="G80" i="38"/>
  <c r="O64" i="3"/>
  <c r="K43" i="38" s="1"/>
  <c r="J141" i="3"/>
  <c r="N44"/>
  <c r="J64" i="38" s="1"/>
  <c r="T44" i="3"/>
  <c r="P64" i="38" s="1"/>
  <c r="N134" i="3"/>
  <c r="I17" i="4" s="1"/>
  <c r="J105" i="38"/>
  <c r="C105"/>
  <c r="G134" i="3"/>
  <c r="B17" i="4" s="1"/>
  <c r="L134" i="3"/>
  <c r="G17" i="4" s="1"/>
  <c r="H105" i="38"/>
  <c r="M134" i="3"/>
  <c r="H17" i="4" s="1"/>
  <c r="I105" i="38"/>
  <c r="J70"/>
  <c r="J82" s="1"/>
  <c r="I141" i="3"/>
  <c r="S12"/>
  <c r="L80" i="38"/>
  <c r="W11" i="3"/>
  <c r="L19" i="4"/>
  <c r="M12" i="13" s="1"/>
  <c r="M129" i="38"/>
  <c r="I70" i="36"/>
  <c r="N64" i="38"/>
  <c r="Q11" i="15"/>
  <c r="J93" i="36"/>
  <c r="K129" i="38"/>
  <c r="O87" i="36"/>
  <c r="O89" s="1"/>
  <c r="H134" i="3"/>
  <c r="D105" i="38"/>
  <c r="E109" i="32"/>
  <c r="E78"/>
  <c r="C120" i="38"/>
  <c r="C128"/>
  <c r="E77"/>
  <c r="C64"/>
  <c r="G121"/>
  <c r="K103" i="3"/>
  <c r="F8" i="2"/>
  <c r="H8" s="1"/>
  <c r="J8" s="1"/>
  <c r="L8" s="1"/>
  <c r="N8" s="1"/>
  <c r="P8" s="1"/>
  <c r="R8" s="1"/>
  <c r="T8" s="1"/>
  <c r="V8" s="1"/>
  <c r="X8" s="1"/>
  <c r="Z8" s="1"/>
  <c r="F9"/>
  <c r="G7"/>
  <c r="E124" i="38"/>
  <c r="D115"/>
  <c r="D116" s="1"/>
  <c r="G123" i="3"/>
  <c r="G125" s="1"/>
  <c r="C63" i="38"/>
  <c r="W111" i="3"/>
  <c r="L11" i="15"/>
  <c r="K37" i="38"/>
  <c r="P55" i="3"/>
  <c r="G39" i="38"/>
  <c r="K40"/>
  <c r="P59" i="3"/>
  <c r="P65"/>
  <c r="G28"/>
  <c r="F66" i="32"/>
  <c r="F139"/>
  <c r="F106"/>
  <c r="E8" i="4" s="1"/>
  <c r="F13" i="12" s="1"/>
  <c r="C123" i="38"/>
  <c r="C127"/>
  <c r="F138" i="32"/>
  <c r="F54"/>
  <c r="F84"/>
  <c r="F22" i="38" s="1"/>
  <c r="F23" s="1"/>
  <c r="F140" i="32"/>
  <c r="F103"/>
  <c r="C78" i="38"/>
  <c r="C75"/>
  <c r="E94" i="36"/>
  <c r="V94" s="1"/>
  <c r="F16"/>
  <c r="F94" s="1"/>
  <c r="C10" i="15" s="1"/>
  <c r="R40" i="34"/>
  <c r="H50"/>
  <c r="R50" s="1"/>
  <c r="C118" i="32"/>
  <c r="M123" i="3"/>
  <c r="I63" i="38"/>
  <c r="G50"/>
  <c r="D109" i="32"/>
  <c r="C9" i="4" s="1"/>
  <c r="D14" i="12" s="1"/>
  <c r="D78" i="32"/>
  <c r="L63" i="38"/>
  <c r="P123" i="3"/>
  <c r="P66"/>
  <c r="K52" i="38"/>
  <c r="G35" i="3"/>
  <c r="I49" i="38"/>
  <c r="H131" i="4"/>
  <c r="H44" i="3"/>
  <c r="W41"/>
  <c r="P56"/>
  <c r="K38" i="38"/>
  <c r="K123" i="3"/>
  <c r="K125" s="1"/>
  <c r="G63" i="38"/>
  <c r="G70" s="1"/>
  <c r="G82" s="1"/>
  <c r="K47"/>
  <c r="P58" i="3"/>
  <c r="G47" i="38"/>
  <c r="P129"/>
  <c r="G18" i="3"/>
  <c r="W13"/>
  <c r="C97" i="38"/>
  <c r="B133" i="4"/>
  <c r="F78" i="32"/>
  <c r="F109"/>
  <c r="E9" i="4" s="1"/>
  <c r="F14" i="12" s="1"/>
  <c r="R9" i="2"/>
  <c r="S7"/>
  <c r="S9" s="1"/>
  <c r="S11" s="1"/>
  <c r="F63" i="37"/>
  <c r="G62"/>
  <c r="G63" s="1"/>
  <c r="C19" i="4"/>
  <c r="D12" i="13" s="1"/>
  <c r="D129" i="38"/>
  <c r="D130" s="1"/>
  <c r="F70" i="37"/>
  <c r="F71" s="1"/>
  <c r="G70"/>
  <c r="G71" s="1"/>
  <c r="E22" i="36" s="1"/>
  <c r="E71" i="37"/>
  <c r="E72" s="1"/>
  <c r="M7" i="2"/>
  <c r="L9"/>
  <c r="C121" i="38"/>
  <c r="C109" i="32"/>
  <c r="C78"/>
  <c r="C140"/>
  <c r="C88"/>
  <c r="G64" i="38"/>
  <c r="P19" i="4"/>
  <c r="Q12" i="13" s="1"/>
  <c r="Q129" i="38"/>
  <c r="E125"/>
  <c r="B6" i="4"/>
  <c r="D138" i="38"/>
  <c r="V125" i="3"/>
  <c r="R64" i="38"/>
  <c r="R70" s="1"/>
  <c r="R82" s="1"/>
  <c r="C74"/>
  <c r="S74" s="1"/>
  <c r="W118" i="3"/>
  <c r="C66" i="38"/>
  <c r="S66" s="1"/>
  <c r="W114" i="3"/>
  <c r="E96" i="36"/>
  <c r="F20"/>
  <c r="F96" s="1"/>
  <c r="C12" i="15" s="1"/>
  <c r="C10" i="38"/>
  <c r="C11" s="1"/>
  <c r="H36"/>
  <c r="H44" s="1"/>
  <c r="I37"/>
  <c r="R123" i="3"/>
  <c r="R125" s="1"/>
  <c r="N65" i="38"/>
  <c r="G52"/>
  <c r="G53"/>
  <c r="L69" i="3"/>
  <c r="G41" i="38"/>
  <c r="G51"/>
  <c r="H62" i="36"/>
  <c r="I18" i="3"/>
  <c r="I123"/>
  <c r="I6" i="2"/>
  <c r="K6" s="1"/>
  <c r="M6" s="1"/>
  <c r="O6" s="1"/>
  <c r="Q6" s="1"/>
  <c r="S6" s="1"/>
  <c r="U6" s="1"/>
  <c r="W6" s="1"/>
  <c r="Y6" s="1"/>
  <c r="P80" i="38"/>
  <c r="O60" i="3"/>
  <c r="E84" i="32"/>
  <c r="E22" i="38" s="1"/>
  <c r="E23" s="1"/>
  <c r="M67" i="36"/>
  <c r="U123" i="3"/>
  <c r="I44" i="38"/>
  <c r="O57" i="3"/>
  <c r="P80" i="36"/>
  <c r="I14" i="2"/>
  <c r="K14" s="1"/>
  <c r="M14" s="1"/>
  <c r="O14" s="1"/>
  <c r="Q14" s="1"/>
  <c r="S14" s="1"/>
  <c r="U14" s="1"/>
  <c r="W14" s="1"/>
  <c r="Y14" s="1"/>
  <c r="G23"/>
  <c r="F62" i="36"/>
  <c r="F70" s="1"/>
  <c r="R141" i="3"/>
  <c r="O25" i="28"/>
  <c r="F44" i="36"/>
  <c r="S80"/>
  <c r="K18" i="3"/>
  <c r="H67" i="36"/>
  <c r="K141" i="3"/>
  <c r="K80" i="36"/>
  <c r="R15" i="3"/>
  <c r="N80" i="36"/>
  <c r="S15" i="3"/>
  <c r="T33" i="36"/>
  <c r="D53" i="32"/>
  <c r="G103" i="3"/>
  <c r="Q93" i="36"/>
  <c r="U44" i="3"/>
  <c r="W17" i="2"/>
  <c r="K62" i="36"/>
  <c r="K70" s="1"/>
  <c r="W43" i="3"/>
  <c r="O63"/>
  <c r="P44"/>
  <c r="P85" i="36"/>
  <c r="P93" s="1"/>
  <c r="G93"/>
  <c r="W138" i="3"/>
  <c r="G141"/>
  <c r="R6" i="11"/>
  <c r="R6" i="12"/>
  <c r="R6" i="13" s="1"/>
  <c r="R6" i="16" s="1"/>
  <c r="R6" i="17" s="1"/>
  <c r="R6" i="14" s="1"/>
  <c r="R5" i="15" s="1"/>
  <c r="R6" i="18" s="1"/>
  <c r="Q5" i="10"/>
  <c r="H18" i="3"/>
  <c r="W8"/>
  <c r="J115"/>
  <c r="F65" i="38"/>
  <c r="C65"/>
  <c r="W113" i="3"/>
  <c r="B4" i="4"/>
  <c r="O64" i="38"/>
  <c r="O70" s="1"/>
  <c r="O82" s="1"/>
  <c r="S125" i="3"/>
  <c r="H11" i="2"/>
  <c r="H15"/>
  <c r="G43" i="38"/>
  <c r="G37"/>
  <c r="K70" i="3"/>
  <c r="C104" i="38"/>
  <c r="Q14" i="3"/>
  <c r="R14"/>
  <c r="W14" s="1"/>
  <c r="W116"/>
  <c r="C73" i="38"/>
  <c r="B7" i="4"/>
  <c r="C127" i="32"/>
  <c r="P63" i="38"/>
  <c r="T123" i="3"/>
  <c r="Q16"/>
  <c r="P16"/>
  <c r="P18" s="1"/>
  <c r="C126" i="38"/>
  <c r="Q15" i="3"/>
  <c r="S23" i="2"/>
  <c r="M23"/>
  <c r="W23"/>
  <c r="E23"/>
  <c r="E24" s="1"/>
  <c r="G24" s="1"/>
  <c r="I24" s="1"/>
  <c r="K24" s="1"/>
  <c r="M24" s="1"/>
  <c r="K23"/>
  <c r="I23"/>
  <c r="O23"/>
  <c r="F46" i="36"/>
  <c r="Y19" i="2"/>
  <c r="AA20"/>
  <c r="W19"/>
  <c r="Q19"/>
  <c r="E19"/>
  <c r="E20" s="1"/>
  <c r="G20" s="1"/>
  <c r="I20" s="1"/>
  <c r="K20" s="1"/>
  <c r="M20" s="1"/>
  <c r="O20" s="1"/>
  <c r="Q20" s="1"/>
  <c r="S20" s="1"/>
  <c r="U20" s="1"/>
  <c r="W20" s="1"/>
  <c r="Y20" s="1"/>
  <c r="K19"/>
  <c r="M19"/>
  <c r="U19"/>
  <c r="K34" i="3"/>
  <c r="K35" s="1"/>
  <c r="U15"/>
  <c r="T15"/>
  <c r="T18" s="1"/>
  <c r="E114" i="38"/>
  <c r="I103" i="3"/>
  <c r="R16"/>
  <c r="S16"/>
  <c r="C76" i="38"/>
  <c r="W120" i="3"/>
  <c r="C67" i="38"/>
  <c r="C22"/>
  <c r="C23" s="1"/>
  <c r="F9" i="31"/>
  <c r="B123" i="4"/>
  <c r="G49" i="38"/>
  <c r="F131" i="4"/>
  <c r="D106" i="32"/>
  <c r="D66"/>
  <c r="D139"/>
  <c r="B5" i="4"/>
  <c r="G127" i="32"/>
  <c r="G20" i="38" s="1"/>
  <c r="F7" i="4"/>
  <c r="G12" i="12" s="1"/>
  <c r="E17" i="2"/>
  <c r="E18" s="1"/>
  <c r="G18" s="1"/>
  <c r="I18" s="1"/>
  <c r="K18" s="1"/>
  <c r="M18" s="1"/>
  <c r="O18" s="1"/>
  <c r="Q18" s="1"/>
  <c r="S18" s="1"/>
  <c r="U18" s="1"/>
  <c r="W18" s="1"/>
  <c r="Y18" s="1"/>
  <c r="U17"/>
  <c r="Y17"/>
  <c r="K17"/>
  <c r="Q17"/>
  <c r="S17"/>
  <c r="M17"/>
  <c r="O17"/>
  <c r="G38" i="38"/>
  <c r="G40"/>
  <c r="G48"/>
  <c r="Q44" i="3"/>
  <c r="O32" i="28"/>
  <c r="J80" i="36"/>
  <c r="I35" i="3"/>
  <c r="W140"/>
  <c r="W9"/>
  <c r="O62" i="36"/>
  <c r="O70" s="1"/>
  <c r="K85"/>
  <c r="K93" s="1"/>
  <c r="I44" i="3"/>
  <c r="N85" i="36"/>
  <c r="N93" s="1"/>
  <c r="T80"/>
  <c r="W12" i="3"/>
  <c r="N80" i="38"/>
  <c r="U62" i="36"/>
  <c r="N62"/>
  <c r="N70" s="1"/>
  <c r="Q33"/>
  <c r="Q44"/>
  <c r="Q96" s="1"/>
  <c r="N12" i="15" s="1"/>
  <c r="T44" i="36"/>
  <c r="T96" s="1"/>
  <c r="Q12" i="15" s="1"/>
  <c r="I80" i="38"/>
  <c r="U93" i="36"/>
  <c r="W42" i="3"/>
  <c r="M44"/>
  <c r="O62"/>
  <c r="O61"/>
  <c r="W10"/>
  <c r="P62" i="36"/>
  <c r="P70" s="1"/>
  <c r="P33"/>
  <c r="P46" s="1"/>
  <c r="P79" i="5" l="1"/>
  <c r="G99" i="32"/>
  <c r="N106" i="4"/>
  <c r="N108" s="1"/>
  <c r="N83"/>
  <c r="O17" i="11" s="1"/>
  <c r="O19" s="1"/>
  <c r="R98" i="36"/>
  <c r="U70"/>
  <c r="R129" i="38"/>
  <c r="H82" i="3"/>
  <c r="H81"/>
  <c r="H78"/>
  <c r="D101" i="38" s="1"/>
  <c r="H79" i="3"/>
  <c r="D102" i="38" s="1"/>
  <c r="H83" i="3"/>
  <c r="D100" i="38" s="1"/>
  <c r="H84" i="3"/>
  <c r="D98" i="38" s="1"/>
  <c r="H77" i="3"/>
  <c r="H85"/>
  <c r="D103" i="38" s="1"/>
  <c r="D22" i="32"/>
  <c r="D27" s="1"/>
  <c r="D7" i="38"/>
  <c r="D34" i="32"/>
  <c r="D39" s="1"/>
  <c r="D10"/>
  <c r="D15" s="1"/>
  <c r="H86" i="3"/>
  <c r="D104" i="38" s="1"/>
  <c r="G33" i="36"/>
  <c r="M29"/>
  <c r="M42"/>
  <c r="M41"/>
  <c r="M36"/>
  <c r="M37" s="1"/>
  <c r="M93" s="1"/>
  <c r="J11" i="15" s="1"/>
  <c r="M40" i="36"/>
  <c r="M33"/>
  <c r="M43"/>
  <c r="M31"/>
  <c r="N46"/>
  <c r="M95"/>
  <c r="J13" i="15" s="1"/>
  <c r="L44" i="36"/>
  <c r="L96" s="1"/>
  <c r="I12" i="15" s="1"/>
  <c r="L33" i="36"/>
  <c r="G46"/>
  <c r="G89" s="1"/>
  <c r="G95"/>
  <c r="D13" i="15" s="1"/>
  <c r="I133" i="3"/>
  <c r="D141" i="4"/>
  <c r="E3" i="32"/>
  <c r="I20" i="3"/>
  <c r="N33" i="5"/>
  <c r="I75" i="3"/>
  <c r="H43" i="36"/>
  <c r="H41"/>
  <c r="H42"/>
  <c r="H32"/>
  <c r="H31"/>
  <c r="H29"/>
  <c r="H30"/>
  <c r="H40"/>
  <c r="H36"/>
  <c r="H37" s="1"/>
  <c r="J130" i="3"/>
  <c r="J133" s="1"/>
  <c r="F2" i="32"/>
  <c r="S2" s="1"/>
  <c r="I27" i="36"/>
  <c r="L101" i="3"/>
  <c r="L100"/>
  <c r="L94"/>
  <c r="L98"/>
  <c r="L97"/>
  <c r="L95"/>
  <c r="L96"/>
  <c r="L92"/>
  <c r="L99"/>
  <c r="L93"/>
  <c r="H48" i="32"/>
  <c r="H53" s="1"/>
  <c r="H72"/>
  <c r="H77" s="1"/>
  <c r="H60"/>
  <c r="H65" s="1"/>
  <c r="L30" i="3"/>
  <c r="L32"/>
  <c r="L31"/>
  <c r="L33"/>
  <c r="L34"/>
  <c r="I19" i="38"/>
  <c r="R57" i="5"/>
  <c r="M21" i="3"/>
  <c r="M90"/>
  <c r="I42" i="32"/>
  <c r="G10" i="13"/>
  <c r="F96" i="32"/>
  <c r="O78" i="5"/>
  <c r="F93" i="32"/>
  <c r="O77" i="5"/>
  <c r="J42" i="38"/>
  <c r="J44" s="1"/>
  <c r="I132" i="4"/>
  <c r="F76" i="38"/>
  <c r="J122" i="3"/>
  <c r="N132" i="4"/>
  <c r="O42" i="38"/>
  <c r="T67" i="3"/>
  <c r="T125"/>
  <c r="U18"/>
  <c r="S76" i="38"/>
  <c r="N125" i="3"/>
  <c r="N70" i="38"/>
  <c r="N82" s="1"/>
  <c r="R53" i="3"/>
  <c r="M35" i="38"/>
  <c r="E129"/>
  <c r="D19" i="4"/>
  <c r="E12" i="13" s="1"/>
  <c r="H10"/>
  <c r="G5" i="31"/>
  <c r="J10" i="13"/>
  <c r="I21" i="31"/>
  <c r="E19" i="4"/>
  <c r="F12" i="13" s="1"/>
  <c r="F129" i="38"/>
  <c r="F130" s="1"/>
  <c r="F132" s="1"/>
  <c r="J129"/>
  <c r="I19" i="4"/>
  <c r="J12" i="13" s="1"/>
  <c r="C10"/>
  <c r="B5" i="31"/>
  <c r="H5"/>
  <c r="I10" i="13"/>
  <c r="P64" i="3"/>
  <c r="L43" i="38" s="1"/>
  <c r="W15" i="3"/>
  <c r="S18"/>
  <c r="D132" i="38"/>
  <c r="W16" i="3"/>
  <c r="X16" s="1"/>
  <c r="P70" i="38"/>
  <c r="P82" s="1"/>
  <c r="R18" i="3"/>
  <c r="N36" i="38" s="1"/>
  <c r="F26"/>
  <c r="F27" s="1"/>
  <c r="Q36"/>
  <c r="O36"/>
  <c r="Q95" i="36"/>
  <c r="N13" i="15" s="1"/>
  <c r="Q46" i="36"/>
  <c r="Q89" s="1"/>
  <c r="K11" i="15"/>
  <c r="J87" i="36"/>
  <c r="J95"/>
  <c r="G13" i="15" s="1"/>
  <c r="V80" i="36"/>
  <c r="C10" i="12"/>
  <c r="F67" i="38"/>
  <c r="J117" i="3"/>
  <c r="H72"/>
  <c r="D36" i="38"/>
  <c r="D44" s="1"/>
  <c r="W141" i="3"/>
  <c r="B19" i="4"/>
  <c r="C129" i="38"/>
  <c r="C130" s="1"/>
  <c r="M11" i="15"/>
  <c r="M17" s="1"/>
  <c r="D54" i="32"/>
  <c r="D103"/>
  <c r="D84"/>
  <c r="D138"/>
  <c r="D140"/>
  <c r="K72" i="3"/>
  <c r="G36" i="38"/>
  <c r="G44" s="1"/>
  <c r="K39"/>
  <c r="P57" i="3"/>
  <c r="B136" i="4"/>
  <c r="D64" i="38"/>
  <c r="D70" s="1"/>
  <c r="D82" s="1"/>
  <c r="H125" i="3"/>
  <c r="B11" i="4"/>
  <c r="C70" i="38"/>
  <c r="S63"/>
  <c r="D27"/>
  <c r="D9" i="4"/>
  <c r="E14" i="12" s="1"/>
  <c r="E127" i="32"/>
  <c r="E20" i="38" s="1"/>
  <c r="K49"/>
  <c r="J131" i="4"/>
  <c r="P61" i="3"/>
  <c r="I64" i="38"/>
  <c r="I70" s="1"/>
  <c r="I82" s="1"/>
  <c r="M125" i="3"/>
  <c r="T87" i="36"/>
  <c r="T95"/>
  <c r="H11" i="15"/>
  <c r="E26" i="38"/>
  <c r="E115"/>
  <c r="E116" s="1"/>
  <c r="G26"/>
  <c r="G115"/>
  <c r="G116" s="1"/>
  <c r="C12" i="12"/>
  <c r="C80" i="38"/>
  <c r="S73"/>
  <c r="D11" i="15"/>
  <c r="D17" s="1"/>
  <c r="G98" i="36"/>
  <c r="N129" i="38"/>
  <c r="M19" i="4"/>
  <c r="N12" i="13" s="1"/>
  <c r="L36" i="38"/>
  <c r="H70" i="36"/>
  <c r="M69" i="3"/>
  <c r="H53" i="38"/>
  <c r="H54" s="1"/>
  <c r="H57" s="1"/>
  <c r="H84" s="1"/>
  <c r="H139" s="1"/>
  <c r="L70" i="3"/>
  <c r="C11" i="12"/>
  <c r="C36" i="38"/>
  <c r="G72" i="3"/>
  <c r="L52" i="38"/>
  <c r="Q66" i="3"/>
  <c r="E64" i="38"/>
  <c r="E70" s="1"/>
  <c r="I125" i="3"/>
  <c r="G128"/>
  <c r="G105"/>
  <c r="G21" i="38"/>
  <c r="G174"/>
  <c r="G24"/>
  <c r="C8" i="4"/>
  <c r="C20" i="38"/>
  <c r="C130" i="32"/>
  <c r="P125" i="3"/>
  <c r="L64" i="38"/>
  <c r="G129"/>
  <c r="G130" s="1"/>
  <c r="F19" i="4"/>
  <c r="G12" i="13" s="1"/>
  <c r="P95" i="36"/>
  <c r="M13" i="15" s="1"/>
  <c r="P87" i="36"/>
  <c r="P89" s="1"/>
  <c r="I72" i="3"/>
  <c r="E36" i="38"/>
  <c r="E44" s="1"/>
  <c r="B9" i="4"/>
  <c r="B14" s="1"/>
  <c r="L15" i="2"/>
  <c r="L11"/>
  <c r="M9"/>
  <c r="R15"/>
  <c r="R11"/>
  <c r="C11" i="16"/>
  <c r="C12" s="1"/>
  <c r="C13" s="1"/>
  <c r="C10"/>
  <c r="F127" i="32"/>
  <c r="F20" i="38" s="1"/>
  <c r="E7" i="4"/>
  <c r="F12" i="12" s="1"/>
  <c r="L51" i="38"/>
  <c r="Q65" i="3"/>
  <c r="U7" i="2"/>
  <c r="U9" s="1"/>
  <c r="U11" s="1"/>
  <c r="O7"/>
  <c r="Y7"/>
  <c r="K7"/>
  <c r="E7"/>
  <c r="E8" s="1"/>
  <c r="G8" s="1"/>
  <c r="Q7"/>
  <c r="Q9" s="1"/>
  <c r="Q11" s="1"/>
  <c r="W7"/>
  <c r="W9" s="1"/>
  <c r="W11" s="1"/>
  <c r="I7"/>
  <c r="E80" i="38"/>
  <c r="C17" i="4"/>
  <c r="O24" i="2"/>
  <c r="Q24" s="1"/>
  <c r="S24" s="1"/>
  <c r="U24" s="1"/>
  <c r="W24" s="1"/>
  <c r="Y24" s="1"/>
  <c r="C125" i="32"/>
  <c r="V85" i="36"/>
  <c r="M70"/>
  <c r="C141" i="32"/>
  <c r="S65" i="38"/>
  <c r="T46" i="36"/>
  <c r="E130" i="38"/>
  <c r="F72" i="37"/>
  <c r="I48" s="1"/>
  <c r="W44" i="3"/>
  <c r="O95" i="36"/>
  <c r="U95"/>
  <c r="R13" i="15" s="1"/>
  <c r="P62" i="3"/>
  <c r="K41" i="38"/>
  <c r="Q125" i="3"/>
  <c r="M64" i="38"/>
  <c r="M70" s="1"/>
  <c r="M82" s="1"/>
  <c r="U125" i="3"/>
  <c r="Q64" i="38"/>
  <c r="Q70" s="1"/>
  <c r="Q82" s="1"/>
  <c r="C23" i="16"/>
  <c r="C22"/>
  <c r="G54" i="38"/>
  <c r="Q56" i="3"/>
  <c r="L38" i="38"/>
  <c r="C115"/>
  <c r="C26"/>
  <c r="D91"/>
  <c r="D92" s="1"/>
  <c r="H37" i="3"/>
  <c r="H47" s="1"/>
  <c r="C18" i="4" s="1"/>
  <c r="Q59" i="3"/>
  <c r="L40" i="38"/>
  <c r="G11" i="15"/>
  <c r="W18" i="3"/>
  <c r="X13" s="1"/>
  <c r="I11" i="15"/>
  <c r="K50" i="38"/>
  <c r="P63" i="3"/>
  <c r="R11" i="15"/>
  <c r="R17" s="1"/>
  <c r="P36" i="38"/>
  <c r="C9" i="12"/>
  <c r="N11" i="15"/>
  <c r="N17" s="1"/>
  <c r="Q98" i="36"/>
  <c r="N87"/>
  <c r="N89" s="1"/>
  <c r="N95"/>
  <c r="K13" i="15" s="1"/>
  <c r="K95" i="36"/>
  <c r="H13" i="15" s="1"/>
  <c r="K87" i="36"/>
  <c r="K89" s="1"/>
  <c r="S87"/>
  <c r="S89" s="1"/>
  <c r="S95"/>
  <c r="P60" i="3"/>
  <c r="K48" i="38"/>
  <c r="H137"/>
  <c r="F22" i="36"/>
  <c r="F97" s="1"/>
  <c r="C14" i="15" s="1"/>
  <c r="E97" i="36"/>
  <c r="V97" s="1"/>
  <c r="G72" i="37"/>
  <c r="G76" s="1"/>
  <c r="F107" i="5" s="1"/>
  <c r="E14" i="36"/>
  <c r="C106" i="38"/>
  <c r="Q58" i="3"/>
  <c r="L47" i="38"/>
  <c r="C91"/>
  <c r="C14"/>
  <c r="G37" i="3"/>
  <c r="Q55"/>
  <c r="L37" i="38"/>
  <c r="G9" i="2"/>
  <c r="F15"/>
  <c r="F10"/>
  <c r="H10" s="1"/>
  <c r="J10" s="1"/>
  <c r="L10" s="1"/>
  <c r="N10" s="1"/>
  <c r="P10" s="1"/>
  <c r="R10" s="1"/>
  <c r="T10" s="1"/>
  <c r="V10" s="1"/>
  <c r="X10" s="1"/>
  <c r="Z10" s="1"/>
  <c r="F11"/>
  <c r="X9" i="3"/>
  <c r="F95" i="36"/>
  <c r="X10" i="3"/>
  <c r="W115"/>
  <c r="Q18"/>
  <c r="U89" i="36"/>
  <c r="Q79" i="5" l="1"/>
  <c r="H99" i="32"/>
  <c r="G132" i="38"/>
  <c r="D136" i="32"/>
  <c r="D28"/>
  <c r="D97"/>
  <c r="C5" i="4" s="1"/>
  <c r="D10" i="12" s="1"/>
  <c r="C134" i="4"/>
  <c r="D99" i="38"/>
  <c r="D97"/>
  <c r="C133" i="4"/>
  <c r="C136" s="1"/>
  <c r="C81" s="1"/>
  <c r="L126" i="5" s="1"/>
  <c r="W130" i="3"/>
  <c r="D100" i="32"/>
  <c r="C6" i="4" s="1"/>
  <c r="D11" i="12" s="1"/>
  <c r="D137" i="32"/>
  <c r="D88"/>
  <c r="D89" s="1"/>
  <c r="D40"/>
  <c r="D96" i="38"/>
  <c r="H87" i="3"/>
  <c r="D16" i="32"/>
  <c r="C143" i="4" s="1"/>
  <c r="D117" i="32"/>
  <c r="D118" s="1"/>
  <c r="C11" i="4" s="1"/>
  <c r="D15" i="12" s="1"/>
  <c r="D81" i="32"/>
  <c r="D135"/>
  <c r="D94"/>
  <c r="M44" i="36"/>
  <c r="M96" s="1"/>
  <c r="J12" i="15" s="1"/>
  <c r="J17" s="1"/>
  <c r="K98" i="36"/>
  <c r="L46"/>
  <c r="L89" s="1"/>
  <c r="L95"/>
  <c r="J20" i="3"/>
  <c r="F3" i="32"/>
  <c r="E141" i="4"/>
  <c r="J75" i="3"/>
  <c r="O33" i="5"/>
  <c r="I43" i="36"/>
  <c r="I42"/>
  <c r="I29"/>
  <c r="I31"/>
  <c r="I32"/>
  <c r="I41"/>
  <c r="I30"/>
  <c r="I36"/>
  <c r="I37" s="1"/>
  <c r="I93" s="1"/>
  <c r="I40"/>
  <c r="I82" i="3"/>
  <c r="I79"/>
  <c r="I78"/>
  <c r="I83"/>
  <c r="I77"/>
  <c r="I81"/>
  <c r="I85"/>
  <c r="I84"/>
  <c r="I86"/>
  <c r="H44" i="36"/>
  <c r="E34" i="32"/>
  <c r="E39" s="1"/>
  <c r="E10"/>
  <c r="E15" s="1"/>
  <c r="E7" i="38"/>
  <c r="E22" i="32"/>
  <c r="E27" s="1"/>
  <c r="F105" i="38"/>
  <c r="J134" i="3"/>
  <c r="E17" i="4" s="1"/>
  <c r="I25" i="3"/>
  <c r="I26"/>
  <c r="I23"/>
  <c r="E105" i="38"/>
  <c r="S105" s="1"/>
  <c r="I134" i="3"/>
  <c r="H93" i="36"/>
  <c r="H33"/>
  <c r="U98"/>
  <c r="M31" i="3"/>
  <c r="M34"/>
  <c r="M33"/>
  <c r="M30"/>
  <c r="M32"/>
  <c r="H106" i="32"/>
  <c r="H66"/>
  <c r="H139"/>
  <c r="H126" i="38"/>
  <c r="H125"/>
  <c r="H128"/>
  <c r="M98" i="3"/>
  <c r="I122" i="38" s="1"/>
  <c r="M101" i="3"/>
  <c r="I128" i="38" s="1"/>
  <c r="M96" i="3"/>
  <c r="I124" i="38" s="1"/>
  <c r="M95" i="3"/>
  <c r="I123" i="38" s="1"/>
  <c r="M100" i="3"/>
  <c r="I127" i="38" s="1"/>
  <c r="M93" i="3"/>
  <c r="I120" i="38" s="1"/>
  <c r="M97" i="3"/>
  <c r="I125" i="38" s="1"/>
  <c r="M92" i="3"/>
  <c r="M99"/>
  <c r="I126" i="38" s="1"/>
  <c r="M94" i="3"/>
  <c r="I121" i="38" s="1"/>
  <c r="L35" i="3"/>
  <c r="H120" i="38"/>
  <c r="H123"/>
  <c r="H127"/>
  <c r="I48" i="32"/>
  <c r="I53" s="1"/>
  <c r="I60"/>
  <c r="I65" s="1"/>
  <c r="I72"/>
  <c r="I77" s="1"/>
  <c r="H84"/>
  <c r="H22" i="38" s="1"/>
  <c r="H23" s="1"/>
  <c r="H103" i="32"/>
  <c r="H54"/>
  <c r="H138"/>
  <c r="H140"/>
  <c r="H124" i="38"/>
  <c r="H121"/>
  <c r="N90" i="3"/>
  <c r="S57" i="5"/>
  <c r="N21" i="3"/>
  <c r="J19" i="38"/>
  <c r="J42" i="32"/>
  <c r="H109"/>
  <c r="H78"/>
  <c r="H114" i="38"/>
  <c r="L103" i="3"/>
  <c r="H122" i="38"/>
  <c r="G96" i="32"/>
  <c r="P78" i="5"/>
  <c r="G93" i="32"/>
  <c r="P77" i="5"/>
  <c r="F78" i="38"/>
  <c r="S78" s="1"/>
  <c r="W122" i="3"/>
  <c r="U67"/>
  <c r="O132" i="4"/>
  <c r="P42" i="38"/>
  <c r="X12" i="3"/>
  <c r="J137" i="38"/>
  <c r="F28"/>
  <c r="X8" i="3"/>
  <c r="N35" i="38"/>
  <c r="X14" i="3"/>
  <c r="Q64"/>
  <c r="S64" i="38"/>
  <c r="K44"/>
  <c r="K137" s="1"/>
  <c r="D11" i="13"/>
  <c r="C6" i="31"/>
  <c r="C22" s="1"/>
  <c r="G11" i="2"/>
  <c r="F12"/>
  <c r="H12" s="1"/>
  <c r="J12" s="1"/>
  <c r="L12" s="1"/>
  <c r="N12" s="1"/>
  <c r="P12" s="1"/>
  <c r="R12" s="1"/>
  <c r="T12" s="1"/>
  <c r="V12" s="1"/>
  <c r="X12" s="1"/>
  <c r="Z12" s="1"/>
  <c r="B28" i="31"/>
  <c r="B142" i="4"/>
  <c r="B144" s="1"/>
  <c r="C27" i="38"/>
  <c r="C28"/>
  <c r="L72" i="3"/>
  <c r="P13" i="15"/>
  <c r="P17" s="1"/>
  <c r="S98" i="36"/>
  <c r="L13" i="15"/>
  <c r="L17" s="1"/>
  <c r="O98" i="36"/>
  <c r="M51" i="38"/>
  <c r="R65" i="3"/>
  <c r="D13" i="12"/>
  <c r="I53" i="38"/>
  <c r="N69" i="3"/>
  <c r="O69" s="1"/>
  <c r="M70"/>
  <c r="E27" i="38"/>
  <c r="E28"/>
  <c r="B137" i="4"/>
  <c r="B81"/>
  <c r="L39" i="38"/>
  <c r="Q57" i="3"/>
  <c r="L106" i="4"/>
  <c r="L108" s="1"/>
  <c r="L83"/>
  <c r="F16" i="2"/>
  <c r="H16" s="1"/>
  <c r="J16" s="1"/>
  <c r="L16" s="1"/>
  <c r="N16" s="1"/>
  <c r="P16" s="1"/>
  <c r="R16" s="1"/>
  <c r="T16" s="1"/>
  <c r="V16" s="1"/>
  <c r="X16" s="1"/>
  <c r="Z16" s="1"/>
  <c r="G15"/>
  <c r="C92" i="38"/>
  <c r="C109" s="1"/>
  <c r="M40"/>
  <c r="R59" i="3"/>
  <c r="D10" i="13"/>
  <c r="C5" i="31"/>
  <c r="F174" i="38"/>
  <c r="F24"/>
  <c r="F21"/>
  <c r="B68" i="4"/>
  <c r="C14" i="16"/>
  <c r="D10"/>
  <c r="E57" i="38"/>
  <c r="E137"/>
  <c r="H138"/>
  <c r="G27"/>
  <c r="G28"/>
  <c r="Q13" i="15"/>
  <c r="Q17" s="1"/>
  <c r="T98" i="36"/>
  <c r="Q61" i="3"/>
  <c r="K131" i="4"/>
  <c r="L49" i="38"/>
  <c r="C82"/>
  <c r="G137"/>
  <c r="G57"/>
  <c r="G84" s="1"/>
  <c r="G139" s="1"/>
  <c r="F68"/>
  <c r="S68" s="1"/>
  <c r="W117" i="3"/>
  <c r="J119"/>
  <c r="X43"/>
  <c r="S129" i="38"/>
  <c r="T89" i="36"/>
  <c r="K17" i="15"/>
  <c r="E132" i="38"/>
  <c r="I8" i="2"/>
  <c r="K8" s="1"/>
  <c r="M8" s="1"/>
  <c r="O8" s="1"/>
  <c r="M15"/>
  <c r="G47" i="3"/>
  <c r="P98" i="36"/>
  <c r="N98"/>
  <c r="C13" i="15"/>
  <c r="R58" i="3"/>
  <c r="M47" i="38"/>
  <c r="Q106" i="4"/>
  <c r="Q108" s="1"/>
  <c r="Q83"/>
  <c r="R17" i="11" s="1"/>
  <c r="R19" s="1"/>
  <c r="Q62" i="3"/>
  <c r="L41" i="38"/>
  <c r="I50" i="37"/>
  <c r="J48"/>
  <c r="J50" s="1"/>
  <c r="J54" s="1"/>
  <c r="R64" i="3"/>
  <c r="M43" i="38"/>
  <c r="C14" i="12"/>
  <c r="M52" i="38"/>
  <c r="R66" i="3"/>
  <c r="C44" i="38"/>
  <c r="C106" i="4"/>
  <c r="C108" s="1"/>
  <c r="C83"/>
  <c r="C167" i="38"/>
  <c r="C168"/>
  <c r="C138"/>
  <c r="C15" i="12"/>
  <c r="C18" s="1"/>
  <c r="B8" i="10" s="1"/>
  <c r="D127" i="32"/>
  <c r="C7" i="4"/>
  <c r="R56" i="3"/>
  <c r="M38" i="38"/>
  <c r="C174"/>
  <c r="C24"/>
  <c r="C21"/>
  <c r="B20" i="4"/>
  <c r="K12"/>
  <c r="S123" i="32"/>
  <c r="D22" i="38"/>
  <c r="D85" i="32"/>
  <c r="E85" s="1"/>
  <c r="F85" s="1"/>
  <c r="G85" s="1"/>
  <c r="H85" s="1"/>
  <c r="D57" i="38"/>
  <c r="D84" s="1"/>
  <c r="D139" s="1"/>
  <c r="D166"/>
  <c r="D137"/>
  <c r="D165"/>
  <c r="M36"/>
  <c r="F14" i="36"/>
  <c r="E24"/>
  <c r="E89" s="1"/>
  <c r="E93"/>
  <c r="L48" i="38"/>
  <c r="Q60" i="3"/>
  <c r="M83" i="4"/>
  <c r="N17" i="11" s="1"/>
  <c r="N19" s="1"/>
  <c r="M106" i="4"/>
  <c r="M108" s="1"/>
  <c r="C24" i="16"/>
  <c r="O9" i="2"/>
  <c r="E11"/>
  <c r="E12" s="1"/>
  <c r="K11"/>
  <c r="E9"/>
  <c r="E10" s="1"/>
  <c r="G10" s="1"/>
  <c r="K9"/>
  <c r="Y11"/>
  <c r="Y9"/>
  <c r="O11"/>
  <c r="I9"/>
  <c r="R55" i="3"/>
  <c r="M37" i="38"/>
  <c r="C15"/>
  <c r="C16"/>
  <c r="C35" i="16"/>
  <c r="C36" s="1"/>
  <c r="C37" s="1"/>
  <c r="C34"/>
  <c r="L50" i="38"/>
  <c r="Q63" i="3"/>
  <c r="X11"/>
  <c r="C116" i="38"/>
  <c r="C132" s="1"/>
  <c r="G138"/>
  <c r="D22" i="16"/>
  <c r="B67" i="4"/>
  <c r="C8" i="38"/>
  <c r="E138"/>
  <c r="E21"/>
  <c r="E24"/>
  <c r="E174"/>
  <c r="C12" i="13"/>
  <c r="R19" i="4"/>
  <c r="V87" i="36"/>
  <c r="J89"/>
  <c r="X42" i="3"/>
  <c r="L70" i="38"/>
  <c r="L82" s="1"/>
  <c r="G17" i="15"/>
  <c r="I137" i="38"/>
  <c r="J98" i="36"/>
  <c r="I11" i="2"/>
  <c r="S67" i="38"/>
  <c r="X41" i="3"/>
  <c r="X15"/>
  <c r="M11" i="2"/>
  <c r="E82" i="38"/>
  <c r="H17" i="15"/>
  <c r="D24" i="11" l="1"/>
  <c r="D106" i="38"/>
  <c r="R79" i="5"/>
  <c r="I99" i="32"/>
  <c r="D82"/>
  <c r="D10" i="38"/>
  <c r="D11" s="1"/>
  <c r="H128" i="3"/>
  <c r="C20" i="4" s="1"/>
  <c r="H105" i="3"/>
  <c r="D14" i="38"/>
  <c r="C103" i="4"/>
  <c r="D141" i="32"/>
  <c r="D125"/>
  <c r="D8" i="38" s="1"/>
  <c r="D159" s="1"/>
  <c r="D162" s="1"/>
  <c r="C4" i="4"/>
  <c r="D112" i="32"/>
  <c r="D130" s="1"/>
  <c r="I83" i="4"/>
  <c r="I106"/>
  <c r="I108" s="1"/>
  <c r="M46" i="36"/>
  <c r="M89" s="1"/>
  <c r="M98"/>
  <c r="I13" i="15"/>
  <c r="I17" s="1"/>
  <c r="L98" i="36"/>
  <c r="H46"/>
  <c r="H95"/>
  <c r="H98" s="1"/>
  <c r="E136" i="32"/>
  <c r="E28"/>
  <c r="E97"/>
  <c r="D5" i="4" s="1"/>
  <c r="E10" i="12" s="1"/>
  <c r="H96" i="36"/>
  <c r="E103" i="38"/>
  <c r="E101"/>
  <c r="F11" i="15"/>
  <c r="K20" i="3"/>
  <c r="F141" i="4"/>
  <c r="G3" i="32"/>
  <c r="P33" i="5"/>
  <c r="K75" i="3"/>
  <c r="J23"/>
  <c r="J25"/>
  <c r="J26"/>
  <c r="I28"/>
  <c r="E137" i="32"/>
  <c r="E40"/>
  <c r="E100"/>
  <c r="D6" i="4" s="1"/>
  <c r="E11" i="12" s="1"/>
  <c r="E88" i="32"/>
  <c r="E89" s="1"/>
  <c r="E98" i="38"/>
  <c r="E100"/>
  <c r="F7"/>
  <c r="F10" i="32"/>
  <c r="F15" s="1"/>
  <c r="F22"/>
  <c r="F27" s="1"/>
  <c r="F34"/>
  <c r="F39" s="1"/>
  <c r="V37" i="36"/>
  <c r="I44"/>
  <c r="I96" s="1"/>
  <c r="F12" i="15" s="1"/>
  <c r="F10" i="13"/>
  <c r="E5" i="31"/>
  <c r="E16" i="32"/>
  <c r="D143" i="4" s="1"/>
  <c r="E135" i="32"/>
  <c r="E81"/>
  <c r="E117"/>
  <c r="E94"/>
  <c r="E104" i="38"/>
  <c r="E96"/>
  <c r="I87" i="3"/>
  <c r="E99" i="38"/>
  <c r="D134" i="4"/>
  <c r="E11" i="15"/>
  <c r="D17" i="4"/>
  <c r="W134" i="3"/>
  <c r="D133" i="4"/>
  <c r="E97" i="38"/>
  <c r="E102"/>
  <c r="J82" i="3"/>
  <c r="J85"/>
  <c r="F103" i="38" s="1"/>
  <c r="J83" i="3"/>
  <c r="F100" i="38" s="1"/>
  <c r="J78" i="3"/>
  <c r="F101" i="38" s="1"/>
  <c r="J79" i="3"/>
  <c r="F102" i="38" s="1"/>
  <c r="J81" i="3"/>
  <c r="J84"/>
  <c r="F98" i="38" s="1"/>
  <c r="J77" i="3"/>
  <c r="J86"/>
  <c r="F104" i="38" s="1"/>
  <c r="I33" i="36"/>
  <c r="J60" i="32"/>
  <c r="J65" s="1"/>
  <c r="J72"/>
  <c r="J77" s="1"/>
  <c r="J48"/>
  <c r="J53" s="1"/>
  <c r="N97" i="3"/>
  <c r="N101"/>
  <c r="N93"/>
  <c r="N99"/>
  <c r="N94"/>
  <c r="J121" i="38" s="1"/>
  <c r="N92" i="3"/>
  <c r="N100"/>
  <c r="N98"/>
  <c r="N96"/>
  <c r="N95"/>
  <c r="I139" i="32"/>
  <c r="I66"/>
  <c r="I106"/>
  <c r="H8" i="4" s="1"/>
  <c r="I13" i="12" s="1"/>
  <c r="G9" i="4"/>
  <c r="O90" i="3"/>
  <c r="T57" i="5"/>
  <c r="K19" i="38"/>
  <c r="K42" i="32"/>
  <c r="O21" i="3"/>
  <c r="I78" i="32"/>
  <c r="I109"/>
  <c r="H9" i="4" s="1"/>
  <c r="I14" i="12" s="1"/>
  <c r="H26" i="38"/>
  <c r="H115"/>
  <c r="I130"/>
  <c r="M35" i="3"/>
  <c r="N34"/>
  <c r="N33"/>
  <c r="N30"/>
  <c r="N32"/>
  <c r="N31"/>
  <c r="I114" i="38"/>
  <c r="M103" i="3"/>
  <c r="G8" i="4"/>
  <c r="H127" i="32"/>
  <c r="H20" i="38" s="1"/>
  <c r="G7" i="4"/>
  <c r="H12" i="12" s="1"/>
  <c r="I54" i="32"/>
  <c r="I138"/>
  <c r="I140"/>
  <c r="I84"/>
  <c r="I22" i="38" s="1"/>
  <c r="I23" s="1"/>
  <c r="I103" i="32"/>
  <c r="H130" i="38"/>
  <c r="H96" i="32"/>
  <c r="Q78" i="5"/>
  <c r="H93" i="32"/>
  <c r="Q77" i="5"/>
  <c r="Q42" i="38"/>
  <c r="V67" i="3"/>
  <c r="W67" s="1"/>
  <c r="P132" i="4"/>
  <c r="E84" i="38"/>
  <c r="E139" s="1"/>
  <c r="O35"/>
  <c r="C67" i="4"/>
  <c r="K53" i="38"/>
  <c r="K54" s="1"/>
  <c r="P69" i="3"/>
  <c r="O70"/>
  <c r="M50" i="38"/>
  <c r="R63" i="3"/>
  <c r="B71" i="4"/>
  <c r="C38" i="16"/>
  <c r="D35" s="1"/>
  <c r="D36" s="1"/>
  <c r="D34"/>
  <c r="E98" i="36"/>
  <c r="N38" i="38"/>
  <c r="S56" i="3"/>
  <c r="I25" i="31"/>
  <c r="J17" i="11"/>
  <c r="J19" s="1"/>
  <c r="N52" i="38"/>
  <c r="S66" i="3"/>
  <c r="O15" i="2"/>
  <c r="K15"/>
  <c r="E15"/>
  <c r="E16" s="1"/>
  <c r="G16" s="1"/>
  <c r="I16" s="1"/>
  <c r="K16" s="1"/>
  <c r="M16" s="1"/>
  <c r="I15"/>
  <c r="M39" i="38"/>
  <c r="R57" i="3"/>
  <c r="M72"/>
  <c r="S36" i="38"/>
  <c r="E144"/>
  <c r="E145"/>
  <c r="E148" s="1"/>
  <c r="G12" i="2"/>
  <c r="I10"/>
  <c r="C25" i="16"/>
  <c r="D23" i="38"/>
  <c r="D28"/>
  <c r="C13" i="13"/>
  <c r="B7" i="31"/>
  <c r="C137" i="38"/>
  <c r="C165"/>
  <c r="C170" s="1"/>
  <c r="C166"/>
  <c r="C171" s="1"/>
  <c r="C57"/>
  <c r="C84" s="1"/>
  <c r="S64" i="3"/>
  <c r="N43" i="38"/>
  <c r="D144"/>
  <c r="D145"/>
  <c r="D148" s="1"/>
  <c r="J83" i="4"/>
  <c r="J106"/>
  <c r="J108" s="1"/>
  <c r="P83"/>
  <c r="Q17" i="11" s="1"/>
  <c r="Q19" s="1"/>
  <c r="P106" i="4"/>
  <c r="P108" s="1"/>
  <c r="N40" i="38"/>
  <c r="S59" i="3"/>
  <c r="B48" i="4"/>
  <c r="C35" i="9" s="1"/>
  <c r="C137" i="4"/>
  <c r="N51" i="38"/>
  <c r="S65" i="3"/>
  <c r="O83" i="4"/>
  <c r="P17" i="11" s="1"/>
  <c r="P19" s="1"/>
  <c r="O106" i="4"/>
  <c r="O108" s="1"/>
  <c r="R60" i="3"/>
  <c r="M48" i="38"/>
  <c r="F93" i="36"/>
  <c r="F24"/>
  <c r="D20" i="38"/>
  <c r="G104" i="5"/>
  <c r="C10" i="17"/>
  <c r="C29" i="16"/>
  <c r="C28"/>
  <c r="B18" i="4"/>
  <c r="D11" i="16"/>
  <c r="D12" s="1"/>
  <c r="D13" s="1"/>
  <c r="L25" i="31"/>
  <c r="M17" i="11"/>
  <c r="M19" s="1"/>
  <c r="B103" i="4"/>
  <c r="K126" i="5"/>
  <c r="C24" i="11"/>
  <c r="I54" i="38"/>
  <c r="K83" i="4"/>
  <c r="K106"/>
  <c r="K108" s="1"/>
  <c r="L44" i="38"/>
  <c r="G83" i="4"/>
  <c r="G106"/>
  <c r="G108" s="1"/>
  <c r="F83"/>
  <c r="F106"/>
  <c r="F108" s="1"/>
  <c r="C9" i="38"/>
  <c r="C173"/>
  <c r="C12"/>
  <c r="N37"/>
  <c r="S55" i="3"/>
  <c r="L16" i="12"/>
  <c r="R12" i="4"/>
  <c r="D12" i="12"/>
  <c r="C25" i="31"/>
  <c r="D17" i="11"/>
  <c r="D19" s="1"/>
  <c r="M41" i="38"/>
  <c r="R62" i="3"/>
  <c r="S58"/>
  <c r="N47" i="38"/>
  <c r="O10" i="2"/>
  <c r="Q8"/>
  <c r="S8" s="1"/>
  <c r="U8" s="1"/>
  <c r="W8" s="1"/>
  <c r="F75" i="38"/>
  <c r="J121" i="3"/>
  <c r="J123" s="1"/>
  <c r="W119"/>
  <c r="L131" i="4"/>
  <c r="R61" i="3"/>
  <c r="M49" i="38"/>
  <c r="C68" i="4"/>
  <c r="E10" i="16"/>
  <c r="J53" i="38"/>
  <c r="J54" s="1"/>
  <c r="N70" i="3"/>
  <c r="D37" i="16"/>
  <c r="F70" i="38"/>
  <c r="D109" l="1"/>
  <c r="D168"/>
  <c r="D171" s="1"/>
  <c r="D167"/>
  <c r="S79" i="5"/>
  <c r="J99" i="32"/>
  <c r="D12" i="38"/>
  <c r="D9"/>
  <c r="D173"/>
  <c r="D15"/>
  <c r="D16"/>
  <c r="C14" i="4"/>
  <c r="D9" i="12"/>
  <c r="D18" s="1"/>
  <c r="C8" i="10" s="1"/>
  <c r="C21" i="4"/>
  <c r="C7" i="31"/>
  <c r="C114" i="4"/>
  <c r="D13" i="13"/>
  <c r="D17" s="1"/>
  <c r="C10" i="10" s="1"/>
  <c r="V44" i="36"/>
  <c r="H83" i="4"/>
  <c r="H106"/>
  <c r="H108" s="1"/>
  <c r="I95" i="36"/>
  <c r="I46"/>
  <c r="I89" s="1"/>
  <c r="F96" i="38"/>
  <c r="J87" i="3"/>
  <c r="J105" s="1"/>
  <c r="D136" i="4"/>
  <c r="D81" s="1"/>
  <c r="E14" i="38"/>
  <c r="I128" i="3"/>
  <c r="D20" i="4" s="1"/>
  <c r="I105" i="3"/>
  <c r="E10" i="38"/>
  <c r="E11" s="1"/>
  <c r="E82" i="32"/>
  <c r="F28"/>
  <c r="F136"/>
  <c r="F97"/>
  <c r="E5" i="4" s="1"/>
  <c r="F10" i="12" s="1"/>
  <c r="E141" i="32"/>
  <c r="H89" i="36"/>
  <c r="V46"/>
  <c r="F99" i="38"/>
  <c r="E134" i="4"/>
  <c r="F40" i="32"/>
  <c r="F88"/>
  <c r="F89" s="1"/>
  <c r="F100"/>
  <c r="E6" i="4" s="1"/>
  <c r="F11" i="12" s="1"/>
  <c r="F137" i="32"/>
  <c r="G34"/>
  <c r="G39" s="1"/>
  <c r="G7" i="38"/>
  <c r="G22" i="32"/>
  <c r="G27" s="1"/>
  <c r="G10"/>
  <c r="G15" s="1"/>
  <c r="E13" i="15"/>
  <c r="V95" i="36"/>
  <c r="J28" i="3"/>
  <c r="E133" i="4"/>
  <c r="F97" i="38"/>
  <c r="D5" i="31"/>
  <c r="E10" i="13"/>
  <c r="R17" i="4"/>
  <c r="X134" i="3" s="1"/>
  <c r="E106" i="38"/>
  <c r="E118" i="32"/>
  <c r="E125" s="1"/>
  <c r="E8" i="38" s="1"/>
  <c r="L75" i="3"/>
  <c r="L20"/>
  <c r="Q33" i="5"/>
  <c r="G141" i="4"/>
  <c r="H3" i="32"/>
  <c r="D4" i="4"/>
  <c r="E112" i="32"/>
  <c r="F16"/>
  <c r="F135"/>
  <c r="F81"/>
  <c r="F10" i="38" s="1"/>
  <c r="F11" s="1"/>
  <c r="F117" i="32"/>
  <c r="F118" s="1"/>
  <c r="E11" i="4" s="1"/>
  <c r="F15" i="12" s="1"/>
  <c r="F94" i="32"/>
  <c r="I37" i="3"/>
  <c r="I47" s="1"/>
  <c r="D18" i="4" s="1"/>
  <c r="E91" i="38"/>
  <c r="K79" i="3"/>
  <c r="L78"/>
  <c r="H101" i="38" s="1"/>
  <c r="K82" i="3"/>
  <c r="K81"/>
  <c r="N78"/>
  <c r="J101" i="38" s="1"/>
  <c r="T79" i="3"/>
  <c r="P102" i="38" s="1"/>
  <c r="R77" i="3"/>
  <c r="R79"/>
  <c r="N102" i="38" s="1"/>
  <c r="M77" i="3"/>
  <c r="P78"/>
  <c r="L101" i="38" s="1"/>
  <c r="Q77" i="3"/>
  <c r="N79"/>
  <c r="J102" i="38" s="1"/>
  <c r="V79" i="3"/>
  <c r="R102" i="38" s="1"/>
  <c r="Q79" i="3"/>
  <c r="M102" i="38" s="1"/>
  <c r="V77" i="3"/>
  <c r="S79"/>
  <c r="O102" i="38" s="1"/>
  <c r="M78" i="3"/>
  <c r="I101" i="38" s="1"/>
  <c r="M79" i="3"/>
  <c r="I102" i="38" s="1"/>
  <c r="U77" i="3"/>
  <c r="Q78"/>
  <c r="M101" i="38" s="1"/>
  <c r="K84" i="3"/>
  <c r="G98" i="38" s="1"/>
  <c r="V78" i="3"/>
  <c r="R101" i="38" s="1"/>
  <c r="K78" i="3"/>
  <c r="G101" i="38" s="1"/>
  <c r="P77" i="3"/>
  <c r="L77"/>
  <c r="S77"/>
  <c r="P79"/>
  <c r="L102" i="38" s="1"/>
  <c r="L79" i="3"/>
  <c r="H102" i="38" s="1"/>
  <c r="O79" i="3"/>
  <c r="K102" i="38" s="1"/>
  <c r="O78" i="3"/>
  <c r="K101" i="38" s="1"/>
  <c r="S78" i="3"/>
  <c r="O101" i="38" s="1"/>
  <c r="K83" i="3"/>
  <c r="G100" i="38" s="1"/>
  <c r="R78" i="3"/>
  <c r="N101" i="38" s="1"/>
  <c r="T78" i="3"/>
  <c r="P101" i="38" s="1"/>
  <c r="U79" i="3"/>
  <c r="Q102" i="38" s="1"/>
  <c r="N77" i="3"/>
  <c r="O77"/>
  <c r="K85"/>
  <c r="G103" i="38" s="1"/>
  <c r="U78" i="3"/>
  <c r="Q101" i="38" s="1"/>
  <c r="K77" i="3"/>
  <c r="T77"/>
  <c r="K86"/>
  <c r="G104" i="38" s="1"/>
  <c r="K25" i="3"/>
  <c r="K26"/>
  <c r="K23"/>
  <c r="E12" i="15"/>
  <c r="E22" i="16" s="1"/>
  <c r="D67" i="4" s="1"/>
  <c r="V96" i="36"/>
  <c r="V33"/>
  <c r="I127" i="32"/>
  <c r="H7" i="4"/>
  <c r="I115" i="38"/>
  <c r="I116" s="1"/>
  <c r="I26"/>
  <c r="H27"/>
  <c r="H28"/>
  <c r="K60" i="32"/>
  <c r="K65" s="1"/>
  <c r="K48"/>
  <c r="K53" s="1"/>
  <c r="K72"/>
  <c r="K77" s="1"/>
  <c r="J127" i="38"/>
  <c r="J120"/>
  <c r="J109" i="32"/>
  <c r="J78"/>
  <c r="H21" i="38"/>
  <c r="H24"/>
  <c r="H174"/>
  <c r="H13" i="12"/>
  <c r="H116" i="38"/>
  <c r="O30" i="3"/>
  <c r="O34"/>
  <c r="O32"/>
  <c r="O31"/>
  <c r="O33"/>
  <c r="O94"/>
  <c r="K121" i="38" s="1"/>
  <c r="O93" i="3"/>
  <c r="K120" i="38" s="1"/>
  <c r="O100" i="3"/>
  <c r="K127" i="38" s="1"/>
  <c r="O95" i="3"/>
  <c r="K123" i="38" s="1"/>
  <c r="O92" i="3"/>
  <c r="O97"/>
  <c r="K125" i="38" s="1"/>
  <c r="O99" i="3"/>
  <c r="K126" i="38" s="1"/>
  <c r="O101" i="3"/>
  <c r="K128" i="38" s="1"/>
  <c r="O96" i="3"/>
  <c r="K124" i="38" s="1"/>
  <c r="O98" i="3"/>
  <c r="K122" i="38" s="1"/>
  <c r="J122"/>
  <c r="J126"/>
  <c r="J140" i="32"/>
  <c r="J84"/>
  <c r="J22" i="38" s="1"/>
  <c r="J23" s="1"/>
  <c r="J54" i="32"/>
  <c r="J138"/>
  <c r="J103"/>
  <c r="P90" i="3"/>
  <c r="L19" i="38"/>
  <c r="L42" i="32"/>
  <c r="U57" i="5"/>
  <c r="P21" i="3"/>
  <c r="J124" i="38"/>
  <c r="J125"/>
  <c r="H14" i="12"/>
  <c r="J123" i="38"/>
  <c r="J114"/>
  <c r="N103" i="3"/>
  <c r="J128" i="38"/>
  <c r="J106" i="32"/>
  <c r="J66"/>
  <c r="J139"/>
  <c r="N35" i="3"/>
  <c r="I132" i="38"/>
  <c r="I85" i="32"/>
  <c r="R78" i="5"/>
  <c r="I96" i="32"/>
  <c r="R77" i="5"/>
  <c r="I93" i="32"/>
  <c r="Q132" i="4"/>
  <c r="R132" s="1"/>
  <c r="R42" i="38"/>
  <c r="S42" s="1"/>
  <c r="P35"/>
  <c r="U53" i="3"/>
  <c r="M44" i="38"/>
  <c r="C139"/>
  <c r="F137"/>
  <c r="S70"/>
  <c r="J125" i="3"/>
  <c r="W125" s="1"/>
  <c r="W123"/>
  <c r="O12" i="2"/>
  <c r="Q10"/>
  <c r="K25" i="31"/>
  <c r="L17" i="11"/>
  <c r="L19" s="1"/>
  <c r="I15" i="17"/>
  <c r="I17" s="1"/>
  <c r="H15"/>
  <c r="H17" s="1"/>
  <c r="J15"/>
  <c r="J17" s="1"/>
  <c r="D15"/>
  <c r="D17" s="1"/>
  <c r="C11"/>
  <c r="M15"/>
  <c r="M17" s="1"/>
  <c r="C15"/>
  <c r="C17" s="1"/>
  <c r="F15"/>
  <c r="F17" s="1"/>
  <c r="G15"/>
  <c r="G17" s="1"/>
  <c r="L15"/>
  <c r="L17" s="1"/>
  <c r="K15"/>
  <c r="K17" s="1"/>
  <c r="E15"/>
  <c r="E17" s="1"/>
  <c r="J25" i="31"/>
  <c r="K17" i="11"/>
  <c r="K19" s="1"/>
  <c r="N72" i="3"/>
  <c r="O37" i="38"/>
  <c r="T55" i="3"/>
  <c r="I106" i="5"/>
  <c r="F102" s="1"/>
  <c r="C11" i="15"/>
  <c r="F98" i="36"/>
  <c r="T65" i="3"/>
  <c r="O51" i="38"/>
  <c r="T59" i="3"/>
  <c r="O40" i="38"/>
  <c r="T64" i="3"/>
  <c r="O43" i="38"/>
  <c r="K10" i="2"/>
  <c r="I12"/>
  <c r="K138" i="38"/>
  <c r="K57"/>
  <c r="K84" s="1"/>
  <c r="K139" s="1"/>
  <c r="F22" i="16"/>
  <c r="V93" i="36"/>
  <c r="V24"/>
  <c r="F89"/>
  <c r="O52" i="38"/>
  <c r="T66" i="3"/>
  <c r="T56"/>
  <c r="O38" i="38"/>
  <c r="C71" i="4"/>
  <c r="E34" i="16"/>
  <c r="D38"/>
  <c r="E35" s="1"/>
  <c r="E36" s="1"/>
  <c r="E37" s="1"/>
  <c r="S63" i="3"/>
  <c r="N50" i="38"/>
  <c r="Q69" i="3"/>
  <c r="R69" s="1"/>
  <c r="L53" i="38"/>
  <c r="L54" s="1"/>
  <c r="L57" s="1"/>
  <c r="L84" s="1"/>
  <c r="L139" s="1"/>
  <c r="P70" i="3"/>
  <c r="S75" i="38"/>
  <c r="W10" i="2"/>
  <c r="W12" s="1"/>
  <c r="Y8"/>
  <c r="Y10" s="1"/>
  <c r="Y12" s="1"/>
  <c r="S62" i="3"/>
  <c r="N41" i="38"/>
  <c r="L137"/>
  <c r="D28" i="16"/>
  <c r="B70" i="4"/>
  <c r="D174" i="38"/>
  <c r="D24"/>
  <c r="D21"/>
  <c r="N48"/>
  <c r="S60" i="3"/>
  <c r="C48" i="4"/>
  <c r="D35" i="9" s="1"/>
  <c r="C26" i="16"/>
  <c r="D23" s="1"/>
  <c r="D24" s="1"/>
  <c r="S57" i="3"/>
  <c r="N39" i="38"/>
  <c r="N44" s="1"/>
  <c r="O72" i="3"/>
  <c r="D14" i="16"/>
  <c r="D158" i="38"/>
  <c r="C30" i="16"/>
  <c r="J138" i="38"/>
  <c r="J57"/>
  <c r="J84" s="1"/>
  <c r="J139" s="1"/>
  <c r="F10" i="16"/>
  <c r="D68" i="4"/>
  <c r="M131"/>
  <c r="S61" i="3"/>
  <c r="N49" i="38"/>
  <c r="F77"/>
  <c r="S77" s="1"/>
  <c r="W121" i="3"/>
  <c r="T58"/>
  <c r="O47" i="38"/>
  <c r="G17" i="11"/>
  <c r="G19" s="1"/>
  <c r="F25" i="31"/>
  <c r="G25"/>
  <c r="H17" i="11"/>
  <c r="H19" s="1"/>
  <c r="I138" i="38"/>
  <c r="I57"/>
  <c r="I84" s="1"/>
  <c r="I139" s="1"/>
  <c r="B114" i="4"/>
  <c r="B22" i="31"/>
  <c r="C11" i="13"/>
  <c r="C17" s="1"/>
  <c r="B6" i="31"/>
  <c r="B21" i="4"/>
  <c r="R70" i="3"/>
  <c r="O16" i="2"/>
  <c r="Q16" s="1"/>
  <c r="S16" s="1"/>
  <c r="U16" s="1"/>
  <c r="W16" s="1"/>
  <c r="Y16" s="1"/>
  <c r="D151" i="38" l="1"/>
  <c r="D154" s="1"/>
  <c r="D152"/>
  <c r="D155" s="1"/>
  <c r="D141"/>
  <c r="D170"/>
  <c r="D161"/>
  <c r="D147"/>
  <c r="C12" i="10"/>
  <c r="D137" i="4"/>
  <c r="K99" i="32"/>
  <c r="T79" i="5"/>
  <c r="J85" i="32"/>
  <c r="C23" i="4"/>
  <c r="C146"/>
  <c r="C147" s="1"/>
  <c r="C142"/>
  <c r="C144" s="1"/>
  <c r="C25"/>
  <c r="C27" s="1"/>
  <c r="C28" i="31"/>
  <c r="C31" s="1"/>
  <c r="J128" i="3"/>
  <c r="I17" i="11"/>
  <c r="I19" s="1"/>
  <c r="H25" i="31"/>
  <c r="W77" i="3"/>
  <c r="S101" i="38"/>
  <c r="O96"/>
  <c r="E4" i="4"/>
  <c r="F112" i="32"/>
  <c r="F130" s="1"/>
  <c r="F125"/>
  <c r="F8" i="38" s="1"/>
  <c r="H22" i="32"/>
  <c r="H27" s="1"/>
  <c r="H34"/>
  <c r="H39" s="1"/>
  <c r="H7" i="38"/>
  <c r="H10" i="32"/>
  <c r="H15" s="1"/>
  <c r="L83" i="3"/>
  <c r="H100" i="38" s="1"/>
  <c r="L85" i="3"/>
  <c r="H103" i="38" s="1"/>
  <c r="L82" i="3"/>
  <c r="L84"/>
  <c r="L81"/>
  <c r="L86"/>
  <c r="H104" i="38" s="1"/>
  <c r="G81" i="32"/>
  <c r="G10" i="38" s="1"/>
  <c r="G11" s="1"/>
  <c r="G135" i="32"/>
  <c r="G117"/>
  <c r="G118" s="1"/>
  <c r="F11" i="4" s="1"/>
  <c r="G15" i="12" s="1"/>
  <c r="G16" i="32"/>
  <c r="G94"/>
  <c r="K28" i="3"/>
  <c r="Q96" i="38"/>
  <c r="R96"/>
  <c r="M96"/>
  <c r="N96"/>
  <c r="F134" i="4"/>
  <c r="G99" i="38"/>
  <c r="D6" i="31"/>
  <c r="D22" s="1"/>
  <c r="E11" i="13"/>
  <c r="D21" i="4"/>
  <c r="D114"/>
  <c r="D115" s="1"/>
  <c r="D86" s="1"/>
  <c r="D8" i="31" s="1"/>
  <c r="E9" i="12"/>
  <c r="L23" i="3"/>
  <c r="L26"/>
  <c r="L25"/>
  <c r="E168" i="38"/>
  <c r="E167"/>
  <c r="G100" i="32"/>
  <c r="F6" i="4" s="1"/>
  <c r="G11" i="12" s="1"/>
  <c r="G137" i="32"/>
  <c r="G88"/>
  <c r="G89" s="1"/>
  <c r="G40"/>
  <c r="E15" i="38"/>
  <c r="E16"/>
  <c r="W78" i="3"/>
  <c r="E17" i="15"/>
  <c r="V89" i="36"/>
  <c r="F141" i="32"/>
  <c r="E143" i="4"/>
  <c r="F106" i="38"/>
  <c r="G96"/>
  <c r="K87" i="3"/>
  <c r="J96" i="38"/>
  <c r="L96"/>
  <c r="F133" i="4"/>
  <c r="G97" i="38"/>
  <c r="E92"/>
  <c r="E173"/>
  <c r="E12"/>
  <c r="E9"/>
  <c r="E159"/>
  <c r="E162" s="1"/>
  <c r="E158"/>
  <c r="M20" i="3"/>
  <c r="I3" i="32"/>
  <c r="M75" i="3"/>
  <c r="R33" i="5"/>
  <c r="H141" i="4"/>
  <c r="D11"/>
  <c r="G144" i="38"/>
  <c r="G145"/>
  <c r="G148" s="1"/>
  <c r="D7" i="31"/>
  <c r="E13" i="13"/>
  <c r="E17" s="1"/>
  <c r="D10" i="10" s="1"/>
  <c r="P96" i="38"/>
  <c r="K96"/>
  <c r="H96"/>
  <c r="I96"/>
  <c r="G102"/>
  <c r="S102" s="1"/>
  <c r="W79" i="3"/>
  <c r="F91" i="38"/>
  <c r="F92" s="1"/>
  <c r="J37" i="3"/>
  <c r="J47" s="1"/>
  <c r="E18" i="4" s="1"/>
  <c r="F14" i="38"/>
  <c r="G28" i="32"/>
  <c r="G136"/>
  <c r="G97"/>
  <c r="F5" i="4" s="1"/>
  <c r="M126" i="5"/>
  <c r="D103" i="4"/>
  <c r="E24" i="11"/>
  <c r="F13" i="15"/>
  <c r="F17" s="1"/>
  <c r="I98" i="36"/>
  <c r="V98" s="1"/>
  <c r="E130" i="32"/>
  <c r="E136" i="4"/>
  <c r="E81" s="1"/>
  <c r="F82" i="32"/>
  <c r="P31" i="3"/>
  <c r="P33"/>
  <c r="P32"/>
  <c r="P34"/>
  <c r="P30"/>
  <c r="P93"/>
  <c r="L120" i="38" s="1"/>
  <c r="P94" i="3"/>
  <c r="L121" i="38" s="1"/>
  <c r="P97" i="3"/>
  <c r="P98"/>
  <c r="L122" i="38" s="1"/>
  <c r="P95" i="3"/>
  <c r="P100"/>
  <c r="L127" i="38" s="1"/>
  <c r="P101" i="3"/>
  <c r="P99"/>
  <c r="L126" i="38" s="1"/>
  <c r="P96" i="3"/>
  <c r="P92"/>
  <c r="I9" i="4"/>
  <c r="J115" i="38"/>
  <c r="J26"/>
  <c r="J127" i="32"/>
  <c r="J20" i="38" s="1"/>
  <c r="I7" i="4"/>
  <c r="J12" i="12" s="1"/>
  <c r="K139" i="32"/>
  <c r="K66"/>
  <c r="K106"/>
  <c r="J8" i="4" s="1"/>
  <c r="K13" i="12" s="1"/>
  <c r="I20" i="38"/>
  <c r="O35" i="3"/>
  <c r="I8" i="4"/>
  <c r="L48" i="32"/>
  <c r="L53" s="1"/>
  <c r="L72"/>
  <c r="L77" s="1"/>
  <c r="L60"/>
  <c r="L65" s="1"/>
  <c r="K114" i="38"/>
  <c r="O103" i="3"/>
  <c r="J130" i="38"/>
  <c r="K54" i="32"/>
  <c r="K84"/>
  <c r="K85" s="1"/>
  <c r="K138"/>
  <c r="K140"/>
  <c r="K103"/>
  <c r="I28" i="38"/>
  <c r="I27"/>
  <c r="I12" i="12"/>
  <c r="M19" i="38"/>
  <c r="Q21" i="3"/>
  <c r="V57" i="5"/>
  <c r="Q90" i="3"/>
  <c r="M42" i="32"/>
  <c r="H132" i="38"/>
  <c r="K109" i="32"/>
  <c r="J9" i="4" s="1"/>
  <c r="K14" i="12" s="1"/>
  <c r="K78" i="32"/>
  <c r="K130" i="38"/>
  <c r="J96" i="32"/>
  <c r="S78" i="5"/>
  <c r="S77"/>
  <c r="J93" i="32"/>
  <c r="S69" i="3"/>
  <c r="N53" i="38"/>
  <c r="N54"/>
  <c r="N57" s="1"/>
  <c r="N84" s="1"/>
  <c r="N139" s="1"/>
  <c r="Q35"/>
  <c r="M137"/>
  <c r="N137"/>
  <c r="B10" i="10"/>
  <c r="C31" i="16"/>
  <c r="B14" i="10"/>
  <c r="C12" i="11"/>
  <c r="B30" i="4"/>
  <c r="J12" i="11"/>
  <c r="I14" i="10"/>
  <c r="I30" i="4"/>
  <c r="I94" s="1"/>
  <c r="B146"/>
  <c r="B147" s="1"/>
  <c r="B23"/>
  <c r="B25"/>
  <c r="E11" i="16"/>
  <c r="E12" s="1"/>
  <c r="E13" s="1"/>
  <c r="C16"/>
  <c r="C17"/>
  <c r="C17" i="15"/>
  <c r="P37" i="38"/>
  <c r="U55" i="3"/>
  <c r="K14" i="10"/>
  <c r="K30" i="4"/>
  <c r="K94" s="1"/>
  <c r="L12" i="11"/>
  <c r="L30" i="4"/>
  <c r="L94" s="1"/>
  <c r="L14" i="10"/>
  <c r="M12" i="11"/>
  <c r="G14" i="10"/>
  <c r="G30" i="4"/>
  <c r="G94" s="1"/>
  <c r="H12" i="11"/>
  <c r="E20" i="4"/>
  <c r="C144" i="38"/>
  <c r="C147" s="1"/>
  <c r="C151"/>
  <c r="C154" s="1"/>
  <c r="C141"/>
  <c r="C152"/>
  <c r="C155" s="1"/>
  <c r="C145"/>
  <c r="C148" s="1"/>
  <c r="C159"/>
  <c r="C162" s="1"/>
  <c r="C158"/>
  <c r="C161" s="1"/>
  <c r="F80"/>
  <c r="O41"/>
  <c r="T62" i="3"/>
  <c r="M53" i="38"/>
  <c r="Q70" i="3"/>
  <c r="E38" i="16"/>
  <c r="F35" s="1"/>
  <c r="F36" s="1"/>
  <c r="F37" s="1"/>
  <c r="D71" i="4"/>
  <c r="F34" i="16"/>
  <c r="U56" i="3"/>
  <c r="P38" i="38"/>
  <c r="U64" i="3"/>
  <c r="P43" i="38"/>
  <c r="P51"/>
  <c r="U65" i="3"/>
  <c r="X122"/>
  <c r="X111"/>
  <c r="X118"/>
  <c r="X120"/>
  <c r="X116"/>
  <c r="X114"/>
  <c r="X113"/>
  <c r="T82" i="38"/>
  <c r="X115" i="3"/>
  <c r="X117"/>
  <c r="R72"/>
  <c r="D48" i="4"/>
  <c r="E35" i="9" s="1"/>
  <c r="L138" i="38"/>
  <c r="D14" i="10"/>
  <c r="D30" i="4"/>
  <c r="D94" s="1"/>
  <c r="E12" i="11"/>
  <c r="E14" i="10"/>
  <c r="F12" i="11"/>
  <c r="E30" i="4"/>
  <c r="E94" s="1"/>
  <c r="C14" i="10"/>
  <c r="C30" i="4"/>
  <c r="C94" s="1"/>
  <c r="D12" i="11"/>
  <c r="X121" i="3"/>
  <c r="X119"/>
  <c r="E28" i="16"/>
  <c r="C70" i="4"/>
  <c r="K12" i="11"/>
  <c r="J30" i="4"/>
  <c r="J94" s="1"/>
  <c r="J14" i="10"/>
  <c r="B115" i="4"/>
  <c r="B86" s="1"/>
  <c r="C115"/>
  <c r="C86" s="1"/>
  <c r="C8" i="31" s="1"/>
  <c r="C15" s="1"/>
  <c r="U58" i="3"/>
  <c r="P47" i="38"/>
  <c r="O49"/>
  <c r="N131" i="4"/>
  <c r="T61" i="3"/>
  <c r="E68" i="4"/>
  <c r="G10" i="16"/>
  <c r="O39" i="38"/>
  <c r="O44" s="1"/>
  <c r="T57" i="3"/>
  <c r="T60"/>
  <c r="O48" i="38"/>
  <c r="P72" i="3"/>
  <c r="O50" i="38"/>
  <c r="T63" i="3"/>
  <c r="P52" i="38"/>
  <c r="U66" i="3"/>
  <c r="E67" i="4"/>
  <c r="G22" i="16"/>
  <c r="M10" i="2"/>
  <c r="M12" s="1"/>
  <c r="K12"/>
  <c r="P40" i="38"/>
  <c r="U59" i="3"/>
  <c r="C22" i="11"/>
  <c r="R79" i="4"/>
  <c r="B46"/>
  <c r="B30" i="31"/>
  <c r="C18" i="21"/>
  <c r="F18" s="1"/>
  <c r="B122" i="4"/>
  <c r="G12" i="11"/>
  <c r="F30" i="4"/>
  <c r="F94" s="1"/>
  <c r="F14" i="10"/>
  <c r="B107" i="4"/>
  <c r="C18" i="11" s="1"/>
  <c r="C19" i="17"/>
  <c r="B84" i="4"/>
  <c r="H14" i="10"/>
  <c r="I12" i="11"/>
  <c r="H30" i="4"/>
  <c r="H94" s="1"/>
  <c r="S10" i="2"/>
  <c r="Q12"/>
  <c r="D25" i="16"/>
  <c r="L99" i="32" l="1"/>
  <c r="U79" i="5"/>
  <c r="W98" i="36"/>
  <c r="G82" i="32"/>
  <c r="L87" i="3"/>
  <c r="L105" s="1"/>
  <c r="N126" i="5"/>
  <c r="E103" i="4"/>
  <c r="F24" i="11"/>
  <c r="F15" i="38"/>
  <c r="F16"/>
  <c r="N75" i="3"/>
  <c r="J3" i="32"/>
  <c r="I141" i="4"/>
  <c r="N20" i="3"/>
  <c r="S33" i="5"/>
  <c r="F136" i="4"/>
  <c r="F81" s="1"/>
  <c r="D146"/>
  <c r="D147" s="1"/>
  <c r="H100" i="32"/>
  <c r="G6" i="4" s="1"/>
  <c r="H11" i="12" s="1"/>
  <c r="H40" i="32"/>
  <c r="H137"/>
  <c r="H88"/>
  <c r="H89" s="1"/>
  <c r="F9" i="12"/>
  <c r="F18" s="1"/>
  <c r="E8" i="10" s="1"/>
  <c r="E14" i="4"/>
  <c r="M25" i="3"/>
  <c r="M26"/>
  <c r="M23"/>
  <c r="D83" i="4"/>
  <c r="D106"/>
  <c r="D108" s="1"/>
  <c r="F4"/>
  <c r="G9" i="12" s="1"/>
  <c r="G112" i="32"/>
  <c r="G130" s="1"/>
  <c r="G125"/>
  <c r="G8" i="38" s="1"/>
  <c r="G134" i="4"/>
  <c r="H99" i="38"/>
  <c r="H144"/>
  <c r="H145"/>
  <c r="H148" s="1"/>
  <c r="L28" i="3"/>
  <c r="F143" i="4"/>
  <c r="E137"/>
  <c r="E48" s="1"/>
  <c r="F35" i="9" s="1"/>
  <c r="F109" i="38"/>
  <c r="D15" i="31"/>
  <c r="F165" i="38"/>
  <c r="F166"/>
  <c r="E15" i="12"/>
  <c r="E18" s="1"/>
  <c r="D8" i="10" s="1"/>
  <c r="D12" s="1"/>
  <c r="I7" i="38"/>
  <c r="I22" i="32"/>
  <c r="I27" s="1"/>
  <c r="I34"/>
  <c r="I39" s="1"/>
  <c r="I10"/>
  <c r="I15" s="1"/>
  <c r="E165" i="38"/>
  <c r="E166"/>
  <c r="E171" s="1"/>
  <c r="G106"/>
  <c r="S96"/>
  <c r="G91"/>
  <c r="G92" s="1"/>
  <c r="K37" i="3"/>
  <c r="K47" s="1"/>
  <c r="F18" i="4" s="1"/>
  <c r="G141" i="32"/>
  <c r="H98" i="38"/>
  <c r="H81" i="32"/>
  <c r="H82" s="1"/>
  <c r="H16"/>
  <c r="H135"/>
  <c r="H117"/>
  <c r="H94"/>
  <c r="F12" i="38"/>
  <c r="F9"/>
  <c r="F173"/>
  <c r="E106" i="4"/>
  <c r="E108" s="1"/>
  <c r="E83"/>
  <c r="G10" i="12"/>
  <c r="E6" i="31"/>
  <c r="E22" s="1"/>
  <c r="F11" i="13"/>
  <c r="M82" i="3"/>
  <c r="M83"/>
  <c r="M81"/>
  <c r="M84"/>
  <c r="I98" i="38" s="1"/>
  <c r="M85" i="3"/>
  <c r="M86"/>
  <c r="I104" i="38" s="1"/>
  <c r="G14"/>
  <c r="K128" i="3"/>
  <c r="F20" i="4" s="1"/>
  <c r="K105" i="3"/>
  <c r="H97" i="38"/>
  <c r="G133" i="4"/>
  <c r="G136" s="1"/>
  <c r="G81" s="1"/>
  <c r="H136" i="32"/>
  <c r="H28"/>
  <c r="H97"/>
  <c r="G5" i="4" s="1"/>
  <c r="H10" i="12" s="1"/>
  <c r="E109" i="38"/>
  <c r="D14" i="4"/>
  <c r="D23" s="1"/>
  <c r="N42" i="32"/>
  <c r="R21" i="3"/>
  <c r="N19" i="38"/>
  <c r="W57" i="5"/>
  <c r="R90" i="3"/>
  <c r="K22" i="38"/>
  <c r="K23" s="1"/>
  <c r="L106" i="32"/>
  <c r="K8" i="4" s="1"/>
  <c r="L13" i="12" s="1"/>
  <c r="L66" i="32"/>
  <c r="L139"/>
  <c r="J13" i="12"/>
  <c r="P35" i="3"/>
  <c r="Q92"/>
  <c r="Q93"/>
  <c r="Q95"/>
  <c r="M123" i="38" s="1"/>
  <c r="Q97" i="3"/>
  <c r="M125" i="38" s="1"/>
  <c r="Q98" i="3"/>
  <c r="M122" i="38" s="1"/>
  <c r="Q96" i="3"/>
  <c r="M124" i="38" s="1"/>
  <c r="Q99" i="3"/>
  <c r="Q94"/>
  <c r="M121" i="38" s="1"/>
  <c r="Q100" i="3"/>
  <c r="M127" i="38" s="1"/>
  <c r="Q101" i="3"/>
  <c r="M128" i="38" s="1"/>
  <c r="J116"/>
  <c r="J132" s="1"/>
  <c r="L124"/>
  <c r="L123"/>
  <c r="M72" i="32"/>
  <c r="M77" s="1"/>
  <c r="M48"/>
  <c r="M53" s="1"/>
  <c r="M60"/>
  <c r="M65" s="1"/>
  <c r="L140"/>
  <c r="L138"/>
  <c r="L103"/>
  <c r="L84"/>
  <c r="L22" i="38" s="1"/>
  <c r="L23" s="1"/>
  <c r="L54" i="32"/>
  <c r="J27" i="38"/>
  <c r="J28"/>
  <c r="L114"/>
  <c r="P103" i="3"/>
  <c r="Q30"/>
  <c r="Q32"/>
  <c r="Q33"/>
  <c r="Q31"/>
  <c r="Q34"/>
  <c r="K127" i="32"/>
  <c r="J7" i="4"/>
  <c r="K12" i="12" s="1"/>
  <c r="L109" i="32"/>
  <c r="K9" i="4" s="1"/>
  <c r="L14" i="12" s="1"/>
  <c r="L78" i="32"/>
  <c r="K115" i="38"/>
  <c r="K26"/>
  <c r="I24"/>
  <c r="I21"/>
  <c r="I174"/>
  <c r="J21"/>
  <c r="J174"/>
  <c r="J24"/>
  <c r="J14" i="12"/>
  <c r="L128" i="38"/>
  <c r="L125"/>
  <c r="L85" i="32"/>
  <c r="T78" i="5"/>
  <c r="K96" i="32"/>
  <c r="T77" i="5"/>
  <c r="K93" i="32"/>
  <c r="T69" i="3"/>
  <c r="O53" i="38"/>
  <c r="S70" i="3"/>
  <c r="N138" i="38"/>
  <c r="R35"/>
  <c r="S35" s="1"/>
  <c r="W53" i="3"/>
  <c r="O54" i="38"/>
  <c r="O138" s="1"/>
  <c r="G37" i="16"/>
  <c r="D26"/>
  <c r="E23" s="1"/>
  <c r="E24" s="1"/>
  <c r="E25" s="1"/>
  <c r="S12" i="2"/>
  <c r="U10"/>
  <c r="U12" s="1"/>
  <c r="U57" i="3"/>
  <c r="P39" i="38"/>
  <c r="P44" s="1"/>
  <c r="F68" i="4"/>
  <c r="H10" i="16"/>
  <c r="B8" i="31"/>
  <c r="B15" s="1"/>
  <c r="B16" s="1"/>
  <c r="B58" i="4"/>
  <c r="V56" i="3"/>
  <c r="Q38" i="38"/>
  <c r="P41"/>
  <c r="U62" i="3"/>
  <c r="F168" i="38"/>
  <c r="F138"/>
  <c r="F167"/>
  <c r="S80"/>
  <c r="S82" s="1"/>
  <c r="F82"/>
  <c r="F84" s="1"/>
  <c r="V55" i="3"/>
  <c r="Q37" i="38"/>
  <c r="W55" i="3"/>
  <c r="C18" i="16"/>
  <c r="E14"/>
  <c r="B12" i="10"/>
  <c r="C46" i="4"/>
  <c r="B104"/>
  <c r="C33" i="9"/>
  <c r="B106" i="4"/>
  <c r="B108" s="1"/>
  <c r="B83"/>
  <c r="S17" i="15"/>
  <c r="B27" i="4"/>
  <c r="R30"/>
  <c r="B94"/>
  <c r="C32" i="16"/>
  <c r="D29" s="1"/>
  <c r="D30" s="1"/>
  <c r="D31" s="1"/>
  <c r="S72" i="3"/>
  <c r="B57" i="4"/>
  <c r="D11" i="17"/>
  <c r="D19" s="1"/>
  <c r="C19" i="9"/>
  <c r="Q40" i="38"/>
  <c r="V59" i="3"/>
  <c r="P49" i="38"/>
  <c r="U61" i="3"/>
  <c r="O131" i="4"/>
  <c r="V58" i="3"/>
  <c r="R47" i="38" s="1"/>
  <c r="Q47"/>
  <c r="W58" i="3"/>
  <c r="F28" i="16"/>
  <c r="D70" i="4"/>
  <c r="V65" i="3"/>
  <c r="Q51" i="38"/>
  <c r="Q43"/>
  <c r="V64" i="3"/>
  <c r="M54" i="38"/>
  <c r="F13" i="13"/>
  <c r="E7" i="31"/>
  <c r="E21" i="4"/>
  <c r="E114"/>
  <c r="T70" i="3"/>
  <c r="F67" i="4"/>
  <c r="H22" i="16"/>
  <c r="P50" i="38"/>
  <c r="U63" i="3"/>
  <c r="U60"/>
  <c r="P48" i="38"/>
  <c r="O137"/>
  <c r="V66" i="3"/>
  <c r="R52" i="38" s="1"/>
  <c r="Q52"/>
  <c r="E71" i="4"/>
  <c r="G34" i="16"/>
  <c r="F38"/>
  <c r="G35" s="1"/>
  <c r="G36" s="1"/>
  <c r="Q72" i="3"/>
  <c r="B69" i="4"/>
  <c r="B72" s="1"/>
  <c r="D16" i="16"/>
  <c r="C40"/>
  <c r="C16" i="9" s="1"/>
  <c r="R14" i="10"/>
  <c r="V79" i="5" l="1"/>
  <c r="M99" i="32"/>
  <c r="H14" i="38"/>
  <c r="H15" s="1"/>
  <c r="L128" i="3"/>
  <c r="G20" i="4" s="1"/>
  <c r="H106" i="38"/>
  <c r="H167" s="1"/>
  <c r="G143" i="4"/>
  <c r="F137"/>
  <c r="F48" s="1"/>
  <c r="G35" i="9" s="1"/>
  <c r="D142" i="4"/>
  <c r="D144" s="1"/>
  <c r="D28" i="31"/>
  <c r="H24" i="11"/>
  <c r="G103" i="4"/>
  <c r="P126" i="5"/>
  <c r="G15" i="38"/>
  <c r="G16"/>
  <c r="H133" i="4"/>
  <c r="I97" i="38"/>
  <c r="M87" i="3"/>
  <c r="E25" i="31"/>
  <c r="F17" i="11"/>
  <c r="F19" s="1"/>
  <c r="I81" i="32"/>
  <c r="I10" i="38" s="1"/>
  <c r="I11" s="1"/>
  <c r="I16" i="32"/>
  <c r="I135"/>
  <c r="I117"/>
  <c r="I118" s="1"/>
  <c r="H11" i="4" s="1"/>
  <c r="I15" i="12" s="1"/>
  <c r="I94" i="32"/>
  <c r="G173" i="38"/>
  <c r="G159"/>
  <c r="G162" s="1"/>
  <c r="G158"/>
  <c r="G9"/>
  <c r="G12"/>
  <c r="E17" i="11"/>
  <c r="E19" s="1"/>
  <c r="D25" i="31"/>
  <c r="D31" s="1"/>
  <c r="E28"/>
  <c r="E31" s="1"/>
  <c r="E142" i="4"/>
  <c r="E144" s="1"/>
  <c r="N25" i="3"/>
  <c r="N26"/>
  <c r="N23"/>
  <c r="G13" i="13"/>
  <c r="F7" i="31"/>
  <c r="G166" i="38"/>
  <c r="G165"/>
  <c r="I145"/>
  <c r="I148" s="1"/>
  <c r="I144"/>
  <c r="J141" i="4"/>
  <c r="T33" i="5"/>
  <c r="K3" i="32"/>
  <c r="O20" i="3"/>
  <c r="O75"/>
  <c r="N82"/>
  <c r="N83"/>
  <c r="J100" i="38" s="1"/>
  <c r="N81" i="3"/>
  <c r="N85"/>
  <c r="J103" i="38" s="1"/>
  <c r="N84" i="3"/>
  <c r="N86"/>
  <c r="D25" i="4"/>
  <c r="D27" s="1"/>
  <c r="F170" i="38"/>
  <c r="F14" i="4"/>
  <c r="H141" i="32"/>
  <c r="E170" i="38"/>
  <c r="E152"/>
  <c r="E155" s="1"/>
  <c r="E151"/>
  <c r="E154" s="1"/>
  <c r="E141"/>
  <c r="E147"/>
  <c r="I103"/>
  <c r="H134" i="4"/>
  <c r="I99" i="38"/>
  <c r="H118" i="32"/>
  <c r="H125" s="1"/>
  <c r="H8" i="38" s="1"/>
  <c r="G11" i="13"/>
  <c r="F6" i="31"/>
  <c r="F22" s="1"/>
  <c r="F114" i="4"/>
  <c r="F115" s="1"/>
  <c r="F86" s="1"/>
  <c r="F8" i="31" s="1"/>
  <c r="F21" i="4"/>
  <c r="F146" s="1"/>
  <c r="F147" s="1"/>
  <c r="I136" i="32"/>
  <c r="I28"/>
  <c r="I97"/>
  <c r="H5" i="4" s="1"/>
  <c r="I10" i="12" s="1"/>
  <c r="H91" i="38"/>
  <c r="L37" i="3"/>
  <c r="L47" s="1"/>
  <c r="G18" i="4" s="1"/>
  <c r="G24" i="11"/>
  <c r="F103" i="4"/>
  <c r="O126" i="5"/>
  <c r="J22" i="32"/>
  <c r="J27" s="1"/>
  <c r="J7" i="38"/>
  <c r="J34" i="32"/>
  <c r="J39" s="1"/>
  <c r="J10"/>
  <c r="J15" s="1"/>
  <c r="G7" i="31"/>
  <c r="H13" i="13"/>
  <c r="I100" i="38"/>
  <c r="G4" i="4"/>
  <c r="H112" i="32"/>
  <c r="H10" i="38"/>
  <c r="H11" s="1"/>
  <c r="G109"/>
  <c r="G167"/>
  <c r="G168"/>
  <c r="I40" i="32"/>
  <c r="I137"/>
  <c r="I100"/>
  <c r="H6" i="4" s="1"/>
  <c r="I11" i="12" s="1"/>
  <c r="I88" i="32"/>
  <c r="E161" i="38"/>
  <c r="G18" i="12"/>
  <c r="F8" i="10" s="1"/>
  <c r="F17" i="13"/>
  <c r="E10" i="10" s="1"/>
  <c r="F171" i="38"/>
  <c r="M28" i="3"/>
  <c r="L130" i="38"/>
  <c r="K27"/>
  <c r="K28"/>
  <c r="M78" i="32"/>
  <c r="M109"/>
  <c r="L9" i="4" s="1"/>
  <c r="L26" i="38"/>
  <c r="L115"/>
  <c r="L116" s="1"/>
  <c r="K20"/>
  <c r="M54" i="32"/>
  <c r="M140"/>
  <c r="M138"/>
  <c r="M84"/>
  <c r="M103"/>
  <c r="Q103" i="3"/>
  <c r="M114" i="38"/>
  <c r="O42" i="32"/>
  <c r="S21" i="3"/>
  <c r="X57" i="5"/>
  <c r="O19" i="38"/>
  <c r="S90" i="3"/>
  <c r="Q35"/>
  <c r="L127" i="32"/>
  <c r="L20" i="38" s="1"/>
  <c r="K7" i="4"/>
  <c r="L12" i="12" s="1"/>
  <c r="M139" i="32"/>
  <c r="M106"/>
  <c r="M66"/>
  <c r="M120" i="38"/>
  <c r="R94" i="3"/>
  <c r="N121" i="38" s="1"/>
  <c r="R101" i="3"/>
  <c r="R95"/>
  <c r="R97"/>
  <c r="R99"/>
  <c r="N126" i="38" s="1"/>
  <c r="R93" i="3"/>
  <c r="N120" i="38" s="1"/>
  <c r="R96" i="3"/>
  <c r="N124" i="38" s="1"/>
  <c r="R98" i="3"/>
  <c r="R100"/>
  <c r="R92"/>
  <c r="N48" i="32"/>
  <c r="N53" s="1"/>
  <c r="N72"/>
  <c r="N77" s="1"/>
  <c r="N60"/>
  <c r="N65" s="1"/>
  <c r="M126" i="38"/>
  <c r="R34" i="3"/>
  <c r="R31"/>
  <c r="R32"/>
  <c r="R33"/>
  <c r="R30"/>
  <c r="M85" i="32"/>
  <c r="K116" i="38"/>
  <c r="L96" i="32"/>
  <c r="U78" i="5"/>
  <c r="U77"/>
  <c r="L93" i="32"/>
  <c r="U69" i="3"/>
  <c r="P53" i="38"/>
  <c r="P54"/>
  <c r="P138" s="1"/>
  <c r="S47"/>
  <c r="O57"/>
  <c r="O84" s="1"/>
  <c r="O139" s="1"/>
  <c r="E26" i="16"/>
  <c r="F23" s="1"/>
  <c r="F24" s="1"/>
  <c r="F25" s="1"/>
  <c r="D32"/>
  <c r="E29" s="1"/>
  <c r="E30" s="1"/>
  <c r="P137" i="38"/>
  <c r="C69" i="4"/>
  <c r="C72" s="1"/>
  <c r="C54" s="1"/>
  <c r="E16" i="16"/>
  <c r="D40"/>
  <c r="D16" i="9" s="1"/>
  <c r="G38" i="16"/>
  <c r="H35" s="1"/>
  <c r="H36" s="1"/>
  <c r="F71" i="4"/>
  <c r="H34" i="16"/>
  <c r="B54" i="4"/>
  <c r="C19" i="16"/>
  <c r="C41"/>
  <c r="R37" i="38"/>
  <c r="S52"/>
  <c r="W66" i="3"/>
  <c r="Q50" i="38"/>
  <c r="V63" i="3"/>
  <c r="R50" i="38" s="1"/>
  <c r="R43"/>
  <c r="S43" s="1"/>
  <c r="W64" i="3"/>
  <c r="R40" i="38"/>
  <c r="S40" s="1"/>
  <c r="W59" i="3"/>
  <c r="D33" i="9"/>
  <c r="D46" i="4"/>
  <c r="C104"/>
  <c r="B18" i="31"/>
  <c r="C16"/>
  <c r="I22" i="16"/>
  <c r="G67" i="4"/>
  <c r="T72" i="3"/>
  <c r="E146" i="4"/>
  <c r="E147" s="1"/>
  <c r="E23"/>
  <c r="E25"/>
  <c r="M138" i="38"/>
  <c r="M57"/>
  <c r="M84" s="1"/>
  <c r="M139" s="1"/>
  <c r="R51"/>
  <c r="S51" s="1"/>
  <c r="W65" i="3"/>
  <c r="E11" i="17"/>
  <c r="E19" s="1"/>
  <c r="D19" i="9"/>
  <c r="C57" i="4"/>
  <c r="C17" i="11"/>
  <c r="C19" s="1"/>
  <c r="B25" i="31"/>
  <c r="B31" s="1"/>
  <c r="B32" s="1"/>
  <c r="B126" i="4"/>
  <c r="F11" i="16"/>
  <c r="F12" s="1"/>
  <c r="F13" s="1"/>
  <c r="Q41" i="38"/>
  <c r="V62" i="3"/>
  <c r="R41" i="38" s="1"/>
  <c r="C58" i="4"/>
  <c r="B97"/>
  <c r="C13" i="11" s="1"/>
  <c r="C13" i="9"/>
  <c r="G68" i="4"/>
  <c r="I10" i="16"/>
  <c r="Q39" i="38"/>
  <c r="V57" i="3"/>
  <c r="H37" i="16"/>
  <c r="W63" i="3"/>
  <c r="Q44" i="38"/>
  <c r="G28" i="16"/>
  <c r="E70" i="4"/>
  <c r="Q48" i="38"/>
  <c r="V60" i="3"/>
  <c r="E115" i="4"/>
  <c r="E86" s="1"/>
  <c r="Q49" i="38"/>
  <c r="V61" i="3"/>
  <c r="P131" i="4"/>
  <c r="F139" i="38"/>
  <c r="R38"/>
  <c r="S38" s="1"/>
  <c r="W56" i="3"/>
  <c r="W79" i="5" l="1"/>
  <c r="N99" i="32"/>
  <c r="G17" i="13"/>
  <c r="F10" i="10" s="1"/>
  <c r="F12" s="1"/>
  <c r="G137" i="4"/>
  <c r="G48" s="1"/>
  <c r="H35" i="9" s="1"/>
  <c r="H168" i="38"/>
  <c r="S19" i="11"/>
  <c r="I82" i="32"/>
  <c r="H130"/>
  <c r="H143" i="4"/>
  <c r="H173" i="38"/>
  <c r="H12"/>
  <c r="H9"/>
  <c r="H159"/>
  <c r="H162" s="1"/>
  <c r="H158"/>
  <c r="J100" i="32"/>
  <c r="I6" i="4" s="1"/>
  <c r="J11" i="12" s="1"/>
  <c r="J40" i="32"/>
  <c r="J137"/>
  <c r="J88"/>
  <c r="J98" i="38"/>
  <c r="J99"/>
  <c r="I134" i="4"/>
  <c r="U33" i="5"/>
  <c r="P20" i="3"/>
  <c r="L3" i="32"/>
  <c r="P75" i="3"/>
  <c r="K141" i="4"/>
  <c r="N28" i="3"/>
  <c r="I112" i="32"/>
  <c r="I130" s="1"/>
  <c r="H4" i="4"/>
  <c r="I125" i="32"/>
  <c r="I8" i="38" s="1"/>
  <c r="J135" i="32"/>
  <c r="J16"/>
  <c r="J117"/>
  <c r="J118" s="1"/>
  <c r="I11" i="4" s="1"/>
  <c r="J15" i="12" s="1"/>
  <c r="J94" i="32"/>
  <c r="H92" i="38"/>
  <c r="J104"/>
  <c r="K34" i="32"/>
  <c r="K39" s="1"/>
  <c r="J11" i="34"/>
  <c r="K7" i="38"/>
  <c r="K10" i="32"/>
  <c r="K15" s="1"/>
  <c r="K22"/>
  <c r="K27" s="1"/>
  <c r="I141"/>
  <c r="G170" i="38"/>
  <c r="H136" i="4"/>
  <c r="H81" s="1"/>
  <c r="I91" i="38"/>
  <c r="I92" s="1"/>
  <c r="I14"/>
  <c r="M37" i="3"/>
  <c r="M47" s="1"/>
  <c r="H18" i="4" s="1"/>
  <c r="H9" i="12"/>
  <c r="J81" i="32"/>
  <c r="J28"/>
  <c r="J136"/>
  <c r="J97"/>
  <c r="I5" i="4" s="1"/>
  <c r="J10" i="12" s="1"/>
  <c r="G114" i="4"/>
  <c r="G115" s="1"/>
  <c r="G86" s="1"/>
  <c r="G8" i="31" s="1"/>
  <c r="G6"/>
  <c r="H11" i="13"/>
  <c r="H17" s="1"/>
  <c r="G10" i="10" s="1"/>
  <c r="G21" i="4"/>
  <c r="F23"/>
  <c r="F25"/>
  <c r="F27" s="1"/>
  <c r="F142"/>
  <c r="F144" s="1"/>
  <c r="F28" i="31"/>
  <c r="F31" s="1"/>
  <c r="J97" i="38"/>
  <c r="I133" i="4"/>
  <c r="N87" i="3"/>
  <c r="O25"/>
  <c r="O26"/>
  <c r="O23"/>
  <c r="G151" i="38"/>
  <c r="G154" s="1"/>
  <c r="G152"/>
  <c r="G155" s="1"/>
  <c r="G141"/>
  <c r="G147"/>
  <c r="J144"/>
  <c r="J145"/>
  <c r="J148" s="1"/>
  <c r="G11" i="4"/>
  <c r="O84" i="3"/>
  <c r="K98" i="38" s="1"/>
  <c r="O85" i="3"/>
  <c r="O82"/>
  <c r="O83"/>
  <c r="O81"/>
  <c r="O86"/>
  <c r="K104" i="38" s="1"/>
  <c r="M128" i="3"/>
  <c r="H20" i="4" s="1"/>
  <c r="M105" i="3"/>
  <c r="I106" i="38"/>
  <c r="I89" i="32"/>
  <c r="F15" i="31"/>
  <c r="J82" i="32"/>
  <c r="G171" i="38"/>
  <c r="G161"/>
  <c r="H16"/>
  <c r="L132"/>
  <c r="N139" i="32"/>
  <c r="N106"/>
  <c r="M8" i="4" s="1"/>
  <c r="N13" i="12" s="1"/>
  <c r="N66" i="32"/>
  <c r="N127" i="38"/>
  <c r="L8" i="4"/>
  <c r="L24" i="38"/>
  <c r="L21"/>
  <c r="L174"/>
  <c r="S98" i="3"/>
  <c r="O122" i="38" s="1"/>
  <c r="S97" i="3"/>
  <c r="O125" i="38" s="1"/>
  <c r="S100" i="3"/>
  <c r="O127" i="38" s="1"/>
  <c r="S101" i="3"/>
  <c r="O128" i="38" s="1"/>
  <c r="S93" i="3"/>
  <c r="O120" i="38" s="1"/>
  <c r="S95" i="3"/>
  <c r="O123" i="38" s="1"/>
  <c r="S96" i="3"/>
  <c r="O124" i="38" s="1"/>
  <c r="S99" i="3"/>
  <c r="S94"/>
  <c r="O121" i="38" s="1"/>
  <c r="S92" i="3"/>
  <c r="O60" i="32"/>
  <c r="O65" s="1"/>
  <c r="O48"/>
  <c r="O53" s="1"/>
  <c r="O72"/>
  <c r="O77" s="1"/>
  <c r="M22" i="38"/>
  <c r="M23" s="1"/>
  <c r="M14" i="12"/>
  <c r="K132" i="38"/>
  <c r="N114"/>
  <c r="R103" i="3"/>
  <c r="N128" i="38"/>
  <c r="S34" i="3"/>
  <c r="S30"/>
  <c r="S31"/>
  <c r="S33"/>
  <c r="S32"/>
  <c r="L7" i="4"/>
  <c r="M127" i="32"/>
  <c r="M20" i="38" s="1"/>
  <c r="R35" i="3"/>
  <c r="N138" i="32"/>
  <c r="N103"/>
  <c r="N84"/>
  <c r="N22" i="38" s="1"/>
  <c r="N23" s="1"/>
  <c r="N54" i="32"/>
  <c r="N140"/>
  <c r="N123" i="38"/>
  <c r="M130"/>
  <c r="M115"/>
  <c r="M26"/>
  <c r="Y57" i="5"/>
  <c r="P19" i="38"/>
  <c r="P42" i="32"/>
  <c r="T21" i="3"/>
  <c r="T90"/>
  <c r="K21" i="38"/>
  <c r="K24"/>
  <c r="K174"/>
  <c r="L27"/>
  <c r="L28"/>
  <c r="N78" i="32"/>
  <c r="N109"/>
  <c r="M9" i="4" s="1"/>
  <c r="N14" i="12" s="1"/>
  <c r="N122" i="38"/>
  <c r="N125"/>
  <c r="V78" i="5"/>
  <c r="M96" i="32"/>
  <c r="M93"/>
  <c r="V77" i="5"/>
  <c r="V69" i="3"/>
  <c r="Q53" i="38"/>
  <c r="U70" i="3"/>
  <c r="U72" s="1"/>
  <c r="S50" i="38"/>
  <c r="P57"/>
  <c r="P84" s="1"/>
  <c r="P139" s="1"/>
  <c r="Q54"/>
  <c r="Q57" s="1"/>
  <c r="Q84" s="1"/>
  <c r="S41"/>
  <c r="W62" i="3"/>
  <c r="F26" i="16"/>
  <c r="G23" s="1"/>
  <c r="G24" s="1"/>
  <c r="G25" s="1"/>
  <c r="F145" i="38"/>
  <c r="F148" s="1"/>
  <c r="F158"/>
  <c r="F161" s="1"/>
  <c r="F144"/>
  <c r="F147" s="1"/>
  <c r="F151"/>
  <c r="F154" s="1"/>
  <c r="F152"/>
  <c r="F155" s="1"/>
  <c r="F141"/>
  <c r="F159"/>
  <c r="F162" s="1"/>
  <c r="E8" i="31"/>
  <c r="E15" s="1"/>
  <c r="H28" i="16"/>
  <c r="F70" i="4"/>
  <c r="Q137" i="38"/>
  <c r="R39"/>
  <c r="S39" s="1"/>
  <c r="W57" i="3"/>
  <c r="D13" i="9"/>
  <c r="C97" i="4"/>
  <c r="D13" i="11" s="1"/>
  <c r="D58" i="4"/>
  <c r="F14" i="16"/>
  <c r="H67" i="4"/>
  <c r="J22" i="16"/>
  <c r="H137" i="4"/>
  <c r="I34" i="16"/>
  <c r="G71" i="4"/>
  <c r="H38" i="16"/>
  <c r="I35" s="1"/>
  <c r="I36" s="1"/>
  <c r="F16"/>
  <c r="D69" i="4"/>
  <c r="D72" s="1"/>
  <c r="E40" i="16"/>
  <c r="E16" i="9" s="1"/>
  <c r="E31" i="16"/>
  <c r="S37" i="38"/>
  <c r="E12" i="10"/>
  <c r="Q138" i="38"/>
  <c r="H68" i="4"/>
  <c r="J10" i="16"/>
  <c r="C32" i="31"/>
  <c r="E19" i="9"/>
  <c r="D57" i="4"/>
  <c r="F11" i="17"/>
  <c r="F19" s="1"/>
  <c r="C20" i="16"/>
  <c r="Q131" i="4"/>
  <c r="R49" i="38"/>
  <c r="S49" s="1"/>
  <c r="W61" i="3"/>
  <c r="R48" i="38"/>
  <c r="W60" i="3"/>
  <c r="E27" i="4"/>
  <c r="C18" i="31"/>
  <c r="D16"/>
  <c r="E33" i="9"/>
  <c r="E46" i="4"/>
  <c r="D104"/>
  <c r="B29"/>
  <c r="B73"/>
  <c r="C42" i="16"/>
  <c r="B13" i="10"/>
  <c r="C10" i="11"/>
  <c r="I37" i="16"/>
  <c r="X79" i="5" l="1"/>
  <c r="O99" i="32"/>
  <c r="N130" i="38"/>
  <c r="J106"/>
  <c r="J167" s="1"/>
  <c r="J89" i="32"/>
  <c r="I13" i="13"/>
  <c r="H7" i="31"/>
  <c r="J134" i="4"/>
  <c r="K99" i="38"/>
  <c r="H15" i="12"/>
  <c r="H18" s="1"/>
  <c r="G8" i="10" s="1"/>
  <c r="G12" s="1"/>
  <c r="J10" i="38"/>
  <c r="J11" s="1"/>
  <c r="I16"/>
  <c r="I15"/>
  <c r="K16" i="32"/>
  <c r="K135"/>
  <c r="K117"/>
  <c r="K81"/>
  <c r="K10" i="38" s="1"/>
  <c r="K11" s="1"/>
  <c r="K94" i="32"/>
  <c r="J125"/>
  <c r="J8" i="38" s="1"/>
  <c r="J112" i="32"/>
  <c r="J130" s="1"/>
  <c r="I4" i="4"/>
  <c r="I9" i="38"/>
  <c r="I12"/>
  <c r="I173"/>
  <c r="I159"/>
  <c r="I162" s="1"/>
  <c r="I158"/>
  <c r="J91"/>
  <c r="N37" i="3"/>
  <c r="N47" s="1"/>
  <c r="I18" i="4" s="1"/>
  <c r="P26" i="3"/>
  <c r="P25"/>
  <c r="P23"/>
  <c r="K100" i="38"/>
  <c r="I136" i="4"/>
  <c r="I81" s="1"/>
  <c r="H21"/>
  <c r="I11" i="13"/>
  <c r="H114" i="4"/>
  <c r="H115" s="1"/>
  <c r="H86" s="1"/>
  <c r="H8" i="31" s="1"/>
  <c r="H6"/>
  <c r="H22" s="1"/>
  <c r="K28" i="32"/>
  <c r="K136"/>
  <c r="K97"/>
  <c r="J5" i="4" s="1"/>
  <c r="K10" i="12" s="1"/>
  <c r="K137" i="32"/>
  <c r="K40"/>
  <c r="J143" i="4" s="1"/>
  <c r="K100" i="32"/>
  <c r="J6" i="4" s="1"/>
  <c r="K88" i="32"/>
  <c r="K144" s="1"/>
  <c r="H166" i="38"/>
  <c r="H171" s="1"/>
  <c r="H165"/>
  <c r="H109"/>
  <c r="H161" s="1"/>
  <c r="L22" i="32"/>
  <c r="L27" s="1"/>
  <c r="K11" i="34"/>
  <c r="L7" i="38"/>
  <c r="L34" i="32"/>
  <c r="L39" s="1"/>
  <c r="L10"/>
  <c r="L15" s="1"/>
  <c r="O28" i="3"/>
  <c r="G15" i="31"/>
  <c r="J141" i="32"/>
  <c r="G22" i="31"/>
  <c r="I109" i="38"/>
  <c r="I168"/>
  <c r="I167"/>
  <c r="J133" i="4"/>
  <c r="K97" i="38"/>
  <c r="O87" i="3"/>
  <c r="J14" i="38"/>
  <c r="N128" i="3"/>
  <c r="I20" i="4" s="1"/>
  <c r="N105" i="3"/>
  <c r="H103" i="4"/>
  <c r="I24" i="11"/>
  <c r="Q126" i="5"/>
  <c r="J13" i="34"/>
  <c r="J36" s="1"/>
  <c r="J14"/>
  <c r="J37" s="1"/>
  <c r="J15"/>
  <c r="J38" s="1"/>
  <c r="J12"/>
  <c r="J35" s="1"/>
  <c r="P82" i="3"/>
  <c r="P84"/>
  <c r="L98" i="38" s="1"/>
  <c r="P85" i="3"/>
  <c r="L103" i="38" s="1"/>
  <c r="P83" i="3"/>
  <c r="L100" i="38" s="1"/>
  <c r="P86" i="3"/>
  <c r="P81"/>
  <c r="K103" i="38"/>
  <c r="G146" i="4"/>
  <c r="G147" s="1"/>
  <c r="I166" i="38"/>
  <c r="I165"/>
  <c r="K144"/>
  <c r="K145"/>
  <c r="K148" s="1"/>
  <c r="H14" i="4"/>
  <c r="I9" i="12"/>
  <c r="I18" s="1"/>
  <c r="H8" i="10" s="1"/>
  <c r="M3" i="32"/>
  <c r="Q20" i="3"/>
  <c r="L141" i="4"/>
  <c r="V33" i="5"/>
  <c r="Q75" i="3"/>
  <c r="G14" i="4"/>
  <c r="I143"/>
  <c r="T32" i="3"/>
  <c r="T34"/>
  <c r="T31"/>
  <c r="T33"/>
  <c r="T30"/>
  <c r="M28" i="38"/>
  <c r="M27"/>
  <c r="O84" i="32"/>
  <c r="O22" i="38" s="1"/>
  <c r="O23" s="1"/>
  <c r="O139" i="32"/>
  <c r="O66"/>
  <c r="O106"/>
  <c r="T98" i="3"/>
  <c r="P122" i="38" s="1"/>
  <c r="T96" i="3"/>
  <c r="P124" i="38" s="1"/>
  <c r="T100" i="3"/>
  <c r="P127" i="38" s="1"/>
  <c r="T93" i="3"/>
  <c r="P120" i="38" s="1"/>
  <c r="T95" i="3"/>
  <c r="T94"/>
  <c r="P121" i="38" s="1"/>
  <c r="T99" i="3"/>
  <c r="P126" i="38" s="1"/>
  <c r="T101" i="3"/>
  <c r="T92"/>
  <c r="T97"/>
  <c r="Q19" i="38"/>
  <c r="U21" i="3"/>
  <c r="Z57" i="5"/>
  <c r="U90" i="3"/>
  <c r="Q42" i="32"/>
  <c r="M7" i="4"/>
  <c r="N12" i="12" s="1"/>
  <c r="N127" i="32"/>
  <c r="N20" i="38" s="1"/>
  <c r="M12" i="12"/>
  <c r="O54" i="32"/>
  <c r="O140"/>
  <c r="O103"/>
  <c r="O138"/>
  <c r="O126" i="38"/>
  <c r="O130" s="1"/>
  <c r="M13" i="12"/>
  <c r="N85" i="32"/>
  <c r="O85" s="1"/>
  <c r="S35" i="3"/>
  <c r="M116" i="38"/>
  <c r="M21"/>
  <c r="M24"/>
  <c r="M174"/>
  <c r="O109" i="32"/>
  <c r="N9" i="4" s="1"/>
  <c r="O14" i="12" s="1"/>
  <c r="O78" i="32"/>
  <c r="P60"/>
  <c r="P65" s="1"/>
  <c r="P72"/>
  <c r="P77" s="1"/>
  <c r="P48"/>
  <c r="P53" s="1"/>
  <c r="N115" i="38"/>
  <c r="N116" s="1"/>
  <c r="N26"/>
  <c r="O114"/>
  <c r="S103" i="3"/>
  <c r="W78" i="5"/>
  <c r="N96" i="32"/>
  <c r="W77" i="5"/>
  <c r="N93" i="32"/>
  <c r="R53" i="38"/>
  <c r="S53" s="1"/>
  <c r="W69" i="3"/>
  <c r="V70"/>
  <c r="W70" s="1"/>
  <c r="X61" s="1"/>
  <c r="R44" i="38"/>
  <c r="R137" s="1"/>
  <c r="S44"/>
  <c r="G26" i="16"/>
  <c r="H23" s="1"/>
  <c r="H24" s="1"/>
  <c r="H25" s="1"/>
  <c r="B16" i="10"/>
  <c r="B93" i="4"/>
  <c r="B33"/>
  <c r="R131"/>
  <c r="D17" i="16"/>
  <c r="D18" s="1"/>
  <c r="C43"/>
  <c r="B75" i="4" s="1"/>
  <c r="E32" i="16"/>
  <c r="F29" s="1"/>
  <c r="F30" s="1"/>
  <c r="F31" s="1"/>
  <c r="K22"/>
  <c r="I67" i="4"/>
  <c r="G70"/>
  <c r="I28" i="16"/>
  <c r="F46" i="4"/>
  <c r="E104"/>
  <c r="F33" i="9"/>
  <c r="H48" i="4"/>
  <c r="G11" i="16"/>
  <c r="G12" s="1"/>
  <c r="G13" s="1"/>
  <c r="B74" i="4"/>
  <c r="B55" s="1"/>
  <c r="B56" s="1"/>
  <c r="C17" i="9"/>
  <c r="C18" s="1"/>
  <c r="E57" i="4"/>
  <c r="G11" i="17"/>
  <c r="G19" s="1"/>
  <c r="F19" i="9"/>
  <c r="D32" i="31"/>
  <c r="G16" i="16"/>
  <c r="E69" i="4"/>
  <c r="E72" s="1"/>
  <c r="E54" s="1"/>
  <c r="F40" i="16"/>
  <c r="F16" i="9" s="1"/>
  <c r="E16" i="31"/>
  <c r="D18"/>
  <c r="S48" i="38"/>
  <c r="K10" i="16"/>
  <c r="I68" i="4"/>
  <c r="D54"/>
  <c r="J34" i="16"/>
  <c r="I38"/>
  <c r="J35" s="1"/>
  <c r="J36" s="1"/>
  <c r="J37" s="1"/>
  <c r="H71" i="4"/>
  <c r="E13" i="9"/>
  <c r="D97" i="4"/>
  <c r="E13" i="11" s="1"/>
  <c r="E58" i="4"/>
  <c r="Q139" i="38"/>
  <c r="I137" i="4" l="1"/>
  <c r="Y79" i="5"/>
  <c r="P99" i="32"/>
  <c r="N132" i="38"/>
  <c r="I171"/>
  <c r="J168"/>
  <c r="I17" i="13"/>
  <c r="H10" i="10" s="1"/>
  <c r="H12" s="1"/>
  <c r="P28" i="3"/>
  <c r="K89" i="32"/>
  <c r="J136" i="4"/>
  <c r="J81" s="1"/>
  <c r="K24" i="11" s="1"/>
  <c r="H142" i="4"/>
  <c r="H144" s="1"/>
  <c r="H25"/>
  <c r="H27" s="1"/>
  <c r="H28" i="31"/>
  <c r="H31" s="1"/>
  <c r="J13" i="13"/>
  <c r="I23" i="31"/>
  <c r="I141" i="38"/>
  <c r="I151"/>
  <c r="I154" s="1"/>
  <c r="I152"/>
  <c r="I155" s="1"/>
  <c r="I147"/>
  <c r="K12" i="34"/>
  <c r="K35" s="1"/>
  <c r="K14"/>
  <c r="K37" s="1"/>
  <c r="K13"/>
  <c r="K36" s="1"/>
  <c r="K15"/>
  <c r="K38" s="1"/>
  <c r="L91" i="38"/>
  <c r="L92" s="1"/>
  <c r="P37" i="3"/>
  <c r="P47" s="1"/>
  <c r="K18" i="4" s="1"/>
  <c r="J92" i="38"/>
  <c r="J9"/>
  <c r="J159"/>
  <c r="J162" s="1"/>
  <c r="J158"/>
  <c r="J12"/>
  <c r="J173"/>
  <c r="K141" i="32"/>
  <c r="W33" i="5"/>
  <c r="R75" i="3"/>
  <c r="N3" i="32"/>
  <c r="M141" i="4"/>
  <c r="R20" i="3"/>
  <c r="K91" i="38"/>
  <c r="K92" s="1"/>
  <c r="O37" i="3"/>
  <c r="O47" s="1"/>
  <c r="J18" i="4" s="1"/>
  <c r="L144" i="38"/>
  <c r="L145"/>
  <c r="L148" s="1"/>
  <c r="H146" i="4"/>
  <c r="H147" s="1"/>
  <c r="H23"/>
  <c r="I114"/>
  <c r="I115" s="1"/>
  <c r="I86" s="1"/>
  <c r="I26" i="31" s="1"/>
  <c r="J11" i="13"/>
  <c r="I22" i="31"/>
  <c r="I21" i="4"/>
  <c r="K118" i="32"/>
  <c r="I170" i="38"/>
  <c r="J40" i="34"/>
  <c r="J50" s="1"/>
  <c r="K106" i="38"/>
  <c r="H170"/>
  <c r="G142" i="4"/>
  <c r="G144" s="1"/>
  <c r="G28" i="31"/>
  <c r="G31" s="1"/>
  <c r="G25" i="4"/>
  <c r="G27" s="1"/>
  <c r="Q82" i="3"/>
  <c r="Q84"/>
  <c r="Q85"/>
  <c r="M103" i="38" s="1"/>
  <c r="Q83" i="3"/>
  <c r="Q81"/>
  <c r="Q86"/>
  <c r="M104" i="38" s="1"/>
  <c r="L11" i="34"/>
  <c r="M7" i="38"/>
  <c r="M34" i="32"/>
  <c r="M39" s="1"/>
  <c r="M22"/>
  <c r="M27" s="1"/>
  <c r="M10"/>
  <c r="M15" s="1"/>
  <c r="L104" i="38"/>
  <c r="K134" i="4"/>
  <c r="L99" i="38"/>
  <c r="K14"/>
  <c r="O128" i="3"/>
  <c r="J20" i="4" s="1"/>
  <c r="O105" i="3"/>
  <c r="L40" i="32"/>
  <c r="L137"/>
  <c r="L100"/>
  <c r="L88"/>
  <c r="H141" i="38"/>
  <c r="H152"/>
  <c r="H155" s="1"/>
  <c r="H151"/>
  <c r="H154" s="1"/>
  <c r="H147"/>
  <c r="K11" i="12"/>
  <c r="J9"/>
  <c r="J18" s="1"/>
  <c r="I8" i="10" s="1"/>
  <c r="I14" i="4"/>
  <c r="Q23" i="3"/>
  <c r="Q25"/>
  <c r="Q26"/>
  <c r="L97" i="38"/>
  <c r="K133" i="4"/>
  <c r="K136" s="1"/>
  <c r="K81" s="1"/>
  <c r="P87" i="3"/>
  <c r="J15" i="38"/>
  <c r="J16"/>
  <c r="L16" i="32"/>
  <c r="L120"/>
  <c r="L117"/>
  <c r="L118" s="1"/>
  <c r="K11" i="4" s="1"/>
  <c r="L15" i="12" s="1"/>
  <c r="L81" i="32"/>
  <c r="L135"/>
  <c r="L94"/>
  <c r="L28"/>
  <c r="L136"/>
  <c r="L97"/>
  <c r="K5" i="4" s="1"/>
  <c r="L10" i="12" s="1"/>
  <c r="I103" i="4"/>
  <c r="J24" i="11"/>
  <c r="R126" i="5"/>
  <c r="K112" i="32"/>
  <c r="J4" i="4"/>
  <c r="K125" i="32"/>
  <c r="K8" i="38" s="1"/>
  <c r="K82" i="32"/>
  <c r="L82" s="1"/>
  <c r="G23" i="4"/>
  <c r="H15" i="31"/>
  <c r="I161" i="38"/>
  <c r="N27"/>
  <c r="N28"/>
  <c r="M132"/>
  <c r="U100" i="3"/>
  <c r="Q127" i="38" s="1"/>
  <c r="U92" i="3"/>
  <c r="U94"/>
  <c r="Q121" i="38" s="1"/>
  <c r="U96" i="3"/>
  <c r="Q124" i="38" s="1"/>
  <c r="U95" i="3"/>
  <c r="Q123" i="38" s="1"/>
  <c r="U99" i="3"/>
  <c r="Q126" i="38" s="1"/>
  <c r="U97" i="3"/>
  <c r="Q125" i="38" s="1"/>
  <c r="U93" i="3"/>
  <c r="Q120" i="38" s="1"/>
  <c r="U101" i="3"/>
  <c r="Q128" i="38" s="1"/>
  <c r="U98" i="3"/>
  <c r="Q122" i="38" s="1"/>
  <c r="P125"/>
  <c r="P139" i="32"/>
  <c r="P106"/>
  <c r="O8" i="4" s="1"/>
  <c r="P13" i="12" s="1"/>
  <c r="P66" i="32"/>
  <c r="Q60"/>
  <c r="Q65" s="1"/>
  <c r="Q48"/>
  <c r="Q53" s="1"/>
  <c r="Q72"/>
  <c r="Q77" s="1"/>
  <c r="T35" i="3"/>
  <c r="O26" i="38"/>
  <c r="P109" i="32"/>
  <c r="O9" i="4" s="1"/>
  <c r="P78" i="32"/>
  <c r="N7" i="4"/>
  <c r="O127" i="32"/>
  <c r="U34" i="3"/>
  <c r="U31"/>
  <c r="U32"/>
  <c r="U30"/>
  <c r="U33"/>
  <c r="P128" i="38"/>
  <c r="N8" i="4"/>
  <c r="P84" i="32"/>
  <c r="P85" s="1"/>
  <c r="P54"/>
  <c r="P140"/>
  <c r="P103"/>
  <c r="P138"/>
  <c r="O115" i="38"/>
  <c r="O116" s="1"/>
  <c r="N174"/>
  <c r="N24"/>
  <c r="N21"/>
  <c r="R42" i="32"/>
  <c r="V21" i="3"/>
  <c r="V90"/>
  <c r="R19" i="38"/>
  <c r="P114"/>
  <c r="T103" i="3"/>
  <c r="P123" i="38"/>
  <c r="O96" i="32"/>
  <c r="X78" i="5"/>
  <c r="X77"/>
  <c r="O93" i="32"/>
  <c r="V72" i="3"/>
  <c r="W72" s="1"/>
  <c r="R54" i="38"/>
  <c r="R138" s="1"/>
  <c r="R57"/>
  <c r="R84" s="1"/>
  <c r="S84" s="1"/>
  <c r="F32" i="16"/>
  <c r="G29" s="1"/>
  <c r="G30" s="1"/>
  <c r="G31" s="1"/>
  <c r="H26"/>
  <c r="I23" s="1"/>
  <c r="I24" s="1"/>
  <c r="I25" s="1"/>
  <c r="J68" i="4"/>
  <c r="L10" i="16"/>
  <c r="F16" i="31"/>
  <c r="E18"/>
  <c r="E32"/>
  <c r="G14" i="16"/>
  <c r="B36" i="4"/>
  <c r="B38" s="1"/>
  <c r="B92"/>
  <c r="B35"/>
  <c r="X57" i="3"/>
  <c r="F104" i="4"/>
  <c r="G33" i="9"/>
  <c r="G46" i="4"/>
  <c r="F13" i="9"/>
  <c r="E97" i="4"/>
  <c r="F13" i="11" s="1"/>
  <c r="F58" i="4"/>
  <c r="H16" i="16"/>
  <c r="F69" i="4"/>
  <c r="F72" s="1"/>
  <c r="G40" i="16"/>
  <c r="G16" i="9" s="1"/>
  <c r="F57" i="4"/>
  <c r="G19" i="9"/>
  <c r="H11" i="17"/>
  <c r="H19" s="1"/>
  <c r="L22" i="16"/>
  <c r="J67" i="4"/>
  <c r="X60" i="3"/>
  <c r="K34" i="16"/>
  <c r="I71" i="4"/>
  <c r="J38" i="16"/>
  <c r="K35" s="1"/>
  <c r="K36" s="1"/>
  <c r="K37" s="1"/>
  <c r="X67" i="3"/>
  <c r="X53"/>
  <c r="T57" i="38"/>
  <c r="X69" i="3"/>
  <c r="X58"/>
  <c r="X55"/>
  <c r="X56"/>
  <c r="X66"/>
  <c r="X65"/>
  <c r="X63"/>
  <c r="X59"/>
  <c r="X64"/>
  <c r="X62"/>
  <c r="S54" i="38"/>
  <c r="S57" s="1"/>
  <c r="I35" i="9"/>
  <c r="I48" i="4"/>
  <c r="H70"/>
  <c r="J28" i="16"/>
  <c r="D41"/>
  <c r="D19"/>
  <c r="J137" i="4" l="1"/>
  <c r="Z79" i="5"/>
  <c r="R99" i="32" s="1"/>
  <c r="Q99"/>
  <c r="J17" i="13"/>
  <c r="I10" i="10" s="1"/>
  <c r="I12" s="1"/>
  <c r="K130" i="32"/>
  <c r="S126" i="5"/>
  <c r="L141" i="32"/>
  <c r="K143" i="4"/>
  <c r="Q28" i="3"/>
  <c r="J103" i="4"/>
  <c r="K40" i="34"/>
  <c r="K50" s="1"/>
  <c r="K9" i="12"/>
  <c r="L144" i="32"/>
  <c r="C6" i="21"/>
  <c r="M81" i="32"/>
  <c r="M10" i="38" s="1"/>
  <c r="M11" s="1"/>
  <c r="M117" i="32"/>
  <c r="M118" s="1"/>
  <c r="L11" i="4" s="1"/>
  <c r="M15" i="12" s="1"/>
  <c r="M120" i="32"/>
  <c r="L12" i="4" s="1"/>
  <c r="M16" i="12" s="1"/>
  <c r="M16" i="32"/>
  <c r="M135"/>
  <c r="M94"/>
  <c r="L13" i="34"/>
  <c r="L36" s="1"/>
  <c r="L14"/>
  <c r="L37" s="1"/>
  <c r="L12"/>
  <c r="L35" s="1"/>
  <c r="L15"/>
  <c r="L38" s="1"/>
  <c r="K109" i="38"/>
  <c r="K168"/>
  <c r="K167"/>
  <c r="I146" i="4"/>
  <c r="I147" s="1"/>
  <c r="I23"/>
  <c r="J21"/>
  <c r="B125" s="1"/>
  <c r="J22" i="31"/>
  <c r="K11" i="13"/>
  <c r="J114" i="4"/>
  <c r="J115" s="1"/>
  <c r="J86" s="1"/>
  <c r="M11" i="34"/>
  <c r="N7" i="38"/>
  <c r="N10" i="32"/>
  <c r="N15" s="1"/>
  <c r="N34"/>
  <c r="N39" s="1"/>
  <c r="N22"/>
  <c r="N27" s="1"/>
  <c r="L11" i="13"/>
  <c r="K22" i="31"/>
  <c r="K173" i="38"/>
  <c r="K159"/>
  <c r="K162" s="1"/>
  <c r="K9"/>
  <c r="K12"/>
  <c r="K158"/>
  <c r="L10"/>
  <c r="L11" s="1"/>
  <c r="I142" i="4"/>
  <c r="I144" s="1"/>
  <c r="I25"/>
  <c r="I27" s="1"/>
  <c r="I28" i="31"/>
  <c r="I31" s="1"/>
  <c r="K16" i="38"/>
  <c r="K15"/>
  <c r="M144"/>
  <c r="M145"/>
  <c r="M148" s="1"/>
  <c r="M100"/>
  <c r="J11" i="4"/>
  <c r="J14" s="1"/>
  <c r="J165" i="38"/>
  <c r="J166"/>
  <c r="J171" s="1"/>
  <c r="J109"/>
  <c r="J161" s="1"/>
  <c r="M82" i="32"/>
  <c r="L106" i="38"/>
  <c r="K137" i="4"/>
  <c r="T126" i="5"/>
  <c r="L24" i="11"/>
  <c r="K103" i="4"/>
  <c r="M91" i="38"/>
  <c r="K13" i="13"/>
  <c r="J23" i="31"/>
  <c r="M40" i="32"/>
  <c r="M137"/>
  <c r="M100"/>
  <c r="L6" i="4" s="1"/>
  <c r="M11" i="12" s="1"/>
  <c r="M88" i="32"/>
  <c r="L133" i="4"/>
  <c r="M97" i="38"/>
  <c r="Q87" i="3"/>
  <c r="M99" i="38"/>
  <c r="L134" i="4"/>
  <c r="R25" i="3"/>
  <c r="R23"/>
  <c r="R26"/>
  <c r="O3" i="32"/>
  <c r="N141" i="4"/>
  <c r="S20" i="3"/>
  <c r="X33" i="5"/>
  <c r="S75" i="3"/>
  <c r="L166" i="38"/>
  <c r="L165"/>
  <c r="L125" i="32"/>
  <c r="L8" i="38" s="1"/>
  <c r="L112" i="32"/>
  <c r="L130" s="1"/>
  <c r="K4" i="4"/>
  <c r="P105" i="3"/>
  <c r="P128"/>
  <c r="K20" i="4" s="1"/>
  <c r="K114" s="1"/>
  <c r="K6"/>
  <c r="M136" i="32"/>
  <c r="M28"/>
  <c r="M97"/>
  <c r="L5" i="4" s="1"/>
  <c r="M10" i="12" s="1"/>
  <c r="M98" i="38"/>
  <c r="K165"/>
  <c r="K166"/>
  <c r="R82" i="3"/>
  <c r="R84"/>
  <c r="N98" i="38" s="1"/>
  <c r="R83" i="3"/>
  <c r="N100" i="38" s="1"/>
  <c r="R85" i="3"/>
  <c r="N103" i="38" s="1"/>
  <c r="R81" i="3"/>
  <c r="R86"/>
  <c r="L89" i="32"/>
  <c r="C20" i="21"/>
  <c r="L14" i="38"/>
  <c r="P130"/>
  <c r="O132"/>
  <c r="V32" i="3"/>
  <c r="W32" s="1"/>
  <c r="V31"/>
  <c r="W31" s="1"/>
  <c r="V34"/>
  <c r="W34" s="1"/>
  <c r="V33"/>
  <c r="W33" s="1"/>
  <c r="V30"/>
  <c r="O12" i="12"/>
  <c r="Q106" i="32"/>
  <c r="P8" i="4" s="1"/>
  <c r="Q13" i="12" s="1"/>
  <c r="Q66" i="32"/>
  <c r="Q139"/>
  <c r="V101" i="3"/>
  <c r="V95"/>
  <c r="V100"/>
  <c r="V98"/>
  <c r="V99"/>
  <c r="V96"/>
  <c r="V97"/>
  <c r="V94"/>
  <c r="V93"/>
  <c r="V92"/>
  <c r="O20" i="38"/>
  <c r="P14" i="12"/>
  <c r="P115" i="38"/>
  <c r="P116" s="1"/>
  <c r="P26"/>
  <c r="Q84" i="32"/>
  <c r="Q22" i="38" s="1"/>
  <c r="Q23" s="1"/>
  <c r="Q138" i="32"/>
  <c r="Q140"/>
  <c r="Q103"/>
  <c r="Q54"/>
  <c r="Q130" i="38"/>
  <c r="O7" i="4"/>
  <c r="P12" i="12" s="1"/>
  <c r="P127" i="32"/>
  <c r="P20" i="38" s="1"/>
  <c r="Q78" i="32"/>
  <c r="Q109"/>
  <c r="P9" i="4" s="1"/>
  <c r="Q14" i="12" s="1"/>
  <c r="R48" i="32"/>
  <c r="R53" s="1"/>
  <c r="R72"/>
  <c r="R77" s="1"/>
  <c r="S77" s="1"/>
  <c r="R60"/>
  <c r="R65" s="1"/>
  <c r="S65" s="1"/>
  <c r="P22" i="38"/>
  <c r="P23" s="1"/>
  <c r="O13" i="12"/>
  <c r="O28" i="38"/>
  <c r="O27"/>
  <c r="U103" i="3"/>
  <c r="Q114" i="38"/>
  <c r="U35" i="3"/>
  <c r="Y78" i="5"/>
  <c r="P96" i="32"/>
  <c r="Y77" i="5"/>
  <c r="P93" i="32"/>
  <c r="R139" i="38"/>
  <c r="B39" i="4"/>
  <c r="C9" i="11"/>
  <c r="C14" s="1"/>
  <c r="G32" i="16"/>
  <c r="H29" s="1"/>
  <c r="H30" s="1"/>
  <c r="H31" s="1"/>
  <c r="I26"/>
  <c r="J23" s="1"/>
  <c r="J24" s="1"/>
  <c r="J25" s="1"/>
  <c r="D20"/>
  <c r="F54" i="4"/>
  <c r="C73"/>
  <c r="C29"/>
  <c r="D10" i="11"/>
  <c r="C13" i="10"/>
  <c r="D42" i="16"/>
  <c r="I16"/>
  <c r="G69" i="4"/>
  <c r="G72" s="1"/>
  <c r="G54" s="1"/>
  <c r="H40" i="16"/>
  <c r="H16" i="9" s="1"/>
  <c r="G16" i="31"/>
  <c r="F18"/>
  <c r="J35" i="9"/>
  <c r="J48" i="4"/>
  <c r="H11" i="16"/>
  <c r="H12" s="1"/>
  <c r="M22"/>
  <c r="K67" i="4"/>
  <c r="G13" i="9"/>
  <c r="F97" i="4"/>
  <c r="G13" i="11" s="1"/>
  <c r="G58" i="4"/>
  <c r="H19" i="9"/>
  <c r="G57" i="4"/>
  <c r="I11" i="17"/>
  <c r="I19" s="1"/>
  <c r="I70" i="4"/>
  <c r="K28" i="16"/>
  <c r="K38"/>
  <c r="L35" s="1"/>
  <c r="L36" s="1"/>
  <c r="L37" s="1"/>
  <c r="J71" i="4"/>
  <c r="L34" i="16"/>
  <c r="H33" i="9"/>
  <c r="G104" i="4"/>
  <c r="H46"/>
  <c r="B96"/>
  <c r="C10" i="18" s="1"/>
  <c r="B20" i="10"/>
  <c r="B41" i="4"/>
  <c r="F32" i="31"/>
  <c r="M10" i="16"/>
  <c r="K68" i="4"/>
  <c r="K115" l="1"/>
  <c r="K86" s="1"/>
  <c r="K26" i="31" s="1"/>
  <c r="M14" i="38"/>
  <c r="M16" s="1"/>
  <c r="K170"/>
  <c r="Q37" i="3"/>
  <c r="Q47" s="1"/>
  <c r="L18" i="4" s="1"/>
  <c r="K171" i="38"/>
  <c r="M89" i="32"/>
  <c r="K17" i="13"/>
  <c r="J10" i="10" s="1"/>
  <c r="L136" i="4"/>
  <c r="L81" s="1"/>
  <c r="U126" i="5" s="1"/>
  <c r="G124" s="1"/>
  <c r="J28" i="31"/>
  <c r="J25" i="4"/>
  <c r="J27" s="1"/>
  <c r="J142"/>
  <c r="J144" s="1"/>
  <c r="B121"/>
  <c r="N97" i="38"/>
  <c r="M133" i="4"/>
  <c r="R87" i="3"/>
  <c r="M134" i="4"/>
  <c r="N99" i="38"/>
  <c r="K14" i="4"/>
  <c r="L9" i="12"/>
  <c r="Q128" i="3"/>
  <c r="L20" i="4" s="1"/>
  <c r="Q105" i="3"/>
  <c r="L109" i="38"/>
  <c r="L168"/>
  <c r="L171" s="1"/>
  <c r="L167"/>
  <c r="N120" i="32"/>
  <c r="N28"/>
  <c r="N136"/>
  <c r="N97"/>
  <c r="M5" i="4" s="1"/>
  <c r="N10" i="12" s="1"/>
  <c r="M12" i="34"/>
  <c r="M35" s="1"/>
  <c r="M13"/>
  <c r="M36" s="1"/>
  <c r="M15"/>
  <c r="M38" s="1"/>
  <c r="M14"/>
  <c r="M37" s="1"/>
  <c r="J23" i="4"/>
  <c r="J146"/>
  <c r="J147" s="1"/>
  <c r="M125" i="32"/>
  <c r="M8" i="38" s="1"/>
  <c r="L4" i="4"/>
  <c r="M112" i="32"/>
  <c r="M130" s="1"/>
  <c r="N104" i="38"/>
  <c r="S23" i="3"/>
  <c r="S25"/>
  <c r="S26"/>
  <c r="M144" i="32"/>
  <c r="M92" i="38"/>
  <c r="N144"/>
  <c r="N145"/>
  <c r="N148" s="1"/>
  <c r="J170"/>
  <c r="L40" i="34"/>
  <c r="L50" s="1"/>
  <c r="R28" i="3"/>
  <c r="K161" i="38"/>
  <c r="L15"/>
  <c r="L16"/>
  <c r="K23" i="31"/>
  <c r="L13" i="13"/>
  <c r="L17" s="1"/>
  <c r="K10" i="10" s="1"/>
  <c r="L12" i="38"/>
  <c r="L173"/>
  <c r="L159"/>
  <c r="L162" s="1"/>
  <c r="L158"/>
  <c r="L9"/>
  <c r="T20" i="3"/>
  <c r="O141" i="4"/>
  <c r="Y33" i="5"/>
  <c r="P3" i="32"/>
  <c r="T75" i="3"/>
  <c r="L103" i="4"/>
  <c r="J141" i="38"/>
  <c r="J151"/>
  <c r="J154" s="1"/>
  <c r="J152"/>
  <c r="J155" s="1"/>
  <c r="J147"/>
  <c r="K15" i="12"/>
  <c r="K18" s="1"/>
  <c r="J8" i="10" s="1"/>
  <c r="N16" i="32"/>
  <c r="N135"/>
  <c r="N117"/>
  <c r="N81"/>
  <c r="N82" s="1"/>
  <c r="N94"/>
  <c r="K141" i="38"/>
  <c r="K151"/>
  <c r="K154" s="1"/>
  <c r="K152"/>
  <c r="K155" s="1"/>
  <c r="K147"/>
  <c r="L11" i="12"/>
  <c r="S81" i="3"/>
  <c r="S84"/>
  <c r="O98" i="38" s="1"/>
  <c r="S82" i="3"/>
  <c r="S83"/>
  <c r="O100" i="38" s="1"/>
  <c r="S85" i="3"/>
  <c r="S86"/>
  <c r="O104" i="38" s="1"/>
  <c r="O10" i="32"/>
  <c r="O15" s="1"/>
  <c r="O34"/>
  <c r="O39" s="1"/>
  <c r="O22"/>
  <c r="O27" s="1"/>
  <c r="N11" i="34"/>
  <c r="O7" i="38"/>
  <c r="N40" i="32"/>
  <c r="N137"/>
  <c r="N100"/>
  <c r="N88"/>
  <c r="N144" s="1"/>
  <c r="B124" i="4"/>
  <c r="J26" i="31"/>
  <c r="K21" i="4"/>
  <c r="C9" i="21" s="1"/>
  <c r="L143" i="4"/>
  <c r="M106" i="38"/>
  <c r="M141" i="32"/>
  <c r="P132" i="38"/>
  <c r="R54" i="32"/>
  <c r="R103"/>
  <c r="R138"/>
  <c r="R140"/>
  <c r="S140" s="1"/>
  <c r="R84"/>
  <c r="S53"/>
  <c r="P24" i="38"/>
  <c r="P174"/>
  <c r="P21"/>
  <c r="P27"/>
  <c r="P28"/>
  <c r="R120"/>
  <c r="W93" i="3"/>
  <c r="R126" i="38"/>
  <c r="S126" s="1"/>
  <c r="W99" i="3"/>
  <c r="R128" i="38"/>
  <c r="S128" s="1"/>
  <c r="W101" i="3"/>
  <c r="R78" i="32"/>
  <c r="R109"/>
  <c r="Q127"/>
  <c r="Q20" i="38" s="1"/>
  <c r="P7" i="4"/>
  <c r="Q12" i="12" s="1"/>
  <c r="R114" i="38"/>
  <c r="S114" s="1"/>
  <c r="V103" i="3"/>
  <c r="W92"/>
  <c r="R124" i="38"/>
  <c r="S124" s="1"/>
  <c r="W96" i="3"/>
  <c r="R123" i="38"/>
  <c r="S123" s="1"/>
  <c r="W95" i="3"/>
  <c r="V35"/>
  <c r="W30"/>
  <c r="W35" s="1"/>
  <c r="R106" i="32"/>
  <c r="R66"/>
  <c r="R139"/>
  <c r="S139" s="1"/>
  <c r="O21" i="38"/>
  <c r="O24"/>
  <c r="O174"/>
  <c r="R125"/>
  <c r="S125" s="1"/>
  <c r="W97" i="3"/>
  <c r="R127" i="38"/>
  <c r="S127" s="1"/>
  <c r="W100" i="3"/>
  <c r="Q115" i="38"/>
  <c r="Q116" s="1"/>
  <c r="Q26"/>
  <c r="R121"/>
  <c r="S121" s="1"/>
  <c r="W94" i="3"/>
  <c r="R122" i="38"/>
  <c r="S122" s="1"/>
  <c r="W98" i="3"/>
  <c r="Q85" i="32"/>
  <c r="Z78" i="5"/>
  <c r="R96" i="32" s="1"/>
  <c r="Q96"/>
  <c r="Z77" i="5"/>
  <c r="R93" i="32" s="1"/>
  <c r="Q93"/>
  <c r="H32" i="16"/>
  <c r="I29" s="1"/>
  <c r="I30" s="1"/>
  <c r="I31" s="1"/>
  <c r="G32" i="31"/>
  <c r="I33" i="9"/>
  <c r="H104" i="4"/>
  <c r="I46"/>
  <c r="N22" i="16"/>
  <c r="L67" i="4"/>
  <c r="J26" i="16"/>
  <c r="K23" s="1"/>
  <c r="K24" s="1"/>
  <c r="K25" s="1"/>
  <c r="N10"/>
  <c r="L68" i="4"/>
  <c r="B82"/>
  <c r="L38" i="16"/>
  <c r="M35" s="1"/>
  <c r="M36" s="1"/>
  <c r="M37" s="1"/>
  <c r="M34"/>
  <c r="K71" i="4"/>
  <c r="H13" i="9"/>
  <c r="G97" i="4"/>
  <c r="H13" i="11" s="1"/>
  <c r="H58" i="4"/>
  <c r="K35" i="9"/>
  <c r="K48" i="4"/>
  <c r="H16" i="31"/>
  <c r="G18"/>
  <c r="D17" i="9"/>
  <c r="D18" s="1"/>
  <c r="C74" i="4"/>
  <c r="C55" s="1"/>
  <c r="C56" s="1"/>
  <c r="C93"/>
  <c r="C33"/>
  <c r="C36" i="11"/>
  <c r="L28" i="16"/>
  <c r="J70" i="4"/>
  <c r="H13" i="16"/>
  <c r="J16"/>
  <c r="H69" i="4"/>
  <c r="H72" s="1"/>
  <c r="H54" s="1"/>
  <c r="I40" i="16"/>
  <c r="I16" i="9" s="1"/>
  <c r="E17" i="16"/>
  <c r="E18" s="1"/>
  <c r="D43"/>
  <c r="C75" i="4" s="1"/>
  <c r="I19" i="9"/>
  <c r="J11" i="17"/>
  <c r="J19" s="1"/>
  <c r="H57" i="4"/>
  <c r="C16" i="10"/>
  <c r="B98" i="4"/>
  <c r="M15" i="38" l="1"/>
  <c r="L170"/>
  <c r="M136" i="4"/>
  <c r="L161" i="38"/>
  <c r="J12" i="10"/>
  <c r="M11" i="13"/>
  <c r="L22" i="31"/>
  <c r="N89" i="32"/>
  <c r="M24" i="11"/>
  <c r="L18" i="12"/>
  <c r="K8" i="10" s="1"/>
  <c r="K12" s="1"/>
  <c r="L137" i="4"/>
  <c r="O40" i="32"/>
  <c r="O137"/>
  <c r="O100"/>
  <c r="N6" i="4" s="1"/>
  <c r="O11" i="12" s="1"/>
  <c r="O88" i="32"/>
  <c r="N118"/>
  <c r="U75" i="3"/>
  <c r="P141" i="4"/>
  <c r="U20" i="3"/>
  <c r="Z33" i="5"/>
  <c r="Q3" i="32"/>
  <c r="M109" i="38"/>
  <c r="M168"/>
  <c r="M167"/>
  <c r="K146" i="4"/>
  <c r="K147" s="1"/>
  <c r="K23"/>
  <c r="O136" i="32"/>
  <c r="O28"/>
  <c r="O97"/>
  <c r="N5" i="4" s="1"/>
  <c r="O10" i="12" s="1"/>
  <c r="O103" i="38"/>
  <c r="O97"/>
  <c r="N133" i="4"/>
  <c r="S87" i="3"/>
  <c r="N10" i="38"/>
  <c r="N11" s="1"/>
  <c r="P34" i="32"/>
  <c r="P39" s="1"/>
  <c r="P7" i="38"/>
  <c r="P10" i="32"/>
  <c r="P15" s="1"/>
  <c r="P22"/>
  <c r="P27" s="1"/>
  <c r="O11" i="34"/>
  <c r="M158" i="38"/>
  <c r="M9"/>
  <c r="M12"/>
  <c r="M173"/>
  <c r="M159"/>
  <c r="M162" s="1"/>
  <c r="M12" i="4"/>
  <c r="N16" i="12" s="1"/>
  <c r="K142" i="4"/>
  <c r="K144" s="1"/>
  <c r="K25"/>
  <c r="K27" s="1"/>
  <c r="K28" i="31"/>
  <c r="K31" s="1"/>
  <c r="S28" i="3"/>
  <c r="N106" i="38"/>
  <c r="J31" i="31"/>
  <c r="C8" i="21"/>
  <c r="C11" s="1"/>
  <c r="M6" i="4"/>
  <c r="N14" i="34"/>
  <c r="N37" s="1"/>
  <c r="N15"/>
  <c r="N38" s="1"/>
  <c r="N13"/>
  <c r="N36" s="1"/>
  <c r="N12"/>
  <c r="N35" s="1"/>
  <c r="N112" i="32"/>
  <c r="M4" i="4"/>
  <c r="T85" i="3"/>
  <c r="P103" i="38" s="1"/>
  <c r="T81" i="3"/>
  <c r="T84"/>
  <c r="P98" i="38" s="1"/>
  <c r="T83" i="3"/>
  <c r="P100" i="38" s="1"/>
  <c r="T82" i="3"/>
  <c r="T86"/>
  <c r="P104" i="38" s="1"/>
  <c r="T26" i="3"/>
  <c r="T25"/>
  <c r="T23"/>
  <c r="L14" i="4"/>
  <c r="M9" i="12"/>
  <c r="M18" s="1"/>
  <c r="L8" i="10" s="1"/>
  <c r="L141" i="38"/>
  <c r="L151"/>
  <c r="L154" s="1"/>
  <c r="L152"/>
  <c r="L155" s="1"/>
  <c r="L147"/>
  <c r="R128" i="3"/>
  <c r="M20" i="4" s="1"/>
  <c r="N13" i="13" s="1"/>
  <c r="R105" i="3"/>
  <c r="O145" i="38"/>
  <c r="O148" s="1"/>
  <c r="O144"/>
  <c r="O135" i="32"/>
  <c r="O16"/>
  <c r="O120"/>
  <c r="N12" i="4" s="1"/>
  <c r="O16" i="12" s="1"/>
  <c r="O117" i="32"/>
  <c r="O118" s="1"/>
  <c r="N11" i="4" s="1"/>
  <c r="O15" i="12" s="1"/>
  <c r="O81" i="32"/>
  <c r="O10" i="38" s="1"/>
  <c r="O11" s="1"/>
  <c r="O94" i="32"/>
  <c r="N134" i="4"/>
  <c r="O99" i="38"/>
  <c r="N91"/>
  <c r="N92" s="1"/>
  <c r="N14"/>
  <c r="R37" i="3"/>
  <c r="R47" s="1"/>
  <c r="M18" i="4" s="1"/>
  <c r="M166" i="38"/>
  <c r="M165"/>
  <c r="L23" i="31"/>
  <c r="M13" i="13"/>
  <c r="L21" i="4"/>
  <c r="L114"/>
  <c r="L115" s="1"/>
  <c r="L86" s="1"/>
  <c r="L26" i="31" s="1"/>
  <c r="M143" i="4"/>
  <c r="B127"/>
  <c r="N141" i="32"/>
  <c r="M40" i="34"/>
  <c r="M50" s="1"/>
  <c r="R85" i="32"/>
  <c r="Q132" i="38"/>
  <c r="R26"/>
  <c r="Q8" i="4"/>
  <c r="S106" i="32"/>
  <c r="Q174" i="38"/>
  <c r="Q24"/>
  <c r="Q21"/>
  <c r="R130"/>
  <c r="S120"/>
  <c r="R22"/>
  <c r="R23" s="1"/>
  <c r="S84" i="32"/>
  <c r="W103" i="3"/>
  <c r="X95" s="1"/>
  <c r="Q28" i="38"/>
  <c r="Q27"/>
  <c r="R115"/>
  <c r="Q9" i="4"/>
  <c r="S109" i="32"/>
  <c r="Q7" i="4"/>
  <c r="R127" i="32"/>
  <c r="S103"/>
  <c r="S138"/>
  <c r="I32" i="16"/>
  <c r="J29" s="1"/>
  <c r="J30" s="1"/>
  <c r="J31" s="1"/>
  <c r="K26"/>
  <c r="L23" s="1"/>
  <c r="L24" s="1"/>
  <c r="J19" i="9"/>
  <c r="K11" i="17"/>
  <c r="K19" s="1"/>
  <c r="I57" i="4"/>
  <c r="H14" i="16"/>
  <c r="H97" i="4"/>
  <c r="I13" i="11" s="1"/>
  <c r="I58" i="4"/>
  <c r="I13" i="9"/>
  <c r="M38" i="16"/>
  <c r="N35" s="1"/>
  <c r="N36" s="1"/>
  <c r="N37" s="1"/>
  <c r="N34"/>
  <c r="L71" i="4"/>
  <c r="M68"/>
  <c r="O10" i="16"/>
  <c r="C92" i="4"/>
  <c r="C35"/>
  <c r="C36"/>
  <c r="B88"/>
  <c r="E41" i="16"/>
  <c r="E19"/>
  <c r="L35" i="9"/>
  <c r="L48" i="4"/>
  <c r="O22" i="16"/>
  <c r="M67" i="4"/>
  <c r="I69"/>
  <c r="I72" s="1"/>
  <c r="K16" i="16"/>
  <c r="J40"/>
  <c r="J16" i="9" s="1"/>
  <c r="K70" i="4"/>
  <c r="M28" i="16"/>
  <c r="H18" i="31"/>
  <c r="I16"/>
  <c r="I104" i="4"/>
  <c r="J33" i="9"/>
  <c r="J46" i="4"/>
  <c r="H32" i="31"/>
  <c r="M161" i="38" l="1"/>
  <c r="M137" i="4"/>
  <c r="M171" i="38"/>
  <c r="F20" i="21"/>
  <c r="O89" i="32"/>
  <c r="O82"/>
  <c r="M17" i="13"/>
  <c r="L10" i="10" s="1"/>
  <c r="L12" s="1"/>
  <c r="M170" i="38"/>
  <c r="N136" i="4"/>
  <c r="N15" i="38"/>
  <c r="N16"/>
  <c r="N4" i="4"/>
  <c r="O125" i="32"/>
  <c r="O8" i="38" s="1"/>
  <c r="O112" i="32"/>
  <c r="O130" s="1"/>
  <c r="O134" i="4"/>
  <c r="P99" i="38"/>
  <c r="P16" i="32"/>
  <c r="P117"/>
  <c r="P118" s="1"/>
  <c r="O11" i="4" s="1"/>
  <c r="P15" i="12" s="1"/>
  <c r="P120" i="32"/>
  <c r="O12" i="4" s="1"/>
  <c r="P16" i="12" s="1"/>
  <c r="P135" i="32"/>
  <c r="P81"/>
  <c r="P10" i="38" s="1"/>
  <c r="P11" s="1"/>
  <c r="P94" i="32"/>
  <c r="U26" i="3"/>
  <c r="U25"/>
  <c r="U23"/>
  <c r="M11" i="4"/>
  <c r="M21"/>
  <c r="M114"/>
  <c r="M115" s="1"/>
  <c r="M86" s="1"/>
  <c r="N11" i="13"/>
  <c r="N17" s="1"/>
  <c r="M10" i="10" s="1"/>
  <c r="L28" i="31"/>
  <c r="L31" s="1"/>
  <c r="L142" i="4"/>
  <c r="L144" s="1"/>
  <c r="L25"/>
  <c r="L27" s="1"/>
  <c r="O133"/>
  <c r="P97" i="38"/>
  <c r="T87" i="3"/>
  <c r="O91" i="38"/>
  <c r="O92" s="1"/>
  <c r="S37" i="3"/>
  <c r="S47" s="1"/>
  <c r="N18" i="4" s="1"/>
  <c r="P136" i="32"/>
  <c r="P28"/>
  <c r="P97"/>
  <c r="O5" i="4" s="1"/>
  <c r="P10" i="12" s="1"/>
  <c r="V20" i="3"/>
  <c r="R3" i="32"/>
  <c r="V75" i="3"/>
  <c r="Q141" i="4"/>
  <c r="T28" i="3"/>
  <c r="N40" i="34"/>
  <c r="N50" s="1"/>
  <c r="N130" i="32"/>
  <c r="O106" i="38"/>
  <c r="L23" i="4"/>
  <c r="L146"/>
  <c r="L147" s="1"/>
  <c r="N9" i="12"/>
  <c r="N109" i="38"/>
  <c r="N168"/>
  <c r="N167"/>
  <c r="O15" i="34"/>
  <c r="O38" s="1"/>
  <c r="O12"/>
  <c r="O35" s="1"/>
  <c r="O13"/>
  <c r="O36" s="1"/>
  <c r="O14"/>
  <c r="O37" s="1"/>
  <c r="P137" i="32"/>
  <c r="P40"/>
  <c r="P100"/>
  <c r="P88"/>
  <c r="P11" i="34"/>
  <c r="Q22" i="32"/>
  <c r="Q27" s="1"/>
  <c r="Q7" i="38"/>
  <c r="Q10" i="32"/>
  <c r="Q15" s="1"/>
  <c r="Q34"/>
  <c r="Q39" s="1"/>
  <c r="U83" i="3"/>
  <c r="U84"/>
  <c r="Q98" i="38" s="1"/>
  <c r="U82" i="3"/>
  <c r="U81"/>
  <c r="U85"/>
  <c r="Q103" i="38" s="1"/>
  <c r="U86" i="3"/>
  <c r="O144" i="32"/>
  <c r="D6" i="21"/>
  <c r="N166" i="38"/>
  <c r="N165"/>
  <c r="N11" i="12"/>
  <c r="P144" i="38"/>
  <c r="P145"/>
  <c r="P148" s="1"/>
  <c r="O14"/>
  <c r="S105" i="3"/>
  <c r="S128"/>
  <c r="N20" i="4" s="1"/>
  <c r="O13" i="13" s="1"/>
  <c r="M141" i="38"/>
  <c r="M151"/>
  <c r="M154" s="1"/>
  <c r="M152"/>
  <c r="M155" s="1"/>
  <c r="M147"/>
  <c r="O141" i="32"/>
  <c r="N125"/>
  <c r="N8" i="38" s="1"/>
  <c r="N143" i="4"/>
  <c r="X101" i="3"/>
  <c r="R12" i="12"/>
  <c r="R7" i="4"/>
  <c r="R116" i="38"/>
  <c r="R132" s="1"/>
  <c r="S115"/>
  <c r="S116" s="1"/>
  <c r="R13" i="12"/>
  <c r="R8" i="4"/>
  <c r="R20" i="38"/>
  <c r="S127" i="32"/>
  <c r="S130" i="38"/>
  <c r="X94" i="3"/>
  <c r="X96"/>
  <c r="X97"/>
  <c r="R14" i="12"/>
  <c r="R9" i="4"/>
  <c r="X92" i="3"/>
  <c r="X103"/>
  <c r="R28" i="38"/>
  <c r="R27"/>
  <c r="X100" i="3"/>
  <c r="X93"/>
  <c r="W105"/>
  <c r="X98"/>
  <c r="X99"/>
  <c r="J32" i="16"/>
  <c r="K29" s="1"/>
  <c r="K30" s="1"/>
  <c r="K31" s="1"/>
  <c r="I54" i="4"/>
  <c r="B89"/>
  <c r="K46"/>
  <c r="J104"/>
  <c r="K33" i="9"/>
  <c r="I18" i="31"/>
  <c r="J16"/>
  <c r="N67" i="4"/>
  <c r="P22" i="16"/>
  <c r="I32" i="31"/>
  <c r="C20" i="10"/>
  <c r="C96" i="4"/>
  <c r="D10" i="18" s="1"/>
  <c r="C41" i="4"/>
  <c r="I11" i="16"/>
  <c r="I12" s="1"/>
  <c r="N28"/>
  <c r="L70" i="4"/>
  <c r="L16" i="16"/>
  <c r="J69" i="4"/>
  <c r="J72" s="1"/>
  <c r="J54" s="1"/>
  <c r="K40" i="16"/>
  <c r="K16" i="9" s="1"/>
  <c r="D29" i="4"/>
  <c r="D13" i="10"/>
  <c r="E10" i="11"/>
  <c r="D73" i="4"/>
  <c r="E42" i="16"/>
  <c r="P10"/>
  <c r="N68" i="4"/>
  <c r="O34" i="16"/>
  <c r="N38"/>
  <c r="O35" s="1"/>
  <c r="O36" s="1"/>
  <c r="O37" s="1"/>
  <c r="M71" i="4"/>
  <c r="L11" i="17"/>
  <c r="L19" s="1"/>
  <c r="K19" i="9"/>
  <c r="J57" i="4"/>
  <c r="C38"/>
  <c r="M35" i="9"/>
  <c r="M48" i="4"/>
  <c r="E20" i="16"/>
  <c r="J58" i="4"/>
  <c r="J13" i="9"/>
  <c r="I97" i="4"/>
  <c r="J13" i="11" s="1"/>
  <c r="L25" i="16"/>
  <c r="N137" i="4" l="1"/>
  <c r="O136"/>
  <c r="O143"/>
  <c r="N170" i="38"/>
  <c r="Q104"/>
  <c r="Q145"/>
  <c r="Q148" s="1"/>
  <c r="Q144"/>
  <c r="O6" i="4"/>
  <c r="O109" i="38"/>
  <c r="O168"/>
  <c r="O167"/>
  <c r="V81" i="3"/>
  <c r="V84"/>
  <c r="R98" i="38" s="1"/>
  <c r="S98" s="1"/>
  <c r="V82" i="3"/>
  <c r="W82" s="1"/>
  <c r="V85"/>
  <c r="V83"/>
  <c r="R100" i="38" s="1"/>
  <c r="V86" i="3"/>
  <c r="R104" i="38" s="1"/>
  <c r="S104" s="1"/>
  <c r="O166"/>
  <c r="O171" s="1"/>
  <c r="O165"/>
  <c r="N15" i="12"/>
  <c r="N14" i="4"/>
  <c r="O9" i="12"/>
  <c r="O18" s="1"/>
  <c r="N8" i="10" s="1"/>
  <c r="O16" i="38"/>
  <c r="O15"/>
  <c r="P134" i="4"/>
  <c r="Q99" i="38"/>
  <c r="Q81" i="32"/>
  <c r="Q10" i="38" s="1"/>
  <c r="Q11" s="1"/>
  <c r="Q135" i="32"/>
  <c r="Q117"/>
  <c r="Q120"/>
  <c r="Q16"/>
  <c r="Q94"/>
  <c r="P144"/>
  <c r="N114" i="4"/>
  <c r="N115" s="1"/>
  <c r="N86" s="1"/>
  <c r="O11" i="13"/>
  <c r="O17" s="1"/>
  <c r="N10" i="10" s="1"/>
  <c r="N21" i="4"/>
  <c r="D9" i="21" s="1"/>
  <c r="O9" i="38"/>
  <c r="O12"/>
  <c r="O159"/>
  <c r="O162" s="1"/>
  <c r="O158"/>
  <c r="O173"/>
  <c r="P82" i="32"/>
  <c r="M14" i="4"/>
  <c r="M23" s="1"/>
  <c r="P89" i="32"/>
  <c r="P106" i="38"/>
  <c r="P141" i="32"/>
  <c r="N173" i="38"/>
  <c r="N12"/>
  <c r="N158"/>
  <c r="N161" s="1"/>
  <c r="N9"/>
  <c r="N159"/>
  <c r="N162" s="1"/>
  <c r="P133" i="4"/>
  <c r="Q97" i="38"/>
  <c r="U87" i="3"/>
  <c r="Q137" i="32"/>
  <c r="Q40"/>
  <c r="Q100"/>
  <c r="P6" i="4" s="1"/>
  <c r="Q11" i="12" s="1"/>
  <c r="Q88" i="32"/>
  <c r="P12" i="34"/>
  <c r="P35" s="1"/>
  <c r="P15"/>
  <c r="P38" s="1"/>
  <c r="P14"/>
  <c r="P37" s="1"/>
  <c r="P13"/>
  <c r="P36" s="1"/>
  <c r="P91" i="38"/>
  <c r="P92" s="1"/>
  <c r="P14"/>
  <c r="T37" i="3"/>
  <c r="V25"/>
  <c r="W25" s="1"/>
  <c r="V26"/>
  <c r="W26" s="1"/>
  <c r="V23"/>
  <c r="T128"/>
  <c r="T105"/>
  <c r="M146" i="4"/>
  <c r="M147" s="1"/>
  <c r="Q100" i="38"/>
  <c r="Q136" i="32"/>
  <c r="Q28"/>
  <c r="Q97"/>
  <c r="P5" i="4" s="1"/>
  <c r="N141" i="38"/>
  <c r="N151"/>
  <c r="N154" s="1"/>
  <c r="N152"/>
  <c r="N155" s="1"/>
  <c r="N147"/>
  <c r="R7"/>
  <c r="R22" i="32"/>
  <c r="R27" s="1"/>
  <c r="S27" s="1"/>
  <c r="R10"/>
  <c r="R15" s="1"/>
  <c r="Q11" i="34"/>
  <c r="R34" i="32"/>
  <c r="R39" s="1"/>
  <c r="P125"/>
  <c r="P8" i="38" s="1"/>
  <c r="O4" i="4"/>
  <c r="P112" i="32"/>
  <c r="N18" i="12"/>
  <c r="M8" i="10" s="1"/>
  <c r="M12" s="1"/>
  <c r="N171" i="38"/>
  <c r="O40" i="34"/>
  <c r="O50" s="1"/>
  <c r="U28" i="3"/>
  <c r="S132" i="38"/>
  <c r="R21"/>
  <c r="R174"/>
  <c r="R24"/>
  <c r="K32" i="16"/>
  <c r="L29" s="1"/>
  <c r="L30" s="1"/>
  <c r="L31" s="1"/>
  <c r="K57" i="4"/>
  <c r="L19" i="9"/>
  <c r="M11" i="17"/>
  <c r="M19" s="1"/>
  <c r="D74" i="4"/>
  <c r="D55" s="1"/>
  <c r="D56" s="1"/>
  <c r="E17" i="9"/>
  <c r="E18" s="1"/>
  <c r="L26" i="16"/>
  <c r="M23" s="1"/>
  <c r="M24" s="1"/>
  <c r="M25" s="1"/>
  <c r="F17"/>
  <c r="F18" s="1"/>
  <c r="E43"/>
  <c r="D75" i="4" s="1"/>
  <c r="C39"/>
  <c r="D9" i="11"/>
  <c r="D14" s="1"/>
  <c r="D93" i="4"/>
  <c r="D33"/>
  <c r="K69"/>
  <c r="K72" s="1"/>
  <c r="K54" s="1"/>
  <c r="M16" i="16"/>
  <c r="L40"/>
  <c r="L16" i="9" s="1"/>
  <c r="K16" i="31"/>
  <c r="J18"/>
  <c r="C82" i="4"/>
  <c r="N35" i="9"/>
  <c r="P34" i="16"/>
  <c r="N71" i="4"/>
  <c r="O38" i="16"/>
  <c r="P35" s="1"/>
  <c r="P36" s="1"/>
  <c r="P37" s="1"/>
  <c r="O68" i="4"/>
  <c r="Q10" i="16"/>
  <c r="J32" i="31"/>
  <c r="B50" i="4"/>
  <c r="B22" i="20"/>
  <c r="C20" s="1"/>
  <c r="K58" i="4"/>
  <c r="J97"/>
  <c r="K13" i="11" s="1"/>
  <c r="K13" i="9"/>
  <c r="D16" i="10"/>
  <c r="M70" i="4"/>
  <c r="O28" i="16"/>
  <c r="I13"/>
  <c r="Q22"/>
  <c r="O67" i="4"/>
  <c r="L33" i="9"/>
  <c r="L46" i="4"/>
  <c r="K104"/>
  <c r="C98"/>
  <c r="O137" l="1"/>
  <c r="W83" i="3"/>
  <c r="O170" i="38"/>
  <c r="P136" i="4"/>
  <c r="Q82" i="32"/>
  <c r="W86" i="3"/>
  <c r="W84"/>
  <c r="O161" i="38"/>
  <c r="S100"/>
  <c r="Q91"/>
  <c r="Q92" s="1"/>
  <c r="Q14"/>
  <c r="U37" i="3"/>
  <c r="U47" s="1"/>
  <c r="P18" i="4" s="1"/>
  <c r="R40" i="32"/>
  <c r="R137"/>
  <c r="S137" s="1"/>
  <c r="R100"/>
  <c r="R88"/>
  <c r="R144" s="1"/>
  <c r="R145" i="38"/>
  <c r="R148" s="1"/>
  <c r="R144"/>
  <c r="Q144" i="32"/>
  <c r="S88"/>
  <c r="F6" i="21" s="1"/>
  <c r="U128" i="3"/>
  <c r="P20" i="4" s="1"/>
  <c r="Q13" i="13" s="1"/>
  <c r="U105" i="3"/>
  <c r="Q133" i="4"/>
  <c r="R97" i="38"/>
  <c r="V87" i="3"/>
  <c r="W87" s="1"/>
  <c r="X82" s="1"/>
  <c r="P173" i="38"/>
  <c r="P9"/>
  <c r="P159"/>
  <c r="P162" s="1"/>
  <c r="P158"/>
  <c r="P12"/>
  <c r="R28" i="32"/>
  <c r="R136"/>
  <c r="S136" s="1"/>
  <c r="R97"/>
  <c r="P166" i="38"/>
  <c r="P165"/>
  <c r="Q112" i="32"/>
  <c r="P4" i="4"/>
  <c r="O141" i="38"/>
  <c r="O151"/>
  <c r="O154" s="1"/>
  <c r="O152"/>
  <c r="O155" s="1"/>
  <c r="O147"/>
  <c r="P40" i="34"/>
  <c r="P50" s="1"/>
  <c r="P143" i="4"/>
  <c r="S39" i="32"/>
  <c r="Q89"/>
  <c r="Q141"/>
  <c r="P9" i="12"/>
  <c r="O14" i="4"/>
  <c r="R120" i="32"/>
  <c r="Q12" i="4" s="1"/>
  <c r="R16" i="12" s="1"/>
  <c r="R117" i="32"/>
  <c r="R118" s="1"/>
  <c r="Q11" i="4" s="1"/>
  <c r="R15" i="12" s="1"/>
  <c r="R135" i="32"/>
  <c r="R16"/>
  <c r="R81"/>
  <c r="R10" i="38" s="1"/>
  <c r="R11" s="1"/>
  <c r="R94" i="32"/>
  <c r="S15"/>
  <c r="V28" i="3"/>
  <c r="W23"/>
  <c r="P16" i="38"/>
  <c r="P15"/>
  <c r="P109"/>
  <c r="P167"/>
  <c r="P168"/>
  <c r="N146" i="4"/>
  <c r="N147" s="1"/>
  <c r="N23"/>
  <c r="Q118" i="32"/>
  <c r="Q125" s="1"/>
  <c r="S117"/>
  <c r="D8" i="21"/>
  <c r="D11" s="1"/>
  <c r="N25" i="4"/>
  <c r="N27" s="1"/>
  <c r="N142"/>
  <c r="N144" s="1"/>
  <c r="Q134"/>
  <c r="R134" s="1"/>
  <c r="R99" i="38"/>
  <c r="S99" s="1"/>
  <c r="P130" i="32"/>
  <c r="Q13" i="34"/>
  <c r="Q36" s="1"/>
  <c r="Q12"/>
  <c r="Q35" s="1"/>
  <c r="Q15"/>
  <c r="Q38" s="1"/>
  <c r="Q14"/>
  <c r="Q37" s="1"/>
  <c r="Q10" i="12"/>
  <c r="O20" i="4"/>
  <c r="T47" i="3"/>
  <c r="M25" i="4"/>
  <c r="M27" s="1"/>
  <c r="M142"/>
  <c r="M144" s="1"/>
  <c r="P12"/>
  <c r="Q16" i="12" s="1"/>
  <c r="R103" i="38"/>
  <c r="S103" s="1"/>
  <c r="W85" i="3"/>
  <c r="P11" i="12"/>
  <c r="W81" i="3"/>
  <c r="Q106" i="38"/>
  <c r="N12" i="10"/>
  <c r="L32" i="16"/>
  <c r="M29" s="1"/>
  <c r="M30" s="1"/>
  <c r="M31" s="1"/>
  <c r="M26"/>
  <c r="N23" s="1"/>
  <c r="N24" s="1"/>
  <c r="M33" i="9"/>
  <c r="L104" i="4"/>
  <c r="M46"/>
  <c r="C9" i="14"/>
  <c r="B99" i="4"/>
  <c r="B35" i="31"/>
  <c r="B33"/>
  <c r="L16"/>
  <c r="L18" s="1"/>
  <c r="K18"/>
  <c r="R22" i="16"/>
  <c r="P67" i="4"/>
  <c r="N70"/>
  <c r="P28" i="16"/>
  <c r="D92" i="4"/>
  <c r="D35"/>
  <c r="D36"/>
  <c r="D38" s="1"/>
  <c r="M19" i="9"/>
  <c r="L57" i="4"/>
  <c r="L13" i="9"/>
  <c r="K97" i="4"/>
  <c r="L13" i="11" s="1"/>
  <c r="L58" i="4"/>
  <c r="K32" i="31"/>
  <c r="L69" i="4"/>
  <c r="L72" s="1"/>
  <c r="N16" i="16"/>
  <c r="M40"/>
  <c r="M16" i="9" s="1"/>
  <c r="D36" i="11"/>
  <c r="P68" i="4"/>
  <c r="R10" i="16"/>
  <c r="I14"/>
  <c r="P38"/>
  <c r="Q35" s="1"/>
  <c r="Q36" s="1"/>
  <c r="Q37" s="1"/>
  <c r="Q34"/>
  <c r="O71" i="4"/>
  <c r="C88"/>
  <c r="F41" i="16"/>
  <c r="F19"/>
  <c r="P137" i="4" l="1"/>
  <c r="Q143"/>
  <c r="S144" i="32"/>
  <c r="X85" i="3"/>
  <c r="R82" i="32"/>
  <c r="S120"/>
  <c r="P171" i="38"/>
  <c r="P18" i="12"/>
  <c r="O8" i="10" s="1"/>
  <c r="Q8" i="38"/>
  <c r="S135" i="32"/>
  <c r="S141" s="1"/>
  <c r="R141"/>
  <c r="R106" i="38"/>
  <c r="S97"/>
  <c r="P21" i="4"/>
  <c r="Q11" i="13"/>
  <c r="Q17" s="1"/>
  <c r="P10" i="10" s="1"/>
  <c r="P114" i="4"/>
  <c r="P13" i="13"/>
  <c r="P141" i="38"/>
  <c r="P151"/>
  <c r="P154" s="1"/>
  <c r="P152"/>
  <c r="P155" s="1"/>
  <c r="P147"/>
  <c r="R91"/>
  <c r="R14"/>
  <c r="V37" i="3"/>
  <c r="O142" i="4"/>
  <c r="O144" s="1"/>
  <c r="Q5"/>
  <c r="S97" i="32"/>
  <c r="V105" i="3"/>
  <c r="V128"/>
  <c r="Q40" i="34"/>
  <c r="Q50" s="1"/>
  <c r="Q130" i="32"/>
  <c r="R89"/>
  <c r="X86" i="3"/>
  <c r="P161" i="38"/>
  <c r="Q109"/>
  <c r="Q168"/>
  <c r="Q167"/>
  <c r="P11" i="4"/>
  <c r="S118" i="32"/>
  <c r="W28" i="3"/>
  <c r="X81"/>
  <c r="X77"/>
  <c r="X78"/>
  <c r="X79"/>
  <c r="P14" i="4"/>
  <c r="Q9" i="12"/>
  <c r="Q166" i="38"/>
  <c r="Q165"/>
  <c r="O18" i="4"/>
  <c r="O21" s="1"/>
  <c r="O25" s="1"/>
  <c r="Q4"/>
  <c r="R4" s="1"/>
  <c r="R112" i="32"/>
  <c r="R125"/>
  <c r="R8" i="38" s="1"/>
  <c r="S94" i="32"/>
  <c r="Q136" i="4"/>
  <c r="R136" s="1"/>
  <c r="R133"/>
  <c r="Q6"/>
  <c r="S100" i="32"/>
  <c r="Q15" i="38"/>
  <c r="Q16"/>
  <c r="E6" i="21"/>
  <c r="S81" i="32"/>
  <c r="X84" i="3"/>
  <c r="X83"/>
  <c r="P170" i="38"/>
  <c r="M32" i="16"/>
  <c r="N29" s="1"/>
  <c r="N30" s="1"/>
  <c r="N31" s="1"/>
  <c r="Q28"/>
  <c r="O70" i="4"/>
  <c r="C29" i="9"/>
  <c r="F20" i="16"/>
  <c r="E9" i="11"/>
  <c r="E14" s="1"/>
  <c r="D39" i="4"/>
  <c r="C89"/>
  <c r="M58"/>
  <c r="L97"/>
  <c r="M13" i="11" s="1"/>
  <c r="M13" i="9"/>
  <c r="D20" i="10"/>
  <c r="D96" i="4"/>
  <c r="E10" i="18" s="1"/>
  <c r="D41" i="4"/>
  <c r="Q67"/>
  <c r="J11" i="16"/>
  <c r="J12" s="1"/>
  <c r="O16"/>
  <c r="M69" i="4"/>
  <c r="M72" s="1"/>
  <c r="M54" s="1"/>
  <c r="N40" i="16"/>
  <c r="N16" i="9" s="1"/>
  <c r="E13" i="10"/>
  <c r="F10" i="11"/>
  <c r="E29" i="4"/>
  <c r="E73"/>
  <c r="F42" i="16"/>
  <c r="P71" i="4"/>
  <c r="Q38" i="16"/>
  <c r="R35" s="1"/>
  <c r="R36" s="1"/>
  <c r="R37" s="1"/>
  <c r="R34"/>
  <c r="Q68" i="4"/>
  <c r="L54"/>
  <c r="L32" i="31"/>
  <c r="N33" i="9"/>
  <c r="M104" i="4"/>
  <c r="N46"/>
  <c r="N25" i="16"/>
  <c r="Q137" i="4" l="1"/>
  <c r="Q170" i="38"/>
  <c r="O27" i="4"/>
  <c r="R130" i="32"/>
  <c r="S112"/>
  <c r="Q9" i="38"/>
  <c r="Q158"/>
  <c r="Q161" s="1"/>
  <c r="Q173"/>
  <c r="Q12"/>
  <c r="Q159"/>
  <c r="Q162" s="1"/>
  <c r="Q14" i="4"/>
  <c r="R14" s="1"/>
  <c r="R9" i="12"/>
  <c r="Q15"/>
  <c r="Q18" s="1"/>
  <c r="R11" i="4"/>
  <c r="R92" i="38"/>
  <c r="R109" s="1"/>
  <c r="S91"/>
  <c r="S92" s="1"/>
  <c r="S106"/>
  <c r="R167"/>
  <c r="R168"/>
  <c r="Q171"/>
  <c r="S125" i="32"/>
  <c r="Q141" i="38"/>
  <c r="Q152"/>
  <c r="Q155" s="1"/>
  <c r="Q151"/>
  <c r="Q154" s="1"/>
  <c r="Q147"/>
  <c r="Q20" i="4"/>
  <c r="W128" i="3"/>
  <c r="R15" i="38"/>
  <c r="R16"/>
  <c r="O146" i="4"/>
  <c r="O147" s="1"/>
  <c r="O23"/>
  <c r="R11" i="12"/>
  <c r="R6" i="4"/>
  <c r="R159" i="38"/>
  <c r="R162" s="1"/>
  <c r="R173"/>
  <c r="R12"/>
  <c r="R9"/>
  <c r="R158"/>
  <c r="P11" i="13"/>
  <c r="P17" s="1"/>
  <c r="O114" i="4"/>
  <c r="O115" s="1"/>
  <c r="O86" s="1"/>
  <c r="P25"/>
  <c r="P27" s="1"/>
  <c r="P142"/>
  <c r="P144" s="1"/>
  <c r="Y28" i="3"/>
  <c r="R10" i="12"/>
  <c r="R5" i="4"/>
  <c r="V47" i="3"/>
  <c r="W37"/>
  <c r="P146" i="4"/>
  <c r="P147" s="1"/>
  <c r="P23"/>
  <c r="D98"/>
  <c r="N32" i="16"/>
  <c r="O29" s="1"/>
  <c r="O30" s="1"/>
  <c r="O31" s="1"/>
  <c r="N69" i="4"/>
  <c r="N72" s="1"/>
  <c r="P16" i="16"/>
  <c r="O40"/>
  <c r="O16" i="9" s="1"/>
  <c r="N26" i="16"/>
  <c r="O23" s="1"/>
  <c r="O24" s="1"/>
  <c r="O25" s="1"/>
  <c r="R38"/>
  <c r="Q71" i="4"/>
  <c r="E16" i="10"/>
  <c r="C50" i="4"/>
  <c r="C22" i="20"/>
  <c r="F17" i="9"/>
  <c r="F18" s="1"/>
  <c r="E74" i="4"/>
  <c r="E55" s="1"/>
  <c r="E56" s="1"/>
  <c r="E93"/>
  <c r="E33"/>
  <c r="J13" i="16"/>
  <c r="N58" i="4"/>
  <c r="M97"/>
  <c r="N13" i="11" s="1"/>
  <c r="N13" i="9"/>
  <c r="E36" i="11"/>
  <c r="O33" i="9"/>
  <c r="N104" i="4"/>
  <c r="O46"/>
  <c r="G17" i="16"/>
  <c r="G18" s="1"/>
  <c r="F43"/>
  <c r="E75" i="4" s="1"/>
  <c r="D82"/>
  <c r="C31" i="9"/>
  <c r="B21" i="20"/>
  <c r="C24" s="1"/>
  <c r="R28" i="16"/>
  <c r="P70" i="4"/>
  <c r="AN5" l="1"/>
  <c r="R161" i="38"/>
  <c r="P115" i="4"/>
  <c r="P86" s="1"/>
  <c r="R18" i="12"/>
  <c r="Q8" i="10" s="1"/>
  <c r="X34" i="3"/>
  <c r="X35"/>
  <c r="X30"/>
  <c r="X31"/>
  <c r="X26"/>
  <c r="X32"/>
  <c r="X33"/>
  <c r="X25"/>
  <c r="X23"/>
  <c r="AN4" i="4"/>
  <c r="AN8"/>
  <c r="AN10"/>
  <c r="F8" i="21"/>
  <c r="AN12" i="4"/>
  <c r="AN7"/>
  <c r="AN9"/>
  <c r="AN13"/>
  <c r="R13" i="13"/>
  <c r="R20" i="4"/>
  <c r="P8" i="10"/>
  <c r="P12" s="1"/>
  <c r="Q18" i="4"/>
  <c r="Q21" s="1"/>
  <c r="Q25" s="1"/>
  <c r="W47" i="3"/>
  <c r="X123"/>
  <c r="X70"/>
  <c r="X87"/>
  <c r="R166" i="38"/>
  <c r="R171" s="1"/>
  <c r="R165"/>
  <c r="R170" s="1"/>
  <c r="Q142" i="4"/>
  <c r="Q144" s="1"/>
  <c r="E8" i="21"/>
  <c r="S109" i="38"/>
  <c r="AN11" i="4"/>
  <c r="AN6"/>
  <c r="O10" i="10"/>
  <c r="R141" i="38"/>
  <c r="R151"/>
  <c r="R154" s="1"/>
  <c r="R152"/>
  <c r="R155" s="1"/>
  <c r="R147"/>
  <c r="S130" i="32"/>
  <c r="T130"/>
  <c r="O32" i="16"/>
  <c r="P29" s="1"/>
  <c r="P30" s="1"/>
  <c r="P31" s="1"/>
  <c r="O26"/>
  <c r="P23" s="1"/>
  <c r="P24" s="1"/>
  <c r="P25" s="1"/>
  <c r="C21" i="20"/>
  <c r="C25" s="1"/>
  <c r="D25" i="11" s="1"/>
  <c r="D28" s="1"/>
  <c r="D30" s="1"/>
  <c r="D20" i="20"/>
  <c r="Q70" i="4"/>
  <c r="D88"/>
  <c r="J14" i="16"/>
  <c r="E35" i="4"/>
  <c r="E92"/>
  <c r="E36"/>
  <c r="E38" s="1"/>
  <c r="C35" i="31"/>
  <c r="C101" i="4"/>
  <c r="C99"/>
  <c r="D9" i="14"/>
  <c r="C33" i="31"/>
  <c r="O69" i="4"/>
  <c r="O72" s="1"/>
  <c r="O54" s="1"/>
  <c r="Q16" i="16"/>
  <c r="P40"/>
  <c r="P16" i="9" s="1"/>
  <c r="G41" i="16"/>
  <c r="G19"/>
  <c r="N54" i="4"/>
  <c r="P33" i="9"/>
  <c r="P46" i="4"/>
  <c r="O104"/>
  <c r="N97"/>
  <c r="O13" i="11" s="1"/>
  <c r="O13" i="9"/>
  <c r="O58" i="4"/>
  <c r="D24" i="20"/>
  <c r="C25" i="11"/>
  <c r="C28" s="1"/>
  <c r="R8" i="10" l="1"/>
  <c r="S18" i="12"/>
  <c r="Q27" i="4"/>
  <c r="R25"/>
  <c r="R27" s="1"/>
  <c r="X18" i="3"/>
  <c r="X44"/>
  <c r="O12" i="10"/>
  <c r="Q146" i="4"/>
  <c r="Q147" s="1"/>
  <c r="Q23"/>
  <c r="R21"/>
  <c r="AN20" s="1"/>
  <c r="E9" i="21"/>
  <c r="E11" s="1"/>
  <c r="R11" i="13"/>
  <c r="R17" s="1"/>
  <c r="Q114" i="4"/>
  <c r="Q115" s="1"/>
  <c r="Q86" s="1"/>
  <c r="R18"/>
  <c r="AN18" s="1"/>
  <c r="X37" i="3"/>
  <c r="C105" i="4"/>
  <c r="C109" s="1"/>
  <c r="P32" i="16"/>
  <c r="Q29" s="1"/>
  <c r="Q30" s="1"/>
  <c r="Q31" s="1"/>
  <c r="P26"/>
  <c r="Q23" s="1"/>
  <c r="Q24" s="1"/>
  <c r="Q25" s="1"/>
  <c r="G20"/>
  <c r="C30" i="11"/>
  <c r="C32" s="1"/>
  <c r="F13" i="10"/>
  <c r="F29" i="4"/>
  <c r="F73"/>
  <c r="G10" i="11"/>
  <c r="G42" i="16"/>
  <c r="P104" i="4"/>
  <c r="Q33" i="9"/>
  <c r="Q46" i="4"/>
  <c r="D29" i="9"/>
  <c r="D31" s="1"/>
  <c r="D17" i="14"/>
  <c r="F9" i="11"/>
  <c r="F14" s="1"/>
  <c r="E39" i="4"/>
  <c r="D89"/>
  <c r="E24" i="20"/>
  <c r="B25"/>
  <c r="D25" s="1"/>
  <c r="R16" i="16"/>
  <c r="P69" i="4"/>
  <c r="P72" s="1"/>
  <c r="P54" s="1"/>
  <c r="Q40" i="16"/>
  <c r="Q16" i="9" s="1"/>
  <c r="O97" i="4"/>
  <c r="P13" i="11" s="1"/>
  <c r="P58" i="4"/>
  <c r="P13" i="9"/>
  <c r="E20" i="10"/>
  <c r="E96" i="4"/>
  <c r="F10" i="18" s="1"/>
  <c r="E41" i="4"/>
  <c r="K11" i="16"/>
  <c r="K12" s="1"/>
  <c r="X47" i="3" l="1"/>
  <c r="Q10" i="10"/>
  <c r="S17" i="13"/>
  <c r="R23" i="4"/>
  <c r="AN17"/>
  <c r="F9" i="21"/>
  <c r="F11" s="1"/>
  <c r="AN19" i="4"/>
  <c r="X128" i="3"/>
  <c r="Q32" i="16"/>
  <c r="R29" s="1"/>
  <c r="R30" s="1"/>
  <c r="R31" s="1"/>
  <c r="R32" s="1"/>
  <c r="Q26"/>
  <c r="R23" s="1"/>
  <c r="R24" s="1"/>
  <c r="R25" s="1"/>
  <c r="R26" s="1"/>
  <c r="E82" i="4"/>
  <c r="P97"/>
  <c r="Q13" i="11" s="1"/>
  <c r="Q58" i="4"/>
  <c r="Q13" i="9"/>
  <c r="Q69" i="4"/>
  <c r="Q72" s="1"/>
  <c r="R40" i="16"/>
  <c r="R16" i="9" s="1"/>
  <c r="D50" i="4"/>
  <c r="D22" i="20"/>
  <c r="F16" i="10"/>
  <c r="F36" i="11"/>
  <c r="Q104" i="4"/>
  <c r="R33" i="9"/>
  <c r="G17"/>
  <c r="G18" s="1"/>
  <c r="F74" i="4"/>
  <c r="F55" s="1"/>
  <c r="F56" s="1"/>
  <c r="F93"/>
  <c r="F33"/>
  <c r="H17" i="16"/>
  <c r="H18" s="1"/>
  <c r="G43"/>
  <c r="F75" i="4" s="1"/>
  <c r="K13" i="16"/>
  <c r="F24" i="20"/>
  <c r="C15" i="14"/>
  <c r="E98" i="4"/>
  <c r="E25" i="20"/>
  <c r="B26"/>
  <c r="D32" i="11"/>
  <c r="Q12" i="10" l="1"/>
  <c r="R12" s="1"/>
  <c r="R10"/>
  <c r="K14" i="16"/>
  <c r="D15" i="14"/>
  <c r="C17" i="10" s="1"/>
  <c r="F25" i="20"/>
  <c r="D99" i="4"/>
  <c r="D35" i="31"/>
  <c r="D101" i="4"/>
  <c r="E9" i="14"/>
  <c r="D33" i="31"/>
  <c r="E88" i="4"/>
  <c r="D21" i="20"/>
  <c r="C26" s="1"/>
  <c r="D26" s="1"/>
  <c r="E20"/>
  <c r="H41" i="16"/>
  <c r="H19"/>
  <c r="I37" i="11"/>
  <c r="Q54" i="4"/>
  <c r="R72"/>
  <c r="B17" i="10"/>
  <c r="F92" i="4"/>
  <c r="F35"/>
  <c r="F36"/>
  <c r="R13" i="9"/>
  <c r="Q97" i="4"/>
  <c r="R13" i="11" s="1"/>
  <c r="D105" i="4" l="1"/>
  <c r="D109" s="1"/>
  <c r="F96"/>
  <c r="G10" i="18" s="1"/>
  <c r="F20" i="10"/>
  <c r="F41" i="4"/>
  <c r="H20" i="16"/>
  <c r="B27" i="20"/>
  <c r="E26"/>
  <c r="F38" i="4"/>
  <c r="AP31"/>
  <c r="B19" i="10"/>
  <c r="L11" i="16"/>
  <c r="L12" s="1"/>
  <c r="AQ31" i="4"/>
  <c r="C19" i="10"/>
  <c r="C22" s="1"/>
  <c r="F98" i="4"/>
  <c r="G73"/>
  <c r="G13" i="10"/>
  <c r="G16" s="1"/>
  <c r="G29" i="4"/>
  <c r="H10" i="11"/>
  <c r="H42" i="16"/>
  <c r="E25" i="11"/>
  <c r="E28" s="1"/>
  <c r="E89" i="4"/>
  <c r="E29" i="9"/>
  <c r="E31" s="1"/>
  <c r="E17" i="14"/>
  <c r="E22" i="20" l="1"/>
  <c r="E50" i="4"/>
  <c r="G9" i="11"/>
  <c r="G14" s="1"/>
  <c r="F39" i="4"/>
  <c r="H17" i="9"/>
  <c r="H18" s="1"/>
  <c r="G74" i="4"/>
  <c r="G55" s="1"/>
  <c r="G56" s="1"/>
  <c r="I17" i="16"/>
  <c r="I18" s="1"/>
  <c r="H43"/>
  <c r="G75" i="4" s="1"/>
  <c r="E30" i="11"/>
  <c r="E32" s="1"/>
  <c r="F82" i="4"/>
  <c r="L13" i="16"/>
  <c r="G93" i="4"/>
  <c r="G33"/>
  <c r="C23" i="10"/>
  <c r="B22"/>
  <c r="F26" i="20"/>
  <c r="E15" i="14"/>
  <c r="C36" i="9" l="1"/>
  <c r="B26" i="10"/>
  <c r="B23"/>
  <c r="I41" i="16"/>
  <c r="I19"/>
  <c r="G36" i="11"/>
  <c r="D17" i="10"/>
  <c r="E101" i="4"/>
  <c r="E99"/>
  <c r="E35" i="31"/>
  <c r="F9" i="14"/>
  <c r="E33" i="31"/>
  <c r="G35" i="4"/>
  <c r="G92"/>
  <c r="G36"/>
  <c r="F88"/>
  <c r="F20" i="20"/>
  <c r="E21"/>
  <c r="C27" s="1"/>
  <c r="L14" i="16"/>
  <c r="E105" i="4" l="1"/>
  <c r="E109" s="1"/>
  <c r="F25" i="11"/>
  <c r="F28" s="1"/>
  <c r="D27" i="20"/>
  <c r="C37" i="9"/>
  <c r="C39" s="1"/>
  <c r="D36"/>
  <c r="D37" s="1"/>
  <c r="D39" s="1"/>
  <c r="M11" i="16"/>
  <c r="M12" s="1"/>
  <c r="F89" i="4"/>
  <c r="AR31"/>
  <c r="D19" i="10"/>
  <c r="I20" i="16"/>
  <c r="B49" i="4"/>
  <c r="B52" s="1"/>
  <c r="C26" i="10"/>
  <c r="G20"/>
  <c r="G96" i="4"/>
  <c r="H10" i="18" s="1"/>
  <c r="G41" i="4"/>
  <c r="G82" s="1"/>
  <c r="G88" s="1"/>
  <c r="F29" i="9"/>
  <c r="F31" s="1"/>
  <c r="F17" i="14"/>
  <c r="H73" i="4"/>
  <c r="H29"/>
  <c r="I10" i="11"/>
  <c r="H13" i="10"/>
  <c r="H16" s="1"/>
  <c r="I42" i="16"/>
  <c r="G38" i="4"/>
  <c r="G98" l="1"/>
  <c r="G39"/>
  <c r="H9" i="11"/>
  <c r="H14" s="1"/>
  <c r="J17" i="16"/>
  <c r="J18" s="1"/>
  <c r="I43"/>
  <c r="H75" i="4" s="1"/>
  <c r="M13" i="16"/>
  <c r="H93" i="4"/>
  <c r="H33"/>
  <c r="C49"/>
  <c r="C52" s="1"/>
  <c r="F50"/>
  <c r="F22" i="20"/>
  <c r="G89" i="4"/>
  <c r="F30" i="11"/>
  <c r="F32" s="1"/>
  <c r="H74" i="4"/>
  <c r="H55" s="1"/>
  <c r="H56" s="1"/>
  <c r="I17" i="9"/>
  <c r="I18" s="1"/>
  <c r="B101" i="4"/>
  <c r="B105" s="1"/>
  <c r="B109" s="1"/>
  <c r="B110" s="1"/>
  <c r="C110" s="1"/>
  <c r="D110" s="1"/>
  <c r="E110" s="1"/>
  <c r="B59"/>
  <c r="D22" i="10"/>
  <c r="B28" i="20"/>
  <c r="E27"/>
  <c r="C10" i="9" l="1"/>
  <c r="B118" i="4"/>
  <c r="B60"/>
  <c r="B61" s="1"/>
  <c r="G9" i="14"/>
  <c r="F101" i="4"/>
  <c r="F35" i="31"/>
  <c r="F99" i="4"/>
  <c r="F33" i="31"/>
  <c r="E36" i="9"/>
  <c r="E37" s="1"/>
  <c r="E39" s="1"/>
  <c r="D23" i="10"/>
  <c r="F21" i="20"/>
  <c r="C28" s="1"/>
  <c r="D28" s="1"/>
  <c r="G20"/>
  <c r="H35" i="4"/>
  <c r="H92"/>
  <c r="H36"/>
  <c r="H38" s="1"/>
  <c r="M14" i="16"/>
  <c r="H36" i="11"/>
  <c r="C59" i="4"/>
  <c r="F15" i="14"/>
  <c r="F27" i="20"/>
  <c r="G50" i="4"/>
  <c r="G22" i="20"/>
  <c r="J41" i="16"/>
  <c r="J19"/>
  <c r="D26" i="10"/>
  <c r="I9" i="11" l="1"/>
  <c r="I14" s="1"/>
  <c r="H39" i="4"/>
  <c r="D49"/>
  <c r="D52" s="1"/>
  <c r="E28" i="20"/>
  <c r="B29"/>
  <c r="N11" i="16"/>
  <c r="N12" s="1"/>
  <c r="C14" i="9"/>
  <c r="C21" s="1"/>
  <c r="C40" s="1"/>
  <c r="C33" i="11"/>
  <c r="J20" i="16"/>
  <c r="H9" i="14"/>
  <c r="H17" s="1"/>
  <c r="G101" i="4"/>
  <c r="G99"/>
  <c r="G35" i="31"/>
  <c r="G33"/>
  <c r="D10" i="9"/>
  <c r="C118" i="4"/>
  <c r="C60"/>
  <c r="C61" s="1"/>
  <c r="G25" i="11"/>
  <c r="G28" s="1"/>
  <c r="F105" i="4"/>
  <c r="F109" s="1"/>
  <c r="F110" s="1"/>
  <c r="I13" i="10"/>
  <c r="I16" s="1"/>
  <c r="J10" i="11"/>
  <c r="I29" i="4"/>
  <c r="I73"/>
  <c r="J42" i="16"/>
  <c r="G21" i="20"/>
  <c r="C29" s="1"/>
  <c r="H25" i="11" s="1"/>
  <c r="H28" s="1"/>
  <c r="H30" s="1"/>
  <c r="H20" i="20"/>
  <c r="E17" i="10"/>
  <c r="H96" i="4"/>
  <c r="I10" i="18" s="1"/>
  <c r="H20" i="10"/>
  <c r="H41" i="4"/>
  <c r="H82" s="1"/>
  <c r="H88" s="1"/>
  <c r="G29" i="9"/>
  <c r="G31" s="1"/>
  <c r="G17" i="14"/>
  <c r="I74" i="4" l="1"/>
  <c r="I55" s="1"/>
  <c r="I56" s="1"/>
  <c r="J17" i="9"/>
  <c r="J18" s="1"/>
  <c r="K17" i="16"/>
  <c r="K18" s="1"/>
  <c r="J43"/>
  <c r="I75" i="4" s="1"/>
  <c r="I36" i="11"/>
  <c r="G30"/>
  <c r="G32" s="1"/>
  <c r="H29" i="9"/>
  <c r="H31" s="1"/>
  <c r="H98" i="4"/>
  <c r="D29" i="20"/>
  <c r="F28"/>
  <c r="G15" i="14"/>
  <c r="I93" i="4"/>
  <c r="I33"/>
  <c r="D14" i="9"/>
  <c r="D21" s="1"/>
  <c r="D40" s="1"/>
  <c r="D33" i="11"/>
  <c r="N13" i="16"/>
  <c r="D59" i="4"/>
  <c r="H89"/>
  <c r="AS31"/>
  <c r="E19" i="10"/>
  <c r="G105" i="4"/>
  <c r="G109" s="1"/>
  <c r="G110" s="1"/>
  <c r="H22" i="20" l="1"/>
  <c r="H50" i="4"/>
  <c r="E29" i="20"/>
  <c r="B30"/>
  <c r="N14" i="16"/>
  <c r="I35" i="4"/>
  <c r="I92"/>
  <c r="I36"/>
  <c r="I38" s="1"/>
  <c r="E22" i="10"/>
  <c r="E10" i="9"/>
  <c r="D118" i="4"/>
  <c r="D60"/>
  <c r="D61" s="1"/>
  <c r="F17" i="10"/>
  <c r="H32" i="11"/>
  <c r="K41" i="16"/>
  <c r="K19"/>
  <c r="I39" i="4" l="1"/>
  <c r="J9" i="11"/>
  <c r="J14" s="1"/>
  <c r="K20" i="16"/>
  <c r="E14" i="9"/>
  <c r="E21" s="1"/>
  <c r="E40" s="1"/>
  <c r="E33" i="11"/>
  <c r="K10"/>
  <c r="J73" i="4"/>
  <c r="J29"/>
  <c r="J13" i="10"/>
  <c r="J16" s="1"/>
  <c r="K42" i="16"/>
  <c r="AT31" i="4"/>
  <c r="F19" i="10"/>
  <c r="I96" i="4"/>
  <c r="J10" i="18" s="1"/>
  <c r="I20" i="10"/>
  <c r="I41" i="4"/>
  <c r="I82" s="1"/>
  <c r="I88" s="1"/>
  <c r="I20" i="20"/>
  <c r="H21"/>
  <c r="C30" s="1"/>
  <c r="D30" s="1"/>
  <c r="I9" i="14"/>
  <c r="H35" i="31"/>
  <c r="H99" i="4"/>
  <c r="H101"/>
  <c r="H33" i="31"/>
  <c r="O11" i="16"/>
  <c r="O12" s="1"/>
  <c r="E23" i="10"/>
  <c r="F36" i="9"/>
  <c r="E26" i="10"/>
  <c r="F29" i="20"/>
  <c r="H15" i="14"/>
  <c r="I98" i="4"/>
  <c r="E30" i="20" l="1"/>
  <c r="B31"/>
  <c r="E49" i="4"/>
  <c r="E52" s="1"/>
  <c r="I29" i="9"/>
  <c r="I31" s="1"/>
  <c r="I17" i="14"/>
  <c r="F22" i="10"/>
  <c r="F26" s="1"/>
  <c r="J93" i="4"/>
  <c r="J33"/>
  <c r="I89"/>
  <c r="J36" i="11"/>
  <c r="J37" s="1"/>
  <c r="G17" i="10"/>
  <c r="F37" i="9"/>
  <c r="F39" s="1"/>
  <c r="J74" i="4"/>
  <c r="J55" s="1"/>
  <c r="J56" s="1"/>
  <c r="K17" i="9"/>
  <c r="K18" s="1"/>
  <c r="H105" i="4"/>
  <c r="H109" s="1"/>
  <c r="H110" s="1"/>
  <c r="O13" i="16"/>
  <c r="I25" i="11"/>
  <c r="I28" s="1"/>
  <c r="L17" i="16"/>
  <c r="L18" s="1"/>
  <c r="K43"/>
  <c r="J75" i="4" s="1"/>
  <c r="G36" i="9" l="1"/>
  <c r="G37" s="1"/>
  <c r="G39" s="1"/>
  <c r="F49" i="4"/>
  <c r="F52" s="1"/>
  <c r="F30" i="20"/>
  <c r="I15" i="14"/>
  <c r="H17" i="10" s="1"/>
  <c r="L41" i="16"/>
  <c r="L19"/>
  <c r="AU31" i="4"/>
  <c r="G19" i="10"/>
  <c r="O14" i="16"/>
  <c r="I22" i="20"/>
  <c r="I50" i="4"/>
  <c r="J92"/>
  <c r="J35"/>
  <c r="J36"/>
  <c r="J38" s="1"/>
  <c r="I30" i="11"/>
  <c r="I32" s="1"/>
  <c r="F23" i="10"/>
  <c r="E59" i="4"/>
  <c r="K9" i="11" l="1"/>
  <c r="K14" s="1"/>
  <c r="J39" i="4"/>
  <c r="P11" i="16"/>
  <c r="P12" s="1"/>
  <c r="L20"/>
  <c r="E118" i="4"/>
  <c r="F10" i="9"/>
  <c r="E60" i="4"/>
  <c r="E61" s="1"/>
  <c r="I21" i="20"/>
  <c r="C31" s="1"/>
  <c r="J20"/>
  <c r="G22" i="10"/>
  <c r="F59" i="4"/>
  <c r="J96"/>
  <c r="K10" i="18" s="1"/>
  <c r="J20" i="10"/>
  <c r="J41" i="4"/>
  <c r="J82" s="1"/>
  <c r="J88" s="1"/>
  <c r="I35" i="31"/>
  <c r="I101" i="4"/>
  <c r="I99"/>
  <c r="J9" i="14"/>
  <c r="I33" i="31"/>
  <c r="L10" i="11"/>
  <c r="K73" i="4"/>
  <c r="K29"/>
  <c r="K13" i="10"/>
  <c r="K16" s="1"/>
  <c r="L42" i="16"/>
  <c r="AV31" i="4"/>
  <c r="H19" i="10"/>
  <c r="H22" s="1"/>
  <c r="H23" s="1"/>
  <c r="I105" i="4" l="1"/>
  <c r="I109" s="1"/>
  <c r="I110" s="1"/>
  <c r="K93"/>
  <c r="K33"/>
  <c r="C13" i="21"/>
  <c r="C15" s="1"/>
  <c r="J25" i="11"/>
  <c r="J28" s="1"/>
  <c r="J30" s="1"/>
  <c r="J32" s="1"/>
  <c r="D31" i="20"/>
  <c r="K36" i="11"/>
  <c r="K37" s="1"/>
  <c r="J98" i="4"/>
  <c r="J89"/>
  <c r="G10" i="9"/>
  <c r="F118" i="4"/>
  <c r="F60"/>
  <c r="F61" s="1"/>
  <c r="G23" i="10"/>
  <c r="H36" i="9"/>
  <c r="G26" i="10"/>
  <c r="F14" i="9"/>
  <c r="F21" s="1"/>
  <c r="F40" s="1"/>
  <c r="F33" i="11"/>
  <c r="P13" i="16"/>
  <c r="J29" i="9"/>
  <c r="J31" s="1"/>
  <c r="J17" i="14"/>
  <c r="L17" i="9"/>
  <c r="L18" s="1"/>
  <c r="K74" i="4"/>
  <c r="K55" s="1"/>
  <c r="K56" s="1"/>
  <c r="M17" i="16"/>
  <c r="M18" s="1"/>
  <c r="L43"/>
  <c r="K75" i="4" s="1"/>
  <c r="G49" l="1"/>
  <c r="G52" s="1"/>
  <c r="H26" i="10"/>
  <c r="E31" i="20"/>
  <c r="B32"/>
  <c r="M41" i="16"/>
  <c r="M19"/>
  <c r="P14"/>
  <c r="J50" i="4"/>
  <c r="J22" i="20"/>
  <c r="K35" i="4"/>
  <c r="K92"/>
  <c r="K36"/>
  <c r="K38" s="1"/>
  <c r="I36" i="9"/>
  <c r="H37"/>
  <c r="H39" s="1"/>
  <c r="G14"/>
  <c r="G21" s="1"/>
  <c r="G40" s="1"/>
  <c r="G33" i="11"/>
  <c r="L9" l="1"/>
  <c r="L14" s="1"/>
  <c r="K39" i="4"/>
  <c r="M20" i="16"/>
  <c r="G59" i="4"/>
  <c r="J21" i="20"/>
  <c r="C32" s="1"/>
  <c r="K25" i="11" s="1"/>
  <c r="K28" s="1"/>
  <c r="K30" s="1"/>
  <c r="K32" s="1"/>
  <c r="K20" i="20"/>
  <c r="I37" i="9"/>
  <c r="I39" s="1"/>
  <c r="H49" i="4"/>
  <c r="H52" s="1"/>
  <c r="Q11" i="16"/>
  <c r="Q12" s="1"/>
  <c r="F31" i="20"/>
  <c r="J15" i="14"/>
  <c r="I17" i="10" s="1"/>
  <c r="K20"/>
  <c r="K96" i="4"/>
  <c r="L10" i="18" s="1"/>
  <c r="K41" i="4"/>
  <c r="K82" s="1"/>
  <c r="K88" s="1"/>
  <c r="J35" i="31"/>
  <c r="J101" i="4"/>
  <c r="J99"/>
  <c r="K9" i="14"/>
  <c r="J33" i="31"/>
  <c r="L13" i="10"/>
  <c r="L16" s="1"/>
  <c r="L73" i="4"/>
  <c r="L29"/>
  <c r="M10" i="11"/>
  <c r="M42" i="16"/>
  <c r="K98" i="4"/>
  <c r="D32" i="20" l="1"/>
  <c r="E32" s="1"/>
  <c r="M17" i="9"/>
  <c r="M18" s="1"/>
  <c r="L74" i="4"/>
  <c r="L55" s="1"/>
  <c r="L56" s="1"/>
  <c r="H10" i="9"/>
  <c r="G118" i="4"/>
  <c r="G60"/>
  <c r="G61" s="1"/>
  <c r="L36" i="11"/>
  <c r="L37" s="1"/>
  <c r="Q13" i="16"/>
  <c r="H59" i="4"/>
  <c r="J105"/>
  <c r="J109" s="1"/>
  <c r="J110" s="1"/>
  <c r="L93"/>
  <c r="L33"/>
  <c r="K29" i="9"/>
  <c r="K31" s="1"/>
  <c r="K17" i="14"/>
  <c r="K89" i="4"/>
  <c r="AW31"/>
  <c r="I19" i="10"/>
  <c r="I22" s="1"/>
  <c r="N17" i="16"/>
  <c r="N18" s="1"/>
  <c r="M43"/>
  <c r="L75" i="4" s="1"/>
  <c r="B33" i="20" l="1"/>
  <c r="N41" i="16"/>
  <c r="N19"/>
  <c r="L92" i="4"/>
  <c r="L35"/>
  <c r="L36"/>
  <c r="L38" s="1"/>
  <c r="K50"/>
  <c r="K22" i="20"/>
  <c r="K15" i="14"/>
  <c r="J17" i="10" s="1"/>
  <c r="F32" i="20"/>
  <c r="Q14" i="16"/>
  <c r="H118" i="4"/>
  <c r="I10" i="9"/>
  <c r="H60" i="4"/>
  <c r="H61" s="1"/>
  <c r="I23" i="10"/>
  <c r="I26"/>
  <c r="J36" i="9"/>
  <c r="H14"/>
  <c r="H21" s="1"/>
  <c r="H40" s="1"/>
  <c r="H33" i="11"/>
  <c r="M9" l="1"/>
  <c r="M14" s="1"/>
  <c r="L39" i="4"/>
  <c r="R11" i="16"/>
  <c r="R12" s="1"/>
  <c r="L20" i="20"/>
  <c r="K21"/>
  <c r="C33" s="1"/>
  <c r="M29" i="4"/>
  <c r="M13" i="10"/>
  <c r="M16" s="1"/>
  <c r="N10" i="11"/>
  <c r="M73" i="4"/>
  <c r="N42" i="16"/>
  <c r="AX31" i="4"/>
  <c r="J19" i="10"/>
  <c r="J22" s="1"/>
  <c r="J23" s="1"/>
  <c r="L96" i="4"/>
  <c r="M10" i="18" s="1"/>
  <c r="L20" i="10"/>
  <c r="L41" i="4"/>
  <c r="L82" s="1"/>
  <c r="L88" s="1"/>
  <c r="N20" i="16"/>
  <c r="I49" i="4"/>
  <c r="I52" s="1"/>
  <c r="I14" i="9"/>
  <c r="I21" s="1"/>
  <c r="I40" s="1"/>
  <c r="I33" i="11"/>
  <c r="J37" i="9"/>
  <c r="J39" s="1"/>
  <c r="K101" i="4"/>
  <c r="K35" i="31"/>
  <c r="L9" i="14"/>
  <c r="K99" i="4"/>
  <c r="K33" i="31"/>
  <c r="C21" i="21"/>
  <c r="K36" i="9" l="1"/>
  <c r="J26" i="10"/>
  <c r="J49" i="4" s="1"/>
  <c r="J52" s="1"/>
  <c r="K105"/>
  <c r="K109" s="1"/>
  <c r="K110" s="1"/>
  <c r="M36" i="11"/>
  <c r="M37" s="1"/>
  <c r="O17" i="16"/>
  <c r="O18" s="1"/>
  <c r="N43"/>
  <c r="M75" i="4" s="1"/>
  <c r="L25" i="11"/>
  <c r="L28" s="1"/>
  <c r="L30" s="1"/>
  <c r="L32" s="1"/>
  <c r="D33" i="20"/>
  <c r="I59" i="4"/>
  <c r="N17" i="9"/>
  <c r="N18" s="1"/>
  <c r="M74" i="4"/>
  <c r="M55" s="1"/>
  <c r="M56" s="1"/>
  <c r="M93"/>
  <c r="M33"/>
  <c r="L98"/>
  <c r="L29" i="9"/>
  <c r="L31" s="1"/>
  <c r="L17" i="14"/>
  <c r="K37" i="9"/>
  <c r="K39" s="1"/>
  <c r="L89" i="4"/>
  <c r="R13" i="16"/>
  <c r="R14" s="1"/>
  <c r="L22" i="20" l="1"/>
  <c r="L50" i="4"/>
  <c r="J10" i="9"/>
  <c r="I118" i="4"/>
  <c r="I60"/>
  <c r="I61" s="1"/>
  <c r="O41" i="16"/>
  <c r="O19"/>
  <c r="M35" i="4"/>
  <c r="M92"/>
  <c r="M36"/>
  <c r="J59"/>
  <c r="B34" i="20"/>
  <c r="E33"/>
  <c r="M96" i="4" l="1"/>
  <c r="N10" i="18" s="1"/>
  <c r="M20" i="10"/>
  <c r="M41" i="4"/>
  <c r="M82" s="1"/>
  <c r="M88" s="1"/>
  <c r="M20" i="20"/>
  <c r="L21"/>
  <c r="C34" s="1"/>
  <c r="M25" i="11" s="1"/>
  <c r="M28" s="1"/>
  <c r="M30" s="1"/>
  <c r="M32" s="1"/>
  <c r="O10"/>
  <c r="N73" i="4"/>
  <c r="N29"/>
  <c r="N13" i="10"/>
  <c r="N16" s="1"/>
  <c r="O42" i="16"/>
  <c r="L101" i="4"/>
  <c r="M9" i="14"/>
  <c r="L99" i="4"/>
  <c r="L35" i="31"/>
  <c r="L33"/>
  <c r="O20" i="16"/>
  <c r="J14" i="9"/>
  <c r="J21" s="1"/>
  <c r="J40" s="1"/>
  <c r="J33" i="11"/>
  <c r="M38" i="4"/>
  <c r="J118"/>
  <c r="K10" i="9"/>
  <c r="J60" i="4"/>
  <c r="J61" s="1"/>
  <c r="L15" i="14"/>
  <c r="K17" i="10" s="1"/>
  <c r="F33" i="20"/>
  <c r="M98" i="4"/>
  <c r="L105" l="1"/>
  <c r="L109" s="1"/>
  <c r="L110" s="1"/>
  <c r="D34" i="20"/>
  <c r="E34" s="1"/>
  <c r="N9" i="11"/>
  <c r="N14" s="1"/>
  <c r="M39" i="4"/>
  <c r="N74"/>
  <c r="N55" s="1"/>
  <c r="N56" s="1"/>
  <c r="O17" i="9"/>
  <c r="O18" s="1"/>
  <c r="M89" i="4"/>
  <c r="AY31"/>
  <c r="K19" i="10"/>
  <c r="K22" s="1"/>
  <c r="P17" i="16"/>
  <c r="P18" s="1"/>
  <c r="O43"/>
  <c r="N75" i="4" s="1"/>
  <c r="K14" i="9"/>
  <c r="K21" s="1"/>
  <c r="K40" s="1"/>
  <c r="K33" i="11"/>
  <c r="M29" i="9"/>
  <c r="M31" s="1"/>
  <c r="M17" i="14"/>
  <c r="N93" i="4"/>
  <c r="N33"/>
  <c r="N36" s="1"/>
  <c r="D13" i="21"/>
  <c r="D15" s="1"/>
  <c r="B35" i="20" l="1"/>
  <c r="M15" i="14"/>
  <c r="L17" i="10" s="1"/>
  <c r="F34" i="20"/>
  <c r="N36" i="11"/>
  <c r="N37" s="1"/>
  <c r="K23" i="10"/>
  <c r="K26"/>
  <c r="L36" i="9"/>
  <c r="M50" i="4"/>
  <c r="M22" i="20"/>
  <c r="N92" i="4"/>
  <c r="N35"/>
  <c r="N38"/>
  <c r="P41" i="16"/>
  <c r="P19"/>
  <c r="O9" i="11" l="1"/>
  <c r="O14" s="1"/>
  <c r="N39" i="4"/>
  <c r="M99"/>
  <c r="N9" i="14"/>
  <c r="M101" i="4"/>
  <c r="AZ31"/>
  <c r="L19" i="10"/>
  <c r="L22" s="1"/>
  <c r="L23" s="1"/>
  <c r="N96" i="4"/>
  <c r="O10" i="18" s="1"/>
  <c r="N20" i="10"/>
  <c r="N41" i="4"/>
  <c r="N82" s="1"/>
  <c r="O73"/>
  <c r="O29"/>
  <c r="O13" i="10"/>
  <c r="O16" s="1"/>
  <c r="P10" i="11"/>
  <c r="P42" i="16"/>
  <c r="K49" i="4"/>
  <c r="K52" s="1"/>
  <c r="M21" i="20"/>
  <c r="C35" s="1"/>
  <c r="N20"/>
  <c r="P20" i="16"/>
  <c r="L37" i="9"/>
  <c r="L39" s="1"/>
  <c r="N98" i="4" l="1"/>
  <c r="L26" i="10"/>
  <c r="L49" i="4" s="1"/>
  <c r="L52" s="1"/>
  <c r="M36" i="9"/>
  <c r="M37" s="1"/>
  <c r="M39" s="1"/>
  <c r="N25" i="11"/>
  <c r="N28" s="1"/>
  <c r="N30" s="1"/>
  <c r="N32" s="1"/>
  <c r="D35" i="20"/>
  <c r="O74" i="4"/>
  <c r="O55" s="1"/>
  <c r="O56" s="1"/>
  <c r="P17" i="9"/>
  <c r="P18" s="1"/>
  <c r="O36" i="11"/>
  <c r="O37" s="1"/>
  <c r="O93" i="4"/>
  <c r="O33"/>
  <c r="M105"/>
  <c r="M109" s="1"/>
  <c r="M110" s="1"/>
  <c r="K59"/>
  <c r="Q17" i="16"/>
  <c r="Q18" s="1"/>
  <c r="P43"/>
  <c r="O75" i="4" s="1"/>
  <c r="N29" i="9"/>
  <c r="N31" s="1"/>
  <c r="N17" i="14"/>
  <c r="L59" i="4" l="1"/>
  <c r="L10" i="9"/>
  <c r="K118" i="4"/>
  <c r="K60"/>
  <c r="K61" s="1"/>
  <c r="Q41" i="16"/>
  <c r="Q19"/>
  <c r="O92" i="4"/>
  <c r="O35"/>
  <c r="O36"/>
  <c r="E35" i="20"/>
  <c r="B36"/>
  <c r="P29" i="4" l="1"/>
  <c r="P73"/>
  <c r="P13" i="10"/>
  <c r="P16" s="1"/>
  <c r="Q10" i="11"/>
  <c r="Q42" i="16"/>
  <c r="L14" i="9"/>
  <c r="L21" s="1"/>
  <c r="L40" s="1"/>
  <c r="L33" i="11"/>
  <c r="L118" i="4"/>
  <c r="M10" i="9"/>
  <c r="L60" i="4"/>
  <c r="L61" s="1"/>
  <c r="O96"/>
  <c r="P10" i="18" s="1"/>
  <c r="O20" i="10"/>
  <c r="O41" i="4"/>
  <c r="O82" s="1"/>
  <c r="N15" i="14"/>
  <c r="M17" i="10" s="1"/>
  <c r="F35" i="20"/>
  <c r="Q20" i="16"/>
  <c r="O38" i="4"/>
  <c r="O98" l="1"/>
  <c r="R17" i="16"/>
  <c r="R18" s="1"/>
  <c r="Q43"/>
  <c r="P75" i="4" s="1"/>
  <c r="M14" i="9"/>
  <c r="M21" s="1"/>
  <c r="M40" s="1"/>
  <c r="M33" i="11"/>
  <c r="Q17" i="9"/>
  <c r="Q18" s="1"/>
  <c r="P74" i="4"/>
  <c r="P55" s="1"/>
  <c r="P56" s="1"/>
  <c r="P93"/>
  <c r="P33"/>
  <c r="P9" i="11"/>
  <c r="P14" s="1"/>
  <c r="O39" i="4"/>
  <c r="BA31"/>
  <c r="M19" i="10"/>
  <c r="M22" s="1"/>
  <c r="M23" l="1"/>
  <c r="M26"/>
  <c r="N36" i="9"/>
  <c r="P36" i="11"/>
  <c r="P37" s="1"/>
  <c r="P92" i="4"/>
  <c r="P35"/>
  <c r="P36"/>
  <c r="R41" i="16"/>
  <c r="R19"/>
  <c r="R20" s="1"/>
  <c r="R43" s="1"/>
  <c r="Q75" i="4" s="1"/>
  <c r="P20" i="10" l="1"/>
  <c r="P96" i="4"/>
  <c r="Q10" i="18" s="1"/>
  <c r="P41" i="4"/>
  <c r="P82" s="1"/>
  <c r="M49"/>
  <c r="M52" s="1"/>
  <c r="P38"/>
  <c r="P98"/>
  <c r="Q73"/>
  <c r="R73" s="1"/>
  <c r="Q29"/>
  <c r="Q13" i="10"/>
  <c r="R10" i="11"/>
  <c r="S41" i="16"/>
  <c r="R42"/>
  <c r="N37" i="9"/>
  <c r="N39" s="1"/>
  <c r="Q74" i="4" l="1"/>
  <c r="Q55" s="1"/>
  <c r="Q56" s="1"/>
  <c r="R17" i="9"/>
  <c r="R18" s="1"/>
  <c r="Q93" i="4"/>
  <c r="Q33"/>
  <c r="R29"/>
  <c r="F13" i="21" s="1"/>
  <c r="F15" s="1"/>
  <c r="E13"/>
  <c r="E15" s="1"/>
  <c r="M59" i="4"/>
  <c r="Q16" i="10"/>
  <c r="R13"/>
  <c r="Q9" i="11"/>
  <c r="Q14" s="1"/>
  <c r="P39" i="4"/>
  <c r="Q36" i="11" l="1"/>
  <c r="Q37" s="1"/>
  <c r="N10" i="9"/>
  <c r="M118" i="4"/>
  <c r="M60"/>
  <c r="M61" s="1"/>
  <c r="Q35"/>
  <c r="Q92"/>
  <c r="R33"/>
  <c r="Q36"/>
  <c r="R16" i="10"/>
  <c r="N14" i="9" l="1"/>
  <c r="N21" s="1"/>
  <c r="N40" s="1"/>
  <c r="N33" i="11"/>
  <c r="R35" i="4"/>
  <c r="AN33"/>
  <c r="Q20" i="10"/>
  <c r="R20" s="1"/>
  <c r="Q96" i="4"/>
  <c r="R10" i="18" s="1"/>
  <c r="Q41" i="4"/>
  <c r="R36"/>
  <c r="Q38"/>
  <c r="Q98" l="1"/>
  <c r="R9" i="11"/>
  <c r="R14" s="1"/>
  <c r="Q39" i="4"/>
  <c r="R38"/>
  <c r="Q82"/>
  <c r="R41"/>
  <c r="R36" i="11" l="1"/>
  <c r="S14"/>
  <c r="AN38" i="4"/>
  <c r="R39"/>
  <c r="R82"/>
  <c r="R37" i="11" l="1"/>
  <c r="R39" s="1"/>
  <c r="R38"/>
  <c r="F24" i="21" s="1"/>
  <c r="D20"/>
  <c r="N103" i="4"/>
  <c r="N48"/>
  <c r="O24" i="11"/>
  <c r="R81" i="4"/>
  <c r="N88"/>
  <c r="N89" s="1"/>
  <c r="O88" l="1"/>
  <c r="P88" s="1"/>
  <c r="Q88" s="1"/>
  <c r="Q89" s="1"/>
  <c r="N50"/>
  <c r="N22" i="20"/>
  <c r="O35" i="9"/>
  <c r="O48" i="4"/>
  <c r="P89" l="1"/>
  <c r="P50" s="1"/>
  <c r="O89"/>
  <c r="O50" s="1"/>
  <c r="AN81"/>
  <c r="P48"/>
  <c r="P35" i="9"/>
  <c r="D21" i="21"/>
  <c r="O9" i="14"/>
  <c r="N101" i="4"/>
  <c r="N99"/>
  <c r="N21" i="20"/>
  <c r="C36" s="1"/>
  <c r="O20"/>
  <c r="Q22"/>
  <c r="Q50" i="4"/>
  <c r="O22" i="20" l="1"/>
  <c r="O21" s="1"/>
  <c r="C37" s="1"/>
  <c r="P25" i="11" s="1"/>
  <c r="P28" s="1"/>
  <c r="P30" s="1"/>
  <c r="P22" i="20"/>
  <c r="Q20" s="1"/>
  <c r="Q21" s="1"/>
  <c r="C39" s="1"/>
  <c r="R25" i="11" s="1"/>
  <c r="R28" s="1"/>
  <c r="R30" s="1"/>
  <c r="F21" i="21"/>
  <c r="F22" s="1"/>
  <c r="G21" s="1"/>
  <c r="N105" i="4"/>
  <c r="N109" s="1"/>
  <c r="N110" s="1"/>
  <c r="Q101"/>
  <c r="Q99"/>
  <c r="R9" i="14"/>
  <c r="R29" i="9" s="1"/>
  <c r="R31" s="1"/>
  <c r="O29"/>
  <c r="O31" s="1"/>
  <c r="O17" i="14"/>
  <c r="E21" i="21"/>
  <c r="O99" i="4"/>
  <c r="O101"/>
  <c r="P9" i="14"/>
  <c r="P17" s="1"/>
  <c r="P99" i="4"/>
  <c r="Q9" i="14"/>
  <c r="P101" i="4"/>
  <c r="Q35" i="9"/>
  <c r="Q48" i="4"/>
  <c r="D36" i="20"/>
  <c r="O25" i="11"/>
  <c r="O28" s="1"/>
  <c r="P20" i="20"/>
  <c r="P21" l="1"/>
  <c r="C38" s="1"/>
  <c r="Q25" i="11" s="1"/>
  <c r="Q28" s="1"/>
  <c r="Q30" s="1"/>
  <c r="O30"/>
  <c r="O32" s="1"/>
  <c r="B37" i="20"/>
  <c r="D37" s="1"/>
  <c r="E36"/>
  <c r="R35" i="9"/>
  <c r="R17" i="14"/>
  <c r="Q29" i="9"/>
  <c r="Q31" s="1"/>
  <c r="P29"/>
  <c r="P31" s="1"/>
  <c r="Q17" i="14"/>
  <c r="P105" i="4"/>
  <c r="P109" s="1"/>
  <c r="Q105"/>
  <c r="Q109" s="1"/>
  <c r="G18" i="21"/>
  <c r="G19"/>
  <c r="H18"/>
  <c r="I18" s="1"/>
  <c r="G20"/>
  <c r="O105" i="4"/>
  <c r="O109" s="1"/>
  <c r="O110" s="1"/>
  <c r="S28" i="11" l="1"/>
  <c r="C40" i="20"/>
  <c r="P110" i="4"/>
  <c r="Q110" s="1"/>
  <c r="P32" i="11"/>
  <c r="B38" i="20"/>
  <c r="D38" s="1"/>
  <c r="E37"/>
  <c r="O15" i="14"/>
  <c r="F36" i="20"/>
  <c r="B39" l="1"/>
  <c r="D39" s="1"/>
  <c r="E39" s="1"/>
  <c r="F39" s="1"/>
  <c r="E38"/>
  <c r="Q32" i="11"/>
  <c r="P15" i="14"/>
  <c r="O17" i="10" s="1"/>
  <c r="F37" i="20"/>
  <c r="N17" i="10"/>
  <c r="BB31" i="4" l="1"/>
  <c r="N19" i="10"/>
  <c r="BC31" i="4"/>
  <c r="O19" i="10"/>
  <c r="O22" s="1"/>
  <c r="O23" s="1"/>
  <c r="F38" i="20"/>
  <c r="R15" i="14" s="1"/>
  <c r="Q17" i="10" s="1"/>
  <c r="Q15" i="14"/>
  <c r="E40" i="20"/>
  <c r="R32" i="11"/>
  <c r="F40" i="20" l="1"/>
  <c r="P17" i="10"/>
  <c r="S15" i="14"/>
  <c r="Q19" i="10"/>
  <c r="Q22" s="1"/>
  <c r="Q23" s="1"/>
  <c r="BE31" i="4"/>
  <c r="N22" i="10"/>
  <c r="P19" l="1"/>
  <c r="BD31" i="4"/>
  <c r="AO31" s="1"/>
  <c r="AN31" s="1"/>
  <c r="R17" i="10"/>
  <c r="N23"/>
  <c r="N26"/>
  <c r="O36" i="9"/>
  <c r="P22" i="10" l="1"/>
  <c r="R19"/>
  <c r="T19"/>
  <c r="P36" i="9"/>
  <c r="O37"/>
  <c r="O39" s="1"/>
  <c r="N49" i="4"/>
  <c r="N52" s="1"/>
  <c r="O26" i="10"/>
  <c r="P23" l="1"/>
  <c r="R23" s="1"/>
  <c r="R22"/>
  <c r="P26"/>
  <c r="O49" i="4"/>
  <c r="O52" s="1"/>
  <c r="N59"/>
  <c r="Q36" i="9"/>
  <c r="P37"/>
  <c r="P39" s="1"/>
  <c r="N118" i="4" l="1"/>
  <c r="O10" i="9"/>
  <c r="N60" i="4"/>
  <c r="N61" s="1"/>
  <c r="Q26" i="10"/>
  <c r="Q49" i="4" s="1"/>
  <c r="Q52" s="1"/>
  <c r="P49"/>
  <c r="R36" i="9"/>
  <c r="R37" s="1"/>
  <c r="R39" s="1"/>
  <c r="Q37"/>
  <c r="Q39" s="1"/>
  <c r="O59" i="4"/>
  <c r="R49" l="1"/>
  <c r="P52"/>
  <c r="O118"/>
  <c r="O60"/>
  <c r="O61" s="1"/>
  <c r="P10" i="9"/>
  <c r="O14"/>
  <c r="O21" s="1"/>
  <c r="O40" s="1"/>
  <c r="O33" i="11"/>
  <c r="Q59" i="4"/>
  <c r="R10" i="9" l="1"/>
  <c r="Q118" i="4"/>
  <c r="Q60"/>
  <c r="Q61" s="1"/>
  <c r="P14" i="9"/>
  <c r="P21" s="1"/>
  <c r="P40" s="1"/>
  <c r="P33" i="11"/>
  <c r="P59" i="4"/>
  <c r="R14" i="9" l="1"/>
  <c r="R21" s="1"/>
  <c r="R40" s="1"/>
  <c r="R33" i="11"/>
  <c r="P60" i="4"/>
  <c r="P61" s="1"/>
  <c r="Q10" i="9"/>
  <c r="P118" i="4"/>
  <c r="Q14" i="9" l="1"/>
  <c r="Q21" s="1"/>
  <c r="Q40" s="1"/>
  <c r="Q33" i="11"/>
</calcChain>
</file>

<file path=xl/comments1.xml><?xml version="1.0" encoding="utf-8"?>
<comments xmlns="http://schemas.openxmlformats.org/spreadsheetml/2006/main">
  <authors>
    <author>Vipin</author>
  </authors>
  <commentList>
    <comment ref="B12" authorId="0">
      <text>
        <r>
          <rPr>
            <b/>
            <sz val="9"/>
            <color indexed="81"/>
            <rFont val="Tahoma"/>
            <family val="2"/>
          </rPr>
          <t xml:space="preserve">Vipin:To be charged to CSTC for 3 years only, assuming the site work is completed in 3 years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GAURAV</author>
  </authors>
  <commentList>
    <comment ref="K94" authorId="0">
      <text>
        <r>
          <rPr>
            <b/>
            <sz val="9"/>
            <color indexed="81"/>
            <rFont val="Tahoma"/>
            <family val="2"/>
          </rPr>
          <t>GAURAV:</t>
        </r>
        <r>
          <rPr>
            <sz val="9"/>
            <color indexed="81"/>
            <rFont val="Tahoma"/>
            <family val="2"/>
          </rPr>
          <t xml:space="preserve">
For training at the L &amp; T training centre.
</t>
        </r>
      </text>
    </comment>
    <comment ref="G119" authorId="0">
      <text>
        <r>
          <rPr>
            <b/>
            <sz val="9"/>
            <color indexed="81"/>
            <rFont val="Tahoma"/>
            <charset val="1"/>
          </rPr>
          <t>GAURAV:</t>
        </r>
        <r>
          <rPr>
            <sz val="9"/>
            <color indexed="81"/>
            <rFont val="Tahoma"/>
            <charset val="1"/>
          </rPr>
          <t xml:space="preserve">
Dep as per last bs 1794741, and 50% is to be taken.</t>
        </r>
      </text>
    </comment>
  </commentList>
</comments>
</file>

<file path=xl/comments3.xml><?xml version="1.0" encoding="utf-8"?>
<comments xmlns="http://schemas.openxmlformats.org/spreadsheetml/2006/main">
  <authors>
    <author>GAURAV</author>
  </authors>
  <commentList>
    <comment ref="C77" authorId="0">
      <text>
        <r>
          <rPr>
            <b/>
            <sz val="9"/>
            <color indexed="81"/>
            <rFont val="Tahoma"/>
            <family val="2"/>
          </rPr>
          <t>GAURAV:</t>
        </r>
        <r>
          <rPr>
            <sz val="9"/>
            <color indexed="81"/>
            <rFont val="Tahoma"/>
            <family val="2"/>
          </rPr>
          <t xml:space="preserve">
Rs 3000 for each trainer and he is looking after 5 sites.</t>
        </r>
      </text>
    </comment>
    <comment ref="D77" authorId="0">
      <text>
        <r>
          <rPr>
            <b/>
            <sz val="9"/>
            <color indexed="81"/>
            <rFont val="Tahoma"/>
            <family val="2"/>
          </rPr>
          <t>GAURAV:</t>
        </r>
        <r>
          <rPr>
            <sz val="9"/>
            <color indexed="81"/>
            <rFont val="Tahoma"/>
            <family val="2"/>
          </rPr>
          <t xml:space="preserve">
Rs 500 for each trainer
</t>
        </r>
      </text>
    </comment>
    <comment ref="E77" authorId="0">
      <text>
        <r>
          <rPr>
            <b/>
            <sz val="9"/>
            <color indexed="81"/>
            <rFont val="Tahoma"/>
            <family val="2"/>
          </rPr>
          <t>GAURAV:</t>
        </r>
        <r>
          <rPr>
            <sz val="9"/>
            <color indexed="81"/>
            <rFont val="Tahoma"/>
            <family val="2"/>
          </rPr>
          <t xml:space="preserve">
mis exec @ rs 1500 each, and he is for 5 sites, also rs 1500 for each mobilizer &amp; 2 mobilizer per site.
</t>
        </r>
      </text>
    </comment>
    <comment ref="F93" authorId="0">
      <text>
        <r>
          <rPr>
            <b/>
            <sz val="9"/>
            <color indexed="81"/>
            <rFont val="Tahoma"/>
            <family val="2"/>
          </rPr>
          <t>GAURAV:</t>
        </r>
        <r>
          <rPr>
            <sz val="9"/>
            <color indexed="81"/>
            <rFont val="Tahoma"/>
            <family val="2"/>
          </rPr>
          <t xml:space="preserve">
For 2 Mobilizer and 1 centre manager
</t>
        </r>
      </text>
    </comment>
  </commentList>
</comments>
</file>

<file path=xl/comments4.xml><?xml version="1.0" encoding="utf-8"?>
<comments xmlns="http://schemas.openxmlformats.org/spreadsheetml/2006/main">
  <authors>
    <author>GAURAV</author>
  </authors>
  <commentList>
    <comment ref="A14" authorId="0">
      <text>
        <r>
          <rPr>
            <b/>
            <sz val="9"/>
            <color indexed="81"/>
            <rFont val="Tahoma"/>
            <charset val="1"/>
          </rPr>
          <t>GAURAV:</t>
        </r>
        <r>
          <rPr>
            <sz val="9"/>
            <color indexed="81"/>
            <rFont val="Tahoma"/>
            <charset val="1"/>
          </rPr>
          <t xml:space="preserve">
Cost attributable to Manpower &amp; Admin, for Head Office and Regional office, both has to be allocated to sites and centres.</t>
        </r>
      </text>
    </comment>
    <comment ref="A26" authorId="0">
      <text>
        <r>
          <rPr>
            <b/>
            <sz val="9"/>
            <color indexed="81"/>
            <rFont val="Tahoma"/>
            <charset val="1"/>
          </rPr>
          <t>GAURAV:</t>
        </r>
        <r>
          <rPr>
            <sz val="9"/>
            <color indexed="81"/>
            <rFont val="Tahoma"/>
            <charset val="1"/>
          </rPr>
          <t xml:space="preserve">
Cost attributable to Manpower &amp; Admin, for Head Office and Regional office, both has to be allocated to sites and centres.</t>
        </r>
      </text>
    </comment>
    <comment ref="A141" authorId="0">
      <text>
        <r>
          <rPr>
            <b/>
            <sz val="9"/>
            <color indexed="81"/>
            <rFont val="Tahoma"/>
            <family val="2"/>
          </rPr>
          <t>GAURAV:</t>
        </r>
        <r>
          <rPr>
            <sz val="9"/>
            <color indexed="81"/>
            <rFont val="Tahoma"/>
            <family val="2"/>
          </rPr>
          <t xml:space="preserve">
As this was to be incurred, irrespective of the fact of centre business.</t>
        </r>
      </text>
    </comment>
  </commentList>
</comments>
</file>

<file path=xl/sharedStrings.xml><?xml version="1.0" encoding="utf-8"?>
<sst xmlns="http://schemas.openxmlformats.org/spreadsheetml/2006/main" count="1969" uniqueCount="863">
  <si>
    <t>YE 2017</t>
  </si>
  <si>
    <t>YE 2018</t>
  </si>
  <si>
    <t>YE 2019</t>
  </si>
  <si>
    <t>YE 2020</t>
  </si>
  <si>
    <t>YE 2021</t>
  </si>
  <si>
    <t>Item</t>
  </si>
  <si>
    <t>Total</t>
  </si>
  <si>
    <t>Number</t>
  </si>
  <si>
    <t>% of Total Workforce Impacted</t>
  </si>
  <si>
    <t>Number of Trades included in Labour Market Intelligence System</t>
  </si>
  <si>
    <t>FY</t>
  </si>
  <si>
    <t>Cum</t>
  </si>
  <si>
    <t>Number of Trades for which skill gap analysis, occupation standards framework and  skill development plan created</t>
  </si>
  <si>
    <t>Number of Trades for which competency framework developed</t>
  </si>
  <si>
    <t>Number of Trades for which curriculum  development facilitated</t>
  </si>
  <si>
    <t>Number of Trades for which training of trainers conducted</t>
  </si>
  <si>
    <t>No. of training organisations certified</t>
  </si>
  <si>
    <t>Number of Trainers Trained</t>
  </si>
  <si>
    <t>Number of people  certified</t>
  </si>
  <si>
    <t>Placement, as percentage of numbers certified</t>
  </si>
  <si>
    <t xml:space="preserve">Salaries </t>
  </si>
  <si>
    <t>S.No.</t>
  </si>
  <si>
    <t>Designation</t>
  </si>
  <si>
    <t>Admin Cost</t>
  </si>
  <si>
    <t>Preliminary Expenses</t>
  </si>
  <si>
    <t>Share Capital</t>
  </si>
  <si>
    <t>P &amp; L A/c (Rs. Lakh)</t>
  </si>
  <si>
    <t>Total receipts</t>
  </si>
  <si>
    <t>Admin</t>
  </si>
  <si>
    <t>Total expenses</t>
  </si>
  <si>
    <t>Depreciation</t>
  </si>
  <si>
    <t>Amortisation</t>
  </si>
  <si>
    <t>Interest Expenses</t>
  </si>
  <si>
    <t>Surplus/(Deficit)</t>
  </si>
  <si>
    <t>Tax</t>
  </si>
  <si>
    <t>EAT</t>
  </si>
  <si>
    <t>Cash Surplus/(Deficit)</t>
  </si>
  <si>
    <t>Balance Sheet (Rs. Lakh)</t>
  </si>
  <si>
    <t>Particulars</t>
  </si>
  <si>
    <t>Grants from NSDC</t>
  </si>
  <si>
    <t>Reserve &amp; Surplus (from P&amp;L)</t>
  </si>
  <si>
    <t>Term Loan</t>
  </si>
  <si>
    <t>Total Source of funds</t>
  </si>
  <si>
    <t>Accumulated Depreciation</t>
  </si>
  <si>
    <t>Cash</t>
  </si>
  <si>
    <t>Total Funds Deployed</t>
  </si>
  <si>
    <t>Depreciation Schedule (Rs. Lakh)</t>
  </si>
  <si>
    <t>Gross Block</t>
  </si>
  <si>
    <t>Total Depreciation</t>
  </si>
  <si>
    <t>Total Accumulated Depreciation</t>
  </si>
  <si>
    <t>Grant from NSDC</t>
  </si>
  <si>
    <t>Capex</t>
  </si>
  <si>
    <t>Term Loan requirement</t>
  </si>
  <si>
    <t>Cash surplus(deficit)</t>
  </si>
  <si>
    <t>Cumulative funds required</t>
  </si>
  <si>
    <t>Term Loan Required</t>
  </si>
  <si>
    <t>Working of funds required in first 3 Years</t>
  </si>
  <si>
    <t>Revenue</t>
  </si>
  <si>
    <t>Operating Expenses</t>
  </si>
  <si>
    <t>Funds required in first 3 years</t>
  </si>
  <si>
    <t xml:space="preserve">Please ensure that the cells are linked </t>
  </si>
  <si>
    <t xml:space="preserve">Instruction to Proposal owners </t>
  </si>
  <si>
    <t xml:space="preserve">Tax Details </t>
  </si>
  <si>
    <t>Taxes</t>
  </si>
  <si>
    <t xml:space="preserve">Capital Expenditure Details </t>
  </si>
  <si>
    <t>Interest and Principal Payment Schedule</t>
  </si>
  <si>
    <t xml:space="preserve">Interest-Principal </t>
  </si>
  <si>
    <t>Amortization Schedule</t>
  </si>
  <si>
    <t>Depreciation Schedule</t>
  </si>
  <si>
    <t xml:space="preserve">Operating Expenses Calculations </t>
  </si>
  <si>
    <t>Operational Expenses</t>
  </si>
  <si>
    <t xml:space="preserve">Revenue Calculations </t>
  </si>
  <si>
    <t>Revenue Schedule</t>
  </si>
  <si>
    <t>Cash Flow Statement</t>
  </si>
  <si>
    <t>P&amp;L Statement</t>
  </si>
  <si>
    <t>Balance Sheet</t>
  </si>
  <si>
    <t>Key Assumptions</t>
  </si>
  <si>
    <t>Description</t>
  </si>
  <si>
    <t>Worksheet</t>
  </si>
  <si>
    <t xml:space="preserve">This financial model Template is designed to enable prospective firms/individuals to project their financials for a ten year duration period. Given below are the principal spreadsheets that can be used for developing the financial model </t>
  </si>
  <si>
    <t xml:space="preserve"> </t>
  </si>
  <si>
    <t>BACK TO INDEX</t>
  </si>
  <si>
    <t>TOTAL LIABILITIES &amp; EQUITY</t>
  </si>
  <si>
    <t xml:space="preserve">TOTAL EQUITY </t>
  </si>
  <si>
    <t>Reserves and Surplus</t>
  </si>
  <si>
    <t>TOTAL LIABILITIES</t>
  </si>
  <si>
    <t xml:space="preserve">Long Term Debt </t>
  </si>
  <si>
    <t>Other Current Liabilities</t>
  </si>
  <si>
    <t>Accounts Payable &amp; Accrued Expenses</t>
  </si>
  <si>
    <t>Short Term Debt</t>
  </si>
  <si>
    <t>CURRENT LIABILITIES</t>
  </si>
  <si>
    <t>LIABILITIES &amp; SHAREHOLDERS EQUITY</t>
  </si>
  <si>
    <t>TOTAL ASSETS</t>
  </si>
  <si>
    <t>Net Fixed Assets</t>
  </si>
  <si>
    <t>Gross Fixed Assets</t>
  </si>
  <si>
    <t>Total Current Assets</t>
  </si>
  <si>
    <t>Other Current Assets</t>
  </si>
  <si>
    <t>Inventories</t>
  </si>
  <si>
    <t>Accounts Receivables</t>
  </si>
  <si>
    <t>Current Assets</t>
  </si>
  <si>
    <t>ASSETS</t>
  </si>
  <si>
    <t>Note: - Proposal owner can add sub heads in each of the main heads whereever it deemed necessary</t>
  </si>
  <si>
    <t>BALANCE SHEET</t>
  </si>
  <si>
    <t>Earning After Taxes (EAT)</t>
  </si>
  <si>
    <t>Earning Before Taxes (EBT)</t>
  </si>
  <si>
    <t>Interest Expense</t>
  </si>
  <si>
    <t>Earning Before Interest and Taxes (EBIT)</t>
  </si>
  <si>
    <t>Amortization</t>
  </si>
  <si>
    <t>Earning Before Interest, Depreciation, Taxes and Amortization (EBITDA)</t>
  </si>
  <si>
    <t>Total Operating Expenses</t>
  </si>
  <si>
    <t>Total Revenue</t>
  </si>
  <si>
    <t>PROFIT AND LOSS STATEMENT</t>
  </si>
  <si>
    <t>Project IRR</t>
  </si>
  <si>
    <t>Free Cash Flows (FCE)</t>
  </si>
  <si>
    <t xml:space="preserve">Cumulative Cash Balance </t>
  </si>
  <si>
    <t>Net cash flow</t>
  </si>
  <si>
    <t>Cash flow from financing activities</t>
  </si>
  <si>
    <t>Debt raised/(Repaid)</t>
  </si>
  <si>
    <t>Increase/(Decrease) In Equity</t>
  </si>
  <si>
    <t>Financing Activities</t>
  </si>
  <si>
    <t>Cash flow from investing activities</t>
  </si>
  <si>
    <t>Fixed Assets Purchased</t>
  </si>
  <si>
    <t>Investing Activities</t>
  </si>
  <si>
    <t>Cash flow from operating activities</t>
  </si>
  <si>
    <t>Add amortisation</t>
  </si>
  <si>
    <t>Add depreciation</t>
  </si>
  <si>
    <t>Operating Activities</t>
  </si>
  <si>
    <t>CASH FLOW STATEMENT</t>
  </si>
  <si>
    <t>Total  Revenue</t>
  </si>
  <si>
    <t>Revenue Heads</t>
  </si>
  <si>
    <t xml:space="preserve">Note: - Proposal owner should show complete workings of all relevant revenue streams </t>
  </si>
  <si>
    <t>REVENUE SUMMARY</t>
  </si>
  <si>
    <t>Total  Operational Expenses</t>
  </si>
  <si>
    <t>Operational Costs</t>
  </si>
  <si>
    <t xml:space="preserve">Note: - Proposal owner should show complete workings of all relevant cost centres  </t>
  </si>
  <si>
    <t>COST STRUCTURE</t>
  </si>
  <si>
    <t xml:space="preserve">Principal Repayment </t>
  </si>
  <si>
    <t xml:space="preserve">Interest </t>
  </si>
  <si>
    <t>NSDC Debt</t>
  </si>
  <si>
    <t>Note: - Proposal owner should show complete workings of interest and Principal repayment of NSDC Debt, if applicable</t>
  </si>
  <si>
    <t>LOAN REPAYMENT SCHEDULE</t>
  </si>
  <si>
    <t xml:space="preserve">Note: - Proposal owner should show complete workings of capital expenditure being during the course of the project </t>
  </si>
  <si>
    <t>CAPITAL EXPENDITURE</t>
  </si>
  <si>
    <t xml:space="preserve">Total Depreciation </t>
  </si>
  <si>
    <t>Assets</t>
  </si>
  <si>
    <t>Note: - Proposal owner should show complete workings of Depreciation details using COMPANIES ACT</t>
  </si>
  <si>
    <t>DEPRECIATION</t>
  </si>
  <si>
    <t>Amortization Details</t>
  </si>
  <si>
    <t>Note: - Proposal owner should show complete workings of amortization details if applicable</t>
  </si>
  <si>
    <t>AMORTIZATION SCHEDULE</t>
  </si>
  <si>
    <t>Tax Details</t>
  </si>
  <si>
    <t>Note: - Proposal owner should show complete workings of Tax details if applicable</t>
  </si>
  <si>
    <t>TAX SCHEDULE</t>
  </si>
  <si>
    <t>No. of students per batch</t>
  </si>
  <si>
    <t>Working Capital</t>
  </si>
  <si>
    <t>Regional Offices</t>
  </si>
  <si>
    <t>Year 1</t>
  </si>
  <si>
    <t>Year 2</t>
  </si>
  <si>
    <t>Less: Depreciation</t>
  </si>
  <si>
    <t>Total Current Liabilities</t>
  </si>
  <si>
    <t>Details of Utilisation of Grant and Loan from NSDC</t>
  </si>
  <si>
    <t>Details of Items Funded from Grant ( Rs. Lac)</t>
  </si>
  <si>
    <t>Year 3</t>
  </si>
  <si>
    <t>Year 4</t>
  </si>
  <si>
    <t>Year 5</t>
  </si>
  <si>
    <t>Salaries</t>
  </si>
  <si>
    <t>Admin. Exp.</t>
  </si>
  <si>
    <t>Working capital</t>
  </si>
  <si>
    <t>Cumulative Balance</t>
  </si>
  <si>
    <t>Details of Items Funded from Loan ( Rs. Lac)</t>
  </si>
  <si>
    <t>Interest</t>
  </si>
  <si>
    <t xml:space="preserve">Key Revenue Expenses and other Assumptions </t>
  </si>
  <si>
    <t>One Page financials and workings</t>
  </si>
  <si>
    <t>Utilisation of Grant and Loan</t>
  </si>
  <si>
    <t>Utilisation of Grant and Loan for various revenue expenses and capex</t>
  </si>
  <si>
    <t>Expenses Assumptions</t>
  </si>
  <si>
    <t>Working of salary, Admin expenses and Capex</t>
  </si>
  <si>
    <t>Pilot Project Cost</t>
  </si>
  <si>
    <t>Principal moratorium</t>
  </si>
  <si>
    <t>Principal Repayment period</t>
  </si>
  <si>
    <t>Interest Repayment period</t>
  </si>
  <si>
    <t>[Please note Interest will be paid quarterly ]</t>
  </si>
  <si>
    <t>Interest rate</t>
  </si>
  <si>
    <t>Total loan requirement</t>
  </si>
  <si>
    <t>Instalments(in months)</t>
  </si>
  <si>
    <t>[Please note Actual Interest will be calculated on the basis of the actual date of disbursement]</t>
  </si>
  <si>
    <t>Principal  Balance</t>
  </si>
  <si>
    <t>Closing Balance</t>
  </si>
  <si>
    <t>Interest Due</t>
  </si>
  <si>
    <t>Interest Repayment</t>
  </si>
  <si>
    <t>Year 6</t>
  </si>
  <si>
    <t>Year 7</t>
  </si>
  <si>
    <t>Year 8</t>
  </si>
  <si>
    <t>Year 9</t>
  </si>
  <si>
    <t>Year 10</t>
  </si>
  <si>
    <t>Head Office</t>
  </si>
  <si>
    <t>YE 2022</t>
  </si>
  <si>
    <t>Date of Joining</t>
  </si>
  <si>
    <t>Electricity</t>
  </si>
  <si>
    <t>Repair &amp; Maintenace (AMC, Office R &amp;M etc.)</t>
  </si>
  <si>
    <t>Office expenses</t>
  </si>
  <si>
    <t>Security</t>
  </si>
  <si>
    <t>House Keeping and Pantry</t>
  </si>
  <si>
    <t>Communication(Tel,Fax, Mobile, Internet)</t>
  </si>
  <si>
    <t>Printing &amp; Stationery</t>
  </si>
  <si>
    <t>Offices</t>
  </si>
  <si>
    <t>Total Admin Cost Head Office</t>
  </si>
  <si>
    <t>Cost/Month</t>
  </si>
  <si>
    <t>Manpower Costs</t>
  </si>
  <si>
    <t>Rs. Lacs</t>
  </si>
  <si>
    <t>YEAR 1</t>
  </si>
  <si>
    <t>YEAR 2</t>
  </si>
  <si>
    <t>Loan Balance as on end of the year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</si>
  <si>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</si>
  <si>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</si>
  <si>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</si>
  <si>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</si>
  <si>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</si>
  <si>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</si>
  <si>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</si>
  <si>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</si>
  <si>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EBDIT</t>
  </si>
  <si>
    <t>(Rs. Lac)</t>
  </si>
  <si>
    <t>EBT</t>
  </si>
  <si>
    <t>Loan Requirement - Maximum</t>
  </si>
  <si>
    <t>Funding Requirement</t>
  </si>
  <si>
    <t>Total No. of People to be trained (in Lac)</t>
  </si>
  <si>
    <t>Project IRR (%)</t>
  </si>
  <si>
    <t>Deposit for Office</t>
  </si>
  <si>
    <t>Local Conveyance</t>
  </si>
  <si>
    <t>Depreciation, Amortisation &amp; Finance Charges</t>
  </si>
  <si>
    <t>Working Capital Requirement</t>
  </si>
  <si>
    <t>Cash &amp; bank balances</t>
  </si>
  <si>
    <t>Deposit for Office  ( Equal to 6 Month rental)</t>
  </si>
  <si>
    <t>nos.</t>
  </si>
  <si>
    <t>Salary and administrative expenses as per Expense Assumption sheet</t>
  </si>
  <si>
    <t>No.of training organisations conducting pilot</t>
  </si>
  <si>
    <t xml:space="preserve">No. of Pilot Training Batches </t>
  </si>
  <si>
    <t>Total No.of students</t>
  </si>
  <si>
    <t>Number of training batches facilitated</t>
  </si>
  <si>
    <t>Legal &amp; Professional Expenses</t>
  </si>
  <si>
    <t>Intermediate</t>
  </si>
  <si>
    <t>Advanced</t>
  </si>
  <si>
    <t>Loan-Int</t>
  </si>
  <si>
    <t>Details of Loan Principal and Interest repayment</t>
  </si>
  <si>
    <t>Roles to be connected with the no. of trades</t>
  </si>
  <si>
    <t>Programmes</t>
  </si>
  <si>
    <t>Apprentice ship</t>
  </si>
  <si>
    <t>class room</t>
  </si>
  <si>
    <t>Master Plumber</t>
  </si>
  <si>
    <t>Supervisor</t>
  </si>
  <si>
    <t>3m</t>
  </si>
  <si>
    <t>2m</t>
  </si>
  <si>
    <t>1m</t>
  </si>
  <si>
    <t>cert fee</t>
  </si>
  <si>
    <t>apprentice training for existing will not be there</t>
  </si>
  <si>
    <t>Plumber</t>
  </si>
  <si>
    <t>Basic</t>
  </si>
  <si>
    <t>TTT</t>
  </si>
  <si>
    <t xml:space="preserve">Pilot </t>
  </si>
  <si>
    <t>Roles</t>
  </si>
  <si>
    <t>( 3 Levels of 1 trade-Plumbing)</t>
  </si>
  <si>
    <t>3 Pilots 1 each for each level in 4 regions ( 12 Pilots)</t>
  </si>
  <si>
    <t>INCREMENT</t>
  </si>
  <si>
    <t>Year</t>
  </si>
  <si>
    <t>% growth</t>
  </si>
  <si>
    <t>Manpower in Mn in Construction Industry</t>
  </si>
  <si>
    <t>Plumbers in Mn in Construction Sector</t>
  </si>
  <si>
    <t>Rs.</t>
  </si>
  <si>
    <t>Disbursement/(Repayment) Schedule</t>
  </si>
  <si>
    <t>Manufacturing Manpower</t>
  </si>
  <si>
    <t>No. people engaged in manufacturing sector</t>
  </si>
  <si>
    <t>% Growth</t>
  </si>
  <si>
    <t>Total manpower</t>
  </si>
  <si>
    <t>CTC / Month</t>
  </si>
  <si>
    <t>Fin Smmry</t>
  </si>
  <si>
    <t>Number of certification organizations registered</t>
  </si>
  <si>
    <t>Highlights</t>
  </si>
  <si>
    <t>Advertisement and Publicity</t>
  </si>
  <si>
    <t>10 years forecast</t>
  </si>
  <si>
    <t>3 Monhts Course</t>
  </si>
  <si>
    <t xml:space="preserve">Pilot Project Cost ( Per Student per Month Rs. 0.05 Lac) </t>
  </si>
  <si>
    <t>YE 2023</t>
  </si>
  <si>
    <t>Accumulated loss effect considered</t>
  </si>
  <si>
    <t xml:space="preserve">Regional Offices  </t>
  </si>
  <si>
    <t>Hiring of Staff as per expense assumption sheet</t>
  </si>
  <si>
    <t>Expense Assumptions</t>
  </si>
  <si>
    <t xml:space="preserve">Contingencies cost @ 10% </t>
  </si>
  <si>
    <t>Year 0</t>
  </si>
  <si>
    <t>Workshop expenses</t>
  </si>
  <si>
    <t>Website &amp; IT Equipment Maintainence cost</t>
  </si>
  <si>
    <t>Total at the end of 10 Years</t>
  </si>
  <si>
    <t>Number of Trades for which Standards and NOS will be developed</t>
  </si>
  <si>
    <t>Accrediation of Institutes</t>
  </si>
  <si>
    <t>Yearly number of institutes being setup/identified by SSC for accrediation</t>
  </si>
  <si>
    <t>Courses running in institutes available for accrediation  (assumption 1 training course for each trade)</t>
  </si>
  <si>
    <t>Trainee Certification</t>
  </si>
  <si>
    <t>% pass out</t>
  </si>
  <si>
    <t>SSC will accredit training agencies to do the accrediation of trainees, trainers. SSC will not have any trainer on its rolls.</t>
  </si>
  <si>
    <t>Interest Moratorium</t>
  </si>
  <si>
    <t>Total number of trades taken up for skill development</t>
  </si>
  <si>
    <t>Pilot is being conducted in 10 Trades and 3 Training institutes for 2 batches</t>
  </si>
  <si>
    <t>Each batch of 25 nos.</t>
  </si>
  <si>
    <t xml:space="preserve">YEAR 0 </t>
  </si>
  <si>
    <t>No. of Trades in which Pilot conducted</t>
  </si>
  <si>
    <t>Total no. of people trained &amp; certified</t>
  </si>
  <si>
    <t>Percentage of total trades in which each institute conducts training</t>
  </si>
  <si>
    <t xml:space="preserve"> Projections for the 10 yrs Financial Plan :  Construction Sector Skill Council</t>
  </si>
  <si>
    <t>Number of Site Construction Training Centres (CSTCs) mobilised</t>
  </si>
  <si>
    <t>Number of batches in the training instt/trade 
( Assuming 4 serial batches in a yr)</t>
  </si>
  <si>
    <t>Number of trainees per batch</t>
  </si>
  <si>
    <t>Number of People assessed &amp; Certified after training at Instts</t>
  </si>
  <si>
    <t>FRESH</t>
  </si>
  <si>
    <t>IN-SERVICE</t>
  </si>
  <si>
    <t>No. of days on which the CSTC is conducting assessment</t>
  </si>
  <si>
    <t>No. of assessments done per day</t>
  </si>
  <si>
    <t>Number of experienced/site trained people assessed &amp; certified at sites</t>
  </si>
  <si>
    <t>TRAINEE CERTIFICATION FEE COLLECTED</t>
  </si>
  <si>
    <t>No. of trainees traineed by one trainer per year</t>
  </si>
  <si>
    <t>No. of Freshers trained at Instts</t>
  </si>
  <si>
    <t>No. of Freshers/In-service personnel trained at CSTCs (assuming 20% of assessed &amp; certified at sites)</t>
  </si>
  <si>
    <t>TOTAL NO. OF PEOPLE TRAINED</t>
  </si>
  <si>
    <t>No. of Trainers required</t>
  </si>
  <si>
    <t>TRAINER CERTIFICATION FEE COLLECTED</t>
  </si>
  <si>
    <t>Trainers Certification</t>
  </si>
  <si>
    <t>Licence Fee</t>
  </si>
  <si>
    <t xml:space="preserve">Licence Fee collected for YR 3 and YR 4 </t>
  </si>
  <si>
    <t xml:space="preserve">Licence Fee collected from 5th Yr onwards </t>
  </si>
  <si>
    <t>Licence fee collected from 10% of assessed &amp; cerrtified manpower</t>
  </si>
  <si>
    <t>TOTAL NO. OF PEOPLE ASSESSED</t>
  </si>
  <si>
    <t>TOTAL NO. OF PEOPLE  CERTIFIED</t>
  </si>
  <si>
    <t>REVENUE ASSUMPTION</t>
  </si>
  <si>
    <t>EXPENSES ASSUMPTIONS</t>
  </si>
  <si>
    <t>GM</t>
  </si>
  <si>
    <t>AGM</t>
  </si>
  <si>
    <t xml:space="preserve">Senior Manager </t>
  </si>
  <si>
    <t>Senior Accountant</t>
  </si>
  <si>
    <t>LMIS Executive</t>
  </si>
  <si>
    <t>Cost of certification for each course is as under:</t>
  </si>
  <si>
    <t>Chief Trainer</t>
  </si>
  <si>
    <t>Trainer</t>
  </si>
  <si>
    <t>MIS Executive</t>
  </si>
  <si>
    <t>Finance Executive</t>
  </si>
  <si>
    <t>Number of People certified in 10 yrs</t>
  </si>
  <si>
    <t>No. of Concurrent Batches</t>
  </si>
  <si>
    <t>No. of trainees per batch</t>
  </si>
  <si>
    <t>No. of students certified</t>
  </si>
  <si>
    <t>No. of Batches</t>
  </si>
  <si>
    <t>Course</t>
  </si>
  <si>
    <t>TOTAL</t>
  </si>
  <si>
    <t>Total No. of Batches</t>
  </si>
  <si>
    <t xml:space="preserve">No.ofSites which will run </t>
  </si>
  <si>
    <t xml:space="preserve">No.of Sites which will run </t>
  </si>
  <si>
    <t>No. of Sites</t>
  </si>
  <si>
    <t xml:space="preserve">Site - Manpower </t>
  </si>
  <si>
    <t>No. of person registered</t>
  </si>
  <si>
    <t>Registration fee collected</t>
  </si>
  <si>
    <t>Salary expected to be earned per month</t>
  </si>
  <si>
    <t>-% increase every year</t>
  </si>
  <si>
    <t>Chief Trainer/ per 5 sites</t>
  </si>
  <si>
    <t>TOTAL REVENUE</t>
  </si>
  <si>
    <t>Area Manager</t>
  </si>
  <si>
    <t>Increase per year</t>
  </si>
  <si>
    <t>GRAND TOTAL</t>
  </si>
  <si>
    <t>OPEX DETAILS</t>
  </si>
  <si>
    <t>( Rs in lacs)</t>
  </si>
  <si>
    <t>(Please fill yellow coloured cells)</t>
  </si>
  <si>
    <t>HEAD OFFICE</t>
  </si>
  <si>
    <t>Area</t>
  </si>
  <si>
    <t>Per sq. ft</t>
  </si>
  <si>
    <t>Date of rental</t>
  </si>
  <si>
    <t>Amount per year</t>
  </si>
  <si>
    <t>Amount per month</t>
  </si>
  <si>
    <t>Amount - 80% of total</t>
  </si>
  <si>
    <t>Amount</t>
  </si>
  <si>
    <t>Rental cost</t>
  </si>
  <si>
    <t>The Rent increases at the rate of 5 % in the block of three years</t>
  </si>
  <si>
    <t>Office expenses:</t>
  </si>
  <si>
    <t>Electricity &amp; other utility cost</t>
  </si>
  <si>
    <t>Consultancy expenses</t>
  </si>
  <si>
    <t>Meetings and Confrences</t>
  </si>
  <si>
    <t>Travelling Cost:</t>
  </si>
  <si>
    <t>Misc. Expenses</t>
  </si>
  <si>
    <t xml:space="preserve">Recruitment Expenses- 8.33% of CTC  </t>
  </si>
  <si>
    <t>SITE EXPENSES</t>
  </si>
  <si>
    <t>Conveyance</t>
  </si>
  <si>
    <t>Snack &amp; Food expenses for trainees</t>
  </si>
  <si>
    <t>Consumables</t>
  </si>
  <si>
    <t>Training material</t>
  </si>
  <si>
    <t>Maintenance cost of Movie</t>
  </si>
  <si>
    <t>Communication expenses</t>
  </si>
  <si>
    <t>Staff Welfare</t>
  </si>
  <si>
    <t>Developing cost of Training content</t>
  </si>
  <si>
    <t>Vehicle &amp; running maintenance</t>
  </si>
  <si>
    <t>Electricity cost, if any</t>
  </si>
  <si>
    <t>Review Meeting expenses</t>
  </si>
  <si>
    <t>Mobalisation expenses</t>
  </si>
  <si>
    <t>Others ( Pls specify)</t>
  </si>
  <si>
    <t>CENTRE EXPENSES FOR DOMESTIC HELP</t>
  </si>
  <si>
    <t>REGIONAL OFFICE/OTHER OFFICE</t>
  </si>
  <si>
    <t>Total Admin Cost- Regional office</t>
  </si>
  <si>
    <t>Increase every year</t>
  </si>
  <si>
    <t>Cost of Certification</t>
  </si>
  <si>
    <t xml:space="preserve">No. of Regional offices. </t>
  </si>
  <si>
    <t>- Size of each batch</t>
  </si>
  <si>
    <t>nos</t>
  </si>
  <si>
    <t>- Mason &amp; Bar bending</t>
  </si>
  <si>
    <t>- Mason</t>
  </si>
  <si>
    <t>- Bar bending</t>
  </si>
  <si>
    <t xml:space="preserve">- 76 days Course </t>
  </si>
  <si>
    <t>Increase every yr</t>
  </si>
  <si>
    <t>per person</t>
  </si>
  <si>
    <t>No. of Regional offices</t>
  </si>
  <si>
    <t>No. of Regional offices ( cummulative)</t>
  </si>
  <si>
    <t xml:space="preserve">Number of sites </t>
  </si>
  <si>
    <t>Certification fee - 76 days course</t>
  </si>
  <si>
    <t>Certification fee - 7 days course</t>
  </si>
  <si>
    <t>- 7 days Course</t>
  </si>
  <si>
    <t>Registration charges of trained worker</t>
  </si>
  <si>
    <t>Placement charges of trained worker</t>
  </si>
  <si>
    <t>Adm. Manager</t>
  </si>
  <si>
    <t>Office boys</t>
  </si>
  <si>
    <t>No. of sites</t>
  </si>
  <si>
    <t>(I MIS Executive for 5 sites)</t>
  </si>
  <si>
    <t>(I Chief trainer for 5 sites)</t>
  </si>
  <si>
    <t>Total Head office Manpower expenses</t>
  </si>
  <si>
    <t>Total Regional Manpower expenses</t>
  </si>
  <si>
    <t>Increament per annum</t>
  </si>
  <si>
    <t xml:space="preserve">Total Manpower Cost </t>
  </si>
  <si>
    <t>EBITDA</t>
  </si>
  <si>
    <t>CAPEX DETAILS</t>
  </si>
  <si>
    <t>( Rs in Lacs )</t>
  </si>
  <si>
    <t>Nos.</t>
  </si>
  <si>
    <t>Per unit cost</t>
  </si>
  <si>
    <t>Development of IPR</t>
  </si>
  <si>
    <t>Computers</t>
  </si>
  <si>
    <t>Printer</t>
  </si>
  <si>
    <t>ASSETS REQUIRED AT SITES</t>
  </si>
  <si>
    <t>FURNITURE &amp; FIXTURE</t>
  </si>
  <si>
    <t xml:space="preserve">Table </t>
  </si>
  <si>
    <t>Chairs</t>
  </si>
  <si>
    <t xml:space="preserve">White Board </t>
  </si>
  <si>
    <t xml:space="preserve">Soft Board </t>
  </si>
  <si>
    <t>IT EQUIPMENTS</t>
  </si>
  <si>
    <t>Mike/ 2 Speakers</t>
  </si>
  <si>
    <t>OFFICE EQUIPMENT</t>
  </si>
  <si>
    <t>ASSETS REQUIRED AT REGIONAL OFFICE/OTHER OFFICE</t>
  </si>
  <si>
    <t>No. of Regional office</t>
  </si>
  <si>
    <t>Furniture &amp; Fixure</t>
  </si>
  <si>
    <t>- Table</t>
  </si>
  <si>
    <t>- Chairs</t>
  </si>
  <si>
    <t>- Soft board</t>
  </si>
  <si>
    <t>- Computer</t>
  </si>
  <si>
    <t>- Printer</t>
  </si>
  <si>
    <t>Rs in lac</t>
  </si>
  <si>
    <t>IT Equipments :</t>
  </si>
  <si>
    <t>IT Software:</t>
  </si>
  <si>
    <t>Furniture &amp; Fixture</t>
  </si>
  <si>
    <t>Office Equipment</t>
  </si>
  <si>
    <t>Vehicles</t>
  </si>
  <si>
    <t>( Life of asset)</t>
  </si>
  <si>
    <t>TOTAL ASSETS AT HO</t>
  </si>
  <si>
    <t>Total assets in Regional office</t>
  </si>
  <si>
    <t>Per site</t>
  </si>
  <si>
    <t xml:space="preserve">SCREEN </t>
  </si>
  <si>
    <t xml:space="preserve">VIDEO </t>
  </si>
  <si>
    <t>Grand Total at sites</t>
  </si>
  <si>
    <t>SUMMARY OF TOTAL ASSETS</t>
  </si>
  <si>
    <t>IT- Software (every 3 Years)</t>
  </si>
  <si>
    <t>Investment in assets as per CAPEX assumption sheet</t>
  </si>
  <si>
    <t xml:space="preserve">Inflation rate every year </t>
  </si>
  <si>
    <t>CAPEX ASSUMPTIONS</t>
  </si>
  <si>
    <t>ASSETS REQUIRED AT HEAD OFFICE</t>
  </si>
  <si>
    <t>Assumptions and projections of revenue</t>
  </si>
  <si>
    <t>CAPEX Assumptions</t>
  </si>
  <si>
    <t>2 Trainers</t>
  </si>
  <si>
    <t>1 Chief Trainer</t>
  </si>
  <si>
    <t>No.of people</t>
  </si>
  <si>
    <t>Days</t>
  </si>
  <si>
    <t>For trainers at site</t>
  </si>
  <si>
    <t>1 Meeting per month</t>
  </si>
  <si>
    <t>Others - Contigency cost</t>
  </si>
  <si>
    <t>10% of total expense</t>
  </si>
  <si>
    <t>Per sq ft</t>
  </si>
  <si>
    <t>10% of total</t>
  </si>
  <si>
    <t xml:space="preserve">Meetings and Conferences </t>
  </si>
  <si>
    <t xml:space="preserve">Travelling Cost </t>
  </si>
  <si>
    <t>General Manager</t>
  </si>
  <si>
    <t>- Formwork &amp; Bar bending</t>
  </si>
  <si>
    <t>- Formwork Carpenter</t>
  </si>
  <si>
    <t>Senior Manager - For NSDC</t>
  </si>
  <si>
    <t>Manager- For NSDC</t>
  </si>
  <si>
    <t>No. of person placed from 3rd yr</t>
  </si>
  <si>
    <t xml:space="preserve"> No. of Sites Operational</t>
  </si>
  <si>
    <t>Ratios:</t>
  </si>
  <si>
    <t>Expenses per worker</t>
  </si>
  <si>
    <t>Revenue per worker</t>
  </si>
  <si>
    <t>Vikas</t>
  </si>
  <si>
    <t>Rahul</t>
  </si>
  <si>
    <t>Preeti</t>
  </si>
  <si>
    <t>Achal</t>
  </si>
  <si>
    <t>Deepak</t>
  </si>
  <si>
    <t>LMIS Executives</t>
  </si>
  <si>
    <t>Vivek</t>
  </si>
  <si>
    <t>Anup/ Deepak</t>
  </si>
  <si>
    <t>Yogita</t>
  </si>
  <si>
    <t>HR Team</t>
  </si>
  <si>
    <t>Gurpreet</t>
  </si>
  <si>
    <t xml:space="preserve">No. of trades in which training conducted </t>
  </si>
  <si>
    <t>No. of students trained per site</t>
  </si>
  <si>
    <t>Revenue per site</t>
  </si>
  <si>
    <t>Person trained per site</t>
  </si>
  <si>
    <t>Expenses per site</t>
  </si>
  <si>
    <t>of total HO manpower cost</t>
  </si>
  <si>
    <t>do</t>
  </si>
  <si>
    <t>of total manpower cost</t>
  </si>
  <si>
    <t>of total site manpower cost</t>
  </si>
  <si>
    <t>of total RO manpower cost</t>
  </si>
  <si>
    <t>of total revenue</t>
  </si>
  <si>
    <t>of total HO adm. Cost</t>
  </si>
  <si>
    <t>of total Adm cost</t>
  </si>
  <si>
    <t>of total Adm. Expenses</t>
  </si>
  <si>
    <t>of total RO Adm. Cost</t>
  </si>
  <si>
    <t>of total Adm. Cost</t>
  </si>
  <si>
    <t>of Revenue</t>
  </si>
  <si>
    <t xml:space="preserve">No. of students trained </t>
  </si>
  <si>
    <t xml:space="preserve">Training fee </t>
  </si>
  <si>
    <t>Training fee / Student</t>
  </si>
  <si>
    <t>Total Training fee collected</t>
  </si>
  <si>
    <t>%</t>
  </si>
  <si>
    <t>EXPENSES</t>
  </si>
  <si>
    <t>REVENUE</t>
  </si>
  <si>
    <t>Total Manpower expenses</t>
  </si>
  <si>
    <t>MANPOWER EXPENSES</t>
  </si>
  <si>
    <t>OVERHEAD/ADMINISTIVE EXPENSES</t>
  </si>
  <si>
    <t>Per yr Amount</t>
  </si>
  <si>
    <t>(Rs in lacs)</t>
  </si>
  <si>
    <t>Total Admin Cost - HO</t>
  </si>
  <si>
    <t>Total Pre- Operative expenses</t>
  </si>
  <si>
    <t>FIXED ASSETS</t>
  </si>
  <si>
    <t>Manpwer cost</t>
  </si>
  <si>
    <t>Administrative expenses</t>
  </si>
  <si>
    <t xml:space="preserve">Opening </t>
  </si>
  <si>
    <t>Year 1 comences from April 14 and ends on 31st March 2015.</t>
  </si>
  <si>
    <t>HO cost</t>
  </si>
  <si>
    <t>Fixed cost</t>
  </si>
  <si>
    <t>Variable cost</t>
  </si>
  <si>
    <t>Rent</t>
  </si>
  <si>
    <t>Manpower cost</t>
  </si>
  <si>
    <t>Marketing Cost</t>
  </si>
  <si>
    <t>Site Expenses</t>
  </si>
  <si>
    <t>Total Varibale cost</t>
  </si>
  <si>
    <t>Variable cost :</t>
  </si>
  <si>
    <t>Regional office</t>
  </si>
  <si>
    <t>Manpower Cost</t>
  </si>
  <si>
    <t>Fixed Cost:</t>
  </si>
  <si>
    <t xml:space="preserve">Rs </t>
  </si>
  <si>
    <t>Cost of train the Trainers</t>
  </si>
  <si>
    <t>Training expenses</t>
  </si>
  <si>
    <t>per day per trainer for</t>
  </si>
  <si>
    <t>Total Trainers expenses</t>
  </si>
  <si>
    <t>EBITDA %</t>
  </si>
  <si>
    <t>Expenses to Revenue %</t>
  </si>
  <si>
    <t>% of Revenue</t>
  </si>
  <si>
    <t>Cost of train the Trainers :</t>
  </si>
  <si>
    <t>Indirect Cost</t>
  </si>
  <si>
    <t>Cost of training of Trainers</t>
  </si>
  <si>
    <t>Placement will be done by the exisiting team and no increase in manpower is envisaged.</t>
  </si>
  <si>
    <t xml:space="preserve">Rent Head Office: 50% share of total rent  </t>
  </si>
  <si>
    <t xml:space="preserve">DETAILS OF PRE- OPERATIVE EXPENSES </t>
  </si>
  <si>
    <t>Pre-operative period will be from 1st April 2012 till 31st March 2014</t>
  </si>
  <si>
    <t>-  No. of Operational Regional offices</t>
  </si>
  <si>
    <t>- Number of sites operational</t>
  </si>
  <si>
    <t>- 'No. of Concurrent Batches per site</t>
  </si>
  <si>
    <t>Revenue streams :</t>
  </si>
  <si>
    <t>(a) 76 Days Re-Skilling course</t>
  </si>
  <si>
    <t>Details of 76 Days Re-Skilling course :</t>
  </si>
  <si>
    <t>Details of 7 Days Re-Skilling course :</t>
  </si>
  <si>
    <t>days of Training</t>
  </si>
  <si>
    <t xml:space="preserve"> of persons Re-Skilled</t>
  </si>
  <si>
    <t>of monthly Salary</t>
  </si>
  <si>
    <t>Current Wages per month per Trainee</t>
  </si>
  <si>
    <t>Cost of TTT for one month course</t>
  </si>
  <si>
    <t>(TTT will be conducted externally for first 2 years and from 3rd onwards inhouse training  will be conducted)</t>
  </si>
  <si>
    <t>(Net of drop outs)</t>
  </si>
  <si>
    <t>Consumables required at the sites for Re-skilling purpose will be provided by the developer. Hence no cost has been considered.</t>
  </si>
  <si>
    <t>Re-Skilling capsule is divided into 50% classroom training and 50% OJT.</t>
  </si>
  <si>
    <t>years</t>
  </si>
  <si>
    <t>2012-13</t>
  </si>
  <si>
    <t>2013-14</t>
  </si>
  <si>
    <t>Finance team</t>
  </si>
  <si>
    <t>Summary of Pre-operative Expenses:</t>
  </si>
  <si>
    <t>Pre-operative expenses working</t>
  </si>
  <si>
    <t xml:space="preserve">TOTAL ASSETS </t>
  </si>
  <si>
    <t>( Not yet considered as an expense in the FM as it is assumed that the worker/company will bear the cost separately)</t>
  </si>
  <si>
    <t xml:space="preserve">Snacks will be provided during training at site to attract the trainees. </t>
  </si>
  <si>
    <t>Cost of all courses (Re-Skilling ) will be borne by the developer.</t>
  </si>
  <si>
    <t>Activities since April 2012 , which includes team and systems development, market research, feasiblity study and partner development for entering into re-skilling business will run till March 2014. The cost incurred on this account during this period has been shown as ' Pre-operative expenses and will be amortised over a period of 5 years starting April 2014.</t>
  </si>
  <si>
    <t>YEAR means financial year starting on 1st April and ending on 31st March of the next year.</t>
  </si>
  <si>
    <t>Year  1 - Year 4</t>
  </si>
  <si>
    <t>Year 5 - Year 7</t>
  </si>
  <si>
    <t>Year 8 - Year 10</t>
  </si>
  <si>
    <t>Content Development Cost</t>
  </si>
  <si>
    <t xml:space="preserve">Note: - Proposal owner should clearly ariculate the step wise contenet development process along with the step wise contenet development cost incurred during the course of the project </t>
  </si>
  <si>
    <t>Q1</t>
  </si>
  <si>
    <t>Q2</t>
  </si>
  <si>
    <t>Q3</t>
  </si>
  <si>
    <t>Q4</t>
  </si>
  <si>
    <t>Q 1</t>
  </si>
  <si>
    <t>Q 2</t>
  </si>
  <si>
    <t>Q 3</t>
  </si>
  <si>
    <t>Q 4</t>
  </si>
  <si>
    <t>No. of Concurrent Batches per site</t>
  </si>
  <si>
    <t>No. of days</t>
  </si>
  <si>
    <t>IT- Equipment</t>
  </si>
  <si>
    <t>Q 2 - Year 1</t>
  </si>
  <si>
    <t>Q 1 - Year 1</t>
  </si>
  <si>
    <t>Q 3 - Year 1</t>
  </si>
  <si>
    <t>Q 4 - Year 1</t>
  </si>
  <si>
    <t>Q 1 - Year 2</t>
  </si>
  <si>
    <t>Q 2 - Year 2</t>
  </si>
  <si>
    <t>Q 4 - Year 2</t>
  </si>
  <si>
    <t>Q 3 - Year 2</t>
  </si>
  <si>
    <t>% Applicable for 1st 2 yrs</t>
  </si>
  <si>
    <t>- 'No. of  serial batches in a qtr/year per site per trade</t>
  </si>
  <si>
    <t>No. of  serial batches in a qtr/year per Site</t>
  </si>
  <si>
    <t>Total No. of Batches in qtr/year</t>
  </si>
  <si>
    <t>Total No. of Batches in qtr/ year</t>
  </si>
  <si>
    <t>lacs</t>
  </si>
  <si>
    <t>Depreciation already charged on above listed assets during pre-operative period</t>
  </si>
  <si>
    <t>BIOMETRIC</t>
  </si>
  <si>
    <t xml:space="preserve"> IT EQUIPMENTS</t>
  </si>
  <si>
    <t>Head Office Expenses</t>
  </si>
  <si>
    <t>Head Office -Manpower Costs</t>
  </si>
  <si>
    <t>Depreciation - As per calculation given below</t>
  </si>
  <si>
    <t>Amount - Rs in lacs</t>
  </si>
  <si>
    <t>RATIO ANALYSIS</t>
  </si>
  <si>
    <t>Highlights of 10 year Financial Plan</t>
  </si>
  <si>
    <t>Cummulative</t>
  </si>
  <si>
    <t>MDA from NSDC</t>
  </si>
  <si>
    <t>Maintenance cost of Training content</t>
  </si>
  <si>
    <t>(I) Course fee per student:</t>
  </si>
  <si>
    <t>(II) Registration charges of Re-Skilled worker</t>
  </si>
  <si>
    <t>( III) Placement charges of Re-Skilled worker</t>
  </si>
  <si>
    <t>Lok Bharti will contribute towrds Promoters contribution ( Rs in lacs) ---</t>
  </si>
  <si>
    <t>Cost during the Yr 1 - Yr 3 per yr ( Rs in lacs)</t>
  </si>
  <si>
    <t>Cost from 4th yr onwards ( Rs in lacs)</t>
  </si>
  <si>
    <t>(to be provided to trainees to attract and promote the training facility)</t>
  </si>
  <si>
    <t>Per person cost ( Rs )</t>
  </si>
  <si>
    <t>Communication expenses ( Rs)</t>
  </si>
  <si>
    <t>Staff Welfare - ( Rs )</t>
  </si>
  <si>
    <t>Training material ( Rs )</t>
  </si>
  <si>
    <t>Two months Salary &amp; Adm. expenses</t>
  </si>
  <si>
    <t>Change in Working Capital</t>
  </si>
  <si>
    <t>Lacs</t>
  </si>
  <si>
    <t>Senior Accountant ( 50% first two yrs)</t>
  </si>
  <si>
    <t>Adm. Manager ( 50% first two yrs)</t>
  </si>
  <si>
    <t>Office boys ( 50% first two yrs)</t>
  </si>
  <si>
    <t>HR Team ( 50% first two yrs)</t>
  </si>
  <si>
    <t>(c) 7 Days Re-Skilling course</t>
  </si>
  <si>
    <t>(b) 30 Days Re-Skilling course</t>
  </si>
  <si>
    <t xml:space="preserve">- 30 days Course </t>
  </si>
  <si>
    <t>Certification fee - 30 days course</t>
  </si>
  <si>
    <t>Details of 30 Days Re-Skilling course :</t>
  </si>
  <si>
    <t>2013-14 ( 12 m)</t>
  </si>
  <si>
    <t>CTC / Year</t>
  </si>
  <si>
    <t>Total Admin Cost</t>
  </si>
  <si>
    <t xml:space="preserve">Electricity &amp; water </t>
  </si>
  <si>
    <t xml:space="preserve">Insurance </t>
  </si>
  <si>
    <t xml:space="preserve">Entertaintment &amp; Sales promotion </t>
  </si>
  <si>
    <t>Local Conveyance( veh running exp)</t>
  </si>
  <si>
    <t xml:space="preserve">Auditor payment </t>
  </si>
  <si>
    <t>Misc</t>
  </si>
  <si>
    <t xml:space="preserve">
Of this Rs 56.2 lacs will be considered in the form of Assets purchased  for this re-skilling business and has been treated as opening Assets in Year 1. 
Pre-operative expenses during the period 1st April 21012 till 31st March 21014 of Rs 182.9 lacs will also be considered as promoters contribution. </t>
  </si>
  <si>
    <t xml:space="preserve">- Promoters initial Contribution  </t>
  </si>
  <si>
    <t>Promotors Contribution</t>
  </si>
  <si>
    <t>( 20% of monthly salary taken for 15% of total manpower re-skilled by LBSS from 4th year onwards)</t>
  </si>
  <si>
    <t>Annualised IRR</t>
  </si>
  <si>
    <t>No.of people trained</t>
  </si>
  <si>
    <t>( 7 Trades)</t>
  </si>
  <si>
    <t>Centre Based Training</t>
  </si>
  <si>
    <t>Details of 75 Days Mobile Repairing course :</t>
  </si>
  <si>
    <t>Details of 50 Days Hospitality course :</t>
  </si>
  <si>
    <t>Details of 50 Days Sales Associate course :</t>
  </si>
  <si>
    <t>(d) 75 days Mobile Repairing Course</t>
  </si>
  <si>
    <t>(f) 50 days Sales Associate Course</t>
  </si>
  <si>
    <t>Mobile Repairing Course: 75 days</t>
  </si>
  <si>
    <t>Hospitality Assisstance: 50 days</t>
  </si>
  <si>
    <t>Sales Associate: 50 days</t>
  </si>
  <si>
    <t>Spoken English: 50 days</t>
  </si>
  <si>
    <t>Centre Manager</t>
  </si>
  <si>
    <t>Sales executive</t>
  </si>
  <si>
    <t>Counsoler</t>
  </si>
  <si>
    <t>Canopy Boy</t>
  </si>
  <si>
    <t>Practical Work station</t>
  </si>
  <si>
    <t>Fan</t>
  </si>
  <si>
    <t>Window AC</t>
  </si>
  <si>
    <t>Staff Chair</t>
  </si>
  <si>
    <t>Water Dispenser</t>
  </si>
  <si>
    <t>Exhaust Fan</t>
  </si>
  <si>
    <t>Conveyance (Rs)</t>
  </si>
  <si>
    <t xml:space="preserve">Mobile Lab
</t>
  </si>
  <si>
    <t>For each site</t>
  </si>
  <si>
    <t>Cost in lacs</t>
  </si>
  <si>
    <t>Mobile Repairing</t>
  </si>
  <si>
    <t>Cost</t>
  </si>
  <si>
    <t xml:space="preserve">(Expenses for 2013-14 have been assumed 10% more than 2012-13) </t>
  </si>
  <si>
    <t>Inflation rate</t>
  </si>
  <si>
    <t>Total number of sites to conduct courses</t>
  </si>
  <si>
    <t xml:space="preserve"> Furniture &amp; Fixture </t>
  </si>
  <si>
    <t>Capital Expenditure made</t>
  </si>
  <si>
    <t>Dep rate</t>
  </si>
  <si>
    <t>Amortized</t>
  </si>
  <si>
    <t>Development of IPR: 5yrs to be amortized from 14-15</t>
  </si>
  <si>
    <t>Total Capex Introduced</t>
  </si>
  <si>
    <t>Depreciation @ 25.89%</t>
  </si>
  <si>
    <t>Depreciation @ 40%</t>
  </si>
  <si>
    <t>Depreciation @ 13.91%</t>
  </si>
  <si>
    <t>Depreciation @ 18.1%</t>
  </si>
  <si>
    <t>IT Software Gross Block</t>
  </si>
  <si>
    <t>IT Equipments Gross Block</t>
  </si>
  <si>
    <t>Office Equipments Gross Block</t>
  </si>
  <si>
    <t>Furniture &amp; Fixture G Block</t>
  </si>
  <si>
    <t>Vehicles Gross Block</t>
  </si>
  <si>
    <t>Total G Block of Assets</t>
  </si>
  <si>
    <t>Total N Block of Assets</t>
  </si>
  <si>
    <t>Cost of Content Development</t>
  </si>
  <si>
    <t>Total Amortization</t>
  </si>
  <si>
    <t>Unamortized Cost</t>
  </si>
  <si>
    <t>Net Assets</t>
  </si>
  <si>
    <t>Increase/(Decrease) of Working Capital</t>
  </si>
  <si>
    <t>Net Block - Capital Expenditure</t>
  </si>
  <si>
    <t>NSDC Loan at ----6%  Interest opening</t>
  </si>
  <si>
    <t>Disbursement/ Repayment</t>
  </si>
  <si>
    <t>Unamortized Expenses</t>
  </si>
  <si>
    <t>Grant by NSDC 10% of project cost</t>
  </si>
  <si>
    <t>CENTRE BASED COURSES</t>
  </si>
  <si>
    <t xml:space="preserve">ONSITE RESKILLING COURSES </t>
  </si>
  <si>
    <t>Total number of Centres to conduct courses</t>
  </si>
  <si>
    <t>- Number of Centres operational</t>
  </si>
  <si>
    <t>On Site Training</t>
  </si>
  <si>
    <t xml:space="preserve"> No. of Centres Operational</t>
  </si>
  <si>
    <t xml:space="preserve">No.of Centre which will run </t>
  </si>
  <si>
    <t>Inflation Index</t>
  </si>
  <si>
    <t>No of Centres</t>
  </si>
  <si>
    <t>1 MIS Exec.</t>
  </si>
  <si>
    <t>Other - Contigency cost</t>
  </si>
  <si>
    <t>Centre - Manpower</t>
  </si>
  <si>
    <t>Centre Expenses</t>
  </si>
  <si>
    <t>Number of Centres</t>
  </si>
  <si>
    <t>Sq Feet</t>
  </si>
  <si>
    <t>Per Sq feet</t>
  </si>
  <si>
    <t>Communication Expenses</t>
  </si>
  <si>
    <t>Staff Welafre</t>
  </si>
  <si>
    <t>Electricity Charges</t>
  </si>
  <si>
    <t>Others ( Power Back up &amp; Contingency)</t>
  </si>
  <si>
    <t>Total Site &amp; Centre Manpower expenses</t>
  </si>
  <si>
    <t>Sales Associate Lab</t>
  </si>
  <si>
    <t>Hospitality Lab</t>
  </si>
  <si>
    <t>No of Centres added during the period</t>
  </si>
  <si>
    <t>Rs/ day</t>
  </si>
  <si>
    <t>No of sites</t>
  </si>
  <si>
    <t>Hospitality</t>
  </si>
  <si>
    <t xml:space="preserve">Sales training </t>
  </si>
  <si>
    <t>WDV on 31.03.14</t>
  </si>
  <si>
    <t>WDV as on 31.03.2013</t>
  </si>
  <si>
    <t>ASSETS REQUIRED AT CENTRES</t>
  </si>
  <si>
    <t>Grand Total at Centres</t>
  </si>
  <si>
    <t>Placement charges</t>
  </si>
  <si>
    <t>Reserves &amp; Surplus</t>
  </si>
  <si>
    <t>Add Interest</t>
  </si>
  <si>
    <t>Less:Interest Paid</t>
  </si>
  <si>
    <t>Addnl Cash in hand for W. Capital</t>
  </si>
  <si>
    <t xml:space="preserve">Two Month salary and Admin Exp. </t>
  </si>
  <si>
    <t>Lab Set up Expenses</t>
  </si>
  <si>
    <t>(e) 50 days Hospitality Assistant Course</t>
  </si>
  <si>
    <t>Cash Flow Statement (Rs. Lakh)</t>
  </si>
  <si>
    <t>Surplus/Deficit</t>
  </si>
  <si>
    <t>add; Depreciation</t>
  </si>
  <si>
    <t>add; Amortisation</t>
  </si>
  <si>
    <t>add; Interest</t>
  </si>
  <si>
    <t>Income tax paid</t>
  </si>
  <si>
    <t>Increase/Decrease in Working Capital</t>
  </si>
  <si>
    <t>Cash Flow from Operations</t>
  </si>
  <si>
    <t>add; Debt raised</t>
  </si>
  <si>
    <t>less; Interest</t>
  </si>
  <si>
    <t>less; Debt repayment</t>
  </si>
  <si>
    <t>Cash Flow from Financing</t>
  </si>
  <si>
    <t>Less; Capital Expenditure</t>
  </si>
  <si>
    <t>Cash Flow from Investing</t>
  </si>
  <si>
    <t>Net change in cash</t>
  </si>
  <si>
    <t>Cash in Hand at the end of the year</t>
  </si>
  <si>
    <t>Gross Block of Assets</t>
  </si>
  <si>
    <t>Less: Asset not to be depreciated, but to be amortized</t>
  </si>
  <si>
    <t>Add: Asset not to be depreciated but to be amortized</t>
  </si>
  <si>
    <t>Total to be amortized</t>
  </si>
  <si>
    <t>Total to be depreciated</t>
  </si>
  <si>
    <t xml:space="preserve">Amount </t>
  </si>
  <si>
    <t>WDV as on 31-3-2013</t>
  </si>
  <si>
    <r>
      <t xml:space="preserve">Depreciable Assets considered as promoters contribution on </t>
    </r>
    <r>
      <rPr>
        <b/>
        <sz val="10"/>
        <rFont val="Arial"/>
        <family val="2"/>
      </rPr>
      <t>1-4-2014</t>
    </r>
    <r>
      <rPr>
        <sz val="10"/>
        <rFont val="Arial"/>
        <family val="2"/>
      </rPr>
      <t xml:space="preserve"> </t>
    </r>
  </si>
  <si>
    <t>Assets to be amortized</t>
  </si>
  <si>
    <t>Pre- Operative Cost</t>
  </si>
  <si>
    <t>Promoters Contribution</t>
  </si>
  <si>
    <t>add; Increase in Promoters Contribution</t>
  </si>
  <si>
    <t>add; Grant from NSDC</t>
  </si>
  <si>
    <t>add; MDA</t>
  </si>
  <si>
    <t>Less; Assets to be amortized</t>
  </si>
  <si>
    <t>Asset to be amortized</t>
  </si>
  <si>
    <t>Total cost to be amortized</t>
  </si>
  <si>
    <t>Amortization details</t>
  </si>
  <si>
    <t>(Rs 125/- per person taken for 25% of total manpower re-skilled by LBSS )</t>
  </si>
  <si>
    <t>Total Site Manpower</t>
  </si>
  <si>
    <t>Total Centre Manpower</t>
  </si>
  <si>
    <t>Lab Expenses</t>
  </si>
  <si>
    <t>Over all Total No. of people trained</t>
  </si>
  <si>
    <t>Total No. of people trained at site</t>
  </si>
  <si>
    <t>Total No. of people trained at centre</t>
  </si>
  <si>
    <t>Total Revenue at Sites</t>
  </si>
  <si>
    <t>Total Revenue at Centres</t>
  </si>
  <si>
    <t>Total people trained</t>
  </si>
  <si>
    <t>REVENUE / EXPENSES RATIOS: Centre</t>
  </si>
  <si>
    <t>REVENUE / EXPENSES RATIOS: Site</t>
  </si>
  <si>
    <t>TOTAL site admin cost</t>
  </si>
  <si>
    <t>Total centre admin cost</t>
  </si>
  <si>
    <t>Total site and centre admin cost</t>
  </si>
  <si>
    <t>No. of centres</t>
  </si>
  <si>
    <t>Revenue per centre</t>
  </si>
  <si>
    <t>Expenses per trainee --Rs</t>
  </si>
  <si>
    <t>Total Direct Expenses</t>
  </si>
  <si>
    <t>Expenses per centre</t>
  </si>
  <si>
    <t>Revenue per person trained-- Rs</t>
  </si>
  <si>
    <t>Person trained per centre</t>
  </si>
  <si>
    <t>Total head office cost</t>
  </si>
  <si>
    <t>Total Regional Office Cost</t>
  </si>
  <si>
    <t>Electricity Expenses</t>
  </si>
  <si>
    <t>Direct Cost on the Basis of Fixed &amp; Variable Cost</t>
  </si>
  <si>
    <t>Total H.O. cost</t>
  </si>
  <si>
    <t>Total site expenses</t>
  </si>
  <si>
    <t>Total centre expenses</t>
  </si>
  <si>
    <t>Total Indirect Cost</t>
  </si>
  <si>
    <t>Allocation of Indirect Cost</t>
  </si>
  <si>
    <t>Completely to sites</t>
  </si>
  <si>
    <t>Sites</t>
  </si>
  <si>
    <t>Centres</t>
  </si>
  <si>
    <t>Total site cost</t>
  </si>
  <si>
    <t>Total Centre cost</t>
  </si>
  <si>
    <t>On the basis of number of Sites &amp; Centre</t>
  </si>
  <si>
    <t>On the basis of total expense</t>
  </si>
  <si>
    <t>On the basis of total revenue</t>
  </si>
  <si>
    <t>On the basis of nature</t>
  </si>
  <si>
    <t>Sites: Fixed</t>
  </si>
  <si>
    <t>Centres: Fixed</t>
  </si>
  <si>
    <t>Sites: Variable</t>
  </si>
  <si>
    <t>Centres: Variable</t>
  </si>
  <si>
    <t>Total Indirect Fixed Cost</t>
  </si>
  <si>
    <t>Total Indirect Variable Cost</t>
  </si>
  <si>
    <t>Total Regional office cost</t>
  </si>
  <si>
    <t>Total Revenue Site</t>
  </si>
  <si>
    <t>Total Revenue Centre</t>
  </si>
  <si>
    <t>IT Equipments</t>
  </si>
  <si>
    <t>IT Software</t>
  </si>
  <si>
    <t>No of centres</t>
  </si>
  <si>
    <t>Increase in rent every 3rd yr</t>
  </si>
</sst>
</file>

<file path=xl/styles.xml><?xml version="1.0" encoding="utf-8"?>
<styleSheet xmlns="http://schemas.openxmlformats.org/spreadsheetml/2006/main">
  <numFmts count="18">
    <numFmt numFmtId="43" formatCode="_(* #,##0.00_);_(* \(#,##0.00\);_(* &quot;-&quot;??_);_(@_)"/>
    <numFmt numFmtId="164" formatCode="_-* #,##0.00_-;\-* #,##0.00_-;_-* &quot;-&quot;??_-;_-@_-"/>
    <numFmt numFmtId="165" formatCode="#,##0.0"/>
    <numFmt numFmtId="166" formatCode="#,##0_ ;\-#,##0\ "/>
    <numFmt numFmtId="167" formatCode="0.0%"/>
    <numFmt numFmtId="168" formatCode="_ * #,##0.00_ ;_ * \-#,##0.00_ ;_ * &quot;-&quot;??_ ;_ @_ "/>
    <numFmt numFmtId="169" formatCode="_(* #,##0_);_(* \(#,##0\);_(* &quot;-&quot;??_);_(@_)"/>
    <numFmt numFmtId="170" formatCode="_ * #,##0_ ;_ * \-#,##0_ ;_ * &quot;-&quot;??_ ;_ @_ "/>
    <numFmt numFmtId="171" formatCode="0.0"/>
    <numFmt numFmtId="172" formatCode="_ * #,##0_ ;_ * \-#,##0_ ;_ * &quot;-&quot;_ ;_ @_ "/>
    <numFmt numFmtId="173" formatCode="_-* #,##0_-;\-* #,##0_-;_-* &quot;-&quot;??_-;_-@_-"/>
    <numFmt numFmtId="174" formatCode="[$-409]mmmm\-yy;@"/>
    <numFmt numFmtId="175" formatCode="#,##0_ ;[Red]\-#,##0\ "/>
    <numFmt numFmtId="176" formatCode="#,##0.0_);[Red]\(#,##0.0\)"/>
    <numFmt numFmtId="177" formatCode="#,##0_);[Red]\-\ #,##0"/>
    <numFmt numFmtId="178" formatCode="_-* #,##0.000_-;\-* #,##0.000_-;_-* &quot;-&quot;??_-;_-@_-"/>
    <numFmt numFmtId="179" formatCode="_-* #,##0.0_-;\-* #,##0.0_-;_-* &quot;-&quot;??_-;_-@_-"/>
    <numFmt numFmtId="181" formatCode="#,##0.00_);[Red]\-\ #,##0.00"/>
  </numFmts>
  <fonts count="10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Times New Roman"/>
      <family val="1"/>
    </font>
    <font>
      <sz val="8"/>
      <color indexed="8"/>
      <name val="Calibri"/>
      <family val="2"/>
    </font>
    <font>
      <b/>
      <sz val="9"/>
      <color indexed="8"/>
      <name val="Calibri"/>
      <family val="2"/>
    </font>
    <font>
      <sz val="11"/>
      <color indexed="8"/>
      <name val="Times New Roman"/>
      <family val="1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56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i/>
      <sz val="11"/>
      <color indexed="10"/>
      <name val="Calibri"/>
      <family val="2"/>
    </font>
    <font>
      <u/>
      <sz val="10"/>
      <color indexed="12"/>
      <name val="Arial"/>
      <family val="2"/>
    </font>
    <font>
      <u/>
      <sz val="11"/>
      <color indexed="12"/>
      <name val="Calibri"/>
      <family val="2"/>
    </font>
    <font>
      <b/>
      <sz val="11"/>
      <color indexed="18"/>
      <name val="Calibri"/>
      <family val="2"/>
    </font>
    <font>
      <b/>
      <u/>
      <sz val="11"/>
      <name val="Calibri"/>
      <family val="2"/>
    </font>
    <font>
      <b/>
      <u/>
      <sz val="11"/>
      <color indexed="12"/>
      <name val="Calibri"/>
      <family val="2"/>
    </font>
    <font>
      <sz val="10"/>
      <name val="Calibri"/>
      <family val="2"/>
    </font>
    <font>
      <b/>
      <i/>
      <sz val="11"/>
      <color indexed="56"/>
      <name val="Calibri"/>
      <family val="2"/>
    </font>
    <font>
      <sz val="11"/>
      <color indexed="12"/>
      <name val="Calibri"/>
      <family val="2"/>
    </font>
    <font>
      <sz val="11"/>
      <color indexed="56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Times New Roman"/>
      <family val="1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0"/>
      <name val="Arial"/>
      <family val="2"/>
    </font>
    <font>
      <u/>
      <sz val="11"/>
      <name val="Calibri"/>
      <family val="2"/>
    </font>
    <font>
      <i/>
      <sz val="11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6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sz val="2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rgb="FFFF000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indexed="12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color indexed="17"/>
      <name val="Calibri"/>
      <family val="2"/>
      <scheme val="minor"/>
    </font>
    <font>
      <sz val="12"/>
      <name val="Calibri"/>
      <family val="2"/>
      <scheme val="minor"/>
    </font>
    <font>
      <sz val="13"/>
      <name val="Calibri"/>
      <family val="2"/>
      <scheme val="minor"/>
    </font>
    <font>
      <b/>
      <sz val="13"/>
      <color rgb="FF002060"/>
      <name val="Calibri"/>
      <family val="2"/>
      <scheme val="minor"/>
    </font>
    <font>
      <sz val="12"/>
      <color rgb="FF00206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0"/>
      <color theme="3" tint="-0.249977111117893"/>
      <name val="Arial"/>
      <family val="2"/>
    </font>
    <font>
      <sz val="10"/>
      <name val="Calibri"/>
      <family val="2"/>
      <scheme val="minor"/>
    </font>
    <font>
      <sz val="10"/>
      <color rgb="FF000000"/>
      <name val="Arial"/>
      <family val="2"/>
    </font>
    <font>
      <sz val="10"/>
      <color rgb="FF0070C0"/>
      <name val="Arial"/>
      <family val="2"/>
    </font>
    <font>
      <sz val="11"/>
      <color rgb="FF00B0F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theme="0"/>
      <name val="Arial"/>
      <family val="2"/>
    </font>
    <font>
      <b/>
      <sz val="11"/>
      <color indexed="56"/>
      <name val="Calibri"/>
      <family val="2"/>
      <scheme val="minor"/>
    </font>
    <font>
      <b/>
      <sz val="11"/>
      <color theme="1"/>
      <name val="Calibri"/>
      <family val="2"/>
    </font>
    <font>
      <sz val="11"/>
      <color rgb="FF002060"/>
      <name val="Calibri"/>
      <family val="2"/>
      <scheme val="minor"/>
    </font>
    <font>
      <b/>
      <sz val="13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theme="4" tint="-0.249977111117893"/>
      <name val="Arial"/>
      <family val="2"/>
    </font>
    <font>
      <i/>
      <sz val="11"/>
      <color rgb="FFFF0000"/>
      <name val="Calibri"/>
      <family val="2"/>
    </font>
    <font>
      <b/>
      <sz val="11"/>
      <color indexed="8"/>
      <name val="Calibri"/>
      <family val="2"/>
      <scheme val="minor"/>
    </font>
    <font>
      <b/>
      <sz val="10"/>
      <color theme="0"/>
      <name val="Arial"/>
      <family val="2"/>
    </font>
    <font>
      <sz val="10"/>
      <color rgb="FF00B0F0"/>
      <name val="Arial"/>
      <family val="2"/>
    </font>
    <font>
      <sz val="10"/>
      <color theme="3" tint="0.39997558519241921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1"/>
      <color theme="3" tint="0.39997558519241921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color theme="3" tint="0.39997558519241921"/>
      <name val="Calibri"/>
      <family val="2"/>
      <scheme val="minor"/>
    </font>
    <font>
      <b/>
      <u/>
      <sz val="12"/>
      <color rgb="FF000000"/>
      <name val="Calibri"/>
      <family val="2"/>
    </font>
    <font>
      <b/>
      <sz val="11"/>
      <color theme="4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3">
    <xf numFmtId="174" fontId="0" fillId="0" borderId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4" fontId="18" fillId="0" borderId="0" applyNumberFormat="0" applyFill="0" applyBorder="0" applyAlignment="0" applyProtection="0">
      <alignment vertical="top"/>
      <protection locked="0"/>
    </xf>
    <xf numFmtId="174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49" fillId="0" borderId="0"/>
    <xf numFmtId="0" fontId="49" fillId="0" borderId="0"/>
    <xf numFmtId="0" fontId="40" fillId="0" borderId="0"/>
    <xf numFmtId="174" fontId="49" fillId="0" borderId="0"/>
    <xf numFmtId="174" fontId="3" fillId="0" borderId="0"/>
    <xf numFmtId="174" fontId="3" fillId="0" borderId="0"/>
    <xf numFmtId="0" fontId="3" fillId="0" borderId="0"/>
    <xf numFmtId="174" fontId="49" fillId="0" borderId="0"/>
    <xf numFmtId="174" fontId="49" fillId="0" borderId="0"/>
    <xf numFmtId="174" fontId="49" fillId="0" borderId="0"/>
    <xf numFmtId="174" fontId="16" fillId="0" borderId="0"/>
    <xf numFmtId="174" fontId="27" fillId="0" borderId="0"/>
    <xf numFmtId="174" fontId="3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9" fillId="0" borderId="0" applyFont="0" applyFill="0" applyBorder="0" applyAlignment="0" applyProtection="0"/>
  </cellStyleXfs>
  <cellXfs count="1380">
    <xf numFmtId="174" fontId="0" fillId="0" borderId="0" xfId="0"/>
    <xf numFmtId="174" fontId="0" fillId="0" borderId="0" xfId="0" applyAlignment="1">
      <alignment vertical="center" wrapText="1"/>
    </xf>
    <xf numFmtId="165" fontId="0" fillId="0" borderId="0" xfId="0" applyNumberFormat="1" applyAlignment="1">
      <alignment vertical="center" wrapText="1"/>
    </xf>
    <xf numFmtId="174" fontId="3" fillId="0" borderId="0" xfId="0" applyFont="1" applyAlignment="1">
      <alignment vertical="center" wrapText="1"/>
    </xf>
    <xf numFmtId="165" fontId="4" fillId="0" borderId="0" xfId="0" applyNumberFormat="1" applyFont="1" applyAlignment="1">
      <alignment vertical="center" wrapText="1"/>
    </xf>
    <xf numFmtId="174" fontId="0" fillId="0" borderId="0" xfId="0" applyAlignment="1">
      <alignment horizontal="left" vertical="center" wrapText="1"/>
    </xf>
    <xf numFmtId="174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174" fontId="7" fillId="0" borderId="1" xfId="0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174" fontId="6" fillId="0" borderId="2" xfId="0" applyFont="1" applyBorder="1" applyAlignment="1">
      <alignment horizontal="center" vertical="center" wrapText="1"/>
    </xf>
    <xf numFmtId="174" fontId="0" fillId="0" borderId="3" xfId="0" applyBorder="1" applyAlignment="1">
      <alignment horizontal="center" vertical="center" wrapText="1"/>
    </xf>
    <xf numFmtId="174" fontId="8" fillId="0" borderId="2" xfId="0" applyFont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166" fontId="9" fillId="0" borderId="3" xfId="4" applyNumberFormat="1" applyFont="1" applyBorder="1" applyAlignment="1">
      <alignment horizontal="center" vertical="center" wrapText="1"/>
    </xf>
    <xf numFmtId="174" fontId="8" fillId="2" borderId="2" xfId="0" applyFont="1" applyFill="1" applyBorder="1" applyAlignment="1">
      <alignment horizontal="center" vertical="center" wrapText="1"/>
    </xf>
    <xf numFmtId="3" fontId="0" fillId="2" borderId="2" xfId="0" applyNumberFormat="1" applyFill="1" applyBorder="1" applyAlignment="1">
      <alignment horizontal="center" vertical="center" wrapText="1"/>
    </xf>
    <xf numFmtId="9" fontId="0" fillId="2" borderId="2" xfId="0" applyNumberFormat="1" applyFill="1" applyBorder="1" applyAlignment="1">
      <alignment horizontal="center" vertical="center" wrapText="1"/>
    </xf>
    <xf numFmtId="167" fontId="0" fillId="2" borderId="2" xfId="0" applyNumberFormat="1" applyFill="1" applyBorder="1" applyAlignment="1">
      <alignment horizontal="center" vertical="center" wrapText="1"/>
    </xf>
    <xf numFmtId="166" fontId="10" fillId="3" borderId="3" xfId="4" applyNumberFormat="1" applyFont="1" applyFill="1" applyBorder="1" applyAlignment="1">
      <alignment horizontal="center" vertical="center" wrapText="1"/>
    </xf>
    <xf numFmtId="3" fontId="0" fillId="0" borderId="2" xfId="0" applyNumberFormat="1" applyFill="1" applyBorder="1" applyAlignment="1">
      <alignment horizontal="center" vertical="center" wrapText="1"/>
    </xf>
    <xf numFmtId="167" fontId="0" fillId="0" borderId="2" xfId="0" applyNumberFormat="1" applyFill="1" applyBorder="1" applyAlignment="1">
      <alignment horizontal="center" vertical="center" wrapText="1"/>
    </xf>
    <xf numFmtId="166" fontId="10" fillId="0" borderId="3" xfId="4" applyNumberFormat="1" applyFont="1" applyFill="1" applyBorder="1" applyAlignment="1">
      <alignment horizontal="center" vertical="center" wrapText="1"/>
    </xf>
    <xf numFmtId="167" fontId="0" fillId="0" borderId="2" xfId="0" applyNumberFormat="1" applyBorder="1" applyAlignment="1">
      <alignment horizontal="center" vertical="center" wrapText="1"/>
    </xf>
    <xf numFmtId="166" fontId="9" fillId="0" borderId="4" xfId="4" applyNumberFormat="1" applyFont="1" applyBorder="1" applyAlignment="1">
      <alignment horizontal="center" vertical="center" wrapText="1"/>
    </xf>
    <xf numFmtId="3" fontId="0" fillId="0" borderId="0" xfId="0" applyNumberFormat="1" applyAlignment="1">
      <alignment vertical="center" wrapText="1"/>
    </xf>
    <xf numFmtId="2" fontId="0" fillId="0" borderId="0" xfId="0" applyNumberFormat="1" applyAlignment="1">
      <alignment vertical="center" wrapText="1"/>
    </xf>
    <xf numFmtId="174" fontId="4" fillId="0" borderId="0" xfId="0" applyFont="1" applyAlignment="1">
      <alignment vertical="center" wrapText="1"/>
    </xf>
    <xf numFmtId="169" fontId="0" fillId="0" borderId="0" xfId="0" applyNumberFormat="1" applyAlignment="1">
      <alignment vertical="center" wrapText="1"/>
    </xf>
    <xf numFmtId="164" fontId="0" fillId="0" borderId="0" xfId="1" applyFont="1" applyAlignment="1">
      <alignment vertical="center" wrapText="1"/>
    </xf>
    <xf numFmtId="3" fontId="9" fillId="0" borderId="0" xfId="4" applyNumberFormat="1" applyFont="1" applyAlignment="1">
      <alignment vertical="center" wrapText="1"/>
    </xf>
    <xf numFmtId="170" fontId="9" fillId="0" borderId="0" xfId="4" applyNumberFormat="1" applyFont="1" applyAlignment="1">
      <alignment vertical="center" wrapText="1"/>
    </xf>
    <xf numFmtId="9" fontId="9" fillId="0" borderId="0" xfId="38" applyFont="1" applyAlignment="1">
      <alignment vertical="center" wrapText="1"/>
    </xf>
    <xf numFmtId="3" fontId="9" fillId="0" borderId="0" xfId="38" applyNumberFormat="1" applyFont="1" applyAlignment="1">
      <alignment vertical="center" wrapText="1"/>
    </xf>
    <xf numFmtId="174" fontId="14" fillId="0" borderId="0" xfId="32" applyFont="1" applyBorder="1"/>
    <xf numFmtId="174" fontId="14" fillId="0" borderId="0" xfId="32" applyFont="1" applyFill="1" applyBorder="1"/>
    <xf numFmtId="174" fontId="15" fillId="0" borderId="0" xfId="32" applyFont="1" applyBorder="1"/>
    <xf numFmtId="174" fontId="17" fillId="0" borderId="0" xfId="32" applyFont="1" applyBorder="1"/>
    <xf numFmtId="174" fontId="19" fillId="4" borderId="0" xfId="19" applyFont="1" applyFill="1" applyBorder="1" applyAlignment="1" applyProtection="1"/>
    <xf numFmtId="174" fontId="19" fillId="4" borderId="0" xfId="19" applyFont="1" applyFill="1" applyBorder="1" applyAlignment="1" applyProtection="1">
      <alignment horizontal="left"/>
    </xf>
    <xf numFmtId="174" fontId="20" fillId="2" borderId="0" xfId="32" applyFont="1" applyFill="1" applyBorder="1" applyAlignment="1">
      <alignment horizontal="left" vertical="center" wrapText="1"/>
    </xf>
    <xf numFmtId="174" fontId="17" fillId="0" borderId="0" xfId="32" applyFont="1" applyBorder="1" applyAlignment="1">
      <alignment horizontal="left" vertical="top" wrapText="1"/>
    </xf>
    <xf numFmtId="174" fontId="17" fillId="0" borderId="0" xfId="32" applyFont="1" applyAlignment="1">
      <alignment vertical="center"/>
    </xf>
    <xf numFmtId="174" fontId="22" fillId="0" borderId="0" xfId="19" applyFont="1" applyBorder="1" applyAlignment="1" applyProtection="1">
      <alignment vertical="center"/>
    </xf>
    <xf numFmtId="174" fontId="14" fillId="0" borderId="0" xfId="32" applyFont="1" applyBorder="1" applyAlignment="1">
      <alignment vertical="center"/>
    </xf>
    <xf numFmtId="3" fontId="14" fillId="0" borderId="0" xfId="11" applyNumberFormat="1" applyFont="1" applyBorder="1" applyAlignment="1">
      <alignment vertical="center"/>
    </xf>
    <xf numFmtId="174" fontId="15" fillId="5" borderId="0" xfId="32" applyFont="1" applyFill="1" applyBorder="1" applyAlignment="1">
      <alignment vertical="center"/>
    </xf>
    <xf numFmtId="175" fontId="14" fillId="0" borderId="0" xfId="1" applyNumberFormat="1" applyFont="1" applyFill="1" applyBorder="1" applyAlignment="1">
      <alignment vertical="center"/>
    </xf>
    <xf numFmtId="175" fontId="12" fillId="0" borderId="0" xfId="1" applyNumberFormat="1" applyFont="1" applyFill="1" applyBorder="1" applyAlignment="1">
      <alignment vertical="center"/>
    </xf>
    <xf numFmtId="174" fontId="15" fillId="0" borderId="0" xfId="32" applyFont="1" applyBorder="1" applyAlignment="1">
      <alignment vertical="center"/>
    </xf>
    <xf numFmtId="175" fontId="14" fillId="0" borderId="0" xfId="1" applyNumberFormat="1" applyFont="1" applyBorder="1" applyAlignment="1">
      <alignment vertical="center"/>
    </xf>
    <xf numFmtId="174" fontId="14" fillId="0" borderId="0" xfId="32" applyFont="1" applyBorder="1" applyAlignment="1">
      <alignment horizontal="left" vertical="center"/>
    </xf>
    <xf numFmtId="174" fontId="14" fillId="0" borderId="0" xfId="32" applyFont="1" applyFill="1" applyBorder="1" applyAlignment="1">
      <alignment vertical="center"/>
    </xf>
    <xf numFmtId="173" fontId="13" fillId="0" borderId="0" xfId="1" applyNumberFormat="1" applyFont="1" applyFill="1" applyBorder="1" applyAlignment="1">
      <alignment vertical="center"/>
    </xf>
    <xf numFmtId="174" fontId="15" fillId="0" borderId="0" xfId="32" applyFont="1" applyFill="1" applyBorder="1" applyAlignment="1">
      <alignment horizontal="left" vertical="center"/>
    </xf>
    <xf numFmtId="173" fontId="14" fillId="0" borderId="0" xfId="1" applyNumberFormat="1" applyFont="1" applyFill="1" applyBorder="1" applyAlignment="1">
      <alignment vertical="center"/>
    </xf>
    <xf numFmtId="173" fontId="15" fillId="0" borderId="0" xfId="1" applyNumberFormat="1" applyFont="1" applyFill="1" applyBorder="1" applyAlignment="1">
      <alignment vertical="center"/>
    </xf>
    <xf numFmtId="174" fontId="14" fillId="0" borderId="0" xfId="32" applyFont="1" applyFill="1" applyBorder="1" applyAlignment="1">
      <alignment horizontal="left" vertical="center" indent="1"/>
    </xf>
    <xf numFmtId="174" fontId="14" fillId="0" borderId="0" xfId="32" applyFont="1" applyBorder="1" applyAlignment="1">
      <alignment horizontal="left" vertical="center" indent="1"/>
    </xf>
    <xf numFmtId="173" fontId="12" fillId="0" borderId="0" xfId="1" applyNumberFormat="1" applyFont="1" applyFill="1" applyBorder="1" applyAlignment="1">
      <alignment vertical="center"/>
    </xf>
    <xf numFmtId="174" fontId="15" fillId="0" borderId="0" xfId="32" applyFont="1" applyBorder="1" applyAlignment="1">
      <alignment horizontal="left" vertical="center"/>
    </xf>
    <xf numFmtId="174" fontId="21" fillId="0" borderId="0" xfId="32" applyFont="1" applyBorder="1" applyAlignment="1">
      <alignment vertical="center"/>
    </xf>
    <xf numFmtId="3" fontId="14" fillId="0" borderId="0" xfId="11" applyNumberFormat="1" applyFont="1" applyFill="1" applyBorder="1" applyAlignment="1">
      <alignment vertical="center"/>
    </xf>
    <xf numFmtId="175" fontId="15" fillId="0" borderId="0" xfId="1" applyNumberFormat="1" applyFont="1" applyBorder="1" applyAlignment="1">
      <alignment vertical="center"/>
    </xf>
    <xf numFmtId="175" fontId="12" fillId="0" borderId="0" xfId="1" applyNumberFormat="1" applyFont="1" applyBorder="1" applyAlignment="1">
      <alignment vertical="center"/>
    </xf>
    <xf numFmtId="173" fontId="12" fillId="0" borderId="0" xfId="1" applyNumberFormat="1" applyFont="1" applyBorder="1" applyAlignment="1">
      <alignment vertical="center"/>
    </xf>
    <xf numFmtId="37" fontId="14" fillId="0" borderId="0" xfId="1" applyNumberFormat="1" applyFont="1" applyBorder="1" applyAlignment="1">
      <alignment vertical="center"/>
    </xf>
    <xf numFmtId="173" fontId="14" fillId="0" borderId="0" xfId="1" applyNumberFormat="1" applyFont="1" applyBorder="1" applyAlignment="1">
      <alignment vertical="center"/>
    </xf>
    <xf numFmtId="3" fontId="13" fillId="0" borderId="0" xfId="11" applyNumberFormat="1" applyFont="1" applyFill="1" applyBorder="1" applyAlignment="1">
      <alignment horizontal="right" vertical="center"/>
    </xf>
    <xf numFmtId="174" fontId="13" fillId="0" borderId="0" xfId="32" applyFont="1" applyFill="1" applyBorder="1" applyAlignment="1">
      <alignment horizontal="right" vertical="center" wrapText="1"/>
    </xf>
    <xf numFmtId="174" fontId="15" fillId="0" borderId="0" xfId="32" applyFont="1" applyFill="1" applyBorder="1" applyAlignment="1">
      <alignment vertical="center"/>
    </xf>
    <xf numFmtId="174" fontId="24" fillId="0" borderId="0" xfId="32" applyFont="1" applyFill="1" applyBorder="1" applyAlignment="1">
      <alignment horizontal="right" vertical="center" wrapText="1"/>
    </xf>
    <xf numFmtId="9" fontId="14" fillId="0" borderId="0" xfId="32" applyNumberFormat="1" applyFont="1" applyBorder="1" applyAlignment="1">
      <alignment vertical="center"/>
    </xf>
    <xf numFmtId="9" fontId="15" fillId="5" borderId="0" xfId="41" applyFont="1" applyFill="1" applyBorder="1" applyAlignment="1">
      <alignment vertical="center"/>
    </xf>
    <xf numFmtId="175" fontId="15" fillId="5" borderId="0" xfId="13" applyNumberFormat="1" applyFont="1" applyFill="1" applyBorder="1" applyAlignment="1">
      <alignment vertical="center"/>
    </xf>
    <xf numFmtId="173" fontId="23" fillId="0" borderId="0" xfId="1" applyNumberFormat="1" applyFont="1" applyFill="1" applyBorder="1" applyAlignment="1">
      <alignment vertical="center"/>
    </xf>
    <xf numFmtId="37" fontId="14" fillId="0" borderId="0" xfId="1" applyNumberFormat="1" applyFont="1" applyFill="1" applyBorder="1" applyAlignment="1">
      <alignment vertical="center"/>
    </xf>
    <xf numFmtId="174" fontId="14" fillId="0" borderId="0" xfId="32" applyFont="1" applyFill="1" applyBorder="1" applyAlignment="1">
      <alignment horizontal="left" vertical="center"/>
    </xf>
    <xf numFmtId="175" fontId="15" fillId="0" borderId="0" xfId="13" applyNumberFormat="1" applyFont="1" applyFill="1" applyBorder="1" applyAlignment="1">
      <alignment vertical="center"/>
    </xf>
    <xf numFmtId="174" fontId="21" fillId="0" borderId="0" xfId="32" applyFont="1" applyFill="1" applyBorder="1" applyAlignment="1">
      <alignment vertical="center"/>
    </xf>
    <xf numFmtId="37" fontId="14" fillId="0" borderId="0" xfId="13" applyNumberFormat="1" applyFont="1" applyFill="1" applyBorder="1" applyAlignment="1">
      <alignment vertical="center"/>
    </xf>
    <xf numFmtId="38" fontId="15" fillId="0" borderId="0" xfId="32" applyNumberFormat="1" applyFont="1" applyFill="1" applyBorder="1"/>
    <xf numFmtId="38" fontId="22" fillId="0" borderId="0" xfId="19" applyNumberFormat="1" applyFont="1" applyFill="1" applyBorder="1" applyAlignment="1" applyProtection="1">
      <alignment horizontal="left"/>
    </xf>
    <xf numFmtId="38" fontId="15" fillId="0" borderId="0" xfId="32" applyNumberFormat="1" applyFont="1" applyBorder="1"/>
    <xf numFmtId="38" fontId="15" fillId="0" borderId="0" xfId="32" applyNumberFormat="1" applyFont="1" applyFill="1" applyBorder="1" applyAlignment="1">
      <alignment horizontal="left"/>
    </xf>
    <xf numFmtId="38" fontId="14" fillId="0" borderId="0" xfId="32" applyNumberFormat="1" applyFont="1" applyFill="1" applyBorder="1"/>
    <xf numFmtId="176" fontId="15" fillId="0" borderId="0" xfId="32" applyNumberFormat="1" applyFont="1" applyFill="1" applyBorder="1"/>
    <xf numFmtId="173" fontId="14" fillId="0" borderId="0" xfId="1" applyNumberFormat="1" applyFont="1" applyFill="1" applyBorder="1"/>
    <xf numFmtId="1" fontId="14" fillId="0" borderId="0" xfId="41" applyNumberFormat="1" applyFont="1" applyFill="1" applyBorder="1"/>
    <xf numFmtId="3" fontId="13" fillId="0" borderId="0" xfId="14" applyNumberFormat="1" applyFont="1" applyFill="1" applyBorder="1" applyAlignment="1">
      <alignment horizontal="right"/>
    </xf>
    <xf numFmtId="38" fontId="21" fillId="0" borderId="0" xfId="32" applyNumberFormat="1" applyFont="1" applyFill="1" applyBorder="1"/>
    <xf numFmtId="38" fontId="15" fillId="0" borderId="0" xfId="32" applyNumberFormat="1" applyFont="1" applyFill="1" applyBorder="1" applyAlignment="1">
      <alignment horizontal="center"/>
    </xf>
    <xf numFmtId="174" fontId="22" fillId="0" borderId="0" xfId="19" applyFont="1" applyFill="1" applyBorder="1" applyAlignment="1" applyProtection="1"/>
    <xf numFmtId="174" fontId="20" fillId="0" borderId="0" xfId="32" applyFont="1" applyFill="1" applyBorder="1" applyAlignment="1">
      <alignment horizontal="left" indent="1"/>
    </xf>
    <xf numFmtId="173" fontId="15" fillId="0" borderId="0" xfId="1" applyNumberFormat="1" applyFont="1" applyFill="1" applyBorder="1"/>
    <xf numFmtId="174" fontId="20" fillId="0" borderId="0" xfId="32" applyFont="1" applyFill="1" applyBorder="1"/>
    <xf numFmtId="1" fontId="25" fillId="0" borderId="0" xfId="41" applyNumberFormat="1" applyFont="1" applyFill="1" applyBorder="1"/>
    <xf numFmtId="174" fontId="15" fillId="0" borderId="0" xfId="32" applyFont="1" applyFill="1" applyBorder="1"/>
    <xf numFmtId="3" fontId="13" fillId="0" borderId="0" xfId="15" applyNumberFormat="1" applyFont="1" applyFill="1" applyBorder="1" applyAlignment="1">
      <alignment horizontal="right"/>
    </xf>
    <xf numFmtId="177" fontId="15" fillId="0" borderId="0" xfId="32" applyNumberFormat="1" applyFont="1" applyFill="1" applyBorder="1"/>
    <xf numFmtId="174" fontId="14" fillId="0" borderId="0" xfId="32" applyFont="1" applyFill="1" applyBorder="1" applyAlignment="1">
      <alignment horizontal="left" indent="1"/>
    </xf>
    <xf numFmtId="173" fontId="25" fillId="0" borderId="0" xfId="1" applyNumberFormat="1" applyFont="1" applyFill="1" applyBorder="1"/>
    <xf numFmtId="173" fontId="12" fillId="0" borderId="0" xfId="1" applyNumberFormat="1" applyFont="1" applyFill="1" applyBorder="1"/>
    <xf numFmtId="177" fontId="21" fillId="0" borderId="0" xfId="32" applyNumberFormat="1" applyFont="1" applyFill="1" applyBorder="1"/>
    <xf numFmtId="174" fontId="26" fillId="0" borderId="0" xfId="32" applyFont="1" applyFill="1" applyBorder="1"/>
    <xf numFmtId="173" fontId="14" fillId="0" borderId="0" xfId="32" applyNumberFormat="1" applyFont="1" applyFill="1" applyBorder="1"/>
    <xf numFmtId="177" fontId="14" fillId="0" borderId="0" xfId="32" applyNumberFormat="1" applyFont="1" applyFill="1" applyBorder="1"/>
    <xf numFmtId="177" fontId="14" fillId="0" borderId="0" xfId="1" applyNumberFormat="1" applyFont="1" applyFill="1" applyBorder="1"/>
    <xf numFmtId="3" fontId="13" fillId="0" borderId="0" xfId="17" applyNumberFormat="1" applyFont="1" applyFill="1" applyBorder="1" applyAlignment="1">
      <alignment horizontal="right"/>
    </xf>
    <xf numFmtId="174" fontId="21" fillId="0" borderId="0" xfId="32" applyFont="1" applyFill="1" applyBorder="1"/>
    <xf numFmtId="1" fontId="14" fillId="0" borderId="0" xfId="32" applyNumberFormat="1" applyFont="1" applyFill="1" applyBorder="1"/>
    <xf numFmtId="3" fontId="13" fillId="0" borderId="0" xfId="18" applyNumberFormat="1" applyFont="1" applyFill="1" applyBorder="1" applyAlignment="1">
      <alignment horizontal="right"/>
    </xf>
    <xf numFmtId="174" fontId="0" fillId="0" borderId="0" xfId="0" applyAlignment="1">
      <alignment vertical="center"/>
    </xf>
    <xf numFmtId="174" fontId="4" fillId="0" borderId="0" xfId="0" applyFont="1" applyAlignment="1">
      <alignment vertical="center"/>
    </xf>
    <xf numFmtId="2" fontId="54" fillId="0" borderId="0" xfId="0" applyNumberFormat="1" applyFont="1" applyFill="1" applyAlignment="1">
      <alignment vertical="center"/>
    </xf>
    <xf numFmtId="173" fontId="0" fillId="0" borderId="0" xfId="1" applyNumberFormat="1" applyFont="1" applyAlignment="1">
      <alignment vertical="center"/>
    </xf>
    <xf numFmtId="174" fontId="14" fillId="4" borderId="0" xfId="32" applyFont="1" applyFill="1" applyBorder="1" applyAlignment="1">
      <alignment horizontal="left"/>
    </xf>
    <xf numFmtId="174" fontId="55" fillId="0" borderId="0" xfId="33" applyFont="1" applyFill="1" applyBorder="1"/>
    <xf numFmtId="38" fontId="56" fillId="0" borderId="0" xfId="33" applyNumberFormat="1" applyFont="1" applyFill="1" applyBorder="1" applyAlignment="1">
      <alignment horizontal="left"/>
    </xf>
    <xf numFmtId="174" fontId="57" fillId="0" borderId="0" xfId="19" applyFont="1" applyFill="1" applyBorder="1" applyAlignment="1" applyProtection="1"/>
    <xf numFmtId="174" fontId="56" fillId="0" borderId="0" xfId="33" applyFont="1" applyFill="1" applyBorder="1"/>
    <xf numFmtId="174" fontId="58" fillId="0" borderId="0" xfId="33" applyFont="1" applyAlignment="1">
      <alignment vertical="center"/>
    </xf>
    <xf numFmtId="174" fontId="59" fillId="0" borderId="0" xfId="33" applyFont="1" applyAlignment="1">
      <alignment vertical="center"/>
    </xf>
    <xf numFmtId="174" fontId="28" fillId="0" borderId="0" xfId="33" applyFont="1"/>
    <xf numFmtId="174" fontId="27" fillId="0" borderId="0" xfId="33"/>
    <xf numFmtId="174" fontId="3" fillId="7" borderId="5" xfId="33" applyFont="1" applyFill="1" applyBorder="1" applyAlignment="1">
      <alignment horizontal="center" wrapText="1"/>
    </xf>
    <xf numFmtId="169" fontId="4" fillId="7" borderId="2" xfId="1" applyNumberFormat="1" applyFont="1" applyFill="1" applyBorder="1"/>
    <xf numFmtId="43" fontId="3" fillId="7" borderId="5" xfId="1" applyNumberFormat="1" applyFont="1" applyFill="1" applyBorder="1" applyAlignment="1">
      <alignment horizontal="center"/>
    </xf>
    <xf numFmtId="43" fontId="0" fillId="0" borderId="0" xfId="1" applyNumberFormat="1" applyFont="1"/>
    <xf numFmtId="177" fontId="60" fillId="0" borderId="0" xfId="33" applyNumberFormat="1" applyFont="1" applyFill="1" applyBorder="1"/>
    <xf numFmtId="174" fontId="55" fillId="0" borderId="2" xfId="33" applyFont="1" applyFill="1" applyBorder="1"/>
    <xf numFmtId="174" fontId="55" fillId="0" borderId="0" xfId="33" applyFont="1" applyFill="1" applyBorder="1" applyAlignment="1">
      <alignment vertical="top"/>
    </xf>
    <xf numFmtId="173" fontId="61" fillId="0" borderId="2" xfId="1" applyNumberFormat="1" applyFont="1" applyFill="1" applyBorder="1"/>
    <xf numFmtId="173" fontId="55" fillId="0" borderId="2" xfId="1" applyNumberFormat="1" applyFont="1" applyFill="1" applyBorder="1"/>
    <xf numFmtId="177" fontId="56" fillId="0" borderId="0" xfId="33" applyNumberFormat="1" applyFont="1" applyFill="1" applyBorder="1"/>
    <xf numFmtId="174" fontId="55" fillId="0" borderId="0" xfId="26" applyFont="1" applyAlignment="1">
      <alignment vertical="center" wrapText="1"/>
    </xf>
    <xf numFmtId="174" fontId="55" fillId="0" borderId="0" xfId="26" applyFont="1" applyAlignment="1">
      <alignment horizontal="center" vertical="center" wrapText="1"/>
    </xf>
    <xf numFmtId="174" fontId="56" fillId="0" borderId="0" xfId="26" applyFont="1" applyAlignment="1">
      <alignment vertical="center" wrapText="1"/>
    </xf>
    <xf numFmtId="174" fontId="56" fillId="0" borderId="0" xfId="26" applyFont="1" applyAlignment="1">
      <alignment horizontal="center" vertical="center" wrapText="1"/>
    </xf>
    <xf numFmtId="15" fontId="55" fillId="0" borderId="0" xfId="26" applyNumberFormat="1" applyFont="1" applyAlignment="1">
      <alignment vertical="center" wrapText="1"/>
    </xf>
    <xf numFmtId="2" fontId="55" fillId="0" borderId="0" xfId="26" applyNumberFormat="1" applyFont="1" applyAlignment="1">
      <alignment vertical="center" wrapText="1"/>
    </xf>
    <xf numFmtId="174" fontId="56" fillId="0" borderId="0" xfId="26" applyFont="1" applyFill="1" applyAlignment="1">
      <alignment vertical="center" wrapText="1"/>
    </xf>
    <xf numFmtId="174" fontId="56" fillId="0" borderId="0" xfId="26" applyFont="1" applyFill="1" applyAlignment="1">
      <alignment horizontal="center" vertical="center" wrapText="1"/>
    </xf>
    <xf numFmtId="2" fontId="55" fillId="0" borderId="0" xfId="26" applyNumberFormat="1" applyFont="1" applyFill="1" applyAlignment="1">
      <alignment vertical="center" wrapText="1"/>
    </xf>
    <xf numFmtId="174" fontId="62" fillId="0" borderId="0" xfId="26" applyFont="1" applyAlignment="1">
      <alignment horizontal="center" vertical="center" wrapText="1"/>
    </xf>
    <xf numFmtId="174" fontId="56" fillId="0" borderId="2" xfId="33" applyFont="1" applyFill="1" applyBorder="1" applyAlignment="1">
      <alignment horizontal="center" vertical="center"/>
    </xf>
    <xf numFmtId="174" fontId="0" fillId="0" borderId="0" xfId="0" applyFill="1" applyAlignment="1">
      <alignment horizontal="left" vertical="center" wrapText="1"/>
    </xf>
    <xf numFmtId="174" fontId="0" fillId="0" borderId="0" xfId="0" applyFill="1" applyAlignment="1">
      <alignment vertical="center" wrapText="1"/>
    </xf>
    <xf numFmtId="9" fontId="9" fillId="0" borderId="0" xfId="38" applyFont="1" applyFill="1" applyAlignment="1">
      <alignment vertical="center" wrapText="1"/>
    </xf>
    <xf numFmtId="3" fontId="0" fillId="0" borderId="0" xfId="0" applyNumberFormat="1" applyFill="1" applyAlignment="1">
      <alignment vertical="center" wrapText="1"/>
    </xf>
    <xf numFmtId="174" fontId="10" fillId="0" borderId="0" xfId="0" applyFont="1" applyFill="1" applyAlignment="1">
      <alignment horizontal="left" vertical="center" wrapText="1"/>
    </xf>
    <xf numFmtId="3" fontId="11" fillId="0" borderId="0" xfId="0" applyNumberFormat="1" applyFont="1" applyFill="1" applyAlignment="1">
      <alignment vertical="center" wrapText="1"/>
    </xf>
    <xf numFmtId="165" fontId="0" fillId="0" borderId="0" xfId="0" applyNumberFormat="1" applyFill="1" applyAlignment="1">
      <alignment vertical="center" wrapText="1"/>
    </xf>
    <xf numFmtId="1" fontId="55" fillId="0" borderId="0" xfId="26" applyNumberFormat="1" applyFont="1" applyAlignment="1">
      <alignment horizontal="center" vertical="center" wrapText="1"/>
    </xf>
    <xf numFmtId="1" fontId="0" fillId="0" borderId="0" xfId="0" applyNumberFormat="1" applyAlignment="1">
      <alignment vertical="center"/>
    </xf>
    <xf numFmtId="9" fontId="0" fillId="0" borderId="2" xfId="0" applyNumberFormat="1" applyFill="1" applyBorder="1" applyAlignment="1">
      <alignment horizontal="center" vertical="center" wrapText="1"/>
    </xf>
    <xf numFmtId="174" fontId="8" fillId="0" borderId="2" xfId="0" applyFont="1" applyFill="1" applyBorder="1" applyAlignment="1">
      <alignment horizontal="center" vertical="center" wrapText="1"/>
    </xf>
    <xf numFmtId="164" fontId="54" fillId="0" borderId="0" xfId="1" applyFont="1" applyAlignment="1">
      <alignment vertical="center"/>
    </xf>
    <xf numFmtId="2" fontId="0" fillId="0" borderId="0" xfId="0" applyNumberFormat="1" applyAlignment="1">
      <alignment vertical="center"/>
    </xf>
    <xf numFmtId="1" fontId="0" fillId="0" borderId="2" xfId="0" applyNumberFormat="1" applyBorder="1" applyAlignment="1">
      <alignment horizontal="center" vertical="center" wrapText="1"/>
    </xf>
    <xf numFmtId="174" fontId="4" fillId="0" borderId="0" xfId="0" applyFont="1" applyAlignment="1">
      <alignment horizontal="center" vertical="center"/>
    </xf>
    <xf numFmtId="174" fontId="0" fillId="0" borderId="2" xfId="0" applyBorder="1" applyAlignment="1">
      <alignment vertical="center"/>
    </xf>
    <xf numFmtId="174" fontId="4" fillId="0" borderId="2" xfId="0" applyFont="1" applyBorder="1" applyAlignment="1">
      <alignment vertical="center"/>
    </xf>
    <xf numFmtId="1" fontId="0" fillId="0" borderId="2" xfId="0" applyNumberFormat="1" applyBorder="1" applyAlignment="1">
      <alignment vertical="center"/>
    </xf>
    <xf numFmtId="174" fontId="0" fillId="0" borderId="0" xfId="0" applyAlignment="1">
      <alignment horizontal="center" vertical="center"/>
    </xf>
    <xf numFmtId="9" fontId="0" fillId="0" borderId="2" xfId="37" applyFont="1" applyFill="1" applyBorder="1" applyAlignment="1">
      <alignment horizontal="center" vertical="center" wrapText="1"/>
    </xf>
    <xf numFmtId="173" fontId="4" fillId="0" borderId="0" xfId="0" applyNumberFormat="1" applyFont="1" applyAlignment="1">
      <alignment vertical="center"/>
    </xf>
    <xf numFmtId="0" fontId="0" fillId="0" borderId="0" xfId="0" applyNumberFormat="1"/>
    <xf numFmtId="0" fontId="49" fillId="0" borderId="0" xfId="35" applyAlignment="1">
      <alignment horizontal="center" vertical="center"/>
    </xf>
    <xf numFmtId="0" fontId="49" fillId="8" borderId="0" xfId="35" applyFill="1" applyAlignment="1">
      <alignment horizontal="center" vertical="center"/>
    </xf>
    <xf numFmtId="0" fontId="49" fillId="0" borderId="0" xfId="35" applyAlignment="1">
      <alignment horizontal="center" vertical="center" wrapText="1"/>
    </xf>
    <xf numFmtId="0" fontId="49" fillId="9" borderId="0" xfId="35" applyFill="1" applyAlignment="1">
      <alignment horizontal="center" vertical="center"/>
    </xf>
    <xf numFmtId="0" fontId="49" fillId="10" borderId="0" xfId="35" applyFill="1" applyAlignment="1">
      <alignment horizontal="center" vertical="center"/>
    </xf>
    <xf numFmtId="1" fontId="49" fillId="0" borderId="0" xfId="35" applyNumberFormat="1" applyAlignment="1">
      <alignment horizontal="center" vertical="center"/>
    </xf>
    <xf numFmtId="171" fontId="52" fillId="8" borderId="0" xfId="35" applyNumberFormat="1" applyFont="1" applyFill="1" applyAlignment="1">
      <alignment horizontal="center" vertical="center"/>
    </xf>
    <xf numFmtId="2" fontId="49" fillId="0" borderId="0" xfId="35" applyNumberFormat="1" applyAlignment="1">
      <alignment horizontal="center" vertical="center"/>
    </xf>
    <xf numFmtId="2" fontId="49" fillId="9" borderId="0" xfId="35" applyNumberFormat="1" applyFill="1" applyAlignment="1">
      <alignment horizontal="center" vertical="center"/>
    </xf>
    <xf numFmtId="2" fontId="49" fillId="10" borderId="0" xfId="35" applyNumberFormat="1" applyFill="1" applyAlignment="1">
      <alignment horizontal="center" vertical="center"/>
    </xf>
    <xf numFmtId="171" fontId="49" fillId="0" borderId="0" xfId="35" applyNumberFormat="1" applyAlignment="1">
      <alignment horizontal="center" vertical="center"/>
    </xf>
    <xf numFmtId="164" fontId="49" fillId="0" borderId="0" xfId="1" applyFont="1" applyAlignment="1">
      <alignment horizontal="center" vertical="center"/>
    </xf>
    <xf numFmtId="9" fontId="55" fillId="0" borderId="0" xfId="37" applyFont="1" applyFill="1" applyBorder="1"/>
    <xf numFmtId="174" fontId="63" fillId="7" borderId="0" xfId="26" applyFont="1" applyFill="1" applyAlignment="1">
      <alignment horizontal="center" vertical="center" wrapText="1"/>
    </xf>
    <xf numFmtId="174" fontId="4" fillId="7" borderId="0" xfId="0" applyFont="1" applyFill="1" applyAlignment="1">
      <alignment vertical="center"/>
    </xf>
    <xf numFmtId="174" fontId="64" fillId="7" borderId="0" xfId="26" applyFont="1" applyFill="1" applyAlignment="1">
      <alignment horizontal="center" vertical="center" wrapText="1"/>
    </xf>
    <xf numFmtId="174" fontId="65" fillId="7" borderId="0" xfId="26" applyFont="1" applyFill="1" applyBorder="1" applyAlignment="1">
      <alignment horizontal="center" vertical="center" wrapText="1"/>
    </xf>
    <xf numFmtId="0" fontId="14" fillId="0" borderId="0" xfId="32" applyNumberFormat="1" applyFont="1" applyFill="1" applyBorder="1"/>
    <xf numFmtId="174" fontId="4" fillId="0" borderId="0" xfId="0" applyFont="1" applyAlignment="1">
      <alignment horizontal="left" vertical="center" wrapText="1"/>
    </xf>
    <xf numFmtId="0" fontId="49" fillId="0" borderId="0" xfId="35" applyFont="1" applyAlignment="1">
      <alignment horizontal="center" vertical="center"/>
    </xf>
    <xf numFmtId="9" fontId="49" fillId="0" borderId="0" xfId="35" applyNumberFormat="1" applyAlignment="1">
      <alignment horizontal="center" vertical="center"/>
    </xf>
    <xf numFmtId="178" fontId="49" fillId="0" borderId="0" xfId="1" applyNumberFormat="1" applyFont="1" applyAlignment="1">
      <alignment horizontal="center" vertical="center"/>
    </xf>
    <xf numFmtId="174" fontId="14" fillId="11" borderId="0" xfId="32" applyFont="1" applyFill="1" applyBorder="1" applyAlignment="1">
      <alignment vertical="center"/>
    </xf>
    <xf numFmtId="4" fontId="14" fillId="0" borderId="0" xfId="32" applyNumberFormat="1" applyFont="1" applyFill="1" applyBorder="1"/>
    <xf numFmtId="3" fontId="15" fillId="0" borderId="0" xfId="32" applyNumberFormat="1" applyFont="1" applyFill="1" applyBorder="1"/>
    <xf numFmtId="4" fontId="14" fillId="0" borderId="0" xfId="32" applyNumberFormat="1" applyFont="1" applyBorder="1" applyAlignment="1">
      <alignment vertical="center"/>
    </xf>
    <xf numFmtId="164" fontId="4" fillId="0" borderId="0" xfId="1" applyFont="1" applyFill="1" applyAlignment="1">
      <alignment vertical="center"/>
    </xf>
    <xf numFmtId="174" fontId="3" fillId="0" borderId="0" xfId="26" applyAlignment="1">
      <alignment vertical="center"/>
    </xf>
    <xf numFmtId="173" fontId="66" fillId="0" borderId="2" xfId="1" applyNumberFormat="1" applyFont="1" applyBorder="1" applyAlignment="1">
      <alignment horizontal="justify" vertical="center"/>
    </xf>
    <xf numFmtId="173" fontId="67" fillId="0" borderId="2" xfId="1" applyNumberFormat="1" applyFont="1" applyBorder="1" applyAlignment="1">
      <alignment horizontal="justify" vertical="center"/>
    </xf>
    <xf numFmtId="174" fontId="67" fillId="0" borderId="0" xfId="26" applyFont="1" applyAlignment="1">
      <alignment horizontal="justify" vertical="center" wrapText="1"/>
    </xf>
    <xf numFmtId="173" fontId="67" fillId="0" borderId="0" xfId="26" applyNumberFormat="1" applyFont="1" applyAlignment="1">
      <alignment horizontal="justify" vertical="center"/>
    </xf>
    <xf numFmtId="173" fontId="3" fillId="0" borderId="0" xfId="26" applyNumberFormat="1" applyAlignment="1">
      <alignment vertical="center"/>
    </xf>
    <xf numFmtId="174" fontId="3" fillId="0" borderId="0" xfId="26" applyFont="1" applyAlignment="1">
      <alignment vertical="center"/>
    </xf>
    <xf numFmtId="1" fontId="0" fillId="0" borderId="2" xfId="0" applyNumberFormat="1" applyFill="1" applyBorder="1" applyAlignment="1">
      <alignment vertical="center"/>
    </xf>
    <xf numFmtId="173" fontId="4" fillId="7" borderId="2" xfId="1" applyNumberFormat="1" applyFont="1" applyFill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1" fontId="4" fillId="7" borderId="2" xfId="0" applyNumberFormat="1" applyFont="1" applyFill="1" applyBorder="1" applyAlignment="1">
      <alignment vertical="center"/>
    </xf>
    <xf numFmtId="174" fontId="33" fillId="7" borderId="2" xfId="0" applyFont="1" applyFill="1" applyBorder="1" applyAlignment="1">
      <alignment horizontal="center" vertical="center"/>
    </xf>
    <xf numFmtId="174" fontId="56" fillId="7" borderId="2" xfId="26" applyFont="1" applyFill="1" applyBorder="1" applyAlignment="1">
      <alignment horizontal="center" vertical="center" wrapText="1"/>
    </xf>
    <xf numFmtId="174" fontId="0" fillId="0" borderId="1" xfId="0" applyBorder="1" applyAlignment="1">
      <alignment vertical="center"/>
    </xf>
    <xf numFmtId="174" fontId="4" fillId="0" borderId="6" xfId="0" applyFont="1" applyBorder="1" applyAlignment="1">
      <alignment vertical="center"/>
    </xf>
    <xf numFmtId="174" fontId="0" fillId="0" borderId="7" xfId="0" applyBorder="1" applyAlignment="1">
      <alignment vertical="center"/>
    </xf>
    <xf numFmtId="174" fontId="55" fillId="0" borderId="7" xfId="26" applyFont="1" applyBorder="1" applyAlignment="1">
      <alignment vertical="center" wrapText="1"/>
    </xf>
    <xf numFmtId="174" fontId="0" fillId="0" borderId="8" xfId="0" applyBorder="1" applyAlignment="1">
      <alignment vertical="center"/>
    </xf>
    <xf numFmtId="174" fontId="0" fillId="0" borderId="0" xfId="0" applyBorder="1" applyAlignment="1">
      <alignment vertical="center"/>
    </xf>
    <xf numFmtId="174" fontId="55" fillId="0" borderId="0" xfId="26" applyFont="1" applyBorder="1" applyAlignment="1">
      <alignment vertical="center" wrapText="1"/>
    </xf>
    <xf numFmtId="3" fontId="0" fillId="0" borderId="1" xfId="0" applyNumberFormat="1" applyBorder="1" applyAlignment="1">
      <alignment vertical="center"/>
    </xf>
    <xf numFmtId="174" fontId="4" fillId="0" borderId="3" xfId="0" applyFont="1" applyBorder="1" applyAlignment="1">
      <alignment vertical="center"/>
    </xf>
    <xf numFmtId="174" fontId="4" fillId="0" borderId="7" xfId="0" applyFont="1" applyBorder="1" applyAlignment="1">
      <alignment vertical="center"/>
    </xf>
    <xf numFmtId="174" fontId="56" fillId="7" borderId="9" xfId="26" applyFont="1" applyFill="1" applyBorder="1" applyAlignment="1">
      <alignment vertical="center" wrapText="1"/>
    </xf>
    <xf numFmtId="174" fontId="55" fillId="7" borderId="10" xfId="26" applyFont="1" applyFill="1" applyBorder="1" applyAlignment="1">
      <alignment vertical="center" wrapText="1"/>
    </xf>
    <xf numFmtId="174" fontId="55" fillId="7" borderId="10" xfId="26" applyFont="1" applyFill="1" applyBorder="1" applyAlignment="1">
      <alignment horizontal="center" vertical="center" wrapText="1"/>
    </xf>
    <xf numFmtId="9" fontId="0" fillId="0" borderId="4" xfId="0" applyNumberFormat="1" applyFill="1" applyBorder="1" applyAlignment="1">
      <alignment horizontal="center" vertical="center" wrapText="1"/>
    </xf>
    <xf numFmtId="174" fontId="55" fillId="12" borderId="0" xfId="26" applyFont="1" applyFill="1" applyAlignment="1">
      <alignment vertical="center" wrapText="1"/>
    </xf>
    <xf numFmtId="1" fontId="55" fillId="12" borderId="0" xfId="26" applyNumberFormat="1" applyFont="1" applyFill="1" applyAlignment="1">
      <alignment horizontal="center" vertical="center" wrapText="1"/>
    </xf>
    <xf numFmtId="2" fontId="55" fillId="12" borderId="0" xfId="26" applyNumberFormat="1" applyFont="1" applyFill="1" applyAlignment="1">
      <alignment vertical="center" wrapText="1"/>
    </xf>
    <xf numFmtId="0" fontId="0" fillId="12" borderId="0" xfId="0" applyNumberFormat="1" applyFill="1" applyBorder="1"/>
    <xf numFmtId="0" fontId="0" fillId="12" borderId="0" xfId="0" applyNumberFormat="1" applyFill="1" applyBorder="1" applyAlignment="1">
      <alignment horizontal="center"/>
    </xf>
    <xf numFmtId="174" fontId="68" fillId="12" borderId="8" xfId="31" applyFont="1" applyFill="1" applyBorder="1" applyAlignment="1">
      <alignment vertical="center" wrapText="1"/>
    </xf>
    <xf numFmtId="0" fontId="49" fillId="12" borderId="2" xfId="36" applyFill="1" applyBorder="1" applyAlignment="1">
      <alignment horizontal="center" vertical="center" wrapText="1"/>
    </xf>
    <xf numFmtId="0" fontId="49" fillId="12" borderId="2" xfId="36" applyFill="1" applyBorder="1" applyAlignment="1">
      <alignment horizontal="center" vertical="center"/>
    </xf>
    <xf numFmtId="0" fontId="55" fillId="12" borderId="2" xfId="36" applyFont="1" applyFill="1" applyBorder="1" applyAlignment="1">
      <alignment horizontal="center" vertical="center"/>
    </xf>
    <xf numFmtId="0" fontId="52" fillId="0" borderId="2" xfId="36" applyFont="1" applyFill="1" applyBorder="1" applyAlignment="1">
      <alignment horizontal="left" vertical="center"/>
    </xf>
    <xf numFmtId="0" fontId="49" fillId="12" borderId="0" xfId="36" applyFill="1" applyBorder="1" applyAlignment="1">
      <alignment horizontal="center" vertical="center"/>
    </xf>
    <xf numFmtId="9" fontId="49" fillId="12" borderId="2" xfId="36" applyNumberFormat="1" applyFill="1" applyBorder="1" applyAlignment="1">
      <alignment horizontal="center" vertical="center"/>
    </xf>
    <xf numFmtId="9" fontId="55" fillId="12" borderId="2" xfId="36" applyNumberFormat="1" applyFont="1" applyFill="1" applyBorder="1" applyAlignment="1">
      <alignment horizontal="center" vertical="center"/>
    </xf>
    <xf numFmtId="2" fontId="49" fillId="12" borderId="2" xfId="36" applyNumberFormat="1" applyFill="1" applyBorder="1" applyAlignment="1">
      <alignment horizontal="center" vertical="center"/>
    </xf>
    <xf numFmtId="0" fontId="49" fillId="12" borderId="10" xfId="36" applyFill="1" applyBorder="1" applyAlignment="1">
      <alignment horizontal="center" vertical="center"/>
    </xf>
    <xf numFmtId="0" fontId="55" fillId="12" borderId="11" xfId="36" applyFont="1" applyFill="1" applyBorder="1" applyAlignment="1">
      <alignment horizontal="center" vertical="center"/>
    </xf>
    <xf numFmtId="169" fontId="55" fillId="12" borderId="2" xfId="7" applyNumberFormat="1" applyFont="1" applyFill="1" applyBorder="1" applyAlignment="1">
      <alignment horizontal="center" vertical="center"/>
    </xf>
    <xf numFmtId="169" fontId="49" fillId="12" borderId="2" xfId="7" applyNumberFormat="1" applyFont="1" applyFill="1" applyBorder="1" applyAlignment="1">
      <alignment horizontal="center" vertical="center"/>
    </xf>
    <xf numFmtId="0" fontId="52" fillId="0" borderId="2" xfId="36" applyFont="1" applyFill="1" applyBorder="1" applyAlignment="1">
      <alignment horizontal="center" vertical="center"/>
    </xf>
    <xf numFmtId="0" fontId="52" fillId="0" borderId="2" xfId="36" applyFont="1" applyFill="1" applyBorder="1" applyAlignment="1">
      <alignment horizontal="center" vertical="center"/>
    </xf>
    <xf numFmtId="174" fontId="4" fillId="0" borderId="0" xfId="0" applyFont="1" applyFill="1" applyBorder="1" applyAlignment="1">
      <alignment vertical="center"/>
    </xf>
    <xf numFmtId="173" fontId="49" fillId="12" borderId="9" xfId="1" applyNumberFormat="1" applyFont="1" applyFill="1" applyBorder="1" applyAlignment="1">
      <alignment horizontal="center" vertical="center"/>
    </xf>
    <xf numFmtId="1" fontId="55" fillId="12" borderId="2" xfId="36" applyNumberFormat="1" applyFont="1" applyFill="1" applyBorder="1" applyAlignment="1">
      <alignment horizontal="center" vertical="center"/>
    </xf>
    <xf numFmtId="173" fontId="55" fillId="12" borderId="2" xfId="1" applyNumberFormat="1" applyFont="1" applyFill="1" applyBorder="1" applyAlignment="1">
      <alignment horizontal="center" vertical="center"/>
    </xf>
    <xf numFmtId="0" fontId="0" fillId="12" borderId="2" xfId="0" applyNumberFormat="1" applyFill="1" applyBorder="1" applyAlignment="1">
      <alignment horizontal="center" vertical="center"/>
    </xf>
    <xf numFmtId="173" fontId="49" fillId="12" borderId="2" xfId="1" applyNumberFormat="1" applyFont="1" applyFill="1" applyBorder="1" applyAlignment="1">
      <alignment horizontal="center" vertical="center"/>
    </xf>
    <xf numFmtId="9" fontId="53" fillId="12" borderId="2" xfId="36" applyNumberFormat="1" applyFont="1" applyFill="1" applyBorder="1" applyAlignment="1">
      <alignment horizontal="center" vertical="center"/>
    </xf>
    <xf numFmtId="169" fontId="53" fillId="12" borderId="2" xfId="7" applyNumberFormat="1" applyFont="1" applyFill="1" applyBorder="1" applyAlignment="1">
      <alignment horizontal="center" vertical="center"/>
    </xf>
    <xf numFmtId="0" fontId="49" fillId="0" borderId="0" xfId="36" applyFill="1" applyAlignment="1">
      <alignment vertical="center"/>
    </xf>
    <xf numFmtId="0" fontId="52" fillId="0" borderId="0" xfId="36" applyFont="1" applyFill="1" applyAlignment="1">
      <alignment vertical="center"/>
    </xf>
    <xf numFmtId="0" fontId="49" fillId="0" borderId="12" xfId="36" applyFill="1" applyBorder="1" applyAlignment="1">
      <alignment vertical="center" wrapText="1"/>
    </xf>
    <xf numFmtId="0" fontId="49" fillId="12" borderId="2" xfId="36" applyFill="1" applyBorder="1" applyAlignment="1">
      <alignment vertical="center" wrapText="1"/>
    </xf>
    <xf numFmtId="169" fontId="49" fillId="0" borderId="0" xfId="36" applyNumberFormat="1" applyFill="1" applyAlignment="1">
      <alignment vertical="center"/>
    </xf>
    <xf numFmtId="0" fontId="55" fillId="12" borderId="13" xfId="36" applyFont="1" applyFill="1" applyBorder="1" applyAlignment="1">
      <alignment horizontal="center" vertical="center"/>
    </xf>
    <xf numFmtId="0" fontId="49" fillId="0" borderId="0" xfId="36" applyFill="1" applyAlignment="1">
      <alignment horizontal="center" vertical="center"/>
    </xf>
    <xf numFmtId="0" fontId="52" fillId="0" borderId="0" xfId="36" applyFont="1" applyFill="1" applyBorder="1" applyAlignment="1">
      <alignment horizontal="center" vertical="center"/>
    </xf>
    <xf numFmtId="0" fontId="49" fillId="0" borderId="0" xfId="36" applyFill="1" applyBorder="1" applyAlignment="1">
      <alignment horizontal="center" vertical="center"/>
    </xf>
    <xf numFmtId="169" fontId="49" fillId="0" borderId="0" xfId="36" applyNumberFormat="1" applyFill="1" applyBorder="1" applyAlignment="1">
      <alignment horizontal="center" vertical="center"/>
    </xf>
    <xf numFmtId="169" fontId="52" fillId="12" borderId="2" xfId="7" applyNumberFormat="1" applyFont="1" applyFill="1" applyBorder="1" applyAlignment="1">
      <alignment horizontal="center" vertical="center"/>
    </xf>
    <xf numFmtId="169" fontId="56" fillId="12" borderId="2" xfId="7" applyNumberFormat="1" applyFont="1" applyFill="1" applyBorder="1" applyAlignment="1">
      <alignment horizontal="center" vertical="center"/>
    </xf>
    <xf numFmtId="173" fontId="52" fillId="12" borderId="2" xfId="1" applyNumberFormat="1" applyFont="1" applyFill="1" applyBorder="1" applyAlignment="1">
      <alignment horizontal="center" vertical="center"/>
    </xf>
    <xf numFmtId="173" fontId="49" fillId="12" borderId="2" xfId="36" applyNumberFormat="1" applyFill="1" applyBorder="1" applyAlignment="1">
      <alignment horizontal="center" vertical="center"/>
    </xf>
    <xf numFmtId="169" fontId="49" fillId="12" borderId="2" xfId="36" applyNumberFormat="1" applyFill="1" applyBorder="1" applyAlignment="1">
      <alignment horizontal="center" vertical="center"/>
    </xf>
    <xf numFmtId="1" fontId="49" fillId="12" borderId="2" xfId="36" applyNumberFormat="1" applyFill="1" applyBorder="1" applyAlignment="1">
      <alignment horizontal="center" vertical="center"/>
    </xf>
    <xf numFmtId="173" fontId="52" fillId="12" borderId="2" xfId="1" applyNumberFormat="1" applyFont="1" applyFill="1" applyBorder="1" applyAlignment="1">
      <alignment vertical="center" wrapText="1"/>
    </xf>
    <xf numFmtId="173" fontId="56" fillId="12" borderId="2" xfId="1" applyNumberFormat="1" applyFont="1" applyFill="1" applyBorder="1" applyAlignment="1">
      <alignment horizontal="center" vertical="center"/>
    </xf>
    <xf numFmtId="173" fontId="52" fillId="0" borderId="0" xfId="1" applyNumberFormat="1" applyFont="1" applyFill="1" applyAlignment="1">
      <alignment vertical="center"/>
    </xf>
    <xf numFmtId="173" fontId="52" fillId="12" borderId="0" xfId="1" applyNumberFormat="1" applyFont="1" applyFill="1" applyBorder="1" applyAlignment="1">
      <alignment horizontal="center" vertical="center"/>
    </xf>
    <xf numFmtId="173" fontId="56" fillId="12" borderId="0" xfId="1" applyNumberFormat="1" applyFont="1" applyFill="1" applyBorder="1" applyAlignment="1">
      <alignment horizontal="center" vertical="center"/>
    </xf>
    <xf numFmtId="173" fontId="52" fillId="12" borderId="2" xfId="1" applyNumberFormat="1" applyFont="1" applyFill="1" applyBorder="1" applyAlignment="1">
      <alignment horizontal="center" vertical="center" wrapText="1"/>
    </xf>
    <xf numFmtId="0" fontId="49" fillId="0" borderId="2" xfId="36" applyFill="1" applyBorder="1" applyAlignment="1">
      <alignment vertical="center"/>
    </xf>
    <xf numFmtId="173" fontId="52" fillId="12" borderId="2" xfId="1" applyNumberFormat="1" applyFont="1" applyFill="1" applyBorder="1" applyAlignment="1">
      <alignment horizontal="center" vertical="center"/>
    </xf>
    <xf numFmtId="174" fontId="0" fillId="12" borderId="0" xfId="0" applyFill="1" applyAlignment="1">
      <alignment vertical="center"/>
    </xf>
    <xf numFmtId="164" fontId="14" fillId="0" borderId="0" xfId="1" applyFont="1" applyBorder="1" applyAlignment="1">
      <alignment vertical="center"/>
    </xf>
    <xf numFmtId="0" fontId="52" fillId="12" borderId="2" xfId="36" applyFont="1" applyFill="1" applyBorder="1" applyAlignment="1">
      <alignment horizontal="center" vertical="center"/>
    </xf>
    <xf numFmtId="0" fontId="49" fillId="12" borderId="0" xfId="36" applyFill="1" applyAlignment="1">
      <alignment vertical="center"/>
    </xf>
    <xf numFmtId="0" fontId="69" fillId="12" borderId="0" xfId="36" applyFont="1" applyFill="1" applyBorder="1" applyAlignment="1">
      <alignment horizontal="center" vertical="center" wrapText="1"/>
    </xf>
    <xf numFmtId="0" fontId="49" fillId="12" borderId="14" xfId="36" applyFill="1" applyBorder="1" applyAlignment="1">
      <alignment horizontal="center" vertical="center" wrapText="1"/>
    </xf>
    <xf numFmtId="0" fontId="49" fillId="12" borderId="14" xfId="36" applyFill="1" applyBorder="1" applyAlignment="1">
      <alignment horizontal="center" vertical="center"/>
    </xf>
    <xf numFmtId="0" fontId="0" fillId="12" borderId="14" xfId="0" applyNumberFormat="1" applyFill="1" applyBorder="1" applyAlignment="1">
      <alignment horizontal="center" vertical="center"/>
    </xf>
    <xf numFmtId="9" fontId="49" fillId="12" borderId="14" xfId="36" applyNumberFormat="1" applyFill="1" applyBorder="1" applyAlignment="1">
      <alignment horizontal="center" vertical="center"/>
    </xf>
    <xf numFmtId="2" fontId="49" fillId="12" borderId="14" xfId="36" applyNumberFormat="1" applyFill="1" applyBorder="1" applyAlignment="1">
      <alignment horizontal="center" vertical="center"/>
    </xf>
    <xf numFmtId="173" fontId="49" fillId="12" borderId="10" xfId="1" applyNumberFormat="1" applyFont="1" applyFill="1" applyBorder="1" applyAlignment="1">
      <alignment horizontal="center" vertical="center"/>
    </xf>
    <xf numFmtId="173" fontId="49" fillId="12" borderId="14" xfId="1" applyNumberFormat="1" applyFont="1" applyFill="1" applyBorder="1" applyAlignment="1">
      <alignment horizontal="center" vertical="center"/>
    </xf>
    <xf numFmtId="0" fontId="49" fillId="12" borderId="15" xfId="36" applyFill="1" applyBorder="1" applyAlignment="1">
      <alignment horizontal="center" vertical="center"/>
    </xf>
    <xf numFmtId="0" fontId="49" fillId="12" borderId="13" xfId="36" applyFill="1" applyBorder="1" applyAlignment="1">
      <alignment horizontal="center" vertical="center"/>
    </xf>
    <xf numFmtId="173" fontId="49" fillId="12" borderId="11" xfId="1" applyNumberFormat="1" applyFont="1" applyFill="1" applyBorder="1" applyAlignment="1">
      <alignment horizontal="center" vertical="center"/>
    </xf>
    <xf numFmtId="9" fontId="53" fillId="12" borderId="14" xfId="36" applyNumberFormat="1" applyFont="1" applyFill="1" applyBorder="1" applyAlignment="1">
      <alignment horizontal="center" vertical="center"/>
    </xf>
    <xf numFmtId="1" fontId="55" fillId="12" borderId="14" xfId="36" applyNumberFormat="1" applyFont="1" applyFill="1" applyBorder="1" applyAlignment="1">
      <alignment horizontal="center" vertical="center"/>
    </xf>
    <xf numFmtId="169" fontId="49" fillId="12" borderId="14" xfId="7" applyNumberFormat="1" applyFont="1" applyFill="1" applyBorder="1" applyAlignment="1">
      <alignment horizontal="center" vertical="center"/>
    </xf>
    <xf numFmtId="169" fontId="52" fillId="12" borderId="14" xfId="7" applyNumberFormat="1" applyFont="1" applyFill="1" applyBorder="1" applyAlignment="1">
      <alignment horizontal="center" vertical="center"/>
    </xf>
    <xf numFmtId="173" fontId="52" fillId="12" borderId="14" xfId="1" applyNumberFormat="1" applyFont="1" applyFill="1" applyBorder="1" applyAlignment="1">
      <alignment horizontal="center" vertical="center"/>
    </xf>
    <xf numFmtId="173" fontId="49" fillId="12" borderId="14" xfId="36" applyNumberFormat="1" applyFill="1" applyBorder="1" applyAlignment="1">
      <alignment horizontal="center" vertical="center"/>
    </xf>
    <xf numFmtId="169" fontId="49" fillId="12" borderId="14" xfId="36" applyNumberFormat="1" applyFill="1" applyBorder="1" applyAlignment="1">
      <alignment horizontal="center" vertical="center"/>
    </xf>
    <xf numFmtId="49" fontId="49" fillId="0" borderId="2" xfId="36" applyNumberFormat="1" applyFill="1" applyBorder="1" applyAlignment="1">
      <alignment horizontal="center" vertical="center" wrapText="1"/>
    </xf>
    <xf numFmtId="0" fontId="49" fillId="12" borderId="2" xfId="36" quotePrefix="1" applyFill="1" applyBorder="1" applyAlignment="1">
      <alignment horizontal="center" vertical="center" wrapText="1"/>
    </xf>
    <xf numFmtId="0" fontId="53" fillId="12" borderId="2" xfId="36" applyFont="1" applyFill="1" applyBorder="1" applyAlignment="1">
      <alignment horizontal="center" vertical="center" wrapText="1"/>
    </xf>
    <xf numFmtId="0" fontId="55" fillId="12" borderId="2" xfId="36" applyFont="1" applyFill="1" applyBorder="1" applyAlignment="1">
      <alignment horizontal="center" vertical="center" wrapText="1"/>
    </xf>
    <xf numFmtId="0" fontId="52" fillId="12" borderId="2" xfId="36" applyFont="1" applyFill="1" applyBorder="1" applyAlignment="1">
      <alignment horizontal="center" vertical="center" wrapText="1"/>
    </xf>
    <xf numFmtId="2" fontId="49" fillId="12" borderId="2" xfId="36" applyNumberFormat="1" applyFill="1" applyBorder="1" applyAlignment="1">
      <alignment horizontal="center" vertical="center" wrapText="1"/>
    </xf>
    <xf numFmtId="0" fontId="49" fillId="12" borderId="5" xfId="36" applyFill="1" applyBorder="1" applyAlignment="1">
      <alignment vertical="center" wrapText="1"/>
    </xf>
    <xf numFmtId="0" fontId="49" fillId="12" borderId="5" xfId="36" applyFont="1" applyFill="1" applyBorder="1" applyAlignment="1">
      <alignment vertical="center" wrapText="1"/>
    </xf>
    <xf numFmtId="0" fontId="49" fillId="12" borderId="5" xfId="36" applyFont="1" applyFill="1" applyBorder="1" applyAlignment="1">
      <alignment horizontal="right" vertical="center" wrapText="1"/>
    </xf>
    <xf numFmtId="0" fontId="53" fillId="12" borderId="5" xfId="36" applyFont="1" applyFill="1" applyBorder="1" applyAlignment="1">
      <alignment vertical="center" wrapText="1"/>
    </xf>
    <xf numFmtId="0" fontId="55" fillId="12" borderId="5" xfId="36" applyFont="1" applyFill="1" applyBorder="1" applyAlignment="1">
      <alignment vertical="center" wrapText="1"/>
    </xf>
    <xf numFmtId="0" fontId="52" fillId="12" borderId="5" xfId="36" applyFont="1" applyFill="1" applyBorder="1" applyAlignment="1">
      <alignment vertical="center" wrapText="1"/>
    </xf>
    <xf numFmtId="173" fontId="52" fillId="12" borderId="5" xfId="1" applyNumberFormat="1" applyFont="1" applyFill="1" applyBorder="1" applyAlignment="1">
      <alignment vertical="center" wrapText="1"/>
    </xf>
    <xf numFmtId="1" fontId="49" fillId="12" borderId="2" xfId="36" applyNumberFormat="1" applyFill="1" applyBorder="1" applyAlignment="1">
      <alignment horizontal="center" vertical="center" wrapText="1"/>
    </xf>
    <xf numFmtId="0" fontId="49" fillId="12" borderId="2" xfId="36" applyFill="1" applyBorder="1" applyAlignment="1">
      <alignment horizontal="left" vertical="center" wrapText="1"/>
    </xf>
    <xf numFmtId="0" fontId="52" fillId="12" borderId="2" xfId="36" applyFont="1" applyFill="1" applyBorder="1" applyAlignment="1">
      <alignment horizontal="left" vertical="center" wrapText="1"/>
    </xf>
    <xf numFmtId="1" fontId="52" fillId="12" borderId="2" xfId="36" applyNumberFormat="1" applyFont="1" applyFill="1" applyBorder="1" applyAlignment="1">
      <alignment horizontal="center" vertical="center" wrapText="1"/>
    </xf>
    <xf numFmtId="43" fontId="49" fillId="12" borderId="2" xfId="7" applyNumberFormat="1" applyFont="1" applyFill="1" applyBorder="1" applyAlignment="1">
      <alignment horizontal="center" vertical="center"/>
    </xf>
    <xf numFmtId="0" fontId="49" fillId="0" borderId="0" xfId="36" applyFill="1" applyBorder="1" applyAlignment="1">
      <alignment vertical="center"/>
    </xf>
    <xf numFmtId="173" fontId="52" fillId="12" borderId="2" xfId="1" applyNumberFormat="1" applyFont="1" applyFill="1" applyBorder="1" applyAlignment="1">
      <alignment horizontal="center" vertical="center"/>
    </xf>
    <xf numFmtId="43" fontId="49" fillId="0" borderId="0" xfId="36" applyNumberFormat="1" applyFill="1" applyAlignment="1">
      <alignment vertical="center"/>
    </xf>
    <xf numFmtId="174" fontId="29" fillId="0" borderId="0" xfId="0" applyFont="1" applyAlignment="1">
      <alignment vertical="center"/>
    </xf>
    <xf numFmtId="174" fontId="4" fillId="0" borderId="2" xfId="0" applyFont="1" applyBorder="1" applyAlignment="1">
      <alignment horizontal="center" vertical="center"/>
    </xf>
    <xf numFmtId="173" fontId="0" fillId="0" borderId="2" xfId="1" applyNumberFormat="1" applyFont="1" applyBorder="1" applyAlignment="1">
      <alignment vertical="center"/>
    </xf>
    <xf numFmtId="174" fontId="8" fillId="13" borderId="2" xfId="0" applyFont="1" applyFill="1" applyBorder="1" applyAlignment="1">
      <alignment horizontal="center" vertical="center" wrapText="1"/>
    </xf>
    <xf numFmtId="3" fontId="0" fillId="13" borderId="2" xfId="0" applyNumberFormat="1" applyFill="1" applyBorder="1" applyAlignment="1">
      <alignment horizontal="center" vertical="center" wrapText="1"/>
    </xf>
    <xf numFmtId="9" fontId="0" fillId="13" borderId="2" xfId="0" applyNumberFormat="1" applyFill="1" applyBorder="1" applyAlignment="1">
      <alignment horizontal="center" vertical="center" wrapText="1"/>
    </xf>
    <xf numFmtId="166" fontId="9" fillId="13" borderId="3" xfId="4" applyNumberFormat="1" applyFont="1" applyFill="1" applyBorder="1" applyAlignment="1">
      <alignment horizontal="center" vertical="center" wrapText="1"/>
    </xf>
    <xf numFmtId="174" fontId="0" fillId="13" borderId="0" xfId="0" applyFill="1" applyAlignment="1">
      <alignment vertical="center" wrapText="1"/>
    </xf>
    <xf numFmtId="174" fontId="8" fillId="12" borderId="2" xfId="0" applyFont="1" applyFill="1" applyBorder="1" applyAlignment="1">
      <alignment horizontal="center" vertical="center" wrapText="1"/>
    </xf>
    <xf numFmtId="3" fontId="0" fillId="12" borderId="2" xfId="0" applyNumberFormat="1" applyFill="1" applyBorder="1" applyAlignment="1">
      <alignment horizontal="center" vertical="center" wrapText="1"/>
    </xf>
    <xf numFmtId="9" fontId="0" fillId="12" borderId="2" xfId="0" applyNumberFormat="1" applyFill="1" applyBorder="1" applyAlignment="1">
      <alignment horizontal="center" vertical="center" wrapText="1"/>
    </xf>
    <xf numFmtId="166" fontId="9" fillId="12" borderId="3" xfId="4" applyNumberFormat="1" applyFont="1" applyFill="1" applyBorder="1" applyAlignment="1">
      <alignment horizontal="center" vertical="center" wrapText="1"/>
    </xf>
    <xf numFmtId="174" fontId="0" fillId="12" borderId="0" xfId="0" applyFill="1" applyAlignment="1">
      <alignment vertical="center" wrapText="1"/>
    </xf>
    <xf numFmtId="164" fontId="3" fillId="13" borderId="0" xfId="1" applyFont="1" applyFill="1" applyAlignment="1">
      <alignment vertical="center" wrapText="1"/>
    </xf>
    <xf numFmtId="164" fontId="55" fillId="12" borderId="2" xfId="1" applyFont="1" applyFill="1" applyBorder="1" applyAlignment="1">
      <alignment vertical="center" wrapText="1"/>
    </xf>
    <xf numFmtId="174" fontId="4" fillId="12" borderId="4" xfId="33" applyFont="1" applyFill="1" applyBorder="1" applyAlignment="1">
      <alignment horizontal="center" vertical="top" wrapText="1"/>
    </xf>
    <xf numFmtId="174" fontId="4" fillId="12" borderId="4" xfId="33" applyFont="1" applyFill="1" applyBorder="1" applyAlignment="1">
      <alignment horizontal="center" vertical="top"/>
    </xf>
    <xf numFmtId="9" fontId="55" fillId="12" borderId="14" xfId="36" applyNumberFormat="1" applyFont="1" applyFill="1" applyBorder="1" applyAlignment="1">
      <alignment horizontal="center" vertical="center"/>
    </xf>
    <xf numFmtId="0" fontId="69" fillId="12" borderId="0" xfId="36" applyFont="1" applyFill="1" applyBorder="1" applyAlignment="1">
      <alignment horizontal="left" vertical="center" wrapText="1"/>
    </xf>
    <xf numFmtId="0" fontId="49" fillId="12" borderId="0" xfId="36" applyFont="1" applyFill="1" applyAlignment="1">
      <alignment horizontal="center" vertical="center"/>
    </xf>
    <xf numFmtId="0" fontId="49" fillId="12" borderId="0" xfId="36" applyFill="1" applyAlignment="1">
      <alignment horizontal="center" vertical="center"/>
    </xf>
    <xf numFmtId="174" fontId="21" fillId="7" borderId="0" xfId="32" applyFont="1" applyFill="1" applyBorder="1"/>
    <xf numFmtId="174" fontId="15" fillId="7" borderId="0" xfId="32" applyFont="1" applyFill="1" applyBorder="1" applyAlignment="1">
      <alignment vertical="center"/>
    </xf>
    <xf numFmtId="173" fontId="15" fillId="7" borderId="0" xfId="32" applyNumberFormat="1" applyFont="1" applyFill="1" applyBorder="1" applyAlignment="1">
      <alignment vertical="center"/>
    </xf>
    <xf numFmtId="175" fontId="15" fillId="7" borderId="0" xfId="16" applyNumberFormat="1" applyFont="1" applyFill="1" applyBorder="1" applyAlignment="1">
      <alignment vertical="center"/>
    </xf>
    <xf numFmtId="1" fontId="14" fillId="7" borderId="0" xfId="32" applyNumberFormat="1" applyFont="1" applyFill="1" applyBorder="1"/>
    <xf numFmtId="173" fontId="14" fillId="7" borderId="0" xfId="32" applyNumberFormat="1" applyFont="1" applyFill="1" applyBorder="1"/>
    <xf numFmtId="174" fontId="14" fillId="7" borderId="0" xfId="32" applyFont="1" applyFill="1" applyBorder="1" applyAlignment="1">
      <alignment horizontal="left" indent="1"/>
    </xf>
    <xf numFmtId="175" fontId="15" fillId="7" borderId="0" xfId="15" applyNumberFormat="1" applyFont="1" applyFill="1" applyBorder="1" applyAlignment="1">
      <alignment vertical="center"/>
    </xf>
    <xf numFmtId="175" fontId="15" fillId="7" borderId="0" xfId="14" applyNumberFormat="1" applyFont="1" applyFill="1" applyBorder="1" applyAlignment="1">
      <alignment vertical="center"/>
    </xf>
    <xf numFmtId="175" fontId="15" fillId="7" borderId="0" xfId="13" applyNumberFormat="1" applyFont="1" applyFill="1" applyBorder="1" applyAlignment="1">
      <alignment vertical="center"/>
    </xf>
    <xf numFmtId="174" fontId="15" fillId="7" borderId="0" xfId="32" applyFont="1" applyFill="1" applyBorder="1" applyAlignment="1">
      <alignment vertical="center" wrapText="1"/>
    </xf>
    <xf numFmtId="175" fontId="15" fillId="7" borderId="0" xfId="11" applyNumberFormat="1" applyFont="1" applyFill="1" applyBorder="1" applyAlignment="1">
      <alignment vertical="center"/>
    </xf>
    <xf numFmtId="174" fontId="4" fillId="7" borderId="9" xfId="0" applyFont="1" applyFill="1" applyBorder="1" applyAlignment="1">
      <alignment vertical="center"/>
    </xf>
    <xf numFmtId="174" fontId="4" fillId="7" borderId="10" xfId="0" applyFont="1" applyFill="1" applyBorder="1" applyAlignment="1">
      <alignment vertical="center"/>
    </xf>
    <xf numFmtId="0" fontId="52" fillId="14" borderId="2" xfId="36" applyFont="1" applyFill="1" applyBorder="1" applyAlignment="1">
      <alignment horizontal="center" vertical="center"/>
    </xf>
    <xf numFmtId="0" fontId="56" fillId="14" borderId="2" xfId="36" applyFont="1" applyFill="1" applyBorder="1" applyAlignment="1">
      <alignment horizontal="center" vertical="center"/>
    </xf>
    <xf numFmtId="0" fontId="70" fillId="14" borderId="2" xfId="36" applyFont="1" applyFill="1" applyBorder="1" applyAlignment="1">
      <alignment horizontal="center" vertical="center" wrapText="1"/>
    </xf>
    <xf numFmtId="0" fontId="71" fillId="14" borderId="5" xfId="36" applyFont="1" applyFill="1" applyBorder="1" applyAlignment="1">
      <alignment vertical="center" wrapText="1"/>
    </xf>
    <xf numFmtId="0" fontId="72" fillId="14" borderId="5" xfId="36" applyFont="1" applyFill="1" applyBorder="1" applyAlignment="1">
      <alignment vertical="center" wrapText="1"/>
    </xf>
    <xf numFmtId="174" fontId="36" fillId="14" borderId="2" xfId="0" applyFont="1" applyFill="1" applyBorder="1" applyAlignment="1">
      <alignment horizontal="left" vertical="center" wrapText="1"/>
    </xf>
    <xf numFmtId="174" fontId="56" fillId="14" borderId="0" xfId="26" applyFont="1" applyFill="1" applyAlignment="1">
      <alignment horizontal="center" vertical="center" wrapText="1"/>
    </xf>
    <xf numFmtId="174" fontId="55" fillId="14" borderId="0" xfId="26" applyFont="1" applyFill="1" applyAlignment="1">
      <alignment horizontal="center" vertical="center" wrapText="1"/>
    </xf>
    <xf numFmtId="174" fontId="62" fillId="14" borderId="0" xfId="26" applyFont="1" applyFill="1" applyAlignment="1">
      <alignment horizontal="center" vertical="center" wrapText="1"/>
    </xf>
    <xf numFmtId="174" fontId="73" fillId="14" borderId="0" xfId="26" applyFont="1" applyFill="1" applyAlignment="1">
      <alignment horizontal="center" vertical="center" wrapText="1"/>
    </xf>
    <xf numFmtId="173" fontId="4" fillId="7" borderId="0" xfId="1" applyNumberFormat="1" applyFont="1" applyFill="1" applyAlignment="1">
      <alignment vertical="center"/>
    </xf>
    <xf numFmtId="9" fontId="4" fillId="7" borderId="0" xfId="0" applyNumberFormat="1" applyFont="1" applyFill="1" applyAlignment="1">
      <alignment vertical="center"/>
    </xf>
    <xf numFmtId="173" fontId="55" fillId="0" borderId="2" xfId="1" applyNumberFormat="1" applyFont="1" applyFill="1" applyBorder="1" applyAlignment="1">
      <alignment vertical="top"/>
    </xf>
    <xf numFmtId="174" fontId="55" fillId="0" borderId="2" xfId="33" applyFont="1" applyFill="1" applyBorder="1" applyAlignment="1">
      <alignment vertical="top"/>
    </xf>
    <xf numFmtId="174" fontId="18" fillId="4" borderId="0" xfId="19" applyFill="1" applyBorder="1" applyAlignment="1" applyProtection="1"/>
    <xf numFmtId="174" fontId="18" fillId="0" borderId="0" xfId="19" applyAlignment="1" applyProtection="1"/>
    <xf numFmtId="173" fontId="23" fillId="0" borderId="0" xfId="1" applyNumberFormat="1" applyFont="1" applyBorder="1" applyAlignment="1">
      <alignment vertical="center"/>
    </xf>
    <xf numFmtId="174" fontId="8" fillId="11" borderId="2" xfId="0" applyFont="1" applyFill="1" applyBorder="1" applyAlignment="1">
      <alignment horizontal="center" vertical="center" wrapText="1"/>
    </xf>
    <xf numFmtId="3" fontId="0" fillId="11" borderId="2" xfId="0" applyNumberFormat="1" applyFill="1" applyBorder="1" applyAlignment="1">
      <alignment horizontal="center" vertical="center" wrapText="1"/>
    </xf>
    <xf numFmtId="9" fontId="0" fillId="11" borderId="2" xfId="0" applyNumberFormat="1" applyFill="1" applyBorder="1" applyAlignment="1">
      <alignment horizontal="center" vertical="center" wrapText="1"/>
    </xf>
    <xf numFmtId="166" fontId="9" fillId="11" borderId="3" xfId="4" applyNumberFormat="1" applyFont="1" applyFill="1" applyBorder="1" applyAlignment="1">
      <alignment horizontal="center" vertical="center" wrapText="1"/>
    </xf>
    <xf numFmtId="164" fontId="3" fillId="11" borderId="0" xfId="1" applyFont="1" applyFill="1" applyAlignment="1">
      <alignment vertical="center" wrapText="1"/>
    </xf>
    <xf numFmtId="174" fontId="0" fillId="11" borderId="0" xfId="0" applyFill="1" applyAlignment="1">
      <alignment vertical="center" wrapText="1"/>
    </xf>
    <xf numFmtId="0" fontId="0" fillId="0" borderId="2" xfId="0" applyNumberFormat="1" applyBorder="1"/>
    <xf numFmtId="1" fontId="55" fillId="11" borderId="0" xfId="26" applyNumberFormat="1" applyFont="1" applyFill="1" applyAlignment="1">
      <alignment horizontal="center" vertical="center" wrapText="1"/>
    </xf>
    <xf numFmtId="0" fontId="0" fillId="11" borderId="2" xfId="0" applyNumberFormat="1" applyFill="1" applyBorder="1"/>
    <xf numFmtId="0" fontId="0" fillId="0" borderId="0" xfId="0" applyNumberFormat="1" applyBorder="1"/>
    <xf numFmtId="0" fontId="0" fillId="11" borderId="0" xfId="0" applyNumberFormat="1" applyFill="1" applyBorder="1"/>
    <xf numFmtId="0" fontId="52" fillId="0" borderId="0" xfId="0" applyNumberFormat="1" applyFont="1"/>
    <xf numFmtId="0" fontId="0" fillId="0" borderId="2" xfId="0" applyNumberFormat="1" applyBorder="1" applyAlignment="1">
      <alignment horizontal="center"/>
    </xf>
    <xf numFmtId="0" fontId="0" fillId="11" borderId="2" xfId="0" applyNumberFormat="1" applyFill="1" applyBorder="1" applyAlignment="1">
      <alignment horizontal="center"/>
    </xf>
    <xf numFmtId="0" fontId="0" fillId="11" borderId="0" xfId="0" applyNumberFormat="1" applyFill="1"/>
    <xf numFmtId="10" fontId="0" fillId="0" borderId="0" xfId="42" applyNumberFormat="1" applyFont="1" applyFill="1" applyAlignment="1">
      <alignment vertical="center" wrapText="1"/>
    </xf>
    <xf numFmtId="174" fontId="74" fillId="0" borderId="0" xfId="0" applyFont="1" applyAlignment="1">
      <alignment vertical="center"/>
    </xf>
    <xf numFmtId="174" fontId="3" fillId="0" borderId="0" xfId="0" applyFont="1" applyAlignment="1">
      <alignment vertical="center"/>
    </xf>
    <xf numFmtId="174" fontId="0" fillId="0" borderId="2" xfId="0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173" fontId="4" fillId="0" borderId="2" xfId="1" applyNumberFormat="1" applyFont="1" applyBorder="1" applyAlignment="1">
      <alignment vertical="center"/>
    </xf>
    <xf numFmtId="174" fontId="0" fillId="0" borderId="2" xfId="0" applyFill="1" applyBorder="1" applyAlignment="1">
      <alignment vertical="center"/>
    </xf>
    <xf numFmtId="2" fontId="0" fillId="0" borderId="0" xfId="42" applyNumberFormat="1" applyFont="1" applyAlignment="1">
      <alignment vertical="center"/>
    </xf>
    <xf numFmtId="3" fontId="4" fillId="0" borderId="2" xfId="0" applyNumberFormat="1" applyFont="1" applyBorder="1" applyAlignment="1">
      <alignment horizontal="center" vertical="center" wrapText="1"/>
    </xf>
    <xf numFmtId="174" fontId="38" fillId="0" borderId="0" xfId="0" applyFont="1" applyAlignment="1">
      <alignment vertical="center" wrapText="1"/>
    </xf>
    <xf numFmtId="174" fontId="37" fillId="0" borderId="2" xfId="0" applyFont="1" applyBorder="1" applyAlignment="1">
      <alignment vertical="center"/>
    </xf>
    <xf numFmtId="179" fontId="0" fillId="0" borderId="2" xfId="1" applyNumberFormat="1" applyFont="1" applyBorder="1" applyAlignment="1">
      <alignment vertical="center"/>
    </xf>
    <xf numFmtId="174" fontId="0" fillId="0" borderId="2" xfId="0" quotePrefix="1" applyBorder="1" applyAlignment="1">
      <alignment vertical="center"/>
    </xf>
    <xf numFmtId="173" fontId="55" fillId="0" borderId="0" xfId="1" applyNumberFormat="1" applyFont="1" applyAlignment="1">
      <alignment vertical="center" wrapText="1"/>
    </xf>
    <xf numFmtId="2" fontId="0" fillId="0" borderId="0" xfId="0" applyNumberFormat="1"/>
    <xf numFmtId="1" fontId="55" fillId="0" borderId="0" xfId="1" applyNumberFormat="1" applyFont="1" applyAlignment="1">
      <alignment vertical="center" wrapText="1"/>
    </xf>
    <xf numFmtId="1" fontId="56" fillId="0" borderId="0" xfId="26" applyNumberFormat="1" applyFont="1" applyAlignment="1">
      <alignment vertical="center" wrapText="1"/>
    </xf>
    <xf numFmtId="1" fontId="0" fillId="0" borderId="0" xfId="0" applyNumberFormat="1"/>
    <xf numFmtId="164" fontId="0" fillId="0" borderId="0" xfId="1" applyFont="1"/>
    <xf numFmtId="173" fontId="0" fillId="0" borderId="0" xfId="1" applyNumberFormat="1" applyFont="1"/>
    <xf numFmtId="0" fontId="0" fillId="0" borderId="0" xfId="0" applyNumberFormat="1" applyAlignment="1">
      <alignment horizontal="center"/>
    </xf>
    <xf numFmtId="164" fontId="3" fillId="12" borderId="0" xfId="1" applyFont="1" applyFill="1"/>
    <xf numFmtId="164" fontId="3" fillId="11" borderId="0" xfId="1" applyFont="1" applyFill="1"/>
    <xf numFmtId="9" fontId="0" fillId="0" borderId="0" xfId="37" applyFont="1"/>
    <xf numFmtId="174" fontId="56" fillId="0" borderId="2" xfId="26" applyFont="1" applyBorder="1" applyAlignment="1">
      <alignment horizontal="center" vertical="center" wrapText="1"/>
    </xf>
    <xf numFmtId="174" fontId="0" fillId="0" borderId="2" xfId="0" applyBorder="1"/>
    <xf numFmtId="0" fontId="0" fillId="0" borderId="0" xfId="0" applyNumberFormat="1" applyBorder="1" applyAlignment="1">
      <alignment horizontal="center"/>
    </xf>
    <xf numFmtId="174" fontId="4" fillId="0" borderId="0" xfId="0" applyFont="1"/>
    <xf numFmtId="164" fontId="4" fillId="11" borderId="0" xfId="1" applyFont="1" applyFill="1"/>
    <xf numFmtId="164" fontId="4" fillId="0" borderId="0" xfId="1" applyFont="1"/>
    <xf numFmtId="174" fontId="0" fillId="12" borderId="0" xfId="0" applyFill="1"/>
    <xf numFmtId="0" fontId="4" fillId="11" borderId="0" xfId="0" applyNumberFormat="1" applyFont="1" applyFill="1" applyBorder="1"/>
    <xf numFmtId="0" fontId="4" fillId="0" borderId="0" xfId="0" applyNumberFormat="1" applyFont="1" applyBorder="1" applyAlignment="1">
      <alignment horizontal="center"/>
    </xf>
    <xf numFmtId="173" fontId="4" fillId="0" borderId="0" xfId="1" applyNumberFormat="1" applyFont="1"/>
    <xf numFmtId="0" fontId="4" fillId="0" borderId="0" xfId="0" applyNumberFormat="1" applyFont="1" applyBorder="1"/>
    <xf numFmtId="174" fontId="56" fillId="15" borderId="0" xfId="26" applyFont="1" applyFill="1" applyAlignment="1">
      <alignment vertical="center" wrapText="1"/>
    </xf>
    <xf numFmtId="164" fontId="4" fillId="15" borderId="0" xfId="1" applyFont="1" applyFill="1"/>
    <xf numFmtId="0" fontId="71" fillId="0" borderId="0" xfId="22" applyFont="1"/>
    <xf numFmtId="0" fontId="49" fillId="0" borderId="0" xfId="22"/>
    <xf numFmtId="169" fontId="0" fillId="0" borderId="0" xfId="8" applyNumberFormat="1" applyFont="1"/>
    <xf numFmtId="0" fontId="49" fillId="0" borderId="0" xfId="22" applyAlignment="1">
      <alignment horizontal="center"/>
    </xf>
    <xf numFmtId="9" fontId="49" fillId="0" borderId="0" xfId="22" applyNumberFormat="1" applyAlignment="1">
      <alignment horizontal="center"/>
    </xf>
    <xf numFmtId="0" fontId="49" fillId="0" borderId="2" xfId="22" applyBorder="1"/>
    <xf numFmtId="169" fontId="0" fillId="0" borderId="2" xfId="8" applyNumberFormat="1" applyFont="1" applyBorder="1" applyAlignment="1">
      <alignment horizontal="center" wrapText="1"/>
    </xf>
    <xf numFmtId="169" fontId="0" fillId="0" borderId="2" xfId="8" applyNumberFormat="1" applyFont="1" applyFill="1" applyBorder="1" applyAlignment="1">
      <alignment horizontal="center" wrapText="1"/>
    </xf>
    <xf numFmtId="169" fontId="0" fillId="0" borderId="3" xfId="8" applyNumberFormat="1" applyFont="1" applyFill="1" applyBorder="1" applyAlignment="1">
      <alignment horizontal="center" wrapText="1"/>
    </xf>
    <xf numFmtId="0" fontId="49" fillId="11" borderId="2" xfId="22" applyFill="1" applyBorder="1"/>
    <xf numFmtId="169" fontId="3" fillId="11" borderId="2" xfId="8" applyNumberFormat="1" applyFont="1" applyFill="1" applyBorder="1"/>
    <xf numFmtId="169" fontId="0" fillId="0" borderId="2" xfId="8" applyNumberFormat="1" applyFont="1" applyBorder="1"/>
    <xf numFmtId="169" fontId="49" fillId="0" borderId="2" xfId="22" applyNumberFormat="1" applyBorder="1"/>
    <xf numFmtId="174" fontId="56" fillId="0" borderId="2" xfId="28" applyNumberFormat="1" applyFont="1" applyBorder="1" applyAlignment="1">
      <alignment vertical="center" wrapText="1"/>
    </xf>
    <xf numFmtId="169" fontId="0" fillId="0" borderId="2" xfId="8" applyNumberFormat="1" applyFont="1" applyBorder="1" applyAlignment="1">
      <alignment wrapText="1"/>
    </xf>
    <xf numFmtId="169" fontId="49" fillId="0" borderId="0" xfId="22" applyNumberFormat="1"/>
    <xf numFmtId="174" fontId="75" fillId="0" borderId="2" xfId="28" applyNumberFormat="1" applyFont="1" applyBorder="1" applyAlignment="1">
      <alignment horizontal="left" vertical="center" wrapText="1"/>
    </xf>
    <xf numFmtId="174" fontId="55" fillId="0" borderId="2" xfId="28" applyNumberFormat="1" applyFont="1" applyBorder="1" applyAlignment="1">
      <alignment horizontal="left" vertical="center" wrapText="1"/>
    </xf>
    <xf numFmtId="174" fontId="55" fillId="0" borderId="2" xfId="28" applyNumberFormat="1" applyFont="1" applyBorder="1" applyAlignment="1">
      <alignment vertical="center" wrapText="1"/>
    </xf>
    <xf numFmtId="174" fontId="55" fillId="0" borderId="2" xfId="28" applyNumberFormat="1" applyFont="1" applyFill="1" applyBorder="1" applyAlignment="1">
      <alignment vertical="center" wrapText="1"/>
    </xf>
    <xf numFmtId="174" fontId="56" fillId="16" borderId="2" xfId="28" applyNumberFormat="1" applyFont="1" applyFill="1" applyBorder="1" applyAlignment="1">
      <alignment vertical="center" wrapText="1"/>
    </xf>
    <xf numFmtId="169" fontId="52" fillId="0" borderId="2" xfId="8" applyNumberFormat="1" applyFont="1" applyBorder="1"/>
    <xf numFmtId="0" fontId="52" fillId="0" borderId="0" xfId="22" applyFont="1"/>
    <xf numFmtId="0" fontId="49" fillId="0" borderId="1" xfId="22" applyBorder="1"/>
    <xf numFmtId="169" fontId="0" fillId="0" borderId="15" xfId="8" applyNumberFormat="1" applyFont="1" applyBorder="1" applyAlignment="1">
      <alignment wrapText="1"/>
    </xf>
    <xf numFmtId="169" fontId="0" fillId="0" borderId="13" xfId="8" applyNumberFormat="1" applyFont="1" applyFill="1" applyBorder="1" applyAlignment="1">
      <alignment wrapText="1"/>
    </xf>
    <xf numFmtId="169" fontId="3" fillId="11" borderId="2" xfId="8" applyNumberFormat="1" applyFont="1" applyFill="1" applyBorder="1" applyAlignment="1">
      <alignment horizontal="left"/>
    </xf>
    <xf numFmtId="169" fontId="3" fillId="11" borderId="3" xfId="8" applyNumberFormat="1" applyFont="1" applyFill="1" applyBorder="1" applyAlignment="1">
      <alignment horizontal="left"/>
    </xf>
    <xf numFmtId="0" fontId="49" fillId="0" borderId="0" xfId="22" applyNumberFormat="1"/>
    <xf numFmtId="169" fontId="3" fillId="11" borderId="3" xfId="8" applyNumberFormat="1" applyFont="1" applyFill="1" applyBorder="1"/>
    <xf numFmtId="0" fontId="49" fillId="0" borderId="0" xfId="22" applyBorder="1"/>
    <xf numFmtId="169" fontId="0" fillId="0" borderId="0" xfId="8" applyNumberFormat="1" applyFont="1" applyBorder="1" applyAlignment="1">
      <alignment wrapText="1"/>
    </xf>
    <xf numFmtId="0" fontId="49" fillId="0" borderId="14" xfId="22" applyBorder="1"/>
    <xf numFmtId="0" fontId="49" fillId="11" borderId="0" xfId="22" applyFill="1"/>
    <xf numFmtId="169" fontId="3" fillId="11" borderId="0" xfId="8" applyNumberFormat="1" applyFont="1" applyFill="1"/>
    <xf numFmtId="2" fontId="55" fillId="15" borderId="0" xfId="26" applyNumberFormat="1" applyFont="1" applyFill="1" applyAlignment="1">
      <alignment vertical="center" wrapText="1"/>
    </xf>
    <xf numFmtId="164" fontId="56" fillId="15" borderId="0" xfId="1" applyFont="1" applyFill="1" applyAlignment="1">
      <alignment horizontal="center" vertical="center" wrapText="1"/>
    </xf>
    <xf numFmtId="174" fontId="56" fillId="15" borderId="2" xfId="28" applyNumberFormat="1" applyFont="1" applyFill="1" applyBorder="1" applyAlignment="1">
      <alignment vertical="center" wrapText="1"/>
    </xf>
    <xf numFmtId="173" fontId="4" fillId="0" borderId="0" xfId="1" applyNumberFormat="1" applyFont="1" applyAlignment="1">
      <alignment vertical="center" wrapText="1"/>
    </xf>
    <xf numFmtId="174" fontId="55" fillId="12" borderId="2" xfId="26" applyFont="1" applyFill="1" applyBorder="1" applyAlignment="1">
      <alignment horizontal="center" vertical="center" wrapText="1"/>
    </xf>
    <xf numFmtId="2" fontId="55" fillId="12" borderId="2" xfId="26" applyNumberFormat="1" applyFont="1" applyFill="1" applyBorder="1" applyAlignment="1">
      <alignment vertical="center" wrapText="1"/>
    </xf>
    <xf numFmtId="164" fontId="55" fillId="0" borderId="2" xfId="1" applyFont="1" applyBorder="1" applyAlignment="1">
      <alignment vertical="center" wrapText="1"/>
    </xf>
    <xf numFmtId="164" fontId="56" fillId="0" borderId="2" xfId="1" applyNumberFormat="1" applyFont="1" applyFill="1" applyBorder="1" applyAlignment="1">
      <alignment horizontal="center" vertical="center" wrapText="1"/>
    </xf>
    <xf numFmtId="164" fontId="55" fillId="0" borderId="2" xfId="1" applyNumberFormat="1" applyFont="1" applyBorder="1" applyAlignment="1">
      <alignment vertical="center" wrapText="1"/>
    </xf>
    <xf numFmtId="164" fontId="55" fillId="15" borderId="2" xfId="1" applyNumberFormat="1" applyFont="1" applyFill="1" applyBorder="1" applyAlignment="1">
      <alignment vertical="center" wrapText="1"/>
    </xf>
    <xf numFmtId="173" fontId="55" fillId="0" borderId="2" xfId="1" applyNumberFormat="1" applyFont="1" applyBorder="1" applyAlignment="1">
      <alignment vertical="center" wrapText="1"/>
    </xf>
    <xf numFmtId="0" fontId="49" fillId="0" borderId="0" xfId="23"/>
    <xf numFmtId="0" fontId="76" fillId="12" borderId="9" xfId="23" applyFont="1" applyFill="1" applyBorder="1" applyAlignment="1">
      <alignment vertical="center"/>
    </xf>
    <xf numFmtId="0" fontId="76" fillId="11" borderId="9" xfId="23" applyFont="1" applyFill="1" applyBorder="1" applyAlignment="1">
      <alignment vertical="center"/>
    </xf>
    <xf numFmtId="0" fontId="49" fillId="0" borderId="2" xfId="23" applyBorder="1"/>
    <xf numFmtId="43" fontId="49" fillId="12" borderId="2" xfId="23" applyNumberFormat="1" applyFill="1" applyBorder="1"/>
    <xf numFmtId="174" fontId="14" fillId="0" borderId="0" xfId="32" applyFont="1" applyFill="1" applyBorder="1" applyAlignment="1">
      <alignment horizontal="left" wrapText="1" indent="1"/>
    </xf>
    <xf numFmtId="174" fontId="14" fillId="7" borderId="0" xfId="32" applyFont="1" applyFill="1" applyBorder="1" applyAlignment="1">
      <alignment horizontal="left" wrapText="1" indent="1"/>
    </xf>
    <xf numFmtId="0" fontId="0" fillId="0" borderId="0" xfId="0" applyNumberFormat="1" applyFill="1" applyBorder="1" applyAlignment="1">
      <alignment wrapText="1"/>
    </xf>
    <xf numFmtId="0" fontId="52" fillId="0" borderId="0" xfId="23" applyFont="1" applyAlignment="1">
      <alignment horizontal="center"/>
    </xf>
    <xf numFmtId="174" fontId="56" fillId="12" borderId="2" xfId="26" applyFont="1" applyFill="1" applyBorder="1" applyAlignment="1">
      <alignment horizontal="left" vertical="center" wrapText="1"/>
    </xf>
    <xf numFmtId="174" fontId="56" fillId="12" borderId="2" xfId="26" applyFont="1" applyFill="1" applyBorder="1" applyAlignment="1">
      <alignment horizontal="center" vertical="center" wrapText="1"/>
    </xf>
    <xf numFmtId="174" fontId="4" fillId="12" borderId="0" xfId="0" applyFont="1" applyFill="1" applyAlignment="1">
      <alignment vertical="center"/>
    </xf>
    <xf numFmtId="173" fontId="4" fillId="12" borderId="0" xfId="1" applyNumberFormat="1" applyFont="1" applyFill="1" applyAlignment="1">
      <alignment vertical="center"/>
    </xf>
    <xf numFmtId="173" fontId="3" fillId="12" borderId="0" xfId="1" applyNumberFormat="1" applyFont="1" applyFill="1" applyAlignment="1">
      <alignment vertical="center"/>
    </xf>
    <xf numFmtId="9" fontId="3" fillId="12" borderId="0" xfId="37" applyFont="1" applyFill="1" applyAlignment="1">
      <alignment vertical="center"/>
    </xf>
    <xf numFmtId="174" fontId="0" fillId="12" borderId="0" xfId="0" applyFont="1" applyFill="1" applyAlignment="1">
      <alignment vertical="center"/>
    </xf>
    <xf numFmtId="0" fontId="0" fillId="12" borderId="0" xfId="0" applyNumberFormat="1" applyFill="1" applyBorder="1" applyAlignment="1">
      <alignment horizontal="center" vertical="center"/>
    </xf>
    <xf numFmtId="0" fontId="0" fillId="12" borderId="2" xfId="0" applyNumberFormat="1" applyFill="1" applyBorder="1" applyAlignment="1">
      <alignment horizontal="left"/>
    </xf>
    <xf numFmtId="0" fontId="0" fillId="12" borderId="2" xfId="0" applyNumberFormat="1" applyFill="1" applyBorder="1" applyAlignment="1">
      <alignment horizontal="center"/>
    </xf>
    <xf numFmtId="9" fontId="62" fillId="12" borderId="0" xfId="37" applyFont="1" applyFill="1" applyBorder="1" applyAlignment="1">
      <alignment horizontal="center" vertical="center" wrapText="1"/>
    </xf>
    <xf numFmtId="9" fontId="55" fillId="12" borderId="0" xfId="37" applyFont="1" applyFill="1" applyAlignment="1">
      <alignment vertical="center" wrapText="1"/>
    </xf>
    <xf numFmtId="3" fontId="0" fillId="12" borderId="0" xfId="0" applyNumberFormat="1" applyFill="1" applyAlignment="1">
      <alignment vertical="center"/>
    </xf>
    <xf numFmtId="174" fontId="3" fillId="12" borderId="0" xfId="0" applyFont="1" applyFill="1" applyAlignment="1">
      <alignment vertical="center"/>
    </xf>
    <xf numFmtId="2" fontId="0" fillId="12" borderId="0" xfId="0" applyNumberFormat="1" applyFill="1" applyAlignment="1">
      <alignment vertical="center"/>
    </xf>
    <xf numFmtId="3" fontId="4" fillId="7" borderId="0" xfId="0" applyNumberFormat="1" applyFont="1" applyFill="1" applyAlignment="1">
      <alignment vertical="center"/>
    </xf>
    <xf numFmtId="1" fontId="0" fillId="12" borderId="2" xfId="0" applyNumberFormat="1" applyFill="1" applyBorder="1" applyAlignment="1">
      <alignment vertical="center"/>
    </xf>
    <xf numFmtId="174" fontId="4" fillId="14" borderId="2" xfId="0" applyFont="1" applyFill="1" applyBorder="1" applyAlignment="1">
      <alignment vertical="center"/>
    </xf>
    <xf numFmtId="173" fontId="4" fillId="14" borderId="2" xfId="1" applyNumberFormat="1" applyFont="1" applyFill="1" applyBorder="1" applyAlignment="1">
      <alignment vertical="center"/>
    </xf>
    <xf numFmtId="9" fontId="4" fillId="14" borderId="2" xfId="37" applyFont="1" applyFill="1" applyBorder="1" applyAlignment="1">
      <alignment vertical="center"/>
    </xf>
    <xf numFmtId="0" fontId="76" fillId="14" borderId="9" xfId="23" applyFont="1" applyFill="1" applyBorder="1" applyAlignment="1">
      <alignment vertical="center"/>
    </xf>
    <xf numFmtId="0" fontId="49" fillId="14" borderId="2" xfId="23" applyFont="1" applyFill="1" applyBorder="1" applyAlignment="1"/>
    <xf numFmtId="164" fontId="49" fillId="14" borderId="2" xfId="1" applyFont="1" applyFill="1" applyBorder="1"/>
    <xf numFmtId="173" fontId="49" fillId="14" borderId="2" xfId="1" applyNumberFormat="1" applyFont="1" applyFill="1" applyBorder="1" applyAlignment="1"/>
    <xf numFmtId="0" fontId="0" fillId="12" borderId="0" xfId="0" applyNumberFormat="1" applyFill="1" applyBorder="1" applyAlignment="1">
      <alignment horizontal="left"/>
    </xf>
    <xf numFmtId="174" fontId="77" fillId="12" borderId="0" xfId="0" applyFont="1" applyFill="1" applyAlignment="1">
      <alignment vertical="center"/>
    </xf>
    <xf numFmtId="173" fontId="77" fillId="12" borderId="0" xfId="1" applyNumberFormat="1" applyFont="1" applyFill="1" applyAlignment="1">
      <alignment vertical="center"/>
    </xf>
    <xf numFmtId="174" fontId="55" fillId="15" borderId="2" xfId="26" applyFont="1" applyFill="1" applyBorder="1" applyAlignment="1">
      <alignment horizontal="center" vertical="center" wrapText="1"/>
    </xf>
    <xf numFmtId="2" fontId="55" fillId="15" borderId="2" xfId="26" applyNumberFormat="1" applyFont="1" applyFill="1" applyBorder="1" applyAlignment="1">
      <alignment vertical="center" wrapText="1"/>
    </xf>
    <xf numFmtId="1" fontId="56" fillId="15" borderId="0" xfId="26" applyNumberFormat="1" applyFont="1" applyFill="1" applyAlignment="1">
      <alignment horizontal="center" vertical="center" wrapText="1"/>
    </xf>
    <xf numFmtId="174" fontId="55" fillId="0" borderId="2" xfId="26" applyFont="1" applyBorder="1" applyAlignment="1">
      <alignment vertical="center" wrapText="1"/>
    </xf>
    <xf numFmtId="2" fontId="55" fillId="0" borderId="2" xfId="26" applyNumberFormat="1" applyFont="1" applyBorder="1" applyAlignment="1">
      <alignment vertical="center" wrapText="1"/>
    </xf>
    <xf numFmtId="3" fontId="0" fillId="12" borderId="0" xfId="0" applyNumberFormat="1" applyFont="1" applyFill="1" applyAlignment="1">
      <alignment vertical="center"/>
    </xf>
    <xf numFmtId="174" fontId="0" fillId="0" borderId="0" xfId="0" applyFont="1" applyAlignment="1">
      <alignment vertical="center"/>
    </xf>
    <xf numFmtId="1" fontId="0" fillId="12" borderId="2" xfId="0" applyNumberFormat="1" applyFont="1" applyFill="1" applyBorder="1" applyAlignment="1">
      <alignment vertical="center"/>
    </xf>
    <xf numFmtId="9" fontId="4" fillId="12" borderId="2" xfId="37" applyFont="1" applyFill="1" applyBorder="1" applyAlignment="1">
      <alignment vertical="center"/>
    </xf>
    <xf numFmtId="173" fontId="3" fillId="12" borderId="2" xfId="1" applyNumberFormat="1" applyFont="1" applyFill="1" applyBorder="1" applyAlignment="1">
      <alignment vertical="center"/>
    </xf>
    <xf numFmtId="9" fontId="3" fillId="12" borderId="2" xfId="37" applyFont="1" applyFill="1" applyBorder="1" applyAlignment="1">
      <alignment vertical="center"/>
    </xf>
    <xf numFmtId="3" fontId="0" fillId="12" borderId="2" xfId="0" applyNumberFormat="1" applyFont="1" applyFill="1" applyBorder="1" applyAlignment="1">
      <alignment vertical="center"/>
    </xf>
    <xf numFmtId="173" fontId="3" fillId="12" borderId="2" xfId="1" applyNumberFormat="1" applyFont="1" applyFill="1" applyBorder="1" applyAlignment="1">
      <alignment vertical="center"/>
    </xf>
    <xf numFmtId="3" fontId="0" fillId="12" borderId="2" xfId="0" applyNumberFormat="1" applyFill="1" applyBorder="1" applyAlignment="1">
      <alignment vertical="center"/>
    </xf>
    <xf numFmtId="174" fontId="4" fillId="12" borderId="0" xfId="0" applyFont="1" applyFill="1" applyBorder="1" applyAlignment="1">
      <alignment vertical="center"/>
    </xf>
    <xf numFmtId="164" fontId="3" fillId="12" borderId="2" xfId="1" applyFont="1" applyFill="1" applyBorder="1" applyAlignment="1">
      <alignment vertical="center"/>
    </xf>
    <xf numFmtId="174" fontId="4" fillId="12" borderId="6" xfId="0" applyFont="1" applyFill="1" applyBorder="1" applyAlignment="1">
      <alignment vertical="center"/>
    </xf>
    <xf numFmtId="174" fontId="77" fillId="12" borderId="15" xfId="0" applyFont="1" applyFill="1" applyBorder="1" applyAlignment="1">
      <alignment vertical="center"/>
    </xf>
    <xf numFmtId="174" fontId="4" fillId="12" borderId="8" xfId="0" applyFont="1" applyFill="1" applyBorder="1" applyAlignment="1">
      <alignment vertical="center"/>
    </xf>
    <xf numFmtId="174" fontId="0" fillId="12" borderId="13" xfId="0" applyFill="1" applyBorder="1" applyAlignment="1">
      <alignment vertical="center" wrapText="1"/>
    </xf>
    <xf numFmtId="174" fontId="0" fillId="12" borderId="13" xfId="0" applyFill="1" applyBorder="1" applyAlignment="1">
      <alignment vertical="center"/>
    </xf>
    <xf numFmtId="174" fontId="4" fillId="12" borderId="9" xfId="0" applyFont="1" applyFill="1" applyBorder="1" applyAlignment="1">
      <alignment vertical="center"/>
    </xf>
    <xf numFmtId="174" fontId="0" fillId="12" borderId="11" xfId="0" applyFill="1" applyBorder="1" applyAlignment="1">
      <alignment vertical="center"/>
    </xf>
    <xf numFmtId="174" fontId="4" fillId="7" borderId="5" xfId="0" applyFont="1" applyFill="1" applyBorder="1" applyAlignment="1">
      <alignment vertical="center" wrapText="1"/>
    </xf>
    <xf numFmtId="174" fontId="4" fillId="7" borderId="14" xfId="0" applyFont="1" applyFill="1" applyBorder="1" applyAlignment="1">
      <alignment vertical="center"/>
    </xf>
    <xf numFmtId="3" fontId="4" fillId="7" borderId="2" xfId="0" applyNumberFormat="1" applyFont="1" applyFill="1" applyBorder="1" applyAlignment="1">
      <alignment vertical="center"/>
    </xf>
    <xf numFmtId="174" fontId="0" fillId="0" borderId="5" xfId="0" applyBorder="1" applyAlignment="1">
      <alignment vertical="center"/>
    </xf>
    <xf numFmtId="174" fontId="0" fillId="0" borderId="14" xfId="0" applyBorder="1" applyAlignment="1">
      <alignment vertical="center"/>
    </xf>
    <xf numFmtId="174" fontId="4" fillId="0" borderId="0" xfId="0" applyFont="1" applyBorder="1" applyAlignment="1">
      <alignment horizontal="center" vertical="center"/>
    </xf>
    <xf numFmtId="174" fontId="56" fillId="0" borderId="2" xfId="26" applyFont="1" applyFill="1" applyBorder="1" applyAlignment="1">
      <alignment vertical="center" wrapText="1"/>
    </xf>
    <xf numFmtId="174" fontId="56" fillId="0" borderId="2" xfId="26" applyFont="1" applyFill="1" applyBorder="1" applyAlignment="1">
      <alignment horizontal="center" vertical="center" wrapText="1"/>
    </xf>
    <xf numFmtId="2" fontId="55" fillId="0" borderId="2" xfId="26" applyNumberFormat="1" applyFont="1" applyFill="1" applyBorder="1" applyAlignment="1">
      <alignment vertical="center" wrapText="1"/>
    </xf>
    <xf numFmtId="0" fontId="78" fillId="12" borderId="2" xfId="22" applyFont="1" applyFill="1" applyBorder="1" applyAlignment="1">
      <alignment horizontal="center"/>
    </xf>
    <xf numFmtId="1" fontId="79" fillId="12" borderId="2" xfId="26" applyNumberFormat="1" applyFont="1" applyFill="1" applyBorder="1" applyAlignment="1">
      <alignment horizontal="center" vertical="center" wrapText="1"/>
    </xf>
    <xf numFmtId="0" fontId="49" fillId="12" borderId="2" xfId="22" applyFill="1" applyBorder="1"/>
    <xf numFmtId="174" fontId="56" fillId="12" borderId="2" xfId="26" applyFont="1" applyFill="1" applyBorder="1" applyAlignment="1">
      <alignment vertical="center" wrapText="1"/>
    </xf>
    <xf numFmtId="173" fontId="49" fillId="12" borderId="2" xfId="1" applyNumberFormat="1" applyFont="1" applyFill="1" applyBorder="1"/>
    <xf numFmtId="173" fontId="56" fillId="12" borderId="2" xfId="1" applyNumberFormat="1" applyFont="1" applyFill="1" applyBorder="1" applyAlignment="1">
      <alignment horizontal="center" vertical="center" wrapText="1"/>
    </xf>
    <xf numFmtId="173" fontId="78" fillId="12" borderId="2" xfId="1" applyNumberFormat="1" applyFont="1" applyFill="1" applyBorder="1"/>
    <xf numFmtId="164" fontId="79" fillId="12" borderId="2" xfId="1" applyFont="1" applyFill="1" applyBorder="1" applyAlignment="1">
      <alignment horizontal="center" vertical="center" wrapText="1"/>
    </xf>
    <xf numFmtId="174" fontId="56" fillId="0" borderId="2" xfId="26" applyFont="1" applyBorder="1" applyAlignment="1">
      <alignment vertical="center" wrapText="1"/>
    </xf>
    <xf numFmtId="9" fontId="80" fillId="0" borderId="2" xfId="37" applyFont="1" applyBorder="1" applyAlignment="1">
      <alignment horizontal="center" vertical="center" wrapText="1"/>
    </xf>
    <xf numFmtId="2" fontId="80" fillId="12" borderId="2" xfId="26" applyNumberFormat="1" applyFont="1" applyFill="1" applyBorder="1" applyAlignment="1">
      <alignment vertical="center" wrapText="1"/>
    </xf>
    <xf numFmtId="2" fontId="56" fillId="0" borderId="2" xfId="26" applyNumberFormat="1" applyFont="1" applyBorder="1" applyAlignment="1">
      <alignment vertical="center" wrapText="1"/>
    </xf>
    <xf numFmtId="174" fontId="55" fillId="0" borderId="2" xfId="26" applyFont="1" applyBorder="1" applyAlignment="1">
      <alignment horizontal="center" vertical="center" wrapText="1"/>
    </xf>
    <xf numFmtId="174" fontId="80" fillId="12" borderId="2" xfId="26" applyFont="1" applyFill="1" applyBorder="1" applyAlignment="1">
      <alignment vertical="center" wrapText="1"/>
    </xf>
    <xf numFmtId="174" fontId="75" fillId="0" borderId="2" xfId="26" applyFont="1" applyBorder="1" applyAlignment="1">
      <alignment horizontal="right" vertical="center" wrapText="1"/>
    </xf>
    <xf numFmtId="174" fontId="55" fillId="0" borderId="2" xfId="26" applyFont="1" applyBorder="1" applyAlignment="1">
      <alignment horizontal="right" vertical="center" wrapText="1"/>
    </xf>
    <xf numFmtId="174" fontId="56" fillId="0" borderId="2" xfId="26" applyFont="1" applyBorder="1" applyAlignment="1">
      <alignment horizontal="left" vertical="center" wrapText="1"/>
    </xf>
    <xf numFmtId="173" fontId="80" fillId="12" borderId="2" xfId="1" applyNumberFormat="1" applyFont="1" applyFill="1" applyBorder="1" applyAlignment="1">
      <alignment vertical="center" wrapText="1"/>
    </xf>
    <xf numFmtId="173" fontId="80" fillId="12" borderId="2" xfId="1" applyNumberFormat="1" applyFont="1" applyFill="1" applyBorder="1" applyAlignment="1">
      <alignment horizontal="center" vertical="center" wrapText="1"/>
    </xf>
    <xf numFmtId="164" fontId="80" fillId="12" borderId="2" xfId="1" applyFont="1" applyFill="1" applyBorder="1" applyAlignment="1">
      <alignment vertical="center" wrapText="1"/>
    </xf>
    <xf numFmtId="0" fontId="0" fillId="12" borderId="2" xfId="0" applyNumberFormat="1" applyFill="1" applyBorder="1"/>
    <xf numFmtId="9" fontId="77" fillId="12" borderId="2" xfId="0" applyNumberFormat="1" applyFont="1" applyFill="1" applyBorder="1"/>
    <xf numFmtId="1" fontId="80" fillId="12" borderId="2" xfId="26" applyNumberFormat="1" applyFont="1" applyFill="1" applyBorder="1" applyAlignment="1">
      <alignment horizontal="center" vertical="center" wrapText="1"/>
    </xf>
    <xf numFmtId="174" fontId="62" fillId="0" borderId="0" xfId="26" applyFont="1" applyBorder="1" applyAlignment="1">
      <alignment horizontal="center" vertical="center" wrapText="1"/>
    </xf>
    <xf numFmtId="9" fontId="79" fillId="0" borderId="2" xfId="37" applyFont="1" applyBorder="1" applyAlignment="1">
      <alignment vertical="center" wrapText="1"/>
    </xf>
    <xf numFmtId="174" fontId="4" fillId="15" borderId="0" xfId="0" applyFont="1" applyFill="1"/>
    <xf numFmtId="2" fontId="4" fillId="15" borderId="0" xfId="0" applyNumberFormat="1" applyFont="1" applyFill="1"/>
    <xf numFmtId="0" fontId="49" fillId="0" borderId="0" xfId="23" applyFont="1"/>
    <xf numFmtId="0" fontId="52" fillId="0" borderId="0" xfId="23" applyFont="1" applyFill="1" applyAlignment="1">
      <alignment horizontal="center"/>
    </xf>
    <xf numFmtId="2" fontId="0" fillId="0" borderId="2" xfId="0" applyNumberFormat="1" applyBorder="1"/>
    <xf numFmtId="2" fontId="56" fillId="14" borderId="2" xfId="26" applyNumberFormat="1" applyFont="1" applyFill="1" applyBorder="1" applyAlignment="1">
      <alignment vertical="center" wrapText="1"/>
    </xf>
    <xf numFmtId="174" fontId="68" fillId="11" borderId="2" xfId="31" applyFont="1" applyFill="1" applyBorder="1" applyAlignment="1">
      <alignment vertical="center" wrapText="1"/>
    </xf>
    <xf numFmtId="174" fontId="68" fillId="12" borderId="0" xfId="31" applyFont="1" applyFill="1" applyAlignment="1">
      <alignment vertical="center" wrapText="1"/>
    </xf>
    <xf numFmtId="2" fontId="0" fillId="0" borderId="0" xfId="0" applyNumberFormat="1" applyAlignment="1">
      <alignment horizontal="center"/>
    </xf>
    <xf numFmtId="174" fontId="55" fillId="0" borderId="2" xfId="26" applyFont="1" applyBorder="1" applyAlignment="1">
      <alignment horizontal="left" vertical="center" wrapText="1"/>
    </xf>
    <xf numFmtId="174" fontId="75" fillId="0" borderId="2" xfId="26" applyFont="1" applyBorder="1" applyAlignment="1">
      <alignment horizontal="left" vertical="center" wrapText="1"/>
    </xf>
    <xf numFmtId="2" fontId="29" fillId="11" borderId="0" xfId="0" applyNumberFormat="1" applyFont="1" applyFill="1"/>
    <xf numFmtId="2" fontId="4" fillId="0" borderId="0" xfId="0" applyNumberFormat="1" applyFont="1"/>
    <xf numFmtId="164" fontId="56" fillId="0" borderId="2" xfId="1" applyNumberFormat="1" applyFont="1" applyBorder="1" applyAlignment="1">
      <alignment vertical="center" wrapText="1"/>
    </xf>
    <xf numFmtId="2" fontId="4" fillId="13" borderId="0" xfId="0" applyNumberFormat="1" applyFont="1" applyFill="1"/>
    <xf numFmtId="164" fontId="4" fillId="13" borderId="2" xfId="1" applyFont="1" applyFill="1" applyBorder="1"/>
    <xf numFmtId="0" fontId="49" fillId="0" borderId="2" xfId="22" applyFont="1" applyBorder="1"/>
    <xf numFmtId="164" fontId="49" fillId="13" borderId="0" xfId="1" applyFont="1" applyFill="1" applyBorder="1"/>
    <xf numFmtId="164" fontId="3" fillId="13" borderId="0" xfId="1" applyFont="1" applyFill="1"/>
    <xf numFmtId="164" fontId="3" fillId="13" borderId="0" xfId="1" applyFont="1" applyFill="1" applyBorder="1"/>
    <xf numFmtId="174" fontId="55" fillId="0" borderId="2" xfId="26" applyFont="1" applyFill="1" applyBorder="1" applyAlignment="1">
      <alignment vertical="center" wrapText="1"/>
    </xf>
    <xf numFmtId="2" fontId="0" fillId="13" borderId="0" xfId="0" applyNumberFormat="1" applyFill="1"/>
    <xf numFmtId="164" fontId="4" fillId="13" borderId="0" xfId="1" applyFont="1" applyFill="1"/>
    <xf numFmtId="2" fontId="4" fillId="12" borderId="0" xfId="0" applyNumberFormat="1" applyFont="1" applyFill="1"/>
    <xf numFmtId="174" fontId="55" fillId="0" borderId="1" xfId="26" applyFont="1" applyBorder="1" applyAlignment="1">
      <alignment vertical="center" wrapText="1"/>
    </xf>
    <xf numFmtId="174" fontId="55" fillId="0" borderId="4" xfId="26" applyFont="1" applyBorder="1" applyAlignment="1">
      <alignment vertical="center" wrapText="1"/>
    </xf>
    <xf numFmtId="174" fontId="55" fillId="13" borderId="2" xfId="26" applyFont="1" applyFill="1" applyBorder="1" applyAlignment="1">
      <alignment vertical="center" wrapText="1"/>
    </xf>
    <xf numFmtId="2" fontId="0" fillId="13" borderId="2" xfId="0" applyNumberFormat="1" applyFill="1" applyBorder="1"/>
    <xf numFmtId="2" fontId="4" fillId="13" borderId="2" xfId="0" applyNumberFormat="1" applyFont="1" applyFill="1" applyBorder="1"/>
    <xf numFmtId="2" fontId="4" fillId="0" borderId="0" xfId="0" applyNumberFormat="1" applyFont="1" applyAlignment="1">
      <alignment horizontal="center"/>
    </xf>
    <xf numFmtId="2" fontId="4" fillId="0" borderId="2" xfId="0" applyNumberFormat="1" applyFont="1" applyBorder="1"/>
    <xf numFmtId="164" fontId="4" fillId="13" borderId="0" xfId="1" applyFont="1" applyFill="1" applyBorder="1"/>
    <xf numFmtId="9" fontId="4" fillId="0" borderId="0" xfId="37" applyFont="1"/>
    <xf numFmtId="2" fontId="0" fillId="0" borderId="10" xfId="0" applyNumberFormat="1" applyBorder="1"/>
    <xf numFmtId="164" fontId="4" fillId="7" borderId="0" xfId="1" applyFont="1" applyFill="1" applyAlignment="1">
      <alignment vertical="center"/>
    </xf>
    <xf numFmtId="2" fontId="55" fillId="14" borderId="1" xfId="26" applyNumberFormat="1" applyFont="1" applyFill="1" applyBorder="1" applyAlignment="1">
      <alignment vertical="center" wrapText="1"/>
    </xf>
    <xf numFmtId="174" fontId="56" fillId="14" borderId="6" xfId="26" applyFont="1" applyFill="1" applyBorder="1" applyAlignment="1">
      <alignment horizontal="center" vertical="center" wrapText="1"/>
    </xf>
    <xf numFmtId="174" fontId="56" fillId="14" borderId="7" xfId="26" applyFont="1" applyFill="1" applyBorder="1" applyAlignment="1">
      <alignment horizontal="center" vertical="center" wrapText="1"/>
    </xf>
    <xf numFmtId="174" fontId="55" fillId="14" borderId="7" xfId="26" applyFont="1" applyFill="1" applyBorder="1" applyAlignment="1">
      <alignment horizontal="center" vertical="center" wrapText="1"/>
    </xf>
    <xf numFmtId="2" fontId="55" fillId="14" borderId="15" xfId="26" applyNumberFormat="1" applyFont="1" applyFill="1" applyBorder="1" applyAlignment="1">
      <alignment vertical="center" wrapText="1"/>
    </xf>
    <xf numFmtId="2" fontId="80" fillId="12" borderId="0" xfId="26" applyNumberFormat="1" applyFont="1" applyFill="1" applyBorder="1" applyAlignment="1">
      <alignment vertical="center" wrapText="1"/>
    </xf>
    <xf numFmtId="2" fontId="55" fillId="12" borderId="2" xfId="26" applyNumberFormat="1" applyFont="1" applyFill="1" applyBorder="1" applyAlignment="1">
      <alignment horizontal="center" vertical="center" wrapText="1"/>
    </xf>
    <xf numFmtId="2" fontId="55" fillId="12" borderId="14" xfId="26" applyNumberFormat="1" applyFont="1" applyFill="1" applyBorder="1" applyAlignment="1">
      <alignment vertical="center" wrapText="1"/>
    </xf>
    <xf numFmtId="174" fontId="0" fillId="12" borderId="0" xfId="0" applyFill="1" applyBorder="1"/>
    <xf numFmtId="0" fontId="52" fillId="12" borderId="0" xfId="0" applyNumberFormat="1" applyFont="1" applyFill="1" applyBorder="1" applyAlignment="1">
      <alignment horizontal="center" vertical="center"/>
    </xf>
    <xf numFmtId="16" fontId="0" fillId="12" borderId="0" xfId="0" quotePrefix="1" applyNumberFormat="1" applyFill="1" applyBorder="1"/>
    <xf numFmtId="0" fontId="0" fillId="12" borderId="0" xfId="0" quotePrefix="1" applyNumberFormat="1" applyFill="1" applyBorder="1"/>
    <xf numFmtId="43" fontId="3" fillId="12" borderId="0" xfId="1" applyNumberFormat="1" applyFont="1" applyFill="1" applyBorder="1"/>
    <xf numFmtId="9" fontId="81" fillId="12" borderId="2" xfId="0" applyNumberFormat="1" applyFont="1" applyFill="1" applyBorder="1"/>
    <xf numFmtId="2" fontId="4" fillId="17" borderId="0" xfId="0" applyNumberFormat="1" applyFont="1" applyFill="1" applyAlignment="1">
      <alignment horizontal="center"/>
    </xf>
    <xf numFmtId="2" fontId="29" fillId="12" borderId="0" xfId="0" applyNumberFormat="1" applyFont="1" applyFill="1" applyAlignment="1">
      <alignment horizontal="center"/>
    </xf>
    <xf numFmtId="2" fontId="4" fillId="12" borderId="0" xfId="0" applyNumberFormat="1" applyFont="1" applyFill="1" applyAlignment="1">
      <alignment horizontal="center"/>
    </xf>
    <xf numFmtId="2" fontId="4" fillId="12" borderId="0" xfId="0" applyNumberFormat="1" applyFont="1" applyFill="1" applyAlignment="1">
      <alignment horizontal="left"/>
    </xf>
    <xf numFmtId="0" fontId="76" fillId="12" borderId="9" xfId="23" applyFont="1" applyFill="1" applyBorder="1" applyAlignment="1">
      <alignment vertical="center" wrapText="1"/>
    </xf>
    <xf numFmtId="2" fontId="4" fillId="7" borderId="0" xfId="0" applyNumberFormat="1" applyFont="1" applyFill="1" applyAlignment="1">
      <alignment vertical="center"/>
    </xf>
    <xf numFmtId="38" fontId="14" fillId="0" borderId="0" xfId="32" applyNumberFormat="1" applyFont="1" applyBorder="1" applyAlignment="1">
      <alignment horizontal="left"/>
    </xf>
    <xf numFmtId="164" fontId="4" fillId="14" borderId="2" xfId="1" applyFont="1" applyFill="1" applyBorder="1" applyAlignment="1">
      <alignment vertical="center"/>
    </xf>
    <xf numFmtId="173" fontId="14" fillId="0" borderId="0" xfId="1" applyNumberFormat="1" applyFont="1" applyBorder="1" applyAlignment="1">
      <alignment horizontal="center" vertical="center"/>
    </xf>
    <xf numFmtId="174" fontId="13" fillId="0" borderId="0" xfId="32" applyFont="1" applyFill="1" applyBorder="1" applyAlignment="1">
      <alignment horizontal="center" vertical="center" wrapText="1"/>
    </xf>
    <xf numFmtId="0" fontId="40" fillId="0" borderId="0" xfId="24"/>
    <xf numFmtId="38" fontId="56" fillId="0" borderId="0" xfId="24" applyNumberFormat="1" applyFont="1" applyFill="1" applyBorder="1" applyAlignment="1">
      <alignment horizontal="left"/>
    </xf>
    <xf numFmtId="0" fontId="55" fillId="0" borderId="0" xfId="24" applyFont="1" applyFill="1" applyBorder="1"/>
    <xf numFmtId="0" fontId="57" fillId="0" borderId="0" xfId="21" applyFont="1" applyFill="1" applyBorder="1" applyAlignment="1" applyProtection="1"/>
    <xf numFmtId="0" fontId="56" fillId="0" borderId="0" xfId="24" applyFont="1" applyBorder="1" applyAlignment="1">
      <alignment horizontal="center" vertical="center"/>
    </xf>
    <xf numFmtId="3" fontId="82" fillId="0" borderId="0" xfId="10" applyNumberFormat="1" applyFont="1" applyFill="1" applyBorder="1" applyAlignment="1">
      <alignment horizontal="right" vertical="center"/>
    </xf>
    <xf numFmtId="173" fontId="15" fillId="0" borderId="0" xfId="1" applyNumberFormat="1" applyFont="1" applyBorder="1" applyAlignment="1">
      <alignment horizontal="center" vertical="center"/>
    </xf>
    <xf numFmtId="1" fontId="55" fillId="14" borderId="2" xfId="26" applyNumberFormat="1" applyFont="1" applyFill="1" applyBorder="1" applyAlignment="1">
      <alignment vertical="center" wrapText="1"/>
    </xf>
    <xf numFmtId="164" fontId="3" fillId="14" borderId="2" xfId="1" applyFont="1" applyFill="1" applyBorder="1" applyAlignment="1">
      <alignment vertical="center"/>
    </xf>
    <xf numFmtId="1" fontId="55" fillId="0" borderId="2" xfId="26" applyNumberFormat="1" applyFont="1" applyBorder="1" applyAlignment="1">
      <alignment vertical="center" wrapText="1"/>
    </xf>
    <xf numFmtId="1" fontId="55" fillId="0" borderId="2" xfId="26" applyNumberFormat="1" applyFont="1" applyBorder="1" applyAlignment="1">
      <alignment horizontal="center" vertical="center" wrapText="1"/>
    </xf>
    <xf numFmtId="174" fontId="55" fillId="14" borderId="2" xfId="26" applyFont="1" applyFill="1" applyBorder="1" applyAlignment="1">
      <alignment vertical="center" wrapText="1"/>
    </xf>
    <xf numFmtId="1" fontId="55" fillId="14" borderId="2" xfId="26" applyNumberFormat="1" applyFont="1" applyFill="1" applyBorder="1" applyAlignment="1">
      <alignment horizontal="center" vertical="center" wrapText="1"/>
    </xf>
    <xf numFmtId="169" fontId="4" fillId="7" borderId="2" xfId="1" applyNumberFormat="1" applyFont="1" applyFill="1" applyBorder="1" applyAlignment="1">
      <alignment horizontal="center"/>
    </xf>
    <xf numFmtId="174" fontId="55" fillId="12" borderId="0" xfId="33" applyFont="1" applyFill="1" applyBorder="1"/>
    <xf numFmtId="174" fontId="56" fillId="12" borderId="0" xfId="33" applyFont="1" applyFill="1" applyBorder="1"/>
    <xf numFmtId="173" fontId="55" fillId="12" borderId="2" xfId="1" applyNumberFormat="1" applyFont="1" applyFill="1" applyBorder="1"/>
    <xf numFmtId="173" fontId="61" fillId="12" borderId="2" xfId="1" applyNumberFormat="1" applyFont="1" applyFill="1" applyBorder="1"/>
    <xf numFmtId="174" fontId="56" fillId="12" borderId="2" xfId="33" applyFont="1" applyFill="1" applyBorder="1"/>
    <xf numFmtId="173" fontId="56" fillId="12" borderId="2" xfId="33" applyNumberFormat="1" applyFont="1" applyFill="1" applyBorder="1"/>
    <xf numFmtId="174" fontId="4" fillId="12" borderId="11" xfId="33" applyFont="1" applyFill="1" applyBorder="1" applyAlignment="1">
      <alignment horizontal="center" vertical="top" wrapText="1"/>
    </xf>
    <xf numFmtId="173" fontId="61" fillId="12" borderId="14" xfId="1" applyNumberFormat="1" applyFont="1" applyFill="1" applyBorder="1"/>
    <xf numFmtId="174" fontId="56" fillId="12" borderId="14" xfId="33" applyFont="1" applyFill="1" applyBorder="1"/>
    <xf numFmtId="174" fontId="4" fillId="12" borderId="2" xfId="33" applyFont="1" applyFill="1" applyBorder="1" applyAlignment="1">
      <alignment horizontal="center" vertical="top" wrapText="1"/>
    </xf>
    <xf numFmtId="174" fontId="55" fillId="12" borderId="2" xfId="33" applyFont="1" applyFill="1" applyBorder="1"/>
    <xf numFmtId="2" fontId="27" fillId="0" borderId="0" xfId="33" applyNumberFormat="1"/>
    <xf numFmtId="2" fontId="0" fillId="0" borderId="0" xfId="1" applyNumberFormat="1" applyFont="1"/>
    <xf numFmtId="2" fontId="55" fillId="0" borderId="0" xfId="33" applyNumberFormat="1" applyFont="1" applyFill="1" applyBorder="1"/>
    <xf numFmtId="9" fontId="55" fillId="12" borderId="0" xfId="37" applyFont="1" applyFill="1" applyBorder="1"/>
    <xf numFmtId="177" fontId="56" fillId="12" borderId="0" xfId="33" applyNumberFormat="1" applyFont="1" applyFill="1" applyBorder="1"/>
    <xf numFmtId="2" fontId="55" fillId="0" borderId="2" xfId="33" applyNumberFormat="1" applyFont="1" applyFill="1" applyBorder="1" applyAlignment="1">
      <alignment vertical="top"/>
    </xf>
    <xf numFmtId="2" fontId="55" fillId="0" borderId="2" xfId="33" applyNumberFormat="1" applyFont="1" applyFill="1" applyBorder="1"/>
    <xf numFmtId="169" fontId="4" fillId="14" borderId="2" xfId="1" applyNumberFormat="1" applyFont="1" applyFill="1" applyBorder="1"/>
    <xf numFmtId="174" fontId="56" fillId="7" borderId="5" xfId="33" applyFont="1" applyFill="1" applyBorder="1" applyAlignment="1"/>
    <xf numFmtId="174" fontId="55" fillId="0" borderId="2" xfId="33" applyFont="1" applyFill="1" applyBorder="1" applyAlignment="1">
      <alignment horizontal="center" vertical="top"/>
    </xf>
    <xf numFmtId="1" fontId="55" fillId="0" borderId="2" xfId="1" applyNumberFormat="1" applyFont="1" applyBorder="1" applyAlignment="1">
      <alignment horizontal="center" vertical="center" wrapText="1"/>
    </xf>
    <xf numFmtId="174" fontId="83" fillId="12" borderId="2" xfId="31" applyFont="1" applyFill="1" applyBorder="1" applyAlignment="1">
      <alignment vertical="center" wrapText="1"/>
    </xf>
    <xf numFmtId="164" fontId="4" fillId="12" borderId="0" xfId="1" applyFont="1" applyFill="1" applyAlignment="1">
      <alignment vertical="center"/>
    </xf>
    <xf numFmtId="9" fontId="4" fillId="12" borderId="0" xfId="0" applyNumberFormat="1" applyFont="1" applyFill="1" applyAlignment="1">
      <alignment vertical="center"/>
    </xf>
    <xf numFmtId="164" fontId="55" fillId="0" borderId="2" xfId="1" applyNumberFormat="1" applyFont="1" applyFill="1" applyBorder="1" applyAlignment="1">
      <alignment horizontal="center" vertical="center" wrapText="1"/>
    </xf>
    <xf numFmtId="164" fontId="55" fillId="12" borderId="2" xfId="1" applyNumberFormat="1" applyFont="1" applyFill="1" applyBorder="1" applyAlignment="1">
      <alignment vertical="center" wrapText="1"/>
    </xf>
    <xf numFmtId="164" fontId="55" fillId="14" borderId="2" xfId="1" applyFont="1" applyFill="1" applyBorder="1" applyAlignment="1">
      <alignment vertical="center" wrapText="1"/>
    </xf>
    <xf numFmtId="173" fontId="3" fillId="0" borderId="0" xfId="1" applyNumberFormat="1" applyAlignment="1">
      <alignment vertical="center"/>
    </xf>
    <xf numFmtId="173" fontId="67" fillId="12" borderId="0" xfId="1" applyNumberFormat="1" applyFont="1" applyFill="1" applyBorder="1" applyAlignment="1">
      <alignment horizontal="justify" vertical="center" wrapText="1"/>
    </xf>
    <xf numFmtId="173" fontId="67" fillId="12" borderId="0" xfId="1" applyNumberFormat="1" applyFont="1" applyFill="1" applyBorder="1" applyAlignment="1">
      <alignment horizontal="justify" vertical="center"/>
    </xf>
    <xf numFmtId="164" fontId="55" fillId="15" borderId="2" xfId="1" applyFont="1" applyFill="1" applyBorder="1" applyAlignment="1">
      <alignment vertical="center" wrapText="1"/>
    </xf>
    <xf numFmtId="173" fontId="67" fillId="0" borderId="2" xfId="1" applyNumberFormat="1" applyFont="1" applyBorder="1" applyAlignment="1">
      <alignment horizontal="center" vertical="center"/>
    </xf>
    <xf numFmtId="174" fontId="4" fillId="0" borderId="2" xfId="26" applyFont="1" applyBorder="1" applyAlignment="1">
      <alignment vertical="center"/>
    </xf>
    <xf numFmtId="173" fontId="67" fillId="7" borderId="16" xfId="1" applyNumberFormat="1" applyFont="1" applyFill="1" applyBorder="1" applyAlignment="1">
      <alignment vertical="center"/>
    </xf>
    <xf numFmtId="173" fontId="67" fillId="0" borderId="2" xfId="1" applyNumberFormat="1" applyFont="1" applyFill="1" applyBorder="1" applyAlignment="1">
      <alignment horizontal="justify" vertical="center"/>
    </xf>
    <xf numFmtId="173" fontId="67" fillId="7" borderId="2" xfId="1" applyNumberFormat="1" applyFont="1" applyFill="1" applyBorder="1" applyAlignment="1">
      <alignment horizontal="justify" vertical="center"/>
    </xf>
    <xf numFmtId="173" fontId="67" fillId="7" borderId="2" xfId="1" applyNumberFormat="1" applyFont="1" applyFill="1" applyBorder="1" applyAlignment="1">
      <alignment vertical="center"/>
    </xf>
    <xf numFmtId="173" fontId="67" fillId="0" borderId="2" xfId="1" applyNumberFormat="1" applyFont="1" applyBorder="1" applyAlignment="1">
      <alignment vertical="center"/>
    </xf>
    <xf numFmtId="173" fontId="67" fillId="0" borderId="2" xfId="1" applyNumberFormat="1" applyFont="1" applyBorder="1" applyAlignment="1">
      <alignment horizontal="justify" vertical="center" wrapText="1"/>
    </xf>
    <xf numFmtId="173" fontId="67" fillId="7" borderId="2" xfId="1" applyNumberFormat="1" applyFont="1" applyFill="1" applyBorder="1" applyAlignment="1">
      <alignment horizontal="justify" vertical="center" wrapText="1"/>
    </xf>
    <xf numFmtId="174" fontId="67" fillId="7" borderId="2" xfId="26" applyFont="1" applyFill="1" applyBorder="1" applyAlignment="1">
      <alignment horizontal="justify" vertical="center" wrapText="1"/>
    </xf>
    <xf numFmtId="174" fontId="67" fillId="0" borderId="2" xfId="26" applyFont="1" applyBorder="1" applyAlignment="1">
      <alignment horizontal="justify" vertical="center" wrapText="1"/>
    </xf>
    <xf numFmtId="164" fontId="56" fillId="12" borderId="2" xfId="1" applyFont="1" applyFill="1" applyBorder="1" applyAlignment="1">
      <alignment horizontal="center" vertical="center" wrapText="1"/>
    </xf>
    <xf numFmtId="9" fontId="78" fillId="0" borderId="2" xfId="37" applyFont="1" applyBorder="1" applyAlignment="1">
      <alignment vertical="center" wrapText="1"/>
    </xf>
    <xf numFmtId="174" fontId="0" fillId="14" borderId="0" xfId="0" applyFill="1"/>
    <xf numFmtId="174" fontId="4" fillId="14" borderId="0" xfId="0" applyFont="1" applyFill="1"/>
    <xf numFmtId="164" fontId="0" fillId="0" borderId="2" xfId="1" applyFont="1" applyBorder="1"/>
    <xf numFmtId="174" fontId="0" fillId="0" borderId="2" xfId="0" applyBorder="1" applyAlignment="1">
      <alignment horizontal="center"/>
    </xf>
    <xf numFmtId="174" fontId="0" fillId="0" borderId="14" xfId="0" applyBorder="1"/>
    <xf numFmtId="174" fontId="0" fillId="0" borderId="0" xfId="0" applyBorder="1"/>
    <xf numFmtId="174" fontId="0" fillId="0" borderId="8" xfId="0" applyBorder="1"/>
    <xf numFmtId="174" fontId="0" fillId="0" borderId="13" xfId="0" applyBorder="1"/>
    <xf numFmtId="174" fontId="0" fillId="0" borderId="9" xfId="0" applyBorder="1"/>
    <xf numFmtId="174" fontId="0" fillId="0" borderId="10" xfId="0" applyBorder="1"/>
    <xf numFmtId="174" fontId="0" fillId="0" borderId="11" xfId="0" applyBorder="1"/>
    <xf numFmtId="174" fontId="0" fillId="0" borderId="5" xfId="0" applyBorder="1"/>
    <xf numFmtId="174" fontId="0" fillId="0" borderId="12" xfId="0" applyBorder="1"/>
    <xf numFmtId="174" fontId="72" fillId="12" borderId="5" xfId="26" applyFont="1" applyFill="1" applyBorder="1" applyAlignment="1">
      <alignment horizontal="left" vertical="center" wrapText="1"/>
    </xf>
    <xf numFmtId="174" fontId="72" fillId="12" borderId="12" xfId="26" applyFont="1" applyFill="1" applyBorder="1" applyAlignment="1">
      <alignment horizontal="left" vertical="center" wrapText="1"/>
    </xf>
    <xf numFmtId="174" fontId="72" fillId="12" borderId="14" xfId="26" applyFont="1" applyFill="1" applyBorder="1" applyAlignment="1">
      <alignment horizontal="left" vertical="center" wrapText="1"/>
    </xf>
    <xf numFmtId="169" fontId="4" fillId="7" borderId="0" xfId="1" applyNumberFormat="1" applyFont="1" applyFill="1" applyBorder="1"/>
    <xf numFmtId="174" fontId="27" fillId="7" borderId="2" xfId="33" applyFill="1" applyBorder="1" applyAlignment="1">
      <alignment horizontal="center"/>
    </xf>
    <xf numFmtId="174" fontId="27" fillId="7" borderId="5" xfId="33" applyFill="1" applyBorder="1" applyAlignment="1">
      <alignment horizontal="center"/>
    </xf>
    <xf numFmtId="174" fontId="4" fillId="0" borderId="5" xfId="0" applyFont="1" applyBorder="1" applyAlignment="1">
      <alignment horizontal="center" vertical="center"/>
    </xf>
    <xf numFmtId="174" fontId="4" fillId="0" borderId="12" xfId="0" applyFont="1" applyBorder="1" applyAlignment="1">
      <alignment horizontal="center" vertical="center"/>
    </xf>
    <xf numFmtId="174" fontId="4" fillId="0" borderId="14" xfId="0" applyFont="1" applyBorder="1" applyAlignment="1">
      <alignment horizontal="center" vertical="center"/>
    </xf>
    <xf numFmtId="9" fontId="4" fillId="12" borderId="0" xfId="37" applyFont="1" applyFill="1" applyAlignment="1">
      <alignment vertical="center"/>
    </xf>
    <xf numFmtId="174" fontId="55" fillId="12" borderId="2" xfId="26" applyFont="1" applyFill="1" applyBorder="1" applyAlignment="1">
      <alignment vertical="center" wrapText="1"/>
    </xf>
    <xf numFmtId="2" fontId="56" fillId="12" borderId="2" xfId="26" applyNumberFormat="1" applyFont="1" applyFill="1" applyBorder="1" applyAlignment="1">
      <alignment vertical="center" wrapText="1"/>
    </xf>
    <xf numFmtId="0" fontId="49" fillId="0" borderId="2" xfId="22" applyFont="1" applyBorder="1" applyAlignment="1">
      <alignment wrapText="1"/>
    </xf>
    <xf numFmtId="0" fontId="49" fillId="0" borderId="2" xfId="22" applyFont="1" applyBorder="1"/>
    <xf numFmtId="0" fontId="49" fillId="12" borderId="2" xfId="22" applyFont="1" applyFill="1" applyBorder="1"/>
    <xf numFmtId="173" fontId="14" fillId="0" borderId="0" xfId="1" applyNumberFormat="1" applyFont="1" applyBorder="1" applyAlignment="1">
      <alignment horizontal="left" vertical="center"/>
    </xf>
    <xf numFmtId="3" fontId="0" fillId="0" borderId="2" xfId="0" applyNumberFormat="1" applyBorder="1" applyAlignment="1">
      <alignment vertical="center"/>
    </xf>
    <xf numFmtId="2" fontId="0" fillId="0" borderId="0" xfId="1" applyNumberFormat="1" applyFont="1" applyAlignment="1">
      <alignment vertical="center"/>
    </xf>
    <xf numFmtId="2" fontId="0" fillId="0" borderId="0" xfId="37" applyNumberFormat="1" applyFont="1" applyAlignment="1">
      <alignment vertical="center"/>
    </xf>
    <xf numFmtId="2" fontId="81" fillId="0" borderId="0" xfId="42" applyNumberFormat="1" applyFont="1" applyAlignment="1">
      <alignment vertical="center"/>
    </xf>
    <xf numFmtId="2" fontId="81" fillId="0" borderId="0" xfId="0" applyNumberFormat="1" applyFont="1" applyAlignment="1">
      <alignment vertical="center"/>
    </xf>
    <xf numFmtId="2" fontId="4" fillId="14" borderId="0" xfId="1" applyNumberFormat="1" applyFont="1" applyFill="1" applyAlignment="1">
      <alignment vertical="center"/>
    </xf>
    <xf numFmtId="1" fontId="4" fillId="0" borderId="0" xfId="0" applyNumberFormat="1" applyFont="1" applyAlignment="1">
      <alignment vertical="center"/>
    </xf>
    <xf numFmtId="1" fontId="4" fillId="0" borderId="0" xfId="1" applyNumberFormat="1" applyFont="1" applyAlignment="1">
      <alignment vertical="center"/>
    </xf>
    <xf numFmtId="2" fontId="80" fillId="12" borderId="2" xfId="28" applyNumberFormat="1" applyFont="1" applyFill="1" applyBorder="1" applyAlignment="1">
      <alignment vertical="center" wrapText="1"/>
    </xf>
    <xf numFmtId="9" fontId="80" fillId="12" borderId="2" xfId="26" applyNumberFormat="1" applyFont="1" applyFill="1" applyBorder="1" applyAlignment="1">
      <alignment vertical="center" wrapText="1"/>
    </xf>
    <xf numFmtId="174" fontId="81" fillId="12" borderId="0" xfId="0" applyFont="1" applyFill="1"/>
    <xf numFmtId="174" fontId="51" fillId="12" borderId="0" xfId="26" applyFont="1" applyFill="1" applyAlignment="1">
      <alignment horizontal="center" vertical="center" wrapText="1"/>
    </xf>
    <xf numFmtId="174" fontId="50" fillId="12" borderId="0" xfId="26" applyFont="1" applyFill="1" applyAlignment="1">
      <alignment vertical="center" wrapText="1"/>
    </xf>
    <xf numFmtId="2" fontId="50" fillId="12" borderId="2" xfId="26" applyNumberFormat="1" applyFont="1" applyFill="1" applyBorder="1" applyAlignment="1">
      <alignment vertical="center" wrapText="1"/>
    </xf>
    <xf numFmtId="9" fontId="3" fillId="12" borderId="0" xfId="37" applyNumberFormat="1" applyFont="1" applyFill="1" applyAlignment="1">
      <alignment vertical="center"/>
    </xf>
    <xf numFmtId="3" fontId="14" fillId="0" borderId="0" xfId="32" applyNumberFormat="1" applyFont="1" applyBorder="1" applyAlignment="1">
      <alignment vertical="center"/>
    </xf>
    <xf numFmtId="9" fontId="14" fillId="0" borderId="0" xfId="37" applyFont="1" applyBorder="1" applyAlignment="1">
      <alignment vertical="center"/>
    </xf>
    <xf numFmtId="169" fontId="49" fillId="12" borderId="2" xfId="23" applyNumberFormat="1" applyFill="1" applyBorder="1"/>
    <xf numFmtId="169" fontId="49" fillId="14" borderId="2" xfId="23" applyNumberFormat="1" applyFill="1" applyBorder="1"/>
    <xf numFmtId="174" fontId="56" fillId="0" borderId="2" xfId="26" applyFont="1" applyBorder="1" applyAlignment="1">
      <alignment horizontal="center" vertical="center" wrapText="1"/>
    </xf>
    <xf numFmtId="173" fontId="3" fillId="0" borderId="2" xfId="1" applyNumberFormat="1" applyFont="1" applyBorder="1" applyAlignment="1">
      <alignment vertical="center"/>
    </xf>
    <xf numFmtId="174" fontId="0" fillId="0" borderId="2" xfId="0" applyFont="1" applyBorder="1" applyAlignment="1">
      <alignment vertical="center"/>
    </xf>
    <xf numFmtId="174" fontId="0" fillId="0" borderId="2" xfId="0" applyFont="1" applyFill="1" applyBorder="1" applyAlignment="1">
      <alignment vertical="center"/>
    </xf>
    <xf numFmtId="3" fontId="4" fillId="0" borderId="2" xfId="0" applyNumberFormat="1" applyFont="1" applyFill="1" applyBorder="1" applyAlignment="1">
      <alignment vertical="center"/>
    </xf>
    <xf numFmtId="174" fontId="63" fillId="12" borderId="2" xfId="26" applyFont="1" applyFill="1" applyBorder="1" applyAlignment="1">
      <alignment horizontal="center" vertical="center" wrapText="1"/>
    </xf>
    <xf numFmtId="174" fontId="64" fillId="12" borderId="2" xfId="26" applyFont="1" applyFill="1" applyBorder="1" applyAlignment="1">
      <alignment horizontal="left" vertical="center" wrapText="1"/>
    </xf>
    <xf numFmtId="174" fontId="64" fillId="12" borderId="2" xfId="26" applyFont="1" applyFill="1" applyBorder="1" applyAlignment="1">
      <alignment horizontal="center" vertical="center" wrapText="1"/>
    </xf>
    <xf numFmtId="174" fontId="65" fillId="12" borderId="2" xfId="26" applyFont="1" applyFill="1" applyBorder="1" applyAlignment="1">
      <alignment horizontal="center" vertical="center" wrapText="1"/>
    </xf>
    <xf numFmtId="174" fontId="84" fillId="12" borderId="2" xfId="26" applyFont="1" applyFill="1" applyBorder="1" applyAlignment="1">
      <alignment horizontal="center" vertical="center" wrapText="1"/>
    </xf>
    <xf numFmtId="174" fontId="62" fillId="12" borderId="2" xfId="26" applyFont="1" applyFill="1" applyBorder="1" applyAlignment="1">
      <alignment horizontal="left" vertical="center"/>
    </xf>
    <xf numFmtId="174" fontId="62" fillId="12" borderId="2" xfId="26" applyFont="1" applyFill="1" applyBorder="1" applyAlignment="1">
      <alignment horizontal="center" vertical="center"/>
    </xf>
    <xf numFmtId="174" fontId="62" fillId="12" borderId="2" xfId="26" applyFont="1" applyFill="1" applyBorder="1" applyAlignment="1">
      <alignment horizontal="center" vertical="center" wrapText="1"/>
    </xf>
    <xf numFmtId="9" fontId="56" fillId="0" borderId="2" xfId="37" applyFont="1" applyBorder="1" applyAlignment="1">
      <alignment horizontal="center" vertical="center" wrapText="1"/>
    </xf>
    <xf numFmtId="174" fontId="55" fillId="0" borderId="2" xfId="26" applyFont="1" applyBorder="1" applyAlignment="1">
      <alignment vertical="center"/>
    </xf>
    <xf numFmtId="9" fontId="55" fillId="0" borderId="2" xfId="37" applyFont="1" applyBorder="1" applyAlignment="1">
      <alignment horizontal="center" vertical="center" wrapText="1"/>
    </xf>
    <xf numFmtId="9" fontId="0" fillId="12" borderId="2" xfId="0" applyNumberFormat="1" applyFill="1" applyBorder="1"/>
    <xf numFmtId="0" fontId="0" fillId="14" borderId="2" xfId="0" applyNumberFormat="1" applyFill="1" applyBorder="1"/>
    <xf numFmtId="2" fontId="55" fillId="14" borderId="2" xfId="26" applyNumberFormat="1" applyFont="1" applyFill="1" applyBorder="1" applyAlignment="1">
      <alignment vertical="center" wrapText="1"/>
    </xf>
    <xf numFmtId="0" fontId="52" fillId="11" borderId="2" xfId="0" applyNumberFormat="1" applyFont="1" applyFill="1" applyBorder="1"/>
    <xf numFmtId="1" fontId="55" fillId="12" borderId="2" xfId="26" applyNumberFormat="1" applyFont="1" applyFill="1" applyBorder="1" applyAlignment="1">
      <alignment horizontal="center" vertical="center" wrapText="1"/>
    </xf>
    <xf numFmtId="15" fontId="55" fillId="0" borderId="2" xfId="26" applyNumberFormat="1" applyFont="1" applyBorder="1" applyAlignment="1">
      <alignment horizontal="center" vertical="center" wrapText="1"/>
    </xf>
    <xf numFmtId="0" fontId="4" fillId="11" borderId="2" xfId="0" applyNumberFormat="1" applyFont="1" applyFill="1" applyBorder="1" applyAlignment="1">
      <alignment horizontal="left"/>
    </xf>
    <xf numFmtId="0" fontId="4" fillId="14" borderId="2" xfId="0" applyNumberFormat="1" applyFont="1" applyFill="1" applyBorder="1" applyAlignment="1">
      <alignment horizontal="left"/>
    </xf>
    <xf numFmtId="1" fontId="56" fillId="12" borderId="2" xfId="26" applyNumberFormat="1" applyFont="1" applyFill="1" applyBorder="1" applyAlignment="1">
      <alignment horizontal="center" vertical="center" wrapText="1"/>
    </xf>
    <xf numFmtId="174" fontId="56" fillId="11" borderId="2" xfId="26" applyFont="1" applyFill="1" applyBorder="1" applyAlignment="1">
      <alignment horizontal="left" vertical="center" wrapText="1"/>
    </xf>
    <xf numFmtId="174" fontId="56" fillId="14" borderId="2" xfId="26" applyFont="1" applyFill="1" applyBorder="1" applyAlignment="1">
      <alignment horizontal="center" vertical="center" wrapText="1"/>
    </xf>
    <xf numFmtId="164" fontId="55" fillId="12" borderId="2" xfId="1" applyFont="1" applyFill="1" applyBorder="1" applyAlignment="1">
      <alignment horizontal="left" vertical="center" wrapText="1"/>
    </xf>
    <xf numFmtId="174" fontId="56" fillId="15" borderId="2" xfId="26" applyFont="1" applyFill="1" applyBorder="1" applyAlignment="1">
      <alignment horizontal="center" vertical="center" wrapText="1"/>
    </xf>
    <xf numFmtId="9" fontId="55" fillId="15" borderId="2" xfId="37" applyFont="1" applyFill="1" applyBorder="1" applyAlignment="1">
      <alignment horizontal="center" vertical="center" wrapText="1"/>
    </xf>
    <xf numFmtId="2" fontId="56" fillId="0" borderId="2" xfId="26" applyNumberFormat="1" applyFont="1" applyFill="1" applyBorder="1" applyAlignment="1">
      <alignment horizontal="center" vertical="center" wrapText="1"/>
    </xf>
    <xf numFmtId="164" fontId="56" fillId="0" borderId="2" xfId="1" applyFont="1" applyFill="1" applyBorder="1" applyAlignment="1">
      <alignment horizontal="center" vertical="center" wrapText="1"/>
    </xf>
    <xf numFmtId="174" fontId="63" fillId="7" borderId="2" xfId="26" applyFont="1" applyFill="1" applyBorder="1" applyAlignment="1">
      <alignment horizontal="center" vertical="center" wrapText="1"/>
    </xf>
    <xf numFmtId="174" fontId="85" fillId="7" borderId="2" xfId="26" applyFont="1" applyFill="1" applyBorder="1" applyAlignment="1">
      <alignment vertical="center" wrapText="1"/>
    </xf>
    <xf numFmtId="164" fontId="85" fillId="7" borderId="2" xfId="1" applyFont="1" applyFill="1" applyBorder="1" applyAlignment="1">
      <alignment horizontal="center" vertical="center" wrapText="1"/>
    </xf>
    <xf numFmtId="174" fontId="63" fillId="7" borderId="2" xfId="26" applyFont="1" applyFill="1" applyBorder="1" applyAlignment="1">
      <alignment vertical="center" wrapText="1"/>
    </xf>
    <xf numFmtId="174" fontId="62" fillId="14" borderId="2" xfId="26" applyFont="1" applyFill="1" applyBorder="1" applyAlignment="1">
      <alignment horizontal="center" vertical="center" wrapText="1"/>
    </xf>
    <xf numFmtId="174" fontId="73" fillId="14" borderId="2" xfId="26" applyFont="1" applyFill="1" applyBorder="1" applyAlignment="1">
      <alignment horizontal="center" vertical="center" wrapText="1"/>
    </xf>
    <xf numFmtId="174" fontId="62" fillId="0" borderId="2" xfId="26" applyFont="1" applyBorder="1" applyAlignment="1">
      <alignment horizontal="center" vertical="center" wrapText="1"/>
    </xf>
    <xf numFmtId="9" fontId="62" fillId="12" borderId="2" xfId="37" applyFont="1" applyFill="1" applyBorder="1" applyAlignment="1">
      <alignment horizontal="center" vertical="center" wrapText="1"/>
    </xf>
    <xf numFmtId="9" fontId="55" fillId="12" borderId="2" xfId="37" applyFont="1" applyFill="1" applyBorder="1" applyAlignment="1">
      <alignment vertical="center" wrapText="1"/>
    </xf>
    <xf numFmtId="174" fontId="56" fillId="11" borderId="2" xfId="26" applyFont="1" applyFill="1" applyBorder="1" applyAlignment="1">
      <alignment horizontal="center" vertical="center" wrapText="1"/>
    </xf>
    <xf numFmtId="2" fontId="55" fillId="11" borderId="2" xfId="26" applyNumberFormat="1" applyFont="1" applyFill="1" applyBorder="1" applyAlignment="1">
      <alignment vertical="center" wrapText="1"/>
    </xf>
    <xf numFmtId="4" fontId="55" fillId="0" borderId="2" xfId="26" applyNumberFormat="1" applyFont="1" applyBorder="1" applyAlignment="1">
      <alignment vertical="center" wrapText="1"/>
    </xf>
    <xf numFmtId="9" fontId="55" fillId="12" borderId="2" xfId="37" applyFont="1" applyFill="1" applyBorder="1" applyAlignment="1">
      <alignment horizontal="center" vertical="center" wrapText="1"/>
    </xf>
    <xf numFmtId="174" fontId="56" fillId="15" borderId="2" xfId="26" applyFont="1" applyFill="1" applyBorder="1" applyAlignment="1">
      <alignment vertical="center" wrapText="1"/>
    </xf>
    <xf numFmtId="1" fontId="56" fillId="15" borderId="2" xfId="26" applyNumberFormat="1" applyFont="1" applyFill="1" applyBorder="1" applyAlignment="1">
      <alignment horizontal="center" vertical="center" wrapText="1"/>
    </xf>
    <xf numFmtId="164" fontId="56" fillId="15" borderId="2" xfId="1" applyFont="1" applyFill="1" applyBorder="1" applyAlignment="1">
      <alignment horizontal="center" vertical="center" wrapText="1"/>
    </xf>
    <xf numFmtId="0" fontId="52" fillId="11" borderId="2" xfId="22" applyFont="1" applyFill="1" applyBorder="1"/>
    <xf numFmtId="174" fontId="56" fillId="14" borderId="2" xfId="26" applyFont="1" applyFill="1" applyBorder="1" applyAlignment="1">
      <alignment vertical="center" wrapText="1"/>
    </xf>
    <xf numFmtId="174" fontId="63" fillId="14" borderId="2" xfId="26" applyFont="1" applyFill="1" applyBorder="1" applyAlignment="1">
      <alignment horizontal="center" vertical="center" wrapText="1"/>
    </xf>
    <xf numFmtId="174" fontId="85" fillId="14" borderId="2" xfId="26" applyFont="1" applyFill="1" applyBorder="1" applyAlignment="1">
      <alignment vertical="center" wrapText="1"/>
    </xf>
    <xf numFmtId="174" fontId="85" fillId="14" borderId="2" xfId="26" applyFont="1" applyFill="1" applyBorder="1" applyAlignment="1">
      <alignment horizontal="center" vertical="center" wrapText="1"/>
    </xf>
    <xf numFmtId="174" fontId="63" fillId="14" borderId="2" xfId="26" applyFont="1" applyFill="1" applyBorder="1" applyAlignment="1">
      <alignment vertical="center" wrapText="1"/>
    </xf>
    <xf numFmtId="164" fontId="85" fillId="14" borderId="2" xfId="1" applyFont="1" applyFill="1" applyBorder="1" applyAlignment="1">
      <alignment horizontal="center" vertical="center" wrapText="1"/>
    </xf>
    <xf numFmtId="173" fontId="4" fillId="14" borderId="2" xfId="1" applyNumberFormat="1" applyFont="1" applyFill="1" applyBorder="1" applyAlignment="1">
      <alignment horizontal="center" vertical="center"/>
    </xf>
    <xf numFmtId="174" fontId="56" fillId="11" borderId="2" xfId="26" applyFont="1" applyFill="1" applyBorder="1" applyAlignment="1">
      <alignment vertical="center" wrapText="1"/>
    </xf>
    <xf numFmtId="9" fontId="56" fillId="0" borderId="2" xfId="37" applyFont="1" applyFill="1" applyBorder="1" applyAlignment="1">
      <alignment horizontal="center" vertical="center" wrapText="1"/>
    </xf>
    <xf numFmtId="174" fontId="55" fillId="0" borderId="2" xfId="26" applyFont="1" applyFill="1" applyBorder="1" applyAlignment="1">
      <alignment horizontal="center" vertical="center" wrapText="1"/>
    </xf>
    <xf numFmtId="2" fontId="56" fillId="0" borderId="2" xfId="26" applyNumberFormat="1" applyFont="1" applyFill="1" applyBorder="1" applyAlignment="1">
      <alignment vertical="center" wrapText="1"/>
    </xf>
    <xf numFmtId="0" fontId="49" fillId="0" borderId="2" xfId="22" applyFont="1" applyBorder="1"/>
    <xf numFmtId="0" fontId="49" fillId="0" borderId="0" xfId="0" applyNumberFormat="1" applyFont="1" applyFill="1" applyAlignment="1"/>
    <xf numFmtId="0" fontId="55" fillId="0" borderId="2" xfId="26" applyNumberFormat="1" applyFont="1" applyBorder="1" applyAlignment="1">
      <alignment vertical="center" wrapText="1"/>
    </xf>
    <xf numFmtId="0" fontId="86" fillId="0" borderId="2" xfId="26" applyNumberFormat="1" applyFont="1" applyBorder="1" applyAlignment="1">
      <alignment horizontal="center" vertical="center" wrapText="1"/>
    </xf>
    <xf numFmtId="0" fontId="52" fillId="0" borderId="0" xfId="0" applyNumberFormat="1" applyFont="1" applyFill="1" applyAlignment="1">
      <alignment horizontal="left" wrapText="1"/>
    </xf>
    <xf numFmtId="1" fontId="55" fillId="0" borderId="2" xfId="26" applyNumberFormat="1" applyFont="1" applyFill="1" applyBorder="1" applyAlignment="1">
      <alignment vertical="center" wrapText="1"/>
    </xf>
    <xf numFmtId="1" fontId="55" fillId="0" borderId="2" xfId="26" applyNumberFormat="1" applyFont="1" applyFill="1" applyBorder="1" applyAlignment="1">
      <alignment horizontal="center" vertical="center" wrapText="1"/>
    </xf>
    <xf numFmtId="164" fontId="55" fillId="0" borderId="2" xfId="1" applyFont="1" applyFill="1" applyBorder="1" applyAlignment="1">
      <alignment vertical="center" wrapText="1"/>
    </xf>
    <xf numFmtId="164" fontId="0" fillId="0" borderId="2" xfId="1" applyFont="1" applyFill="1" applyBorder="1" applyAlignment="1">
      <alignment vertical="center"/>
    </xf>
    <xf numFmtId="173" fontId="4" fillId="0" borderId="2" xfId="1" applyNumberFormat="1" applyFont="1" applyFill="1" applyBorder="1" applyAlignment="1">
      <alignment horizontal="center" vertical="center"/>
    </xf>
    <xf numFmtId="0" fontId="55" fillId="0" borderId="2" xfId="26" applyNumberFormat="1" applyFont="1" applyBorder="1" applyAlignment="1">
      <alignment horizontal="center" vertical="center" wrapText="1"/>
    </xf>
    <xf numFmtId="0" fontId="56" fillId="11" borderId="2" xfId="26" applyNumberFormat="1" applyFont="1" applyFill="1" applyBorder="1" applyAlignment="1">
      <alignment vertical="center" wrapText="1"/>
    </xf>
    <xf numFmtId="0" fontId="56" fillId="0" borderId="2" xfId="26" applyNumberFormat="1" applyFont="1" applyBorder="1" applyAlignment="1">
      <alignment vertical="center" wrapText="1"/>
    </xf>
    <xf numFmtId="0" fontId="56" fillId="14" borderId="2" xfId="26" applyNumberFormat="1" applyFont="1" applyFill="1" applyBorder="1" applyAlignment="1">
      <alignment horizontal="center" vertical="center" wrapText="1"/>
    </xf>
    <xf numFmtId="0" fontId="56" fillId="14" borderId="2" xfId="26" applyNumberFormat="1" applyFont="1" applyFill="1" applyBorder="1" applyAlignment="1">
      <alignment vertical="center" wrapText="1"/>
    </xf>
    <xf numFmtId="0" fontId="40" fillId="0" borderId="0" xfId="24" applyAlignment="1">
      <alignment horizontal="center"/>
    </xf>
    <xf numFmtId="0" fontId="87" fillId="0" borderId="0" xfId="24" applyFont="1" applyAlignment="1">
      <alignment horizontal="center"/>
    </xf>
    <xf numFmtId="0" fontId="4" fillId="15" borderId="0" xfId="24" applyFont="1" applyFill="1"/>
    <xf numFmtId="0" fontId="52" fillId="0" borderId="2" xfId="22" applyFont="1" applyBorder="1" applyAlignment="1">
      <alignment horizontal="center" wrapText="1"/>
    </xf>
    <xf numFmtId="174" fontId="55" fillId="0" borderId="5" xfId="28" applyNumberFormat="1" applyFont="1" applyBorder="1" applyAlignment="1">
      <alignment vertical="center" wrapText="1"/>
    </xf>
    <xf numFmtId="9" fontId="4" fillId="0" borderId="0" xfId="37" applyFont="1" applyFill="1" applyBorder="1" applyAlignment="1">
      <alignment vertical="center"/>
    </xf>
    <xf numFmtId="173" fontId="4" fillId="0" borderId="0" xfId="1" applyNumberFormat="1" applyFont="1" applyFill="1" applyBorder="1" applyAlignment="1">
      <alignment vertical="center"/>
    </xf>
    <xf numFmtId="3" fontId="4" fillId="0" borderId="0" xfId="0" applyNumberFormat="1" applyFont="1" applyFill="1" applyAlignment="1">
      <alignment vertical="center"/>
    </xf>
    <xf numFmtId="2" fontId="0" fillId="0" borderId="0" xfId="42" applyNumberFormat="1" applyFont="1" applyFill="1" applyAlignment="1">
      <alignment vertical="center"/>
    </xf>
    <xf numFmtId="1" fontId="4" fillId="0" borderId="0" xfId="0" applyNumberFormat="1" applyFont="1" applyFill="1" applyAlignment="1">
      <alignment vertical="center"/>
    </xf>
    <xf numFmtId="2" fontId="0" fillId="0" borderId="0" xfId="0" applyNumberFormat="1" applyFill="1" applyAlignment="1">
      <alignment vertical="center"/>
    </xf>
    <xf numFmtId="174" fontId="0" fillId="0" borderId="0" xfId="0" applyFill="1" applyAlignment="1">
      <alignment vertical="center"/>
    </xf>
    <xf numFmtId="173" fontId="3" fillId="0" borderId="2" xfId="1" applyNumberFormat="1" applyFont="1" applyBorder="1" applyAlignment="1" applyProtection="1">
      <alignment vertical="center" wrapText="1"/>
    </xf>
    <xf numFmtId="173" fontId="55" fillId="12" borderId="2" xfId="1" applyNumberFormat="1" applyFont="1" applyFill="1" applyBorder="1" applyAlignment="1">
      <alignment horizontal="center" vertical="center" wrapText="1"/>
    </xf>
    <xf numFmtId="173" fontId="56" fillId="15" borderId="0" xfId="1" applyNumberFormat="1" applyFont="1" applyFill="1" applyAlignment="1">
      <alignment vertical="center" wrapText="1"/>
    </xf>
    <xf numFmtId="174" fontId="56" fillId="0" borderId="2" xfId="26" applyFont="1" applyBorder="1" applyAlignment="1">
      <alignment horizontal="left" vertical="center"/>
    </xf>
    <xf numFmtId="173" fontId="0" fillId="0" borderId="2" xfId="1" applyNumberFormat="1" applyFont="1" applyBorder="1"/>
    <xf numFmtId="0" fontId="16" fillId="0" borderId="0" xfId="32" applyNumberFormat="1"/>
    <xf numFmtId="0" fontId="15" fillId="0" borderId="0" xfId="32" applyNumberFormat="1" applyFont="1" applyFill="1" applyBorder="1" applyAlignment="1">
      <alignment horizontal="left"/>
    </xf>
    <xf numFmtId="0" fontId="22" fillId="0" borderId="0" xfId="19" applyNumberFormat="1" applyFont="1" applyFill="1" applyBorder="1" applyAlignment="1" applyProtection="1"/>
    <xf numFmtId="0" fontId="17" fillId="0" borderId="0" xfId="32" applyNumberFormat="1" applyFont="1" applyAlignment="1">
      <alignment vertical="center"/>
    </xf>
    <xf numFmtId="0" fontId="13" fillId="0" borderId="0" xfId="32" applyNumberFormat="1" applyFont="1" applyFill="1" applyBorder="1" applyAlignment="1">
      <alignment horizontal="right" vertical="center" wrapText="1"/>
    </xf>
    <xf numFmtId="0" fontId="13" fillId="0" borderId="0" xfId="32" applyNumberFormat="1" applyFont="1" applyFill="1" applyBorder="1" applyAlignment="1">
      <alignment horizontal="center" vertical="center" wrapText="1"/>
    </xf>
    <xf numFmtId="0" fontId="2" fillId="0" borderId="0" xfId="32" applyNumberFormat="1" applyFont="1" applyBorder="1"/>
    <xf numFmtId="0" fontId="14" fillId="0" borderId="0" xfId="1" applyNumberFormat="1" applyFont="1" applyFill="1" applyBorder="1"/>
    <xf numFmtId="0" fontId="21" fillId="7" borderId="0" xfId="32" applyNumberFormat="1" applyFont="1" applyFill="1" applyBorder="1"/>
    <xf numFmtId="0" fontId="14" fillId="7" borderId="0" xfId="1" applyNumberFormat="1" applyFont="1" applyFill="1" applyBorder="1"/>
    <xf numFmtId="0" fontId="15" fillId="0" borderId="0" xfId="32" applyNumberFormat="1" applyFont="1" applyBorder="1"/>
    <xf numFmtId="0" fontId="3" fillId="0" borderId="0" xfId="32" applyNumberFormat="1" applyFont="1"/>
    <xf numFmtId="0" fontId="14" fillId="0" borderId="0" xfId="9" applyNumberFormat="1" applyFont="1" applyFill="1" applyBorder="1" applyAlignment="1">
      <alignment horizontal="right"/>
    </xf>
    <xf numFmtId="0" fontId="78" fillId="12" borderId="2" xfId="23" applyFont="1" applyFill="1" applyBorder="1" applyAlignment="1">
      <alignment horizontal="center"/>
    </xf>
    <xf numFmtId="2" fontId="0" fillId="14" borderId="2" xfId="0" applyNumberFormat="1" applyFill="1" applyBorder="1"/>
    <xf numFmtId="2" fontId="4" fillId="14" borderId="2" xfId="0" applyNumberFormat="1" applyFont="1" applyFill="1" applyBorder="1"/>
    <xf numFmtId="0" fontId="49" fillId="14" borderId="2" xfId="23" applyFont="1" applyFill="1" applyBorder="1"/>
    <xf numFmtId="2" fontId="0" fillId="14" borderId="2" xfId="0" applyNumberFormat="1" applyFont="1" applyFill="1" applyBorder="1"/>
    <xf numFmtId="174" fontId="0" fillId="0" borderId="0" xfId="0" applyFont="1"/>
    <xf numFmtId="181" fontId="14" fillId="0" borderId="0" xfId="32" applyNumberFormat="1" applyFont="1" applyFill="1" applyBorder="1"/>
    <xf numFmtId="181" fontId="14" fillId="0" borderId="0" xfId="1" applyNumberFormat="1" applyFont="1" applyFill="1" applyBorder="1"/>
    <xf numFmtId="164" fontId="14" fillId="0" borderId="0" xfId="1" applyNumberFormat="1" applyFont="1" applyFill="1" applyBorder="1"/>
    <xf numFmtId="164" fontId="15" fillId="7" borderId="0" xfId="32" applyNumberFormat="1" applyFont="1" applyFill="1" applyBorder="1" applyAlignment="1">
      <alignment vertical="center"/>
    </xf>
    <xf numFmtId="164" fontId="14" fillId="0" borderId="0" xfId="32" applyNumberFormat="1" applyFont="1" applyFill="1" applyBorder="1"/>
    <xf numFmtId="164" fontId="15" fillId="0" borderId="0" xfId="1" applyNumberFormat="1" applyFont="1" applyFill="1" applyBorder="1"/>
    <xf numFmtId="38" fontId="14" fillId="0" borderId="0" xfId="32" applyNumberFormat="1" applyFont="1" applyFill="1" applyBorder="1" applyAlignment="1">
      <alignment horizontal="left"/>
    </xf>
    <xf numFmtId="174" fontId="14" fillId="7" borderId="0" xfId="32" applyFont="1" applyFill="1" applyBorder="1"/>
    <xf numFmtId="174" fontId="41" fillId="0" borderId="0" xfId="19" applyFont="1" applyFill="1" applyBorder="1" applyAlignment="1" applyProtection="1"/>
    <xf numFmtId="174" fontId="42" fillId="0" borderId="0" xfId="32" applyFont="1" applyAlignment="1">
      <alignment vertical="center"/>
    </xf>
    <xf numFmtId="174" fontId="41" fillId="0" borderId="0" xfId="32" applyFont="1" applyFill="1" applyBorder="1"/>
    <xf numFmtId="174" fontId="14" fillId="0" borderId="0" xfId="32" applyFont="1" applyFill="1" applyBorder="1" applyAlignment="1">
      <alignment horizontal="right" vertical="center" wrapText="1"/>
    </xf>
    <xf numFmtId="174" fontId="14" fillId="0" borderId="0" xfId="32" applyFont="1" applyFill="1" applyBorder="1" applyAlignment="1">
      <alignment horizontal="center" vertical="center" wrapText="1"/>
    </xf>
    <xf numFmtId="174" fontId="88" fillId="0" borderId="0" xfId="32" applyFont="1" applyAlignment="1">
      <alignment vertical="center"/>
    </xf>
    <xf numFmtId="2" fontId="14" fillId="0" borderId="0" xfId="32" applyNumberFormat="1" applyFont="1" applyFill="1" applyBorder="1"/>
    <xf numFmtId="173" fontId="14" fillId="7" borderId="0" xfId="1" applyNumberFormat="1" applyFont="1" applyFill="1" applyBorder="1"/>
    <xf numFmtId="181" fontId="14" fillId="7" borderId="0" xfId="1" applyNumberFormat="1" applyFont="1" applyFill="1" applyBorder="1"/>
    <xf numFmtId="2" fontId="14" fillId="7" borderId="0" xfId="32" applyNumberFormat="1" applyFont="1" applyFill="1" applyBorder="1"/>
    <xf numFmtId="174" fontId="14" fillId="0" borderId="0" xfId="32" applyFont="1" applyFill="1" applyBorder="1" applyAlignment="1">
      <alignment horizontal="center"/>
    </xf>
    <xf numFmtId="2" fontId="13" fillId="0" borderId="0" xfId="32" applyNumberFormat="1" applyFont="1" applyFill="1" applyBorder="1" applyAlignment="1">
      <alignment horizontal="center" vertical="center" wrapText="1"/>
    </xf>
    <xf numFmtId="2" fontId="13" fillId="0" borderId="0" xfId="32" applyNumberFormat="1" applyFont="1" applyFill="1" applyBorder="1" applyAlignment="1">
      <alignment horizontal="right" vertical="center" wrapText="1"/>
    </xf>
    <xf numFmtId="2" fontId="13" fillId="0" borderId="0" xfId="18" applyNumberFormat="1" applyFont="1" applyFill="1" applyBorder="1" applyAlignment="1">
      <alignment horizontal="right"/>
    </xf>
    <xf numFmtId="174" fontId="49" fillId="0" borderId="2" xfId="31" applyFont="1" applyBorder="1" applyAlignment="1">
      <alignment vertical="center" wrapText="1"/>
    </xf>
    <xf numFmtId="174" fontId="49" fillId="0" borderId="2" xfId="31" applyFont="1" applyBorder="1" applyAlignment="1">
      <alignment horizontal="center" vertical="center"/>
    </xf>
    <xf numFmtId="174" fontId="52" fillId="0" borderId="2" xfId="31" applyFont="1" applyBorder="1" applyAlignment="1">
      <alignment horizontal="center" vertical="center"/>
    </xf>
    <xf numFmtId="174" fontId="89" fillId="14" borderId="2" xfId="31" applyFont="1" applyFill="1" applyBorder="1" applyAlignment="1">
      <alignment vertical="center" wrapText="1"/>
    </xf>
    <xf numFmtId="174" fontId="89" fillId="12" borderId="2" xfId="31" applyFont="1" applyFill="1" applyBorder="1" applyAlignment="1">
      <alignment vertical="center" wrapText="1"/>
    </xf>
    <xf numFmtId="172" fontId="89" fillId="12" borderId="2" xfId="31" applyNumberFormat="1" applyFont="1" applyFill="1" applyBorder="1" applyAlignment="1">
      <alignment horizontal="center" vertical="center"/>
    </xf>
    <xf numFmtId="172" fontId="89" fillId="12" borderId="2" xfId="31" applyNumberFormat="1" applyFont="1" applyFill="1" applyBorder="1" applyAlignment="1">
      <alignment vertical="center"/>
    </xf>
    <xf numFmtId="174" fontId="49" fillId="12" borderId="2" xfId="31" applyFont="1" applyFill="1" applyBorder="1" applyAlignment="1">
      <alignment vertical="center" wrapText="1"/>
    </xf>
    <xf numFmtId="172" fontId="49" fillId="12" borderId="2" xfId="31" applyNumberFormat="1" applyFont="1" applyFill="1" applyBorder="1" applyAlignment="1">
      <alignment horizontal="center" vertical="center"/>
    </xf>
    <xf numFmtId="174" fontId="89" fillId="0" borderId="2" xfId="31" applyFont="1" applyFill="1" applyBorder="1" applyAlignment="1">
      <alignment vertical="center" wrapText="1"/>
    </xf>
    <xf numFmtId="172" fontId="89" fillId="0" borderId="2" xfId="31" applyNumberFormat="1" applyFont="1" applyFill="1" applyBorder="1" applyAlignment="1">
      <alignment horizontal="center" vertical="center"/>
    </xf>
    <xf numFmtId="9" fontId="89" fillId="12" borderId="2" xfId="37" applyFont="1" applyFill="1" applyBorder="1" applyAlignment="1">
      <alignment horizontal="center" vertical="center"/>
    </xf>
    <xf numFmtId="174" fontId="49" fillId="14" borderId="2" xfId="31" applyFont="1" applyFill="1" applyBorder="1" applyAlignment="1">
      <alignment vertical="center" wrapText="1"/>
    </xf>
    <xf numFmtId="174" fontId="49" fillId="0" borderId="2" xfId="31" applyFont="1" applyFill="1" applyBorder="1" applyAlignment="1">
      <alignment vertical="center" wrapText="1"/>
    </xf>
    <xf numFmtId="172" fontId="49" fillId="0" borderId="2" xfId="31" applyNumberFormat="1" applyFont="1" applyFill="1" applyBorder="1" applyAlignment="1">
      <alignment horizontal="center" vertical="center"/>
    </xf>
    <xf numFmtId="174" fontId="55" fillId="12" borderId="2" xfId="31" applyFont="1" applyFill="1" applyBorder="1" applyAlignment="1">
      <alignment vertical="center" wrapText="1"/>
    </xf>
    <xf numFmtId="9" fontId="55" fillId="12" borderId="2" xfId="37" applyFont="1" applyFill="1" applyBorder="1" applyAlignment="1">
      <alignment horizontal="center" vertical="center"/>
    </xf>
    <xf numFmtId="174" fontId="56" fillId="14" borderId="2" xfId="31" applyFont="1" applyFill="1" applyBorder="1" applyAlignment="1">
      <alignment vertical="center" wrapText="1"/>
    </xf>
    <xf numFmtId="174" fontId="56" fillId="0" borderId="2" xfId="31" applyFont="1" applyFill="1" applyBorder="1" applyAlignment="1">
      <alignment vertical="center" wrapText="1"/>
    </xf>
    <xf numFmtId="172" fontId="55" fillId="0" borderId="2" xfId="31" applyNumberFormat="1" applyFont="1" applyFill="1" applyBorder="1" applyAlignment="1">
      <alignment horizontal="center" vertical="center"/>
    </xf>
    <xf numFmtId="174" fontId="56" fillId="12" borderId="2" xfId="31" applyFont="1" applyFill="1" applyBorder="1" applyAlignment="1">
      <alignment vertical="center" wrapText="1"/>
    </xf>
    <xf numFmtId="174" fontId="56" fillId="0" borderId="2" xfId="31" applyFont="1" applyBorder="1" applyAlignment="1">
      <alignment vertical="center" wrapText="1"/>
    </xf>
    <xf numFmtId="172" fontId="56" fillId="0" borderId="2" xfId="31" applyNumberFormat="1" applyFont="1" applyBorder="1" applyAlignment="1">
      <alignment horizontal="center" vertical="center"/>
    </xf>
    <xf numFmtId="1" fontId="49" fillId="0" borderId="2" xfId="31" applyNumberFormat="1" applyFont="1" applyBorder="1" applyAlignment="1">
      <alignment horizontal="center" vertical="center"/>
    </xf>
    <xf numFmtId="171" fontId="49" fillId="0" borderId="2" xfId="31" applyNumberFormat="1" applyFont="1" applyBorder="1" applyAlignment="1">
      <alignment horizontal="center" vertical="center"/>
    </xf>
    <xf numFmtId="174" fontId="49" fillId="12" borderId="2" xfId="31" applyFont="1" applyFill="1" applyBorder="1" applyAlignment="1">
      <alignment horizontal="left" vertical="center" wrapText="1"/>
    </xf>
    <xf numFmtId="174" fontId="89" fillId="0" borderId="2" xfId="31" applyFont="1" applyBorder="1" applyAlignment="1">
      <alignment vertical="center" wrapText="1"/>
    </xf>
    <xf numFmtId="1" fontId="49" fillId="0" borderId="2" xfId="31" applyNumberFormat="1" applyFont="1" applyBorder="1" applyAlignment="1">
      <alignment horizontal="right" vertical="center"/>
    </xf>
    <xf numFmtId="164" fontId="55" fillId="0" borderId="2" xfId="1" applyFont="1" applyBorder="1" applyAlignment="1">
      <alignment horizontal="center" vertical="center"/>
    </xf>
    <xf numFmtId="174" fontId="89" fillId="7" borderId="2" xfId="31" applyFont="1" applyFill="1" applyBorder="1" applyAlignment="1">
      <alignment vertical="center" wrapText="1"/>
    </xf>
    <xf numFmtId="164" fontId="89" fillId="7" borderId="2" xfId="1" applyFont="1" applyFill="1" applyBorder="1" applyAlignment="1">
      <alignment horizontal="center" vertical="center"/>
    </xf>
    <xf numFmtId="2" fontId="89" fillId="7" borderId="2" xfId="0" applyNumberFormat="1" applyFont="1" applyFill="1" applyBorder="1" applyAlignment="1">
      <alignment horizontal="center" vertical="center"/>
    </xf>
    <xf numFmtId="2" fontId="49" fillId="0" borderId="2" xfId="31" applyNumberFormat="1" applyFont="1" applyBorder="1" applyAlignment="1">
      <alignment horizontal="center" vertical="center"/>
    </xf>
    <xf numFmtId="173" fontId="52" fillId="14" borderId="2" xfId="1" applyNumberFormat="1" applyFont="1" applyFill="1" applyBorder="1" applyAlignment="1">
      <alignment horizontal="center" vertical="center"/>
    </xf>
    <xf numFmtId="174" fontId="52" fillId="12" borderId="2" xfId="31" applyFont="1" applyFill="1" applyBorder="1" applyAlignment="1">
      <alignment vertical="center" wrapText="1"/>
    </xf>
    <xf numFmtId="171" fontId="49" fillId="12" borderId="2" xfId="31" applyNumberFormat="1" applyFont="1" applyFill="1" applyBorder="1" applyAlignment="1">
      <alignment horizontal="center" vertical="center"/>
    </xf>
    <xf numFmtId="178" fontId="49" fillId="12" borderId="2" xfId="1" applyNumberFormat="1" applyFont="1" applyFill="1" applyBorder="1" applyAlignment="1">
      <alignment horizontal="center" vertical="center"/>
    </xf>
    <xf numFmtId="164" fontId="89" fillId="12" borderId="2" xfId="1" applyNumberFormat="1" applyFont="1" applyFill="1" applyBorder="1" applyAlignment="1">
      <alignment horizontal="center" vertical="center"/>
    </xf>
    <xf numFmtId="174" fontId="52" fillId="0" borderId="2" xfId="31" applyFont="1" applyBorder="1" applyAlignment="1">
      <alignment vertical="center" wrapText="1"/>
    </xf>
    <xf numFmtId="1" fontId="52" fillId="0" borderId="2" xfId="31" applyNumberFormat="1" applyFont="1" applyBorder="1" applyAlignment="1">
      <alignment horizontal="center" vertical="center"/>
    </xf>
    <xf numFmtId="174" fontId="89" fillId="18" borderId="2" xfId="31" applyFont="1" applyFill="1" applyBorder="1" applyAlignment="1">
      <alignment vertical="center" wrapText="1"/>
    </xf>
    <xf numFmtId="1" fontId="49" fillId="18" borderId="2" xfId="31" applyNumberFormat="1" applyFont="1" applyFill="1" applyBorder="1" applyAlignment="1">
      <alignment horizontal="right" vertical="center"/>
    </xf>
    <xf numFmtId="1" fontId="49" fillId="18" borderId="2" xfId="31" applyNumberFormat="1" applyFont="1" applyFill="1" applyBorder="1" applyAlignment="1">
      <alignment horizontal="center" vertical="center"/>
    </xf>
    <xf numFmtId="174" fontId="21" fillId="0" borderId="0" xfId="19" applyFont="1" applyBorder="1" applyAlignment="1" applyProtection="1">
      <alignment vertical="center"/>
    </xf>
    <xf numFmtId="174" fontId="15" fillId="0" borderId="0" xfId="32" applyFont="1" applyFill="1" applyBorder="1" applyAlignment="1">
      <alignment horizontal="right" vertical="center" wrapText="1"/>
    </xf>
    <xf numFmtId="164" fontId="55" fillId="12" borderId="2" xfId="1" applyNumberFormat="1" applyFont="1" applyFill="1" applyBorder="1"/>
    <xf numFmtId="164" fontId="55" fillId="0" borderId="2" xfId="1" applyNumberFormat="1" applyFont="1" applyFill="1" applyBorder="1"/>
    <xf numFmtId="164" fontId="56" fillId="7" borderId="14" xfId="1" applyNumberFormat="1" applyFont="1" applyFill="1" applyBorder="1" applyAlignment="1">
      <alignment horizontal="center"/>
    </xf>
    <xf numFmtId="2" fontId="14" fillId="0" borderId="0" xfId="9" applyNumberFormat="1" applyFont="1" applyFill="1" applyBorder="1" applyAlignment="1">
      <alignment horizontal="right"/>
    </xf>
    <xf numFmtId="2" fontId="16" fillId="0" borderId="0" xfId="32" applyNumberFormat="1"/>
    <xf numFmtId="9" fontId="49" fillId="12" borderId="2" xfId="23" applyNumberFormat="1" applyFont="1" applyFill="1" applyBorder="1" applyAlignment="1"/>
    <xf numFmtId="10" fontId="49" fillId="12" borderId="2" xfId="1" applyNumberFormat="1" applyFont="1" applyFill="1" applyBorder="1" applyAlignment="1"/>
    <xf numFmtId="174" fontId="0" fillId="11" borderId="5" xfId="0" applyFill="1" applyBorder="1" applyAlignment="1">
      <alignment vertical="center"/>
    </xf>
    <xf numFmtId="174" fontId="0" fillId="12" borderId="0" xfId="0" applyFill="1" applyBorder="1" applyAlignment="1">
      <alignment vertical="center"/>
    </xf>
    <xf numFmtId="174" fontId="4" fillId="12" borderId="0" xfId="0" applyFont="1" applyFill="1" applyBorder="1" applyAlignment="1">
      <alignment horizontal="center" vertical="center"/>
    </xf>
    <xf numFmtId="174" fontId="90" fillId="12" borderId="0" xfId="0" applyFont="1" applyFill="1" applyBorder="1" applyAlignment="1">
      <alignment horizontal="center" vertical="center"/>
    </xf>
    <xf numFmtId="174" fontId="90" fillId="0" borderId="0" xfId="0" applyFont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 vertical="center"/>
    </xf>
    <xf numFmtId="174" fontId="0" fillId="0" borderId="0" xfId="0" applyFill="1" applyBorder="1" applyAlignment="1">
      <alignment vertical="center"/>
    </xf>
    <xf numFmtId="1" fontId="0" fillId="12" borderId="0" xfId="0" applyNumberFormat="1" applyFill="1" applyBorder="1" applyAlignment="1">
      <alignment horizontal="center" vertical="center"/>
    </xf>
    <xf numFmtId="174" fontId="18" fillId="12" borderId="0" xfId="19" applyFill="1" applyBorder="1" applyAlignment="1" applyProtection="1">
      <alignment vertical="center"/>
    </xf>
    <xf numFmtId="173" fontId="3" fillId="12" borderId="0" xfId="1" applyNumberFormat="1" applyFont="1" applyFill="1" applyBorder="1" applyAlignment="1">
      <alignment vertical="center"/>
    </xf>
    <xf numFmtId="174" fontId="0" fillId="12" borderId="0" xfId="0" applyFill="1" applyBorder="1" applyAlignment="1">
      <alignment horizontal="center" vertical="center"/>
    </xf>
    <xf numFmtId="174" fontId="18" fillId="12" borderId="0" xfId="19" applyFill="1" applyBorder="1" applyAlignment="1" applyProtection="1"/>
    <xf numFmtId="9" fontId="91" fillId="12" borderId="0" xfId="37" applyFont="1" applyFill="1" applyBorder="1" applyAlignment="1">
      <alignment vertical="center"/>
    </xf>
    <xf numFmtId="9" fontId="91" fillId="12" borderId="0" xfId="37" applyFont="1" applyFill="1" applyBorder="1" applyAlignment="1">
      <alignment horizontal="center" vertical="center"/>
    </xf>
    <xf numFmtId="9" fontId="3" fillId="12" borderId="0" xfId="37" applyFont="1" applyFill="1" applyBorder="1" applyAlignment="1">
      <alignment horizontal="center" vertical="center"/>
    </xf>
    <xf numFmtId="9" fontId="3" fillId="12" borderId="0" xfId="37" applyFont="1" applyFill="1" applyBorder="1" applyAlignment="1">
      <alignment horizontal="center" vertical="center"/>
    </xf>
    <xf numFmtId="174" fontId="0" fillId="12" borderId="0" xfId="0" quotePrefix="1" applyFill="1" applyBorder="1" applyAlignment="1">
      <alignment vertical="center"/>
    </xf>
    <xf numFmtId="173" fontId="3" fillId="12" borderId="0" xfId="1" applyNumberFormat="1" applyFont="1" applyFill="1" applyBorder="1" applyAlignment="1">
      <alignment vertical="center"/>
    </xf>
    <xf numFmtId="1" fontId="91" fillId="12" borderId="0" xfId="0" applyNumberFormat="1" applyFont="1" applyFill="1" applyBorder="1" applyAlignment="1">
      <alignment horizontal="center" vertical="center"/>
    </xf>
    <xf numFmtId="1" fontId="0" fillId="12" borderId="0" xfId="0" applyNumberFormat="1" applyFont="1" applyFill="1" applyBorder="1" applyAlignment="1">
      <alignment horizontal="center" vertical="center"/>
    </xf>
    <xf numFmtId="1" fontId="77" fillId="12" borderId="0" xfId="0" applyNumberFormat="1" applyFont="1" applyFill="1" applyBorder="1" applyAlignment="1">
      <alignment horizontal="center" vertical="center"/>
    </xf>
    <xf numFmtId="164" fontId="91" fillId="12" borderId="0" xfId="1" applyFont="1" applyFill="1" applyBorder="1" applyAlignment="1">
      <alignment horizontal="center" vertical="center"/>
    </xf>
    <xf numFmtId="174" fontId="0" fillId="12" borderId="0" xfId="0" applyFont="1" applyFill="1" applyBorder="1" applyAlignment="1">
      <alignment vertical="center"/>
    </xf>
    <xf numFmtId="174" fontId="4" fillId="11" borderId="0" xfId="0" applyFont="1" applyFill="1" applyBorder="1" applyAlignment="1">
      <alignment vertical="center"/>
    </xf>
    <xf numFmtId="174" fontId="0" fillId="11" borderId="0" xfId="0" applyFill="1" applyBorder="1" applyAlignment="1">
      <alignment vertical="center"/>
    </xf>
    <xf numFmtId="1" fontId="81" fillId="12" borderId="0" xfId="0" applyNumberFormat="1" applyFont="1" applyFill="1" applyBorder="1" applyAlignment="1">
      <alignment horizontal="center" vertical="center"/>
    </xf>
    <xf numFmtId="164" fontId="81" fillId="12" borderId="0" xfId="1" applyFont="1" applyFill="1" applyBorder="1" applyAlignment="1">
      <alignment horizontal="center" vertical="center"/>
    </xf>
    <xf numFmtId="173" fontId="91" fillId="12" borderId="0" xfId="1" applyNumberFormat="1" applyFont="1" applyFill="1" applyBorder="1" applyAlignment="1">
      <alignment vertical="center"/>
    </xf>
    <xf numFmtId="174" fontId="0" fillId="0" borderId="0" xfId="0" quotePrefix="1" applyFill="1" applyBorder="1" applyAlignment="1">
      <alignment vertical="center"/>
    </xf>
    <xf numFmtId="173" fontId="91" fillId="0" borderId="0" xfId="1" applyNumberFormat="1" applyFont="1" applyFill="1" applyBorder="1" applyAlignment="1">
      <alignment vertical="center"/>
    </xf>
    <xf numFmtId="1" fontId="91" fillId="0" borderId="0" xfId="0" applyNumberFormat="1" applyFont="1" applyFill="1" applyBorder="1" applyAlignment="1">
      <alignment horizontal="center" vertical="center"/>
    </xf>
    <xf numFmtId="174" fontId="0" fillId="11" borderId="0" xfId="0" quotePrefix="1" applyFill="1" applyBorder="1" applyAlignment="1">
      <alignment vertical="center"/>
    </xf>
    <xf numFmtId="173" fontId="91" fillId="12" borderId="0" xfId="1" applyNumberFormat="1" applyFont="1" applyFill="1" applyBorder="1" applyAlignment="1">
      <alignment horizontal="center" vertical="center"/>
    </xf>
    <xf numFmtId="173" fontId="3" fillId="12" borderId="0" xfId="1" applyNumberFormat="1" applyFont="1" applyFill="1" applyBorder="1" applyAlignment="1">
      <alignment horizontal="center" vertical="center"/>
    </xf>
    <xf numFmtId="1" fontId="3" fillId="12" borderId="0" xfId="0" applyNumberFormat="1" applyFont="1" applyFill="1" applyBorder="1" applyAlignment="1">
      <alignment horizontal="center" vertical="center"/>
    </xf>
    <xf numFmtId="173" fontId="91" fillId="0" borderId="0" xfId="1" applyNumberFormat="1" applyFont="1" applyFill="1" applyBorder="1" applyAlignment="1">
      <alignment horizontal="center" vertical="center"/>
    </xf>
    <xf numFmtId="173" fontId="3" fillId="0" borderId="0" xfId="1" applyNumberFormat="1" applyFont="1" applyFill="1" applyBorder="1" applyAlignment="1">
      <alignment horizontal="center" vertical="center"/>
    </xf>
    <xf numFmtId="174" fontId="3" fillId="12" borderId="0" xfId="0" applyFont="1" applyFill="1" applyBorder="1" applyAlignment="1">
      <alignment vertical="center"/>
    </xf>
    <xf numFmtId="173" fontId="3" fillId="12" borderId="0" xfId="1" applyNumberFormat="1" applyFont="1" applyFill="1" applyBorder="1" applyAlignment="1">
      <alignment horizontal="center" vertical="center"/>
    </xf>
    <xf numFmtId="173" fontId="92" fillId="12" borderId="0" xfId="1" applyNumberFormat="1" applyFont="1" applyFill="1" applyBorder="1" applyAlignment="1">
      <alignment horizontal="center" vertical="center"/>
    </xf>
    <xf numFmtId="174" fontId="4" fillId="12" borderId="0" xfId="0" applyFont="1" applyFill="1" applyBorder="1" applyAlignment="1">
      <alignment vertical="top"/>
    </xf>
    <xf numFmtId="174" fontId="0" fillId="12" borderId="0" xfId="0" applyFill="1" applyBorder="1" applyAlignment="1">
      <alignment vertical="top"/>
    </xf>
    <xf numFmtId="174" fontId="0" fillId="12" borderId="0" xfId="0" applyFill="1" applyBorder="1" applyAlignment="1">
      <alignment horizontal="right" vertical="top"/>
    </xf>
    <xf numFmtId="1" fontId="91" fillId="12" borderId="0" xfId="0" applyNumberFormat="1" applyFont="1" applyFill="1" applyBorder="1" applyAlignment="1">
      <alignment vertical="top"/>
    </xf>
    <xf numFmtId="9" fontId="91" fillId="12" borderId="0" xfId="37" applyFont="1" applyFill="1" applyBorder="1" applyAlignment="1">
      <alignment vertical="top"/>
    </xf>
    <xf numFmtId="1" fontId="0" fillId="12" borderId="0" xfId="0" applyNumberFormat="1" applyFill="1" applyBorder="1" applyAlignment="1">
      <alignment horizontal="left" wrapText="1"/>
    </xf>
    <xf numFmtId="164" fontId="3" fillId="12" borderId="0" xfId="1" applyFont="1" applyFill="1" applyBorder="1" applyAlignment="1">
      <alignment vertical="center"/>
    </xf>
    <xf numFmtId="174" fontId="0" fillId="12" borderId="0" xfId="0" applyFont="1" applyFill="1" applyBorder="1" applyAlignment="1">
      <alignment vertical="top"/>
    </xf>
    <xf numFmtId="174" fontId="0" fillId="12" borderId="0" xfId="0" applyFill="1" applyBorder="1" applyAlignment="1">
      <alignment horizontal="right" vertical="center"/>
    </xf>
    <xf numFmtId="1" fontId="91" fillId="12" borderId="0" xfId="0" applyNumberFormat="1" applyFont="1" applyFill="1" applyBorder="1" applyAlignment="1">
      <alignment vertical="center"/>
    </xf>
    <xf numFmtId="1" fontId="0" fillId="12" borderId="0" xfId="0" applyNumberFormat="1" applyFill="1" applyBorder="1" applyAlignment="1">
      <alignment vertical="center"/>
    </xf>
    <xf numFmtId="174" fontId="81" fillId="12" borderId="0" xfId="0" applyFont="1" applyFill="1" applyBorder="1" applyAlignment="1">
      <alignment vertical="center"/>
    </xf>
    <xf numFmtId="9" fontId="3" fillId="12" borderId="0" xfId="37" applyFont="1" applyFill="1" applyBorder="1" applyAlignment="1">
      <alignment vertical="center"/>
    </xf>
    <xf numFmtId="174" fontId="0" fillId="12" borderId="0" xfId="0" applyFill="1" applyBorder="1" applyAlignment="1">
      <alignment vertical="center" wrapText="1"/>
    </xf>
    <xf numFmtId="174" fontId="91" fillId="12" borderId="0" xfId="0" applyFont="1" applyFill="1" applyBorder="1" applyAlignment="1">
      <alignment vertical="center"/>
    </xf>
    <xf numFmtId="173" fontId="4" fillId="12" borderId="0" xfId="1" applyNumberFormat="1" applyFont="1" applyFill="1" applyBorder="1" applyAlignment="1">
      <alignment vertical="center"/>
    </xf>
    <xf numFmtId="173" fontId="3" fillId="12" borderId="0" xfId="1" applyNumberFormat="1" applyFont="1" applyFill="1" applyBorder="1" applyAlignment="1">
      <alignment horizontal="right" vertical="center"/>
    </xf>
    <xf numFmtId="9" fontId="92" fillId="12" borderId="0" xfId="37" applyFont="1" applyFill="1" applyBorder="1" applyAlignment="1">
      <alignment vertical="center"/>
    </xf>
    <xf numFmtId="1" fontId="91" fillId="12" borderId="0" xfId="1" applyNumberFormat="1" applyFont="1" applyFill="1" applyBorder="1" applyAlignment="1">
      <alignment vertical="center"/>
    </xf>
    <xf numFmtId="1" fontId="93" fillId="12" borderId="0" xfId="0" applyNumberFormat="1" applyFont="1" applyFill="1" applyBorder="1" applyAlignment="1">
      <alignment horizontal="center" vertical="center"/>
    </xf>
    <xf numFmtId="174" fontId="93" fillId="12" borderId="0" xfId="0" applyFont="1" applyFill="1" applyBorder="1" applyAlignment="1">
      <alignment vertical="center"/>
    </xf>
    <xf numFmtId="174" fontId="93" fillId="12" borderId="0" xfId="0" quotePrefix="1" applyFont="1" applyFill="1" applyBorder="1" applyAlignment="1">
      <alignment vertical="center"/>
    </xf>
    <xf numFmtId="173" fontId="93" fillId="12" borderId="0" xfId="1" applyNumberFormat="1" applyFont="1" applyFill="1" applyBorder="1" applyAlignment="1">
      <alignment vertical="center"/>
    </xf>
    <xf numFmtId="0" fontId="0" fillId="12" borderId="0" xfId="0" applyNumberFormat="1" applyFill="1" applyBorder="1" applyAlignment="1">
      <alignment horizontal="left" vertical="center" wrapText="1"/>
    </xf>
    <xf numFmtId="1" fontId="0" fillId="12" borderId="0" xfId="0" applyNumberFormat="1" applyFill="1" applyBorder="1" applyAlignment="1">
      <alignment horizontal="center"/>
    </xf>
    <xf numFmtId="173" fontId="0" fillId="12" borderId="0" xfId="0" applyNumberFormat="1" applyFill="1" applyBorder="1" applyAlignment="1">
      <alignment horizontal="left" wrapText="1"/>
    </xf>
    <xf numFmtId="174" fontId="0" fillId="12" borderId="0" xfId="0" applyFill="1" applyBorder="1" applyAlignment="1">
      <alignment horizontal="center" vertical="center" wrapText="1"/>
    </xf>
    <xf numFmtId="0" fontId="52" fillId="12" borderId="0" xfId="23" applyFont="1" applyFill="1" applyBorder="1"/>
    <xf numFmtId="0" fontId="52" fillId="12" borderId="0" xfId="23" applyFont="1" applyFill="1" applyBorder="1" applyAlignment="1">
      <alignment horizontal="center"/>
    </xf>
    <xf numFmtId="0" fontId="52" fillId="12" borderId="0" xfId="23" applyFont="1" applyFill="1" applyBorder="1" applyAlignment="1">
      <alignment horizontal="center" wrapText="1"/>
    </xf>
    <xf numFmtId="0" fontId="49" fillId="12" borderId="0" xfId="23" applyFill="1" applyBorder="1"/>
    <xf numFmtId="0" fontId="49" fillId="12" borderId="0" xfId="23" applyFill="1" applyBorder="1" applyAlignment="1">
      <alignment horizontal="center"/>
    </xf>
    <xf numFmtId="0" fontId="49" fillId="12" borderId="0" xfId="23" applyFont="1" applyFill="1" applyBorder="1" applyAlignment="1">
      <alignment horizontal="center"/>
    </xf>
    <xf numFmtId="2" fontId="0" fillId="12" borderId="0" xfId="0" applyNumberFormat="1" applyFill="1" applyBorder="1" applyAlignment="1">
      <alignment vertical="center"/>
    </xf>
    <xf numFmtId="0" fontId="76" fillId="12" borderId="0" xfId="23" applyFont="1" applyFill="1" applyBorder="1" applyAlignment="1">
      <alignment vertical="center"/>
    </xf>
    <xf numFmtId="0" fontId="78" fillId="12" borderId="0" xfId="23" applyFont="1" applyFill="1" applyBorder="1" applyAlignment="1"/>
    <xf numFmtId="173" fontId="78" fillId="12" borderId="0" xfId="1" applyNumberFormat="1" applyFont="1" applyFill="1" applyBorder="1"/>
    <xf numFmtId="43" fontId="49" fillId="12" borderId="0" xfId="23" applyNumberFormat="1" applyFill="1" applyBorder="1"/>
    <xf numFmtId="0" fontId="49" fillId="12" borderId="0" xfId="23" applyFont="1" applyFill="1" applyBorder="1" applyAlignment="1"/>
    <xf numFmtId="164" fontId="49" fillId="12" borderId="0" xfId="1" applyFont="1" applyFill="1" applyBorder="1"/>
    <xf numFmtId="173" fontId="78" fillId="12" borderId="0" xfId="1" applyNumberFormat="1" applyFont="1" applyFill="1" applyBorder="1" applyAlignment="1"/>
    <xf numFmtId="164" fontId="78" fillId="12" borderId="0" xfId="1" applyFont="1" applyFill="1" applyBorder="1"/>
    <xf numFmtId="173" fontId="49" fillId="12" borderId="0" xfId="1" applyNumberFormat="1" applyFont="1" applyFill="1" applyBorder="1" applyAlignment="1"/>
    <xf numFmtId="173" fontId="55" fillId="12" borderId="0" xfId="1" applyNumberFormat="1" applyFont="1" applyFill="1" applyBorder="1" applyAlignment="1"/>
    <xf numFmtId="164" fontId="52" fillId="12" borderId="0" xfId="23" applyNumberFormat="1" applyFont="1" applyFill="1" applyBorder="1" applyAlignment="1">
      <alignment horizontal="center"/>
    </xf>
    <xf numFmtId="0" fontId="81" fillId="12" borderId="0" xfId="0" applyNumberFormat="1" applyFont="1" applyFill="1" applyBorder="1" applyAlignment="1">
      <alignment horizontal="center" vertical="center"/>
    </xf>
    <xf numFmtId="0" fontId="90" fillId="12" borderId="0" xfId="0" applyNumberFormat="1" applyFont="1" applyFill="1" applyBorder="1" applyAlignment="1">
      <alignment vertical="center"/>
    </xf>
    <xf numFmtId="2" fontId="3" fillId="12" borderId="0" xfId="1" applyNumberFormat="1" applyFont="1" applyFill="1" applyBorder="1" applyAlignment="1">
      <alignment vertical="center"/>
    </xf>
    <xf numFmtId="0" fontId="4" fillId="12" borderId="0" xfId="0" applyNumberFormat="1" applyFont="1" applyFill="1" applyBorder="1" applyAlignment="1">
      <alignment horizontal="center" vertical="center"/>
    </xf>
    <xf numFmtId="0" fontId="94" fillId="12" borderId="0" xfId="0" applyNumberFormat="1" applyFont="1" applyFill="1" applyBorder="1" applyAlignment="1">
      <alignment horizontal="center" vertical="center"/>
    </xf>
    <xf numFmtId="174" fontId="0" fillId="12" borderId="0" xfId="0" applyFill="1" applyBorder="1" applyAlignment="1"/>
    <xf numFmtId="9" fontId="0" fillId="12" borderId="0" xfId="0" applyNumberFormat="1" applyFill="1" applyBorder="1" applyAlignment="1">
      <alignment horizontal="center"/>
    </xf>
    <xf numFmtId="164" fontId="32" fillId="12" borderId="0" xfId="1" applyFont="1" applyFill="1" applyBorder="1" applyAlignment="1">
      <alignment vertical="center"/>
    </xf>
    <xf numFmtId="174" fontId="0" fillId="19" borderId="0" xfId="0" applyFill="1" applyBorder="1" applyAlignment="1">
      <alignment horizontal="center" vertical="center"/>
    </xf>
    <xf numFmtId="174" fontId="0" fillId="19" borderId="0" xfId="0" applyFill="1" applyBorder="1" applyAlignment="1">
      <alignment vertical="center"/>
    </xf>
    <xf numFmtId="174" fontId="0" fillId="0" borderId="0" xfId="0" applyAlignment="1">
      <alignment horizontal="center"/>
    </xf>
    <xf numFmtId="2" fontId="56" fillId="14" borderId="2" xfId="26" applyNumberFormat="1" applyFont="1" applyFill="1" applyBorder="1" applyAlignment="1">
      <alignment horizontal="center" vertical="center" wrapText="1"/>
    </xf>
    <xf numFmtId="0" fontId="49" fillId="0" borderId="0" xfId="23" applyFont="1"/>
    <xf numFmtId="2" fontId="0" fillId="12" borderId="0" xfId="0" applyNumberFormat="1" applyFill="1" applyBorder="1" applyAlignment="1">
      <alignment horizontal="right" vertical="center"/>
    </xf>
    <xf numFmtId="2" fontId="49" fillId="12" borderId="0" xfId="23" applyNumberFormat="1" applyFill="1" applyBorder="1"/>
    <xf numFmtId="2" fontId="49" fillId="12" borderId="0" xfId="1" applyNumberFormat="1" applyFont="1" applyFill="1" applyBorder="1"/>
    <xf numFmtId="2" fontId="52" fillId="12" borderId="0" xfId="23" applyNumberFormat="1" applyFont="1" applyFill="1" applyBorder="1" applyAlignment="1">
      <alignment horizontal="right"/>
    </xf>
    <xf numFmtId="9" fontId="78" fillId="12" borderId="2" xfId="23" applyNumberFormat="1" applyFont="1" applyFill="1" applyBorder="1" applyAlignment="1"/>
    <xf numFmtId="0" fontId="49" fillId="0" borderId="0" xfId="23" applyBorder="1"/>
    <xf numFmtId="0" fontId="71" fillId="0" borderId="0" xfId="23" applyFont="1" applyBorder="1"/>
    <xf numFmtId="0" fontId="52" fillId="11" borderId="0" xfId="23" applyFont="1" applyFill="1" applyBorder="1"/>
    <xf numFmtId="0" fontId="49" fillId="11" borderId="0" xfId="23" applyFill="1" applyBorder="1"/>
    <xf numFmtId="0" fontId="52" fillId="0" borderId="0" xfId="23" applyFont="1" applyBorder="1" applyAlignment="1">
      <alignment horizontal="center"/>
    </xf>
    <xf numFmtId="0" fontId="49" fillId="0" borderId="0" xfId="23" applyFont="1" applyBorder="1"/>
    <xf numFmtId="9" fontId="52" fillId="0" borderId="0" xfId="23" applyNumberFormat="1" applyFont="1" applyBorder="1" applyAlignment="1">
      <alignment horizontal="center"/>
    </xf>
    <xf numFmtId="0" fontId="49" fillId="0" borderId="0" xfId="23" applyBorder="1" applyAlignment="1">
      <alignment horizontal="center"/>
    </xf>
    <xf numFmtId="0" fontId="49" fillId="0" borderId="0" xfId="23" applyFont="1" applyBorder="1" applyAlignment="1">
      <alignment horizontal="center"/>
    </xf>
    <xf numFmtId="0" fontId="55" fillId="12" borderId="0" xfId="23" applyFont="1" applyFill="1" applyBorder="1" applyAlignment="1"/>
    <xf numFmtId="173" fontId="55" fillId="12" borderId="0" xfId="1" applyNumberFormat="1" applyFont="1" applyFill="1" applyBorder="1"/>
    <xf numFmtId="173" fontId="49" fillId="12" borderId="0" xfId="23" applyNumberFormat="1" applyFill="1" applyBorder="1"/>
    <xf numFmtId="164" fontId="49" fillId="12" borderId="0" xfId="23" applyNumberFormat="1" applyFill="1" applyBorder="1"/>
    <xf numFmtId="0" fontId="76" fillId="14" borderId="0" xfId="23" applyFont="1" applyFill="1" applyBorder="1" applyAlignment="1">
      <alignment vertical="center"/>
    </xf>
    <xf numFmtId="0" fontId="49" fillId="14" borderId="0" xfId="23" applyFont="1" applyFill="1" applyBorder="1" applyAlignment="1"/>
    <xf numFmtId="173" fontId="49" fillId="14" borderId="0" xfId="1" applyNumberFormat="1" applyFont="1" applyFill="1" applyBorder="1"/>
    <xf numFmtId="173" fontId="49" fillId="14" borderId="0" xfId="23" applyNumberFormat="1" applyFill="1" applyBorder="1"/>
    <xf numFmtId="0" fontId="76" fillId="11" borderId="0" xfId="23" applyFont="1" applyFill="1" applyBorder="1" applyAlignment="1">
      <alignment vertical="center"/>
    </xf>
    <xf numFmtId="173" fontId="49" fillId="14" borderId="0" xfId="1" applyNumberFormat="1" applyFont="1" applyFill="1" applyBorder="1" applyAlignment="1"/>
    <xf numFmtId="164" fontId="49" fillId="14" borderId="0" xfId="1" applyFont="1" applyFill="1" applyBorder="1"/>
    <xf numFmtId="0" fontId="49" fillId="0" borderId="0" xfId="23" applyFill="1" applyBorder="1"/>
    <xf numFmtId="0" fontId="76" fillId="0" borderId="0" xfId="23" applyFont="1" applyFill="1" applyBorder="1" applyAlignment="1">
      <alignment vertical="center"/>
    </xf>
    <xf numFmtId="173" fontId="49" fillId="0" borderId="0" xfId="1" applyNumberFormat="1" applyFont="1" applyFill="1" applyBorder="1" applyAlignment="1"/>
    <xf numFmtId="164" fontId="49" fillId="0" borderId="0" xfId="1" applyFont="1" applyFill="1" applyBorder="1"/>
    <xf numFmtId="0" fontId="52" fillId="14" borderId="0" xfId="23" applyFont="1" applyFill="1" applyBorder="1"/>
    <xf numFmtId="164" fontId="52" fillId="14" borderId="0" xfId="23" applyNumberFormat="1" applyFont="1" applyFill="1" applyBorder="1" applyAlignment="1">
      <alignment horizontal="center"/>
    </xf>
    <xf numFmtId="43" fontId="49" fillId="0" borderId="0" xfId="23" applyNumberFormat="1" applyBorder="1"/>
    <xf numFmtId="0" fontId="52" fillId="0" borderId="0" xfId="23" applyFont="1" applyFill="1" applyBorder="1"/>
    <xf numFmtId="164" fontId="52" fillId="0" borderId="0" xfId="23" applyNumberFormat="1" applyFont="1" applyFill="1" applyBorder="1" applyAlignment="1">
      <alignment horizontal="center"/>
    </xf>
    <xf numFmtId="164" fontId="52" fillId="0" borderId="0" xfId="1" applyFont="1" applyFill="1" applyBorder="1" applyAlignment="1">
      <alignment horizontal="center"/>
    </xf>
    <xf numFmtId="43" fontId="49" fillId="0" borderId="0" xfId="23" applyNumberFormat="1" applyFill="1" applyBorder="1"/>
    <xf numFmtId="164" fontId="49" fillId="0" borderId="0" xfId="23" applyNumberFormat="1" applyBorder="1" applyAlignment="1">
      <alignment horizontal="center"/>
    </xf>
    <xf numFmtId="173" fontId="49" fillId="0" borderId="0" xfId="1" applyNumberFormat="1" applyFont="1" applyBorder="1"/>
    <xf numFmtId="1" fontId="49" fillId="0" borderId="0" xfId="23" applyNumberFormat="1" applyBorder="1"/>
    <xf numFmtId="0" fontId="0" fillId="0" borderId="0" xfId="0" applyNumberFormat="1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left" vertical="center" wrapText="1"/>
    </xf>
    <xf numFmtId="0" fontId="78" fillId="12" borderId="0" xfId="23" applyFont="1" applyFill="1" applyBorder="1"/>
    <xf numFmtId="179" fontId="49" fillId="12" borderId="0" xfId="1" applyNumberFormat="1" applyFont="1" applyFill="1" applyBorder="1"/>
    <xf numFmtId="179" fontId="49" fillId="12" borderId="0" xfId="23" applyNumberFormat="1" applyFill="1" applyBorder="1"/>
    <xf numFmtId="0" fontId="49" fillId="14" borderId="0" xfId="23" applyFill="1" applyBorder="1"/>
    <xf numFmtId="0" fontId="49" fillId="11" borderId="0" xfId="23" applyFont="1" applyFill="1" applyBorder="1"/>
    <xf numFmtId="0" fontId="49" fillId="12" borderId="0" xfId="23" applyFont="1" applyFill="1" applyBorder="1"/>
    <xf numFmtId="0" fontId="49" fillId="14" borderId="0" xfId="23" applyFont="1" applyFill="1" applyBorder="1"/>
    <xf numFmtId="0" fontId="49" fillId="12" borderId="0" xfId="23" applyFont="1" applyFill="1" applyBorder="1"/>
    <xf numFmtId="0" fontId="49" fillId="14" borderId="0" xfId="23" applyFont="1" applyFill="1" applyBorder="1"/>
    <xf numFmtId="0" fontId="49" fillId="0" borderId="0" xfId="23" applyFont="1" applyFill="1" applyBorder="1"/>
    <xf numFmtId="0" fontId="49" fillId="15" borderId="0" xfId="23" applyFill="1" applyBorder="1"/>
    <xf numFmtId="0" fontId="49" fillId="15" borderId="0" xfId="23" applyFont="1" applyFill="1" applyBorder="1"/>
    <xf numFmtId="164" fontId="49" fillId="15" borderId="0" xfId="1" applyFont="1" applyFill="1" applyBorder="1"/>
    <xf numFmtId="43" fontId="49" fillId="15" borderId="0" xfId="23" applyNumberFormat="1" applyFill="1" applyBorder="1"/>
    <xf numFmtId="0" fontId="49" fillId="11" borderId="0" xfId="23" applyFont="1" applyFill="1" applyBorder="1"/>
    <xf numFmtId="0" fontId="49" fillId="0" borderId="0" xfId="23" applyFont="1" applyFill="1" applyBorder="1"/>
    <xf numFmtId="0" fontId="49" fillId="12" borderId="0" xfId="23" applyFont="1" applyFill="1" applyBorder="1"/>
    <xf numFmtId="0" fontId="49" fillId="15" borderId="0" xfId="23" applyFont="1" applyFill="1" applyBorder="1"/>
    <xf numFmtId="0" fontId="49" fillId="0" borderId="0" xfId="23" applyFont="1" applyBorder="1"/>
    <xf numFmtId="0" fontId="52" fillId="0" borderId="0" xfId="23" applyFont="1" applyBorder="1"/>
    <xf numFmtId="0" fontId="49" fillId="0" borderId="0" xfId="23" applyFont="1" applyBorder="1"/>
    <xf numFmtId="0" fontId="49" fillId="12" borderId="0" xfId="23" quotePrefix="1" applyFill="1" applyBorder="1"/>
    <xf numFmtId="178" fontId="49" fillId="12" borderId="0" xfId="1" applyNumberFormat="1" applyFont="1" applyFill="1" applyBorder="1"/>
    <xf numFmtId="173" fontId="49" fillId="12" borderId="0" xfId="1" applyNumberFormat="1" applyFont="1" applyFill="1" applyBorder="1"/>
    <xf numFmtId="43" fontId="49" fillId="14" borderId="0" xfId="23" applyNumberFormat="1" applyFill="1" applyBorder="1"/>
    <xf numFmtId="164" fontId="49" fillId="0" borderId="0" xfId="23" applyNumberFormat="1" applyBorder="1"/>
    <xf numFmtId="43" fontId="52" fillId="14" borderId="0" xfId="23" applyNumberFormat="1" applyFont="1" applyFill="1" applyBorder="1"/>
    <xf numFmtId="164" fontId="49" fillId="0" borderId="0" xfId="1" applyFont="1" applyBorder="1"/>
    <xf numFmtId="10" fontId="0" fillId="0" borderId="0" xfId="0" applyNumberFormat="1" applyAlignment="1">
      <alignment vertical="center"/>
    </xf>
    <xf numFmtId="174" fontId="55" fillId="12" borderId="12" xfId="26" applyFont="1" applyFill="1" applyBorder="1" applyAlignment="1">
      <alignment vertical="center" wrapText="1"/>
    </xf>
    <xf numFmtId="174" fontId="55" fillId="12" borderId="14" xfId="26" applyFont="1" applyFill="1" applyBorder="1" applyAlignment="1">
      <alignment vertical="center" wrapText="1"/>
    </xf>
    <xf numFmtId="2" fontId="95" fillId="0" borderId="2" xfId="26" applyNumberFormat="1" applyFont="1" applyFill="1" applyBorder="1" applyAlignment="1">
      <alignment vertical="center" wrapText="1"/>
    </xf>
    <xf numFmtId="2" fontId="95" fillId="12" borderId="2" xfId="26" applyNumberFormat="1" applyFont="1" applyFill="1" applyBorder="1" applyAlignment="1">
      <alignment vertical="center" wrapText="1"/>
    </xf>
    <xf numFmtId="2" fontId="55" fillId="0" borderId="2" xfId="1" applyNumberFormat="1" applyFont="1" applyFill="1" applyBorder="1" applyAlignment="1">
      <alignment horizontal="center" vertical="center" wrapText="1"/>
    </xf>
    <xf numFmtId="2" fontId="55" fillId="12" borderId="2" xfId="1" applyNumberFormat="1" applyFont="1" applyFill="1" applyBorder="1" applyAlignment="1">
      <alignment horizontal="center" vertical="center" wrapText="1"/>
    </xf>
    <xf numFmtId="2" fontId="56" fillId="15" borderId="2" xfId="26" applyNumberFormat="1" applyFont="1" applyFill="1" applyBorder="1" applyAlignment="1">
      <alignment vertical="center" wrapText="1"/>
    </xf>
    <xf numFmtId="2" fontId="49" fillId="0" borderId="2" xfId="1" applyNumberFormat="1" applyFont="1" applyBorder="1" applyAlignment="1">
      <alignment horizontal="center" vertical="center"/>
    </xf>
    <xf numFmtId="2" fontId="89" fillId="14" borderId="2" xfId="31" applyNumberFormat="1" applyFont="1" applyFill="1" applyBorder="1" applyAlignment="1">
      <alignment vertical="center"/>
    </xf>
    <xf numFmtId="2" fontId="89" fillId="14" borderId="2" xfId="31" applyNumberFormat="1" applyFont="1" applyFill="1" applyBorder="1" applyAlignment="1">
      <alignment horizontal="center" vertical="center"/>
    </xf>
    <xf numFmtId="2" fontId="49" fillId="12" borderId="2" xfId="1" applyNumberFormat="1" applyFont="1" applyFill="1" applyBorder="1" applyAlignment="1">
      <alignment horizontal="center" vertical="center"/>
    </xf>
    <xf numFmtId="2" fontId="49" fillId="12" borderId="2" xfId="31" applyNumberFormat="1" applyFont="1" applyFill="1" applyBorder="1" applyAlignment="1">
      <alignment horizontal="center" vertical="center"/>
    </xf>
    <xf numFmtId="2" fontId="49" fillId="14" borderId="2" xfId="31" applyNumberFormat="1" applyFont="1" applyFill="1" applyBorder="1" applyAlignment="1">
      <alignment horizontal="center" vertical="center"/>
    </xf>
    <xf numFmtId="2" fontId="96" fillId="12" borderId="2" xfId="1" applyNumberFormat="1" applyFont="1" applyFill="1" applyBorder="1" applyAlignment="1">
      <alignment horizontal="center" vertical="center"/>
    </xf>
    <xf numFmtId="2" fontId="55" fillId="14" borderId="2" xfId="31" applyNumberFormat="1" applyFont="1" applyFill="1" applyBorder="1" applyAlignment="1">
      <alignment horizontal="center" vertical="center"/>
    </xf>
    <xf numFmtId="2" fontId="55" fillId="12" borderId="2" xfId="1" applyNumberFormat="1" applyFont="1" applyFill="1" applyBorder="1" applyAlignment="1">
      <alignment vertical="center"/>
    </xf>
    <xf numFmtId="2" fontId="15" fillId="7" borderId="0" xfId="12" applyNumberFormat="1" applyFont="1" applyFill="1" applyBorder="1" applyAlignment="1">
      <alignment vertical="center"/>
    </xf>
    <xf numFmtId="2" fontId="15" fillId="0" borderId="0" xfId="32" applyNumberFormat="1" applyFont="1" applyBorder="1" applyAlignment="1">
      <alignment vertical="center"/>
    </xf>
    <xf numFmtId="2" fontId="14" fillId="0" borderId="0" xfId="1" applyNumberFormat="1" applyFont="1" applyBorder="1" applyAlignment="1">
      <alignment vertical="center"/>
    </xf>
    <xf numFmtId="2" fontId="14" fillId="0" borderId="0" xfId="32" applyNumberFormat="1" applyFont="1" applyBorder="1" applyAlignment="1">
      <alignment vertical="center"/>
    </xf>
    <xf numFmtId="2" fontId="15" fillId="0" borderId="0" xfId="12" applyNumberFormat="1" applyFont="1" applyFill="1" applyBorder="1" applyAlignment="1">
      <alignment vertical="center"/>
    </xf>
    <xf numFmtId="2" fontId="14" fillId="0" borderId="0" xfId="32" applyNumberFormat="1" applyFont="1" applyFill="1" applyBorder="1" applyAlignment="1">
      <alignment vertical="center"/>
    </xf>
    <xf numFmtId="2" fontId="12" fillId="0" borderId="0" xfId="1" applyNumberFormat="1" applyFont="1" applyFill="1" applyBorder="1" applyAlignment="1">
      <alignment vertical="center"/>
    </xf>
    <xf numFmtId="2" fontId="68" fillId="0" borderId="0" xfId="31" applyNumberFormat="1" applyFont="1" applyBorder="1" applyAlignment="1">
      <alignment horizontal="center" vertical="center"/>
    </xf>
    <xf numFmtId="2" fontId="14" fillId="0" borderId="0" xfId="1" applyNumberFormat="1" applyFont="1" applyFill="1" applyBorder="1" applyAlignment="1">
      <alignment vertical="center"/>
    </xf>
    <xf numFmtId="2" fontId="56" fillId="0" borderId="2" xfId="31" applyNumberFormat="1" applyFont="1" applyBorder="1" applyAlignment="1">
      <alignment horizontal="center" vertical="center"/>
    </xf>
    <xf numFmtId="0" fontId="76" fillId="11" borderId="14" xfId="23" applyFont="1" applyFill="1" applyBorder="1" applyAlignment="1">
      <alignment vertical="center"/>
    </xf>
    <xf numFmtId="173" fontId="14" fillId="12" borderId="2" xfId="1" applyNumberFormat="1" applyFont="1" applyFill="1" applyBorder="1" applyAlignment="1">
      <alignment vertical="center"/>
    </xf>
    <xf numFmtId="174" fontId="10" fillId="0" borderId="1" xfId="31" applyFont="1" applyBorder="1" applyAlignment="1">
      <alignment vertical="center" wrapText="1"/>
    </xf>
    <xf numFmtId="174" fontId="68" fillId="0" borderId="6" xfId="31" applyFont="1" applyBorder="1" applyAlignment="1">
      <alignment vertical="center" wrapText="1"/>
    </xf>
    <xf numFmtId="174" fontId="68" fillId="0" borderId="8" xfId="31" applyFont="1" applyBorder="1" applyAlignment="1">
      <alignment vertical="center" wrapText="1"/>
    </xf>
    <xf numFmtId="174" fontId="14" fillId="0" borderId="8" xfId="0" applyFont="1" applyBorder="1" applyAlignment="1">
      <alignment vertical="center" wrapText="1"/>
    </xf>
    <xf numFmtId="174" fontId="10" fillId="0" borderId="8" xfId="31" applyFont="1" applyBorder="1" applyAlignment="1">
      <alignment vertical="center" wrapText="1"/>
    </xf>
    <xf numFmtId="174" fontId="10" fillId="0" borderId="9" xfId="31" applyFont="1" applyBorder="1" applyAlignment="1">
      <alignment vertical="center" wrapText="1"/>
    </xf>
    <xf numFmtId="1" fontId="68" fillId="0" borderId="7" xfId="31" applyNumberFormat="1" applyFont="1" applyBorder="1" applyAlignment="1">
      <alignment horizontal="center" vertical="center"/>
    </xf>
    <xf numFmtId="173" fontId="55" fillId="0" borderId="2" xfId="1" applyNumberFormat="1" applyFont="1" applyFill="1" applyBorder="1" applyAlignment="1">
      <alignment horizontal="center" vertical="center"/>
    </xf>
    <xf numFmtId="173" fontId="89" fillId="18" borderId="2" xfId="1" applyNumberFormat="1" applyFont="1" applyFill="1" applyBorder="1" applyAlignment="1">
      <alignment horizontal="center" vertical="center"/>
    </xf>
    <xf numFmtId="173" fontId="89" fillId="12" borderId="2" xfId="1" applyNumberFormat="1" applyFont="1" applyFill="1" applyBorder="1" applyAlignment="1">
      <alignment horizontal="center" vertical="center"/>
    </xf>
    <xf numFmtId="173" fontId="49" fillId="0" borderId="2" xfId="1" applyNumberFormat="1" applyFont="1" applyBorder="1" applyAlignment="1">
      <alignment horizontal="center" vertical="center"/>
    </xf>
    <xf numFmtId="174" fontId="97" fillId="12" borderId="2" xfId="31" applyFont="1" applyFill="1" applyBorder="1" applyAlignment="1">
      <alignment vertical="center" wrapText="1"/>
    </xf>
    <xf numFmtId="174" fontId="4" fillId="7" borderId="0" xfId="0" applyFont="1" applyFill="1"/>
    <xf numFmtId="2" fontId="4" fillId="7" borderId="0" xfId="0" applyNumberFormat="1" applyFont="1" applyFill="1"/>
    <xf numFmtId="9" fontId="49" fillId="0" borderId="0" xfId="23" applyNumberFormat="1" applyFont="1"/>
    <xf numFmtId="174" fontId="4" fillId="0" borderId="0" xfId="0" applyFont="1" applyAlignment="1">
      <alignment horizontal="center"/>
    </xf>
    <xf numFmtId="0" fontId="49" fillId="0" borderId="0" xfId="23" applyFont="1" applyAlignment="1">
      <alignment horizontal="center"/>
    </xf>
    <xf numFmtId="2" fontId="78" fillId="12" borderId="2" xfId="23" applyNumberFormat="1" applyFont="1" applyFill="1" applyBorder="1" applyAlignment="1"/>
    <xf numFmtId="2" fontId="49" fillId="12" borderId="2" xfId="23" applyNumberFormat="1" applyFont="1" applyFill="1" applyBorder="1" applyAlignment="1"/>
    <xf numFmtId="2" fontId="49" fillId="12" borderId="2" xfId="1" applyNumberFormat="1" applyFont="1" applyFill="1" applyBorder="1" applyAlignment="1"/>
    <xf numFmtId="172" fontId="14" fillId="0" borderId="2" xfId="0" applyNumberFormat="1" applyFont="1" applyBorder="1" applyAlignment="1">
      <alignment horizontal="center" vertical="center"/>
    </xf>
    <xf numFmtId="173" fontId="4" fillId="12" borderId="2" xfId="1" applyNumberFormat="1" applyFont="1" applyFill="1" applyBorder="1" applyAlignment="1">
      <alignment horizontal="center" vertical="top" wrapText="1"/>
    </xf>
    <xf numFmtId="173" fontId="3" fillId="12" borderId="2" xfId="1" applyNumberFormat="1" applyFont="1" applyFill="1" applyBorder="1" applyAlignment="1">
      <alignment horizontal="center" vertical="top" wrapText="1"/>
    </xf>
    <xf numFmtId="173" fontId="49" fillId="12" borderId="14" xfId="1" applyNumberFormat="1" applyFont="1" applyFill="1" applyBorder="1"/>
    <xf numFmtId="173" fontId="49" fillId="0" borderId="2" xfId="1" applyNumberFormat="1" applyFont="1" applyFill="1" applyBorder="1"/>
    <xf numFmtId="173" fontId="55" fillId="12" borderId="14" xfId="1" applyNumberFormat="1" applyFont="1" applyFill="1" applyBorder="1"/>
    <xf numFmtId="173" fontId="56" fillId="7" borderId="14" xfId="1" applyNumberFormat="1" applyFont="1" applyFill="1" applyBorder="1" applyAlignment="1"/>
    <xf numFmtId="173" fontId="56" fillId="7" borderId="14" xfId="1" applyNumberFormat="1" applyFont="1" applyFill="1" applyBorder="1" applyAlignment="1">
      <alignment horizontal="center"/>
    </xf>
    <xf numFmtId="2" fontId="26" fillId="0" borderId="0" xfId="32" applyNumberFormat="1" applyFont="1" applyFill="1" applyBorder="1" applyAlignment="1">
      <alignment horizontal="center" vertical="center" wrapText="1"/>
    </xf>
    <xf numFmtId="1" fontId="14" fillId="0" borderId="0" xfId="32" applyNumberFormat="1" applyFont="1" applyBorder="1" applyAlignment="1">
      <alignment vertical="center"/>
    </xf>
    <xf numFmtId="164" fontId="56" fillId="14" borderId="2" xfId="1" applyNumberFormat="1" applyFont="1" applyFill="1" applyBorder="1" applyAlignment="1">
      <alignment vertical="center" wrapText="1"/>
    </xf>
    <xf numFmtId="9" fontId="55" fillId="14" borderId="2" xfId="37" applyFont="1" applyFill="1" applyBorder="1" applyAlignment="1">
      <alignment horizontal="center" vertical="center" wrapText="1"/>
    </xf>
    <xf numFmtId="0" fontId="3" fillId="14" borderId="2" xfId="0" applyNumberFormat="1" applyFont="1" applyFill="1" applyBorder="1" applyAlignment="1">
      <alignment horizontal="center"/>
    </xf>
    <xf numFmtId="0" fontId="3" fillId="0" borderId="2" xfId="0" applyNumberFormat="1" applyFont="1" applyFill="1" applyBorder="1" applyAlignment="1">
      <alignment horizontal="center"/>
    </xf>
    <xf numFmtId="164" fontId="56" fillId="0" borderId="2" xfId="1" applyNumberFormat="1" applyFont="1" applyFill="1" applyBorder="1" applyAlignment="1">
      <alignment vertical="center" wrapText="1"/>
    </xf>
    <xf numFmtId="9" fontId="55" fillId="0" borderId="2" xfId="37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/>
    </xf>
    <xf numFmtId="1" fontId="80" fillId="0" borderId="2" xfId="26" applyNumberFormat="1" applyFont="1" applyFill="1" applyBorder="1" applyAlignment="1">
      <alignment horizontal="center" vertical="center" wrapText="1"/>
    </xf>
    <xf numFmtId="2" fontId="80" fillId="0" borderId="2" xfId="26" applyNumberFormat="1" applyFont="1" applyFill="1" applyBorder="1" applyAlignment="1">
      <alignment vertical="center" wrapText="1"/>
    </xf>
    <xf numFmtId="0" fontId="0" fillId="0" borderId="0" xfId="0" applyNumberFormat="1" applyFill="1"/>
    <xf numFmtId="2" fontId="0" fillId="0" borderId="0" xfId="0" applyNumberFormat="1" applyFill="1"/>
    <xf numFmtId="174" fontId="62" fillId="0" borderId="2" xfId="26" applyFont="1" applyFill="1" applyBorder="1" applyAlignment="1">
      <alignment horizontal="center" vertical="center" wrapText="1"/>
    </xf>
    <xf numFmtId="174" fontId="73" fillId="0" borderId="2" xfId="26" applyFont="1" applyFill="1" applyBorder="1" applyAlignment="1">
      <alignment horizontal="center" vertical="center" wrapText="1"/>
    </xf>
    <xf numFmtId="174" fontId="4" fillId="14" borderId="0" xfId="0" applyFont="1" applyFill="1" applyBorder="1" applyAlignment="1">
      <alignment vertical="center"/>
    </xf>
    <xf numFmtId="3" fontId="4" fillId="14" borderId="0" xfId="0" applyNumberFormat="1" applyFont="1" applyFill="1" applyAlignment="1">
      <alignment vertical="center"/>
    </xf>
    <xf numFmtId="2" fontId="4" fillId="14" borderId="0" xfId="37" applyNumberFormat="1" applyFont="1" applyFill="1" applyBorder="1" applyAlignment="1">
      <alignment vertical="center"/>
    </xf>
    <xf numFmtId="173" fontId="4" fillId="14" borderId="0" xfId="37" applyNumberFormat="1" applyFont="1" applyFill="1" applyBorder="1" applyAlignment="1">
      <alignment vertical="center"/>
    </xf>
    <xf numFmtId="174" fontId="72" fillId="15" borderId="2" xfId="26" applyFont="1" applyFill="1" applyBorder="1" applyAlignment="1">
      <alignment vertical="center" wrapText="1"/>
    </xf>
    <xf numFmtId="0" fontId="29" fillId="14" borderId="2" xfId="0" applyNumberFormat="1" applyFont="1" applyFill="1" applyBorder="1"/>
    <xf numFmtId="0" fontId="29" fillId="0" borderId="2" xfId="0" applyNumberFormat="1" applyFont="1" applyFill="1" applyBorder="1"/>
    <xf numFmtId="174" fontId="1" fillId="11" borderId="2" xfId="31" applyFont="1" applyFill="1" applyBorder="1" applyAlignment="1">
      <alignment vertical="center" wrapText="1"/>
    </xf>
    <xf numFmtId="174" fontId="55" fillId="15" borderId="2" xfId="26" applyFont="1" applyFill="1" applyBorder="1" applyAlignment="1">
      <alignment vertical="center" wrapText="1"/>
    </xf>
    <xf numFmtId="174" fontId="56" fillId="0" borderId="2" xfId="28" applyNumberFormat="1" applyFont="1" applyFill="1" applyBorder="1" applyAlignment="1">
      <alignment vertical="center" wrapText="1"/>
    </xf>
    <xf numFmtId="164" fontId="55" fillId="0" borderId="2" xfId="1" applyNumberFormat="1" applyFont="1" applyFill="1" applyBorder="1" applyAlignment="1">
      <alignment vertical="center" wrapText="1"/>
    </xf>
    <xf numFmtId="0" fontId="49" fillId="0" borderId="4" xfId="22" applyBorder="1"/>
    <xf numFmtId="2" fontId="0" fillId="0" borderId="0" xfId="0" applyNumberFormat="1" applyFont="1"/>
    <xf numFmtId="2" fontId="0" fillId="0" borderId="2" xfId="0" applyNumberFormat="1" applyFont="1" applyBorder="1"/>
    <xf numFmtId="2" fontId="55" fillId="0" borderId="2" xfId="26" applyNumberFormat="1" applyFont="1" applyBorder="1" applyAlignment="1">
      <alignment horizontal="center" vertical="center" wrapText="1"/>
    </xf>
    <xf numFmtId="2" fontId="0" fillId="15" borderId="0" xfId="0" applyNumberFormat="1" applyFill="1"/>
    <xf numFmtId="2" fontId="47" fillId="0" borderId="0" xfId="0" applyNumberFormat="1" applyFont="1"/>
    <xf numFmtId="2" fontId="4" fillId="0" borderId="0" xfId="0" applyNumberFormat="1" applyFont="1" applyFill="1"/>
    <xf numFmtId="2" fontId="45" fillId="0" borderId="0" xfId="0" applyNumberFormat="1" applyFont="1" applyFill="1" applyAlignment="1">
      <alignment horizontal="center"/>
    </xf>
    <xf numFmtId="2" fontId="4" fillId="20" borderId="0" xfId="0" applyNumberFormat="1" applyFont="1" applyFill="1"/>
    <xf numFmtId="2" fontId="0" fillId="20" borderId="0" xfId="0" applyNumberFormat="1" applyFill="1"/>
    <xf numFmtId="2" fontId="0" fillId="0" borderId="0" xfId="0" applyNumberFormat="1" applyFont="1" applyAlignment="1">
      <alignment horizontal="center"/>
    </xf>
    <xf numFmtId="2" fontId="37" fillId="0" borderId="0" xfId="0" applyNumberFormat="1" applyFont="1" applyAlignment="1">
      <alignment horizontal="center"/>
    </xf>
    <xf numFmtId="2" fontId="38" fillId="0" borderId="0" xfId="0" applyNumberFormat="1" applyFont="1"/>
    <xf numFmtId="2" fontId="37" fillId="0" borderId="0" xfId="0" applyNumberFormat="1" applyFont="1"/>
    <xf numFmtId="2" fontId="39" fillId="7" borderId="0" xfId="0" applyNumberFormat="1" applyFont="1" applyFill="1" applyAlignment="1">
      <alignment horizontal="center"/>
    </xf>
    <xf numFmtId="2" fontId="29" fillId="7" borderId="0" xfId="0" applyNumberFormat="1" applyFont="1" applyFill="1"/>
    <xf numFmtId="2" fontId="39" fillId="7" borderId="0" xfId="0" applyNumberFormat="1" applyFont="1" applyFill="1"/>
    <xf numFmtId="2" fontId="38" fillId="0" borderId="0" xfId="0" applyNumberFormat="1" applyFont="1" applyAlignment="1">
      <alignment horizontal="left"/>
    </xf>
    <xf numFmtId="2" fontId="38" fillId="0" borderId="0" xfId="0" applyNumberFormat="1" applyFont="1" applyAlignment="1">
      <alignment horizontal="center"/>
    </xf>
    <xf numFmtId="9" fontId="37" fillId="0" borderId="0" xfId="37" applyFont="1"/>
    <xf numFmtId="9" fontId="38" fillId="0" borderId="0" xfId="37" applyFont="1"/>
    <xf numFmtId="1" fontId="81" fillId="0" borderId="0" xfId="0" applyNumberFormat="1" applyFont="1"/>
    <xf numFmtId="2" fontId="38" fillId="0" borderId="0" xfId="0" applyNumberFormat="1" applyFont="1" applyFill="1"/>
    <xf numFmtId="2" fontId="37" fillId="0" borderId="0" xfId="0" applyNumberFormat="1" applyFont="1" applyFill="1"/>
    <xf numFmtId="1" fontId="14" fillId="7" borderId="0" xfId="1" applyNumberFormat="1" applyFont="1" applyFill="1" applyBorder="1"/>
    <xf numFmtId="2" fontId="38" fillId="0" borderId="0" xfId="0" applyNumberFormat="1" applyFont="1" applyFill="1" applyAlignment="1">
      <alignment horizontal="center"/>
    </xf>
    <xf numFmtId="167" fontId="55" fillId="12" borderId="0" xfId="37" applyNumberFormat="1" applyFont="1" applyFill="1" applyBorder="1"/>
    <xf numFmtId="9" fontId="98" fillId="0" borderId="0" xfId="37" applyFont="1" applyFill="1" applyBorder="1"/>
    <xf numFmtId="174" fontId="49" fillId="0" borderId="2" xfId="31" applyFont="1" applyBorder="1" applyAlignment="1">
      <alignment vertical="center"/>
    </xf>
    <xf numFmtId="174" fontId="52" fillId="12" borderId="2" xfId="31" applyFont="1" applyFill="1" applyBorder="1" applyAlignment="1">
      <alignment horizontal="center" vertical="center"/>
    </xf>
    <xf numFmtId="174" fontId="52" fillId="0" borderId="2" xfId="31" applyFont="1" applyBorder="1" applyAlignment="1">
      <alignment vertical="center"/>
    </xf>
    <xf numFmtId="174" fontId="49" fillId="12" borderId="2" xfId="31" applyFont="1" applyFill="1" applyBorder="1" applyAlignment="1">
      <alignment vertical="center"/>
    </xf>
    <xf numFmtId="0" fontId="55" fillId="0" borderId="2" xfId="0" applyNumberFormat="1" applyFont="1" applyFill="1" applyBorder="1" applyAlignment="1">
      <alignment vertical="center" wrapText="1"/>
    </xf>
    <xf numFmtId="9" fontId="49" fillId="0" borderId="2" xfId="37" applyFont="1" applyBorder="1" applyAlignment="1">
      <alignment horizontal="center" vertical="center"/>
    </xf>
    <xf numFmtId="167" fontId="49" fillId="0" borderId="2" xfId="37" applyNumberFormat="1" applyFont="1" applyBorder="1" applyAlignment="1">
      <alignment horizontal="center" vertical="center"/>
    </xf>
    <xf numFmtId="0" fontId="55" fillId="0" borderId="2" xfId="0" applyNumberFormat="1" applyFont="1" applyBorder="1" applyAlignment="1">
      <alignment vertical="center" wrapText="1"/>
    </xf>
    <xf numFmtId="0" fontId="49" fillId="0" borderId="2" xfId="31" applyNumberFormat="1" applyFont="1" applyBorder="1" applyAlignment="1">
      <alignment vertical="center"/>
    </xf>
    <xf numFmtId="2" fontId="49" fillId="0" borderId="2" xfId="31" applyNumberFormat="1" applyFont="1" applyBorder="1" applyAlignment="1">
      <alignment vertical="center"/>
    </xf>
    <xf numFmtId="0" fontId="89" fillId="0" borderId="2" xfId="31" applyNumberFormat="1" applyFont="1" applyBorder="1" applyAlignment="1">
      <alignment vertical="center"/>
    </xf>
    <xf numFmtId="10" fontId="49" fillId="0" borderId="2" xfId="37" applyNumberFormat="1" applyFont="1" applyBorder="1" applyAlignment="1">
      <alignment horizontal="center" vertical="center"/>
    </xf>
    <xf numFmtId="2" fontId="89" fillId="12" borderId="2" xfId="31" applyNumberFormat="1" applyFont="1" applyFill="1" applyBorder="1" applyAlignment="1">
      <alignment vertical="center"/>
    </xf>
    <xf numFmtId="167" fontId="49" fillId="12" borderId="2" xfId="37" applyNumberFormat="1" applyFont="1" applyFill="1" applyBorder="1" applyAlignment="1">
      <alignment horizontal="center" vertical="center"/>
    </xf>
    <xf numFmtId="172" fontId="89" fillId="0" borderId="2" xfId="31" applyNumberFormat="1" applyFont="1" applyFill="1" applyBorder="1" applyAlignment="1">
      <alignment vertical="center"/>
    </xf>
    <xf numFmtId="174" fontId="49" fillId="0" borderId="2" xfId="31" applyFont="1" applyFill="1" applyBorder="1" applyAlignment="1">
      <alignment vertical="center"/>
    </xf>
    <xf numFmtId="167" fontId="49" fillId="0" borderId="2" xfId="37" applyNumberFormat="1" applyFont="1" applyFill="1" applyBorder="1" applyAlignment="1">
      <alignment horizontal="center" vertical="center"/>
    </xf>
    <xf numFmtId="9" fontId="49" fillId="12" borderId="2" xfId="37" applyFont="1" applyFill="1" applyBorder="1" applyAlignment="1">
      <alignment horizontal="center" vertical="center"/>
    </xf>
    <xf numFmtId="164" fontId="49" fillId="12" borderId="2" xfId="1" applyFont="1" applyFill="1" applyBorder="1" applyAlignment="1">
      <alignment horizontal="center" vertical="center"/>
    </xf>
    <xf numFmtId="2" fontId="49" fillId="14" borderId="2" xfId="31" applyNumberFormat="1" applyFont="1" applyFill="1" applyBorder="1" applyAlignment="1">
      <alignment vertical="center"/>
    </xf>
    <xf numFmtId="172" fontId="49" fillId="0" borderId="2" xfId="31" applyNumberFormat="1" applyFont="1" applyFill="1" applyBorder="1" applyAlignment="1">
      <alignment vertical="center"/>
    </xf>
    <xf numFmtId="9" fontId="49" fillId="0" borderId="2" xfId="37" applyFont="1" applyFill="1" applyBorder="1" applyAlignment="1">
      <alignment horizontal="center" vertical="center"/>
    </xf>
    <xf numFmtId="174" fontId="55" fillId="12" borderId="2" xfId="31" applyFont="1" applyFill="1" applyBorder="1" applyAlignment="1">
      <alignment vertical="center"/>
    </xf>
    <xf numFmtId="172" fontId="49" fillId="12" borderId="2" xfId="31" applyNumberFormat="1" applyFont="1" applyFill="1" applyBorder="1" applyAlignment="1">
      <alignment vertical="center"/>
    </xf>
    <xf numFmtId="173" fontId="61" fillId="12" borderId="2" xfId="1" applyNumberFormat="1" applyFont="1" applyFill="1" applyBorder="1" applyAlignment="1">
      <alignment vertical="center"/>
    </xf>
    <xf numFmtId="2" fontId="49" fillId="12" borderId="2" xfId="31" applyNumberFormat="1" applyFont="1" applyFill="1" applyBorder="1" applyAlignment="1">
      <alignment vertical="center"/>
    </xf>
    <xf numFmtId="2" fontId="56" fillId="14" borderId="2" xfId="31" applyNumberFormat="1" applyFont="1" applyFill="1" applyBorder="1" applyAlignment="1">
      <alignment vertical="center"/>
    </xf>
    <xf numFmtId="172" fontId="56" fillId="0" borderId="2" xfId="31" applyNumberFormat="1" applyFont="1" applyFill="1" applyBorder="1" applyAlignment="1">
      <alignment vertical="center"/>
    </xf>
    <xf numFmtId="174" fontId="55" fillId="0" borderId="2" xfId="31" applyFont="1" applyFill="1" applyBorder="1" applyAlignment="1">
      <alignment vertical="center"/>
    </xf>
    <xf numFmtId="9" fontId="55" fillId="0" borderId="2" xfId="37" applyFont="1" applyFill="1" applyBorder="1" applyAlignment="1">
      <alignment horizontal="center" vertical="center"/>
    </xf>
    <xf numFmtId="2" fontId="55" fillId="12" borderId="2" xfId="31" applyNumberFormat="1" applyFont="1" applyFill="1" applyBorder="1" applyAlignment="1">
      <alignment horizontal="center" vertical="center"/>
    </xf>
    <xf numFmtId="4" fontId="55" fillId="12" borderId="2" xfId="31" applyNumberFormat="1" applyFont="1" applyFill="1" applyBorder="1" applyAlignment="1">
      <alignment vertical="center"/>
    </xf>
    <xf numFmtId="2" fontId="56" fillId="12" borderId="2" xfId="31" applyNumberFormat="1" applyFont="1" applyFill="1" applyBorder="1" applyAlignment="1">
      <alignment vertical="center"/>
    </xf>
    <xf numFmtId="174" fontId="55" fillId="0" borderId="2" xfId="31" applyFont="1" applyBorder="1" applyAlignment="1">
      <alignment vertical="center"/>
    </xf>
    <xf numFmtId="174" fontId="55" fillId="0" borderId="2" xfId="31" applyFont="1" applyBorder="1" applyAlignment="1">
      <alignment horizontal="center" vertical="center"/>
    </xf>
    <xf numFmtId="172" fontId="56" fillId="12" borderId="2" xfId="31" applyNumberFormat="1" applyFont="1" applyFill="1" applyBorder="1" applyAlignment="1">
      <alignment vertical="center"/>
    </xf>
    <xf numFmtId="174" fontId="52" fillId="12" borderId="2" xfId="31" applyFont="1" applyFill="1" applyBorder="1" applyAlignment="1">
      <alignment vertical="center"/>
    </xf>
    <xf numFmtId="174" fontId="49" fillId="12" borderId="2" xfId="31" applyFont="1" applyFill="1" applyBorder="1" applyAlignment="1">
      <alignment horizontal="center" vertical="center"/>
    </xf>
    <xf numFmtId="174" fontId="49" fillId="18" borderId="2" xfId="31" applyFont="1" applyFill="1" applyBorder="1" applyAlignment="1">
      <alignment vertical="center"/>
    </xf>
    <xf numFmtId="174" fontId="49" fillId="18" borderId="2" xfId="31" applyFont="1" applyFill="1" applyBorder="1" applyAlignment="1">
      <alignment horizontal="center" vertical="center"/>
    </xf>
    <xf numFmtId="174" fontId="89" fillId="7" borderId="2" xfId="31" applyFont="1" applyFill="1" applyBorder="1" applyAlignment="1">
      <alignment vertical="center"/>
    </xf>
    <xf numFmtId="174" fontId="89" fillId="0" borderId="2" xfId="31" applyFont="1" applyFill="1" applyBorder="1" applyAlignment="1">
      <alignment vertical="center"/>
    </xf>
    <xf numFmtId="174" fontId="55" fillId="12" borderId="2" xfId="0" applyFont="1" applyFill="1" applyBorder="1" applyAlignment="1">
      <alignment vertical="center" wrapText="1"/>
    </xf>
    <xf numFmtId="173" fontId="96" fillId="12" borderId="2" xfId="1" applyNumberFormat="1" applyFont="1" applyFill="1" applyBorder="1" applyAlignment="1">
      <alignment vertical="center"/>
    </xf>
    <xf numFmtId="1" fontId="89" fillId="12" borderId="2" xfId="0" applyNumberFormat="1" applyFont="1" applyFill="1" applyBorder="1" applyAlignment="1">
      <alignment vertical="center"/>
    </xf>
    <xf numFmtId="174" fontId="55" fillId="12" borderId="2" xfId="0" applyFont="1" applyFill="1" applyBorder="1" applyAlignment="1">
      <alignment vertical="center"/>
    </xf>
    <xf numFmtId="173" fontId="55" fillId="12" borderId="2" xfId="1" applyNumberFormat="1" applyFont="1" applyFill="1" applyBorder="1" applyAlignment="1">
      <alignment vertical="center"/>
    </xf>
    <xf numFmtId="173" fontId="55" fillId="0" borderId="2" xfId="1" applyNumberFormat="1" applyFont="1" applyFill="1" applyBorder="1" applyAlignment="1">
      <alignment vertical="center"/>
    </xf>
    <xf numFmtId="173" fontId="49" fillId="0" borderId="2" xfId="1" applyNumberFormat="1" applyFont="1" applyBorder="1" applyAlignment="1">
      <alignment vertical="center"/>
    </xf>
    <xf numFmtId="174" fontId="89" fillId="7" borderId="2" xfId="0" applyFont="1" applyFill="1" applyBorder="1" applyAlignment="1">
      <alignment vertical="center"/>
    </xf>
    <xf numFmtId="174" fontId="55" fillId="7" borderId="2" xfId="0" applyFont="1" applyFill="1" applyBorder="1" applyAlignment="1">
      <alignment vertical="center"/>
    </xf>
    <xf numFmtId="173" fontId="55" fillId="7" borderId="2" xfId="1" applyNumberFormat="1" applyFont="1" applyFill="1" applyBorder="1" applyAlignment="1">
      <alignment vertical="center"/>
    </xf>
    <xf numFmtId="172" fontId="55" fillId="12" borderId="2" xfId="0" applyNumberFormat="1" applyFont="1" applyFill="1" applyBorder="1" applyAlignment="1">
      <alignment vertical="center"/>
    </xf>
    <xf numFmtId="2" fontId="52" fillId="12" borderId="2" xfId="31" applyNumberFormat="1" applyFont="1" applyFill="1" applyBorder="1" applyAlignment="1">
      <alignment horizontal="center" vertical="center"/>
    </xf>
    <xf numFmtId="174" fontId="52" fillId="14" borderId="2" xfId="31" applyFont="1" applyFill="1" applyBorder="1" applyAlignment="1">
      <alignment vertical="center"/>
    </xf>
    <xf numFmtId="2" fontId="52" fillId="14" borderId="2" xfId="31" applyNumberFormat="1" applyFont="1" applyFill="1" applyBorder="1" applyAlignment="1">
      <alignment vertical="center"/>
    </xf>
    <xf numFmtId="172" fontId="49" fillId="0" borderId="2" xfId="31" applyNumberFormat="1" applyFont="1" applyBorder="1" applyAlignment="1">
      <alignment vertical="center"/>
    </xf>
    <xf numFmtId="174" fontId="56" fillId="2" borderId="2" xfId="0" applyFont="1" applyFill="1" applyBorder="1" applyAlignment="1">
      <alignment vertical="center"/>
    </xf>
    <xf numFmtId="174" fontId="55" fillId="2" borderId="2" xfId="0" applyFont="1" applyFill="1" applyBorder="1" applyAlignment="1">
      <alignment vertical="center"/>
    </xf>
    <xf numFmtId="174" fontId="56" fillId="12" borderId="2" xfId="0" applyFont="1" applyFill="1" applyBorder="1" applyAlignment="1">
      <alignment vertical="center"/>
    </xf>
    <xf numFmtId="173" fontId="56" fillId="12" borderId="2" xfId="1" applyNumberFormat="1" applyFont="1" applyFill="1" applyBorder="1" applyAlignment="1">
      <alignment vertical="center"/>
    </xf>
    <xf numFmtId="173" fontId="55" fillId="0" borderId="2" xfId="1" applyNumberFormat="1" applyFont="1" applyBorder="1" applyAlignment="1">
      <alignment vertical="center"/>
    </xf>
    <xf numFmtId="173" fontId="49" fillId="12" borderId="2" xfId="1" applyNumberFormat="1" applyFont="1" applyFill="1" applyBorder="1" applyAlignment="1">
      <alignment vertical="center"/>
    </xf>
    <xf numFmtId="173" fontId="52" fillId="14" borderId="2" xfId="1" applyNumberFormat="1" applyFont="1" applyFill="1" applyBorder="1" applyAlignment="1">
      <alignment vertical="center"/>
    </xf>
    <xf numFmtId="173" fontId="49" fillId="14" borderId="2" xfId="1" applyNumberFormat="1" applyFont="1" applyFill="1" applyBorder="1" applyAlignment="1">
      <alignment vertical="center"/>
    </xf>
    <xf numFmtId="1" fontId="56" fillId="0" borderId="2" xfId="26" applyNumberFormat="1" applyFont="1" applyBorder="1" applyAlignment="1">
      <alignment vertical="center" wrapText="1"/>
    </xf>
    <xf numFmtId="1" fontId="56" fillId="14" borderId="2" xfId="26" applyNumberFormat="1" applyFont="1" applyFill="1" applyBorder="1" applyAlignment="1">
      <alignment vertical="center" wrapText="1"/>
    </xf>
    <xf numFmtId="0" fontId="79" fillId="12" borderId="2" xfId="22" applyFont="1" applyFill="1" applyBorder="1" applyAlignment="1">
      <alignment horizontal="center"/>
    </xf>
    <xf numFmtId="1" fontId="79" fillId="12" borderId="2" xfId="22" applyNumberFormat="1" applyFont="1" applyFill="1" applyBorder="1" applyAlignment="1">
      <alignment horizontal="center" vertical="center"/>
    </xf>
    <xf numFmtId="0" fontId="49" fillId="0" borderId="2" xfId="22" applyBorder="1" applyAlignment="1">
      <alignment vertical="center"/>
    </xf>
    <xf numFmtId="1" fontId="56" fillId="12" borderId="2" xfId="26" applyNumberFormat="1" applyFont="1" applyFill="1" applyBorder="1" applyAlignment="1">
      <alignment vertical="center" wrapText="1"/>
    </xf>
    <xf numFmtId="2" fontId="79" fillId="12" borderId="2" xfId="26" applyNumberFormat="1" applyFont="1" applyFill="1" applyBorder="1" applyAlignment="1">
      <alignment vertical="center" wrapText="1"/>
    </xf>
    <xf numFmtId="174" fontId="70" fillId="0" borderId="2" xfId="28" applyNumberFormat="1" applyFont="1" applyBorder="1" applyAlignment="1">
      <alignment horizontal="left" vertical="center" wrapText="1"/>
    </xf>
    <xf numFmtId="174" fontId="56" fillId="0" borderId="2" xfId="28" applyNumberFormat="1" applyFont="1" applyBorder="1" applyAlignment="1">
      <alignment horizontal="left" vertical="center" wrapText="1"/>
    </xf>
    <xf numFmtId="174" fontId="56" fillId="0" borderId="14" xfId="28" applyNumberFormat="1" applyFont="1" applyBorder="1" applyAlignment="1">
      <alignment vertical="center" wrapText="1"/>
    </xf>
    <xf numFmtId="174" fontId="79" fillId="12" borderId="2" xfId="28" applyNumberFormat="1" applyFont="1" applyFill="1" applyBorder="1" applyAlignment="1">
      <alignment vertical="center" wrapText="1"/>
    </xf>
    <xf numFmtId="171" fontId="79" fillId="12" borderId="2" xfId="1" applyNumberFormat="1" applyFont="1" applyFill="1" applyBorder="1" applyAlignment="1">
      <alignment horizontal="center" vertical="center" wrapText="1"/>
    </xf>
    <xf numFmtId="0" fontId="100" fillId="0" borderId="2" xfId="26" applyNumberFormat="1" applyFont="1" applyFill="1" applyBorder="1" applyAlignment="1">
      <alignment vertical="center" wrapText="1"/>
    </xf>
    <xf numFmtId="2" fontId="100" fillId="0" borderId="2" xfId="26" applyNumberFormat="1" applyFont="1" applyFill="1" applyBorder="1" applyAlignment="1">
      <alignment vertical="center" wrapText="1"/>
    </xf>
    <xf numFmtId="173" fontId="97" fillId="7" borderId="2" xfId="1" applyNumberFormat="1" applyFont="1" applyFill="1" applyBorder="1" applyAlignment="1">
      <alignment vertical="center"/>
    </xf>
    <xf numFmtId="172" fontId="55" fillId="0" borderId="2" xfId="31" applyNumberFormat="1" applyFont="1" applyBorder="1" applyAlignment="1">
      <alignment horizontal="center" vertical="center"/>
    </xf>
    <xf numFmtId="174" fontId="4" fillId="0" borderId="2" xfId="26" applyFont="1" applyBorder="1" applyAlignment="1">
      <alignment horizontal="center" vertical="center"/>
    </xf>
    <xf numFmtId="174" fontId="99" fillId="11" borderId="0" xfId="26" applyFont="1" applyFill="1" applyBorder="1" applyAlignment="1">
      <alignment horizontal="center" vertical="center"/>
    </xf>
    <xf numFmtId="174" fontId="30" fillId="11" borderId="0" xfId="0" applyFont="1" applyFill="1" applyAlignment="1">
      <alignment horizontal="center" vertical="center" wrapText="1"/>
    </xf>
    <xf numFmtId="174" fontId="7" fillId="0" borderId="2" xfId="0" applyFon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174" fontId="8" fillId="11" borderId="1" xfId="0" applyFont="1" applyFill="1" applyBorder="1" applyAlignment="1">
      <alignment horizontal="left" vertical="center" wrapText="1"/>
    </xf>
    <xf numFmtId="174" fontId="8" fillId="11" borderId="4" xfId="0" applyFont="1" applyFill="1" applyBorder="1" applyAlignment="1">
      <alignment horizontal="left" vertical="center" wrapText="1"/>
    </xf>
    <xf numFmtId="174" fontId="7" fillId="0" borderId="6" xfId="0" applyFont="1" applyBorder="1" applyAlignment="1">
      <alignment horizontal="center" vertical="center" wrapText="1"/>
    </xf>
    <xf numFmtId="174" fontId="7" fillId="0" borderId="15" xfId="0" applyFont="1" applyBorder="1" applyAlignment="1">
      <alignment horizontal="center" vertical="center" wrapText="1"/>
    </xf>
    <xf numFmtId="174" fontId="5" fillId="0" borderId="1" xfId="0" applyFont="1" applyBorder="1" applyAlignment="1">
      <alignment horizontal="center" vertical="center" wrapText="1"/>
    </xf>
    <xf numFmtId="174" fontId="5" fillId="0" borderId="4" xfId="0" applyFont="1" applyBorder="1" applyAlignment="1">
      <alignment horizontal="center" vertical="center" wrapText="1"/>
    </xf>
    <xf numFmtId="174" fontId="6" fillId="0" borderId="1" xfId="0" applyFont="1" applyBorder="1" applyAlignment="1">
      <alignment horizontal="center" vertical="center" wrapText="1"/>
    </xf>
    <xf numFmtId="174" fontId="6" fillId="0" borderId="4" xfId="0" applyFont="1" applyBorder="1" applyAlignment="1">
      <alignment horizontal="center" vertical="center" wrapText="1"/>
    </xf>
    <xf numFmtId="174" fontId="0" fillId="0" borderId="1" xfId="0" applyBorder="1" applyAlignment="1">
      <alignment horizontal="center" vertical="center" wrapText="1"/>
    </xf>
    <xf numFmtId="174" fontId="0" fillId="0" borderId="4" xfId="0" applyBorder="1" applyAlignment="1">
      <alignment horizontal="center" vertical="center" wrapText="1"/>
    </xf>
    <xf numFmtId="174" fontId="36" fillId="14" borderId="1" xfId="0" applyFont="1" applyFill="1" applyBorder="1" applyAlignment="1">
      <alignment horizontal="left" vertical="center" wrapText="1"/>
    </xf>
    <xf numFmtId="174" fontId="36" fillId="14" borderId="4" xfId="0" applyFont="1" applyFill="1" applyBorder="1" applyAlignment="1">
      <alignment horizontal="left" vertical="center" wrapText="1"/>
    </xf>
    <xf numFmtId="173" fontId="52" fillId="12" borderId="2" xfId="1" applyNumberFormat="1" applyFont="1" applyFill="1" applyBorder="1" applyAlignment="1">
      <alignment horizontal="center" vertical="center"/>
    </xf>
    <xf numFmtId="0" fontId="71" fillId="11" borderId="0" xfId="36" applyFont="1" applyFill="1" applyBorder="1" applyAlignment="1">
      <alignment horizontal="center" vertical="center"/>
    </xf>
    <xf numFmtId="173" fontId="52" fillId="12" borderId="1" xfId="1" applyNumberFormat="1" applyFont="1" applyFill="1" applyBorder="1" applyAlignment="1">
      <alignment horizontal="center" vertical="center" wrapText="1"/>
    </xf>
    <xf numFmtId="173" fontId="52" fillId="12" borderId="4" xfId="1" applyNumberFormat="1" applyFont="1" applyFill="1" applyBorder="1" applyAlignment="1">
      <alignment horizontal="center" vertical="center" wrapText="1"/>
    </xf>
    <xf numFmtId="0" fontId="52" fillId="14" borderId="5" xfId="36" applyFont="1" applyFill="1" applyBorder="1" applyAlignment="1">
      <alignment horizontal="center" vertical="center"/>
    </xf>
    <xf numFmtId="0" fontId="52" fillId="14" borderId="12" xfId="36" applyFont="1" applyFill="1" applyBorder="1" applyAlignment="1">
      <alignment horizontal="center" vertical="center"/>
    </xf>
    <xf numFmtId="0" fontId="52" fillId="14" borderId="7" xfId="36" applyFont="1" applyFill="1" applyBorder="1" applyAlignment="1">
      <alignment horizontal="center" vertical="center"/>
    </xf>
    <xf numFmtId="173" fontId="52" fillId="12" borderId="14" xfId="1" applyNumberFormat="1" applyFont="1" applyFill="1" applyBorder="1" applyAlignment="1">
      <alignment horizontal="center" vertical="center"/>
    </xf>
    <xf numFmtId="173" fontId="56" fillId="12" borderId="1" xfId="1" applyNumberFormat="1" applyFont="1" applyFill="1" applyBorder="1" applyAlignment="1">
      <alignment horizontal="center" vertical="center"/>
    </xf>
    <xf numFmtId="173" fontId="56" fillId="12" borderId="4" xfId="1" applyNumberFormat="1" applyFont="1" applyFill="1" applyBorder="1" applyAlignment="1">
      <alignment horizontal="center" vertical="center"/>
    </xf>
    <xf numFmtId="174" fontId="4" fillId="11" borderId="0" xfId="0" applyFont="1" applyFill="1" applyAlignment="1">
      <alignment horizontal="center" vertical="center"/>
    </xf>
    <xf numFmtId="174" fontId="17" fillId="0" borderId="0" xfId="32" applyFont="1" applyBorder="1" applyAlignment="1">
      <alignment horizontal="left" vertical="center" wrapText="1"/>
    </xf>
    <xf numFmtId="174" fontId="14" fillId="4" borderId="0" xfId="32" applyFont="1" applyFill="1" applyBorder="1" applyAlignment="1">
      <alignment horizontal="left"/>
    </xf>
    <xf numFmtId="174" fontId="20" fillId="2" borderId="0" xfId="32" applyFont="1" applyFill="1" applyBorder="1" applyAlignment="1">
      <alignment horizontal="left" vertical="center" wrapText="1"/>
    </xf>
    <xf numFmtId="174" fontId="14" fillId="0" borderId="0" xfId="32" applyFont="1" applyFill="1" applyBorder="1" applyAlignment="1">
      <alignment horizontal="left"/>
    </xf>
    <xf numFmtId="1" fontId="4" fillId="12" borderId="0" xfId="0" applyNumberFormat="1" applyFont="1" applyFill="1" applyBorder="1" applyAlignment="1">
      <alignment horizontal="center" vertical="center"/>
    </xf>
    <xf numFmtId="1" fontId="0" fillId="12" borderId="0" xfId="0" applyNumberFormat="1" applyFill="1" applyBorder="1" applyAlignment="1">
      <alignment horizontal="center" vertical="center"/>
    </xf>
    <xf numFmtId="0" fontId="0" fillId="12" borderId="0" xfId="0" applyNumberFormat="1" applyFill="1" applyBorder="1" applyAlignment="1">
      <alignment horizontal="left" vertical="top" wrapText="1"/>
    </xf>
    <xf numFmtId="174" fontId="0" fillId="19" borderId="0" xfId="0" applyFill="1" applyBorder="1" applyAlignment="1">
      <alignment horizontal="center" vertical="center"/>
    </xf>
    <xf numFmtId="174" fontId="4" fillId="12" borderId="0" xfId="0" applyFont="1" applyFill="1" applyBorder="1" applyAlignment="1">
      <alignment horizontal="left" vertical="center" wrapText="1"/>
    </xf>
    <xf numFmtId="0" fontId="0" fillId="12" borderId="0" xfId="0" applyNumberFormat="1" applyFill="1" applyBorder="1" applyAlignment="1">
      <alignment horizontal="left" wrapText="1"/>
    </xf>
    <xf numFmtId="174" fontId="0" fillId="12" borderId="0" xfId="0" applyFill="1" applyBorder="1" applyAlignment="1">
      <alignment horizontal="left" vertical="center" wrapText="1"/>
    </xf>
    <xf numFmtId="174" fontId="0" fillId="12" borderId="0" xfId="0" applyFill="1" applyBorder="1" applyAlignment="1">
      <alignment horizontal="left" vertical="center"/>
    </xf>
    <xf numFmtId="0" fontId="0" fillId="12" borderId="0" xfId="0" applyNumberFormat="1" applyFill="1" applyBorder="1" applyAlignment="1">
      <alignment horizontal="left" vertical="center" wrapText="1"/>
    </xf>
    <xf numFmtId="0" fontId="4" fillId="12" borderId="0" xfId="0" applyNumberFormat="1" applyFont="1" applyFill="1" applyBorder="1" applyAlignment="1">
      <alignment horizontal="center" vertical="center"/>
    </xf>
    <xf numFmtId="174" fontId="29" fillId="11" borderId="0" xfId="0" applyFont="1" applyFill="1" applyBorder="1" applyAlignment="1">
      <alignment horizontal="center" vertical="center"/>
    </xf>
    <xf numFmtId="174" fontId="0" fillId="12" borderId="0" xfId="0" applyFont="1" applyFill="1" applyBorder="1" applyAlignment="1">
      <alignment horizontal="left" vertical="center" wrapText="1"/>
    </xf>
    <xf numFmtId="174" fontId="0" fillId="12" borderId="0" xfId="0" applyFill="1" applyBorder="1" applyAlignment="1">
      <alignment horizontal="center" vertical="center" wrapText="1"/>
    </xf>
    <xf numFmtId="174" fontId="29" fillId="12" borderId="0" xfId="0" applyFont="1" applyFill="1" applyBorder="1" applyAlignment="1">
      <alignment horizontal="center" vertical="center"/>
    </xf>
    <xf numFmtId="174" fontId="31" fillId="11" borderId="0" xfId="0" applyFont="1" applyFill="1" applyAlignment="1">
      <alignment horizontal="center" vertical="center"/>
    </xf>
    <xf numFmtId="0" fontId="49" fillId="12" borderId="5" xfId="22" applyFill="1" applyBorder="1" applyAlignment="1">
      <alignment horizontal="center"/>
    </xf>
    <xf numFmtId="0" fontId="49" fillId="12" borderId="14" xfId="22" applyFill="1" applyBorder="1" applyAlignment="1">
      <alignment horizontal="center"/>
    </xf>
    <xf numFmtId="15" fontId="55" fillId="0" borderId="5" xfId="26" applyNumberFormat="1" applyFont="1" applyBorder="1" applyAlignment="1">
      <alignment horizontal="center" vertical="center" wrapText="1"/>
    </xf>
    <xf numFmtId="15" fontId="55" fillId="0" borderId="14" xfId="26" applyNumberFormat="1" applyFont="1" applyBorder="1" applyAlignment="1">
      <alignment horizontal="center" vertical="center" wrapText="1"/>
    </xf>
    <xf numFmtId="174" fontId="55" fillId="12" borderId="5" xfId="26" applyFont="1" applyFill="1" applyBorder="1" applyAlignment="1">
      <alignment vertical="center" wrapText="1"/>
    </xf>
    <xf numFmtId="174" fontId="55" fillId="12" borderId="14" xfId="26" applyFont="1" applyFill="1" applyBorder="1" applyAlignment="1">
      <alignment vertical="center" wrapText="1"/>
    </xf>
    <xf numFmtId="174" fontId="56" fillId="14" borderId="2" xfId="26" applyFont="1" applyFill="1" applyBorder="1" applyAlignment="1">
      <alignment horizontal="left" vertical="center" wrapText="1"/>
    </xf>
    <xf numFmtId="174" fontId="72" fillId="11" borderId="2" xfId="26" applyFont="1" applyFill="1" applyBorder="1" applyAlignment="1">
      <alignment horizontal="center" vertical="center" wrapText="1"/>
    </xf>
    <xf numFmtId="174" fontId="73" fillId="12" borderId="2" xfId="26" applyFont="1" applyFill="1" applyBorder="1" applyAlignment="1">
      <alignment horizontal="center" vertical="center" wrapText="1"/>
    </xf>
    <xf numFmtId="15" fontId="55" fillId="0" borderId="2" xfId="26" applyNumberFormat="1" applyFont="1" applyBorder="1" applyAlignment="1">
      <alignment horizontal="center" vertical="center" wrapText="1"/>
    </xf>
    <xf numFmtId="174" fontId="56" fillId="0" borderId="2" xfId="26" applyFont="1" applyBorder="1" applyAlignment="1">
      <alignment horizontal="center" vertical="center" wrapText="1"/>
    </xf>
    <xf numFmtId="174" fontId="62" fillId="0" borderId="2" xfId="26" applyFont="1" applyBorder="1" applyAlignment="1">
      <alignment horizontal="center" vertical="center" wrapText="1"/>
    </xf>
    <xf numFmtId="0" fontId="29" fillId="14" borderId="5" xfId="0" applyNumberFormat="1" applyFont="1" applyFill="1" applyBorder="1"/>
    <xf numFmtId="0" fontId="29" fillId="14" borderId="14" xfId="0" applyNumberFormat="1" applyFont="1" applyFill="1" applyBorder="1"/>
    <xf numFmtId="174" fontId="4" fillId="0" borderId="5" xfId="0" applyFont="1" applyBorder="1" applyAlignment="1">
      <alignment horizontal="center" vertical="center"/>
    </xf>
    <xf numFmtId="174" fontId="4" fillId="0" borderId="12" xfId="0" applyFont="1" applyBorder="1" applyAlignment="1">
      <alignment horizontal="center" vertical="center"/>
    </xf>
    <xf numFmtId="174" fontId="4" fillId="0" borderId="14" xfId="0" applyFont="1" applyBorder="1" applyAlignment="1">
      <alignment horizontal="center" vertical="center"/>
    </xf>
    <xf numFmtId="0" fontId="52" fillId="0" borderId="0" xfId="23" applyFont="1" applyBorder="1" applyAlignment="1">
      <alignment horizontal="center"/>
    </xf>
    <xf numFmtId="0" fontId="52" fillId="11" borderId="0" xfId="23" applyFont="1" applyFill="1" applyBorder="1" applyAlignment="1">
      <alignment horizontal="center"/>
    </xf>
    <xf numFmtId="0" fontId="76" fillId="11" borderId="0" xfId="23" applyFont="1" applyFill="1" applyBorder="1" applyAlignment="1">
      <alignment vertical="center"/>
    </xf>
    <xf numFmtId="174" fontId="89" fillId="11" borderId="2" xfId="31" applyFont="1" applyFill="1" applyBorder="1" applyAlignment="1">
      <alignment horizontal="center" vertical="center"/>
    </xf>
    <xf numFmtId="174" fontId="89" fillId="7" borderId="2" xfId="31" applyFont="1" applyFill="1" applyBorder="1" applyAlignment="1">
      <alignment horizontal="center" vertical="center"/>
    </xf>
    <xf numFmtId="174" fontId="52" fillId="0" borderId="2" xfId="31" applyFont="1" applyBorder="1" applyAlignment="1">
      <alignment horizontal="center" vertical="center"/>
    </xf>
    <xf numFmtId="174" fontId="56" fillId="11" borderId="0" xfId="33" applyFont="1" applyFill="1" applyBorder="1" applyAlignment="1">
      <alignment horizontal="center"/>
    </xf>
    <xf numFmtId="174" fontId="4" fillId="7" borderId="2" xfId="33" applyFont="1" applyFill="1" applyBorder="1" applyAlignment="1">
      <alignment horizontal="center"/>
    </xf>
    <xf numFmtId="174" fontId="28" fillId="0" borderId="0" xfId="33" applyFont="1"/>
    <xf numFmtId="174" fontId="15" fillId="6" borderId="0" xfId="32" applyFont="1" applyFill="1" applyBorder="1" applyAlignment="1">
      <alignment horizontal="center" vertical="center"/>
    </xf>
    <xf numFmtId="174" fontId="15" fillId="0" borderId="0" xfId="32" applyFont="1" applyBorder="1" applyAlignment="1">
      <alignment horizontal="center" vertical="center"/>
    </xf>
    <xf numFmtId="9" fontId="15" fillId="0" borderId="0" xfId="32" applyNumberFormat="1" applyFont="1" applyBorder="1" applyAlignment="1">
      <alignment horizontal="center" vertical="center"/>
    </xf>
    <xf numFmtId="174" fontId="15" fillId="0" borderId="0" xfId="32" applyFont="1" applyFill="1" applyBorder="1" applyAlignment="1">
      <alignment horizontal="center" vertical="center"/>
    </xf>
    <xf numFmtId="38" fontId="14" fillId="0" borderId="0" xfId="32" applyNumberFormat="1" applyFont="1" applyBorder="1" applyAlignment="1">
      <alignment horizontal="left"/>
    </xf>
    <xf numFmtId="174" fontId="15" fillId="0" borderId="0" xfId="32" applyFont="1" applyBorder="1" applyAlignment="1">
      <alignment horizontal="center"/>
    </xf>
    <xf numFmtId="174" fontId="15" fillId="6" borderId="0" xfId="32" applyFont="1" applyFill="1" applyBorder="1" applyAlignment="1">
      <alignment horizontal="center"/>
    </xf>
    <xf numFmtId="174" fontId="15" fillId="0" borderId="0" xfId="32" applyFont="1" applyFill="1" applyBorder="1" applyAlignment="1">
      <alignment horizontal="center"/>
    </xf>
    <xf numFmtId="174" fontId="14" fillId="0" borderId="0" xfId="32" applyFont="1" applyFill="1" applyBorder="1" applyAlignment="1">
      <alignment horizontal="center"/>
    </xf>
    <xf numFmtId="174" fontId="14" fillId="6" borderId="0" xfId="32" applyFont="1" applyFill="1" applyBorder="1" applyAlignment="1">
      <alignment horizontal="center"/>
    </xf>
    <xf numFmtId="174" fontId="13" fillId="0" borderId="0" xfId="32" applyFont="1" applyFill="1" applyBorder="1" applyAlignment="1">
      <alignment horizontal="center" vertical="center" wrapText="1"/>
    </xf>
    <xf numFmtId="0" fontId="4" fillId="0" borderId="0" xfId="32" applyNumberFormat="1" applyFont="1" applyAlignment="1">
      <alignment horizontal="center"/>
    </xf>
    <xf numFmtId="0" fontId="13" fillId="0" borderId="0" xfId="32" applyNumberFormat="1" applyFont="1" applyFill="1" applyBorder="1" applyAlignment="1">
      <alignment horizontal="center" vertical="center" wrapText="1"/>
    </xf>
    <xf numFmtId="0" fontId="15" fillId="6" borderId="0" xfId="32" applyNumberFormat="1" applyFont="1" applyFill="1" applyBorder="1" applyAlignment="1">
      <alignment horizontal="center"/>
    </xf>
    <xf numFmtId="0" fontId="76" fillId="11" borderId="5" xfId="23" applyFont="1" applyFill="1" applyBorder="1" applyAlignment="1">
      <alignment vertical="center"/>
    </xf>
    <xf numFmtId="0" fontId="76" fillId="11" borderId="14" xfId="23" applyFont="1" applyFill="1" applyBorder="1" applyAlignment="1">
      <alignment vertical="center"/>
    </xf>
    <xf numFmtId="174" fontId="73" fillId="12" borderId="0" xfId="26" applyFont="1" applyFill="1" applyAlignment="1">
      <alignment horizontal="center" vertical="center" wrapText="1"/>
    </xf>
    <xf numFmtId="174" fontId="39" fillId="11" borderId="0" xfId="0" applyFont="1" applyFill="1" applyAlignment="1">
      <alignment horizontal="center"/>
    </xf>
    <xf numFmtId="174" fontId="56" fillId="0" borderId="0" xfId="26" applyFont="1" applyFill="1" applyAlignment="1">
      <alignment horizontal="center" vertical="center" wrapText="1"/>
    </xf>
    <xf numFmtId="174" fontId="79" fillId="12" borderId="5" xfId="26" applyFont="1" applyFill="1" applyBorder="1" applyAlignment="1">
      <alignment horizontal="left" vertical="center" wrapText="1"/>
    </xf>
    <xf numFmtId="174" fontId="79" fillId="12" borderId="12" xfId="26" applyFont="1" applyFill="1" applyBorder="1" applyAlignment="1">
      <alignment horizontal="left" vertical="center" wrapText="1"/>
    </xf>
    <xf numFmtId="174" fontId="72" fillId="11" borderId="0" xfId="26" applyFont="1" applyFill="1" applyBorder="1" applyAlignment="1">
      <alignment horizontal="left" vertical="center" wrapText="1"/>
    </xf>
    <xf numFmtId="174" fontId="0" fillId="0" borderId="0" xfId="0" applyAlignment="1">
      <alignment horizontal="center"/>
    </xf>
    <xf numFmtId="2" fontId="4" fillId="11" borderId="0" xfId="0" applyNumberFormat="1" applyFont="1" applyFill="1" applyAlignment="1">
      <alignment horizontal="center"/>
    </xf>
    <xf numFmtId="2" fontId="46" fillId="13" borderId="0" xfId="0" applyNumberFormat="1" applyFont="1" applyFill="1" applyAlignment="1">
      <alignment horizontal="center"/>
    </xf>
    <xf numFmtId="2" fontId="29" fillId="17" borderId="0" xfId="0" applyNumberFormat="1" applyFont="1" applyFill="1" applyAlignment="1">
      <alignment horizontal="center"/>
    </xf>
    <xf numFmtId="2" fontId="45" fillId="17" borderId="0" xfId="0" applyNumberFormat="1" applyFont="1" applyFill="1" applyAlignment="1">
      <alignment horizontal="center"/>
    </xf>
    <xf numFmtId="174" fontId="83" fillId="13" borderId="8" xfId="31" applyFont="1" applyFill="1" applyBorder="1" applyAlignment="1">
      <alignment horizontal="center" vertical="center" wrapText="1"/>
    </xf>
    <xf numFmtId="174" fontId="83" fillId="13" borderId="0" xfId="3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2" fontId="45" fillId="15" borderId="0" xfId="0" applyNumberFormat="1" applyFont="1" applyFill="1" applyAlignment="1">
      <alignment horizontal="center"/>
    </xf>
    <xf numFmtId="2" fontId="48" fillId="20" borderId="0" xfId="0" applyNumberFormat="1" applyFont="1" applyFill="1" applyAlignment="1">
      <alignment horizontal="center"/>
    </xf>
    <xf numFmtId="0" fontId="56" fillId="0" borderId="0" xfId="24" applyFont="1" applyBorder="1" applyAlignment="1">
      <alignment horizontal="center" vertical="center"/>
    </xf>
    <xf numFmtId="0" fontId="56" fillId="11" borderId="0" xfId="24" applyFont="1" applyFill="1" applyBorder="1" applyAlignment="1">
      <alignment horizontal="center"/>
    </xf>
    <xf numFmtId="0" fontId="58" fillId="0" borderId="0" xfId="24" applyFont="1" applyAlignment="1">
      <alignment horizontal="center" vertical="center"/>
    </xf>
  </cellXfs>
  <cellStyles count="43">
    <cellStyle name="Comma" xfId="1" builtinId="3"/>
    <cellStyle name="Comma 2" xfId="2"/>
    <cellStyle name="Comma 2 2" xfId="3"/>
    <cellStyle name="Comma 3" xfId="4"/>
    <cellStyle name="Comma 3 2" xfId="5"/>
    <cellStyle name="Comma 4" xfId="6"/>
    <cellStyle name="Comma 5" xfId="7"/>
    <cellStyle name="Comma 6" xfId="8"/>
    <cellStyle name="Currency 10" xfId="9"/>
    <cellStyle name="Currency 11" xfId="10"/>
    <cellStyle name="Currency 2" xfId="11"/>
    <cellStyle name="Currency 3" xfId="12"/>
    <cellStyle name="Currency 4" xfId="13"/>
    <cellStyle name="Currency 5" xfId="14"/>
    <cellStyle name="Currency 6" xfId="15"/>
    <cellStyle name="Currency 7" xfId="16"/>
    <cellStyle name="Currency 8" xfId="17"/>
    <cellStyle name="Currency 9" xfId="18"/>
    <cellStyle name="Hyperlink" xfId="19" builtinId="8"/>
    <cellStyle name="Hyperlink 2" xfId="20"/>
    <cellStyle name="Hyperlink 3" xfId="21"/>
    <cellStyle name="Normal" xfId="0" builtinId="0"/>
    <cellStyle name="Normal 10" xfId="22"/>
    <cellStyle name="Normal 11" xfId="23"/>
    <cellStyle name="Normal 12" xfId="24"/>
    <cellStyle name="Normal 2" xfId="25"/>
    <cellStyle name="Normal 2 2" xfId="26"/>
    <cellStyle name="Normal 2 2 2" xfId="27"/>
    <cellStyle name="Normal 2 2 3" xfId="28"/>
    <cellStyle name="Normal 3" xfId="29"/>
    <cellStyle name="Normal 4" xfId="30"/>
    <cellStyle name="Normal 5" xfId="31"/>
    <cellStyle name="Normal 6" xfId="32"/>
    <cellStyle name="Normal 7" xfId="33"/>
    <cellStyle name="Normal 7 2" xfId="34"/>
    <cellStyle name="Normal 8" xfId="35"/>
    <cellStyle name="Normal 9" xfId="36"/>
    <cellStyle name="Percent" xfId="37" builtinId="5"/>
    <cellStyle name="Percent 2" xfId="38"/>
    <cellStyle name="Percent 2 2" xfId="39"/>
    <cellStyle name="Percent 3" xfId="40"/>
    <cellStyle name="Percent 4" xfId="41"/>
    <cellStyle name="Percent 5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3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ell\AppData\Local\Microsoft\Windows\Temporary%20Internet%20Files\Content.Outlook\6PHKA0QL\SONEPAT%202010-11(01.04.2010)\PROJECT%20REPORTS%202010-11\Haryana%20Power-Kundli%20Plot\PROJECT%20REPORT%20-%20Har%20Power%20Ind%20%20KUNDL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AppData/Local/Microsoft/Windows/Temporary%20Internet%20Files/Content.Outlook/I4ORQ7Q6/SONEPAT%202010-11(01.04.2010)/PROJECT%20REPORTS%202010-11/Haryana%20Power-Kundli%20Plot/PROJECT%20REPORT%20-%20Har%20Power%20Ind%20%20KUNDLI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sdc%20foundry\Financial-Template(19aug11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AppData/Local/Microsoft/Windows/Temporary%20Internet%20Files/Content.Outlook/I4ORQ7Q6/rSSC%20Financial-Template%20Ver%205(23aug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P"/>
      <sheetName val="PROF"/>
      <sheetName val="WCAP"/>
      <sheetName val="CASH"/>
      <sheetName val="BS"/>
      <sheetName val="DSCR"/>
      <sheetName val="BEP"/>
      <sheetName val="RM"/>
      <sheetName val="SALE"/>
      <sheetName val="MAN"/>
      <sheetName val="POWER"/>
      <sheetName val="DEP-I"/>
      <sheetName val="INTT"/>
      <sheetName val="IRR"/>
    </sheetNames>
    <sheetDataSet>
      <sheetData sheetId="0">
        <row r="1">
          <cell r="A1" t="str">
            <v xml:space="preserve">M/s Haryana Power Industriess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OP"/>
      <sheetName val="PROF"/>
      <sheetName val="WCAP"/>
      <sheetName val="CASH"/>
      <sheetName val="BS"/>
      <sheetName val="DSCR"/>
      <sheetName val="BEP"/>
      <sheetName val="RM"/>
      <sheetName val="SALE"/>
      <sheetName val="MAN"/>
      <sheetName val="POWER"/>
      <sheetName val="DEP-I"/>
      <sheetName val="INTT"/>
      <sheetName val="IRR"/>
    </sheetNames>
    <sheetDataSet>
      <sheetData sheetId="0">
        <row r="1">
          <cell r="A1" t="str">
            <v xml:space="preserve">M/s Haryana Power Industriess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no. of trades and students"/>
      <sheetName val="Assumptions &amp; Projections"/>
      <sheetName val="Cover Page"/>
      <sheetName val="Index"/>
      <sheetName val="b. Sensitivity Analysis"/>
      <sheetName val="Key Assumptions"/>
      <sheetName val="Balance Sheet "/>
      <sheetName val="P &amp; L Statement"/>
      <sheetName val="Cashflow Statement "/>
      <sheetName val="Revenue Schedule"/>
      <sheetName val="Operational Expenses "/>
      <sheetName val="Depreciation "/>
      <sheetName val="Preliminary Expense Calculation"/>
      <sheetName val="No. of Students Calculation"/>
      <sheetName val="Training Schedule Calculation"/>
      <sheetName val="Training Cost &amp; Placement fees"/>
      <sheetName val="Center operationalization Calc"/>
      <sheetName val="Examination Fees Calculation"/>
      <sheetName val="salary and admin"/>
      <sheetName val="Council Meeting Expenses "/>
      <sheetName val="Fixed Asset Calculation"/>
      <sheetName val="IRR Calculation"/>
      <sheetName val="WACC"/>
      <sheetName val="Working Capital"/>
    </sheetNames>
    <sheetDataSet>
      <sheetData sheetId="0"/>
      <sheetData sheetId="1"/>
      <sheetData sheetId="2"/>
      <sheetData sheetId="3"/>
      <sheetData sheetId="4">
        <row r="25">
          <cell r="D25">
            <v>0.13858000000000001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no. of perople trained "/>
      <sheetName val="Assumptions &amp; Projections"/>
      <sheetName val="Expenses assumption"/>
      <sheetName val="fin pln"/>
      <sheetName val="utilsation of grant and loan"/>
      <sheetName val="Cover Page"/>
      <sheetName val="Index"/>
      <sheetName val="b. Sensitivity Analysis"/>
      <sheetName val="Key Assumptions"/>
      <sheetName val="Balance Sheet"/>
      <sheetName val="P&amp;L Statement"/>
      <sheetName val="Cashflow Statement"/>
      <sheetName val="Revenue Schedule"/>
      <sheetName val="Operational Expenses"/>
      <sheetName val="Interest-Principal"/>
      <sheetName val="Capex"/>
      <sheetName val="WACC"/>
      <sheetName val="Working Capital"/>
      <sheetName val="Depreciation "/>
      <sheetName val="Amortisation"/>
      <sheetName val="Tax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5">
          <cell r="D25">
            <v>0.13858000000000001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19"/>
  <sheetViews>
    <sheetView workbookViewId="0">
      <selection activeCell="D28" sqref="D28"/>
    </sheetView>
  </sheetViews>
  <sheetFormatPr defaultRowHeight="12.75"/>
  <cols>
    <col min="1" max="1" width="10" style="168" bestFit="1" customWidth="1"/>
    <col min="2" max="3" width="9.140625" style="168"/>
    <col min="4" max="5" width="10.85546875" style="168" bestFit="1" customWidth="1"/>
    <col min="6" max="16384" width="9.140625" style="168"/>
  </cols>
  <sheetData>
    <row r="2" spans="1:5">
      <c r="A2" s="168">
        <v>1</v>
      </c>
      <c r="B2" s="168" t="s">
        <v>245</v>
      </c>
    </row>
    <row r="3" spans="1:5">
      <c r="A3" s="168">
        <v>2</v>
      </c>
      <c r="B3" s="168" t="s">
        <v>246</v>
      </c>
      <c r="D3" s="168" t="s">
        <v>248</v>
      </c>
      <c r="E3" s="168" t="s">
        <v>254</v>
      </c>
    </row>
    <row r="4" spans="1:5">
      <c r="B4" s="168" t="s">
        <v>247</v>
      </c>
      <c r="D4" s="168" t="s">
        <v>251</v>
      </c>
      <c r="E4" s="168">
        <v>300</v>
      </c>
    </row>
    <row r="5" spans="1:5">
      <c r="A5" s="168">
        <v>3</v>
      </c>
      <c r="B5" s="168" t="s">
        <v>249</v>
      </c>
      <c r="D5" s="168" t="s">
        <v>252</v>
      </c>
      <c r="E5" s="168">
        <v>400</v>
      </c>
    </row>
    <row r="6" spans="1:5">
      <c r="A6" s="168">
        <v>4</v>
      </c>
      <c r="B6" s="168" t="s">
        <v>250</v>
      </c>
      <c r="D6" s="168" t="s">
        <v>253</v>
      </c>
      <c r="E6" s="168">
        <v>500</v>
      </c>
    </row>
    <row r="7" spans="1:5">
      <c r="A7" s="168">
        <v>5</v>
      </c>
    </row>
    <row r="8" spans="1:5">
      <c r="A8" s="168">
        <v>6</v>
      </c>
      <c r="B8" s="168" t="s">
        <v>255</v>
      </c>
    </row>
    <row r="9" spans="1:5">
      <c r="A9" s="168">
        <v>7</v>
      </c>
    </row>
    <row r="12" spans="1:5">
      <c r="B12" s="168" t="s">
        <v>256</v>
      </c>
      <c r="D12" s="168" t="s">
        <v>257</v>
      </c>
    </row>
    <row r="13" spans="1:5">
      <c r="B13" s="168" t="s">
        <v>249</v>
      </c>
      <c r="D13" s="168" t="s">
        <v>241</v>
      </c>
    </row>
    <row r="14" spans="1:5">
      <c r="B14" s="168" t="s">
        <v>250</v>
      </c>
      <c r="D14" s="168" t="s">
        <v>242</v>
      </c>
    </row>
    <row r="16" spans="1:5">
      <c r="B16" s="168" t="s">
        <v>258</v>
      </c>
      <c r="D16" s="168">
        <v>1500</v>
      </c>
    </row>
    <row r="18" spans="2:5">
      <c r="B18" s="168" t="s">
        <v>259</v>
      </c>
      <c r="D18" s="168">
        <v>1</v>
      </c>
      <c r="E18" s="168" t="s">
        <v>262</v>
      </c>
    </row>
    <row r="19" spans="2:5">
      <c r="B19" s="168" t="s">
        <v>260</v>
      </c>
      <c r="D19" s="168">
        <v>4</v>
      </c>
      <c r="E19" s="168" t="s">
        <v>261</v>
      </c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2">
    <pageSetUpPr fitToPage="1"/>
  </sheetPr>
  <dimension ref="B1:F40"/>
  <sheetViews>
    <sheetView workbookViewId="0">
      <selection activeCell="M22" sqref="M22"/>
    </sheetView>
  </sheetViews>
  <sheetFormatPr defaultRowHeight="15"/>
  <cols>
    <col min="1" max="1" width="9.140625" style="35"/>
    <col min="2" max="2" width="26.5703125" style="35" customWidth="1"/>
    <col min="3" max="5" width="9.140625" style="35"/>
    <col min="6" max="6" width="15.5703125" style="35" customWidth="1"/>
    <col min="7" max="16384" width="9.140625" style="35"/>
  </cols>
  <sheetData>
    <row r="1" spans="2:6">
      <c r="B1" s="35" t="s">
        <v>80</v>
      </c>
    </row>
    <row r="2" spans="2:6" ht="15" customHeight="1">
      <c r="B2" s="1300" t="s">
        <v>79</v>
      </c>
      <c r="C2" s="1300"/>
      <c r="D2" s="1300"/>
      <c r="E2" s="1300"/>
      <c r="F2" s="1300"/>
    </row>
    <row r="3" spans="2:6">
      <c r="B3" s="1300"/>
      <c r="C3" s="1300"/>
      <c r="D3" s="1300"/>
      <c r="E3" s="1300"/>
      <c r="F3" s="1300"/>
    </row>
    <row r="4" spans="2:6">
      <c r="B4" s="1300"/>
      <c r="C4" s="1300"/>
      <c r="D4" s="1300"/>
      <c r="E4" s="1300"/>
      <c r="F4" s="1300"/>
    </row>
    <row r="5" spans="2:6">
      <c r="B5" s="1300"/>
      <c r="C5" s="1300"/>
      <c r="D5" s="1300"/>
      <c r="E5" s="1300"/>
      <c r="F5" s="1300"/>
    </row>
    <row r="6" spans="2:6">
      <c r="B6" s="42"/>
      <c r="C6" s="42"/>
      <c r="D6" s="42"/>
      <c r="E6" s="42"/>
      <c r="F6" s="42"/>
    </row>
    <row r="7" spans="2:6" ht="15" customHeight="1">
      <c r="B7" s="41" t="s">
        <v>78</v>
      </c>
      <c r="C7" s="1302" t="s">
        <v>77</v>
      </c>
      <c r="D7" s="1302"/>
      <c r="E7" s="1302"/>
      <c r="F7" s="1302"/>
    </row>
    <row r="8" spans="2:6">
      <c r="B8" s="39" t="s">
        <v>76</v>
      </c>
      <c r="C8" s="1301" t="s">
        <v>171</v>
      </c>
      <c r="D8" s="1301"/>
      <c r="E8" s="1301"/>
      <c r="F8" s="1301"/>
    </row>
    <row r="9" spans="2:6">
      <c r="B9" s="367" t="s">
        <v>277</v>
      </c>
      <c r="C9" s="117" t="s">
        <v>277</v>
      </c>
      <c r="D9" s="117"/>
      <c r="E9" s="117"/>
      <c r="F9" s="117"/>
    </row>
    <row r="10" spans="2:6" hidden="1">
      <c r="B10" s="39" t="s">
        <v>173</v>
      </c>
      <c r="C10" s="117" t="s">
        <v>174</v>
      </c>
      <c r="D10" s="117"/>
      <c r="E10" s="117"/>
      <c r="F10" s="117"/>
    </row>
    <row r="11" spans="2:6">
      <c r="B11" s="368" t="s">
        <v>175</v>
      </c>
      <c r="C11" s="117" t="s">
        <v>176</v>
      </c>
      <c r="D11" s="117"/>
      <c r="E11" s="117"/>
      <c r="F11" s="117"/>
    </row>
    <row r="12" spans="2:6">
      <c r="B12" s="368" t="s">
        <v>678</v>
      </c>
      <c r="C12" s="117" t="s">
        <v>473</v>
      </c>
      <c r="D12" s="117"/>
      <c r="E12" s="117"/>
      <c r="F12" s="117"/>
    </row>
    <row r="13" spans="2:6">
      <c r="B13" s="368" t="s">
        <v>474</v>
      </c>
      <c r="C13" s="117" t="s">
        <v>474</v>
      </c>
      <c r="D13" s="117"/>
      <c r="E13" s="117"/>
      <c r="F13" s="117"/>
    </row>
    <row r="14" spans="2:6">
      <c r="B14" s="368" t="s">
        <v>275</v>
      </c>
      <c r="C14" s="117" t="s">
        <v>172</v>
      </c>
      <c r="D14" s="117"/>
      <c r="E14" s="117"/>
      <c r="F14" s="117"/>
    </row>
    <row r="15" spans="2:6">
      <c r="B15" s="39" t="s">
        <v>243</v>
      </c>
      <c r="C15" s="35" t="s">
        <v>244</v>
      </c>
    </row>
    <row r="16" spans="2:6">
      <c r="B16" s="39" t="s">
        <v>75</v>
      </c>
      <c r="C16" s="1301" t="s">
        <v>279</v>
      </c>
      <c r="D16" s="1301"/>
      <c r="E16" s="1301"/>
      <c r="F16" s="1301"/>
    </row>
    <row r="17" spans="2:6">
      <c r="B17" s="39" t="s">
        <v>74</v>
      </c>
      <c r="C17" s="1301" t="s">
        <v>279</v>
      </c>
      <c r="D17" s="1301"/>
      <c r="E17" s="1301"/>
      <c r="F17" s="1301"/>
    </row>
    <row r="18" spans="2:6">
      <c r="B18" s="39" t="s">
        <v>73</v>
      </c>
      <c r="C18" s="1301" t="s">
        <v>279</v>
      </c>
      <c r="D18" s="1301"/>
      <c r="E18" s="1301"/>
      <c r="F18" s="1301"/>
    </row>
    <row r="19" spans="2:6">
      <c r="B19" s="39" t="s">
        <v>72</v>
      </c>
      <c r="C19" s="1301" t="s">
        <v>71</v>
      </c>
      <c r="D19" s="1301"/>
      <c r="E19" s="1301"/>
      <c r="F19" s="1301"/>
    </row>
    <row r="20" spans="2:6">
      <c r="B20" s="368" t="s">
        <v>70</v>
      </c>
      <c r="C20" s="1301" t="s">
        <v>69</v>
      </c>
      <c r="D20" s="1301"/>
      <c r="E20" s="1301"/>
      <c r="F20" s="1301"/>
    </row>
    <row r="21" spans="2:6">
      <c r="B21" s="368" t="s">
        <v>30</v>
      </c>
      <c r="C21" s="1301" t="s">
        <v>68</v>
      </c>
      <c r="D21" s="1301"/>
      <c r="E21" s="1301"/>
      <c r="F21" s="1301"/>
    </row>
    <row r="22" spans="2:6">
      <c r="B22" s="40" t="s">
        <v>31</v>
      </c>
      <c r="C22" s="1301" t="s">
        <v>67</v>
      </c>
      <c r="D22" s="1301"/>
      <c r="E22" s="1301"/>
      <c r="F22" s="1301"/>
    </row>
    <row r="23" spans="2:6">
      <c r="B23" s="368" t="s">
        <v>66</v>
      </c>
      <c r="C23" s="1303" t="s">
        <v>65</v>
      </c>
      <c r="D23" s="1303"/>
      <c r="E23" s="1303"/>
      <c r="F23" s="1303"/>
    </row>
    <row r="24" spans="2:6">
      <c r="B24" s="39" t="s">
        <v>51</v>
      </c>
      <c r="C24" s="1301" t="s">
        <v>64</v>
      </c>
      <c r="D24" s="1301"/>
      <c r="E24" s="1301"/>
      <c r="F24" s="1301"/>
    </row>
    <row r="25" spans="2:6">
      <c r="B25" s="39" t="s">
        <v>63</v>
      </c>
      <c r="C25" s="1301" t="s">
        <v>62</v>
      </c>
      <c r="D25" s="1301"/>
      <c r="E25" s="1301"/>
      <c r="F25" s="1301"/>
    </row>
    <row r="27" spans="2:6">
      <c r="B27" s="38" t="s">
        <v>61</v>
      </c>
    </row>
    <row r="28" spans="2:6">
      <c r="B28" s="37" t="s">
        <v>60</v>
      </c>
    </row>
    <row r="35" spans="3:4">
      <c r="C35" s="36"/>
      <c r="D35" s="36"/>
    </row>
    <row r="36" spans="3:4">
      <c r="C36" s="36"/>
      <c r="D36" s="36"/>
    </row>
    <row r="37" spans="3:4">
      <c r="C37" s="36"/>
      <c r="D37" s="36"/>
    </row>
    <row r="38" spans="3:4">
      <c r="C38" s="36"/>
      <c r="D38" s="36"/>
    </row>
    <row r="39" spans="3:4">
      <c r="C39" s="36"/>
      <c r="D39" s="36"/>
    </row>
    <row r="40" spans="3:4">
      <c r="C40" s="36"/>
      <c r="D40" s="36"/>
    </row>
  </sheetData>
  <mergeCells count="13">
    <mergeCell ref="C25:F25"/>
    <mergeCell ref="C21:F21"/>
    <mergeCell ref="C22:F22"/>
    <mergeCell ref="C24:F24"/>
    <mergeCell ref="C23:F23"/>
    <mergeCell ref="B2:F5"/>
    <mergeCell ref="C20:F20"/>
    <mergeCell ref="C19:F19"/>
    <mergeCell ref="C18:F18"/>
    <mergeCell ref="C17:F17"/>
    <mergeCell ref="C16:F16"/>
    <mergeCell ref="C8:F8"/>
    <mergeCell ref="C7:F7"/>
  </mergeCells>
  <hyperlinks>
    <hyperlink ref="B17" location="'P&amp;L Statement'!A1" display="P&amp;L Statement"/>
    <hyperlink ref="B19" location="'Revenue Schedule'!A1" display="Revenue Schedule"/>
    <hyperlink ref="B16" location="'Balance Sheet'!A1" display="Balance Sheet"/>
    <hyperlink ref="B18" location="'Cashflow Statement'!A1" display="Cash Flow Statement"/>
    <hyperlink ref="B24" location="Capex!A1" display="Capex"/>
    <hyperlink ref="B22" location="Amortisation!A1" display="c. Amortisation"/>
    <hyperlink ref="B8" location="'Key Assumptions'!A1" display="Key Assumptions"/>
    <hyperlink ref="B25" location="Taxes!A1" display="Taxes"/>
    <hyperlink ref="B10" location="'Utilisation of grant and loan'!A1" display="Utilisation of Grant and Loan"/>
    <hyperlink ref="B15" location="'Loan-Int'!A1" display="Loan-Int"/>
    <hyperlink ref="B9" location="Highlights!A1" display="Highlights"/>
    <hyperlink ref="B11" location="'Exp  Assumptions'!A1" display="Expenses Assumptions"/>
    <hyperlink ref="B14" location="'Fin Smmry'!A1" display="Fin Smmry"/>
    <hyperlink ref="B20" location="'Operational Expenses'!A1" display="Operational Expenses"/>
    <hyperlink ref="B21" location="'Depreciation '!A1" display="Depreciation"/>
    <hyperlink ref="B23" location="'Interest-Principal'!A1" display="Interest-Principal "/>
    <hyperlink ref="B12" location="'No. of people certified '!A1" display="No.of people certified"/>
    <hyperlink ref="B13" location="'CAPEX Assumption'!A1" display="CAPEX Assumptions"/>
  </hyperlinks>
  <printOptions horizontalCentered="1" verticalCentered="1"/>
  <pageMargins left="0.7" right="0.7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K24"/>
  <sheetViews>
    <sheetView zoomScale="90" zoomScaleNormal="90" workbookViewId="0">
      <selection activeCell="K19" sqref="K19"/>
    </sheetView>
  </sheetViews>
  <sheetFormatPr defaultRowHeight="12.75"/>
  <cols>
    <col min="1" max="1" width="9.140625" style="113"/>
    <col min="2" max="2" width="42.28515625" style="113" customWidth="1"/>
    <col min="3" max="3" width="15.42578125" style="113" customWidth="1"/>
    <col min="4" max="4" width="13.7109375" style="113" customWidth="1"/>
    <col min="5" max="5" width="15.42578125" style="113" customWidth="1"/>
    <col min="6" max="6" width="12.28515625" style="113" customWidth="1"/>
    <col min="7" max="7" width="12.5703125" style="113" bestFit="1" customWidth="1"/>
    <col min="8" max="8" width="10.7109375" style="159" bestFit="1" customWidth="1"/>
    <col min="9" max="10" width="9.140625" style="159"/>
    <col min="11" max="11" width="15" style="159" bestFit="1" customWidth="1"/>
    <col min="12" max="37" width="9.140625" style="159"/>
    <col min="38" max="16384" width="9.140625" style="113"/>
  </cols>
  <sheetData>
    <row r="1" spans="1:7" ht="32.25" customHeight="1">
      <c r="B1" s="318" t="e">
        <f>#REF!</f>
        <v>#REF!</v>
      </c>
      <c r="C1" s="318"/>
      <c r="D1" s="318"/>
      <c r="E1" s="318"/>
      <c r="F1" s="318"/>
    </row>
    <row r="2" spans="1:7">
      <c r="B2" s="161"/>
      <c r="C2" s="161"/>
      <c r="D2" s="161"/>
      <c r="E2" s="161"/>
      <c r="F2" s="161"/>
    </row>
    <row r="3" spans="1:7" ht="21" customHeight="1">
      <c r="B3" s="1318" t="s">
        <v>637</v>
      </c>
      <c r="C3" s="1318"/>
      <c r="D3" s="1318"/>
      <c r="E3" s="1318"/>
      <c r="F3" s="1318"/>
    </row>
    <row r="4" spans="1:7" ht="15.75" customHeight="1">
      <c r="C4" s="155">
        <v>4</v>
      </c>
      <c r="D4" s="155">
        <v>3</v>
      </c>
      <c r="E4" s="155">
        <v>3</v>
      </c>
      <c r="F4" s="161" t="s">
        <v>222</v>
      </c>
    </row>
    <row r="5" spans="1:7">
      <c r="C5" s="113" t="s">
        <v>599</v>
      </c>
      <c r="D5" s="113" t="s">
        <v>600</v>
      </c>
      <c r="E5" s="113" t="s">
        <v>601</v>
      </c>
      <c r="F5" s="165" t="s">
        <v>6</v>
      </c>
    </row>
    <row r="6" spans="1:7" ht="20.25" customHeight="1">
      <c r="A6" s="275"/>
      <c r="B6" s="183" t="s">
        <v>226</v>
      </c>
      <c r="C6" s="615">
        <f>SUM('No. of people trained '!C88:L88)/10^5</f>
        <v>1.3707750000000001</v>
      </c>
      <c r="D6" s="615">
        <f>('No. of people trained '!M88+'No. of people trained '!N88+'No. of people trained '!O88)/10^5</f>
        <v>2.8176000000000001</v>
      </c>
      <c r="E6" s="615">
        <f>('No. of people trained '!P88+'No. of people trained '!Q88+'No. of people trained '!R88)/10^5</f>
        <v>4.0704000000000002</v>
      </c>
      <c r="F6" s="595">
        <f>'No. of people trained '!S88/10^5</f>
        <v>8.258775</v>
      </c>
      <c r="G6" s="657"/>
    </row>
    <row r="7" spans="1:7">
      <c r="A7" s="275"/>
      <c r="B7" s="275"/>
      <c r="C7" s="275"/>
      <c r="D7" s="275"/>
      <c r="E7" s="275"/>
      <c r="F7" s="481"/>
      <c r="G7" s="481"/>
    </row>
    <row r="8" spans="1:7" ht="20.25" customHeight="1">
      <c r="A8" s="275"/>
      <c r="B8" s="275" t="s">
        <v>57</v>
      </c>
      <c r="C8" s="481">
        <f>SUM('Fin Smmry'!B14:K14)</f>
        <v>4074.3175425000009</v>
      </c>
      <c r="D8" s="481">
        <f>'Fin Smmry'!L14+'Fin Smmry'!M14+'Fin Smmry'!N14</f>
        <v>9736.1329381800042</v>
      </c>
      <c r="E8" s="481">
        <f>'Fin Smmry'!O14+'Fin Smmry'!P14+'Fin Smmry'!Q14</f>
        <v>17583.296218931533</v>
      </c>
      <c r="F8" s="481">
        <f>'Fin Smmry'!R14</f>
        <v>31393.746699611536</v>
      </c>
      <c r="G8" s="481"/>
    </row>
    <row r="9" spans="1:7" ht="20.25" customHeight="1">
      <c r="A9" s="275"/>
      <c r="B9" s="275" t="s">
        <v>70</v>
      </c>
      <c r="C9" s="481">
        <f>SUM('Fin Smmry'!B21:K21)</f>
        <v>4221.698772400001</v>
      </c>
      <c r="D9" s="481">
        <f>'Fin Smmry'!L21+'Fin Smmry'!M21+'Fin Smmry'!N21</f>
        <v>7756.8720453712021</v>
      </c>
      <c r="E9" s="481">
        <f>'Fin Smmry'!O21+'Fin Smmry'!P21+'Fin Smmry'!Q21</f>
        <v>13406.587828676616</v>
      </c>
      <c r="F9" s="481">
        <f>'Fin Smmry'!R21</f>
        <v>25385.158646447821</v>
      </c>
      <c r="G9" s="481"/>
    </row>
    <row r="10" spans="1:7" ht="10.5" customHeight="1">
      <c r="A10" s="275"/>
      <c r="B10" s="275"/>
      <c r="C10" s="481"/>
      <c r="D10" s="481"/>
      <c r="E10" s="481"/>
      <c r="F10" s="481"/>
      <c r="G10" s="481"/>
    </row>
    <row r="11" spans="1:7" ht="20.25" customHeight="1">
      <c r="A11" s="275"/>
      <c r="B11" s="479" t="s">
        <v>221</v>
      </c>
      <c r="C11" s="480">
        <f>C8-C9</f>
        <v>-147.38122990000011</v>
      </c>
      <c r="D11" s="480">
        <f>D8-D9</f>
        <v>1979.2608928088021</v>
      </c>
      <c r="E11" s="480">
        <f>E8-E9</f>
        <v>4176.7083902549166</v>
      </c>
      <c r="F11" s="480">
        <f>F8-F9</f>
        <v>6008.5880531637158</v>
      </c>
      <c r="G11" s="480"/>
    </row>
    <row r="12" spans="1:7" ht="10.5" customHeight="1">
      <c r="C12" s="116"/>
      <c r="D12" s="116"/>
      <c r="E12" s="116"/>
      <c r="F12" s="116"/>
      <c r="G12" s="481"/>
    </row>
    <row r="13" spans="1:7" ht="20.25" customHeight="1">
      <c r="B13" s="113" t="s">
        <v>230</v>
      </c>
      <c r="C13" s="116">
        <f>SUM('Fin Smmry'!B29:K29)+SUM('Fin Smmry'!B30:K30)+SUM('Fin Smmry'!B31:K31)</f>
        <v>501.94616162887962</v>
      </c>
      <c r="D13" s="116">
        <f>'Fin Smmry'!L29+'Fin Smmry'!M29+'Fin Smmry'!N29+'Fin Smmry'!L30+'Fin Smmry'!M30+'Fin Smmry'!N30</f>
        <v>197.24092484766931</v>
      </c>
      <c r="E13" s="116">
        <f>'Fin Smmry'!O29+'Fin Smmry'!P29+'Fin Smmry'!Q29+'Fin Smmry'!O30+'Fin Smmry'!P30+'Fin Smmry'!Q30</f>
        <v>189.61184028319556</v>
      </c>
      <c r="F13" s="116">
        <f>'Fin Smmry'!R29+'Fin Smmry'!R30+'Fin Smmry'!R31</f>
        <v>909.64319105656114</v>
      </c>
      <c r="G13" s="481"/>
    </row>
    <row r="14" spans="1:7" ht="8.25" customHeight="1">
      <c r="C14" s="116"/>
      <c r="D14" s="116"/>
      <c r="E14" s="116"/>
      <c r="F14" s="116"/>
      <c r="G14" s="481"/>
    </row>
    <row r="15" spans="1:7" ht="20.25" customHeight="1">
      <c r="B15" s="183" t="s">
        <v>223</v>
      </c>
      <c r="C15" s="363">
        <f>C11-C13</f>
        <v>-649.32739152887973</v>
      </c>
      <c r="D15" s="363">
        <f>D11-D13</f>
        <v>1782.0199679611328</v>
      </c>
      <c r="E15" s="363">
        <f>E11-E13</f>
        <v>3987.0965499717208</v>
      </c>
      <c r="F15" s="363">
        <f>F11-F13</f>
        <v>5098.9448621071551</v>
      </c>
      <c r="G15" s="480"/>
    </row>
    <row r="16" spans="1:7" ht="8.25" customHeight="1">
      <c r="C16" s="116"/>
      <c r="D16" s="116"/>
      <c r="E16" s="116"/>
      <c r="F16" s="116"/>
      <c r="G16" s="481"/>
    </row>
    <row r="17" spans="2:9" ht="20.25" customHeight="1">
      <c r="B17" s="183" t="s">
        <v>225</v>
      </c>
      <c r="C17" s="480"/>
      <c r="D17" s="480"/>
      <c r="E17" s="480"/>
      <c r="F17" s="116"/>
      <c r="G17" s="481"/>
    </row>
    <row r="18" spans="2:9" ht="20.25" customHeight="1">
      <c r="B18" s="113" t="s">
        <v>675</v>
      </c>
      <c r="C18" s="116">
        <f>SUM('Fin Smmry'!B79:K79)</f>
        <v>394.35854850000004</v>
      </c>
      <c r="D18" s="116">
        <f>SUM('Fin Smmry'!L79:N79)</f>
        <v>0</v>
      </c>
      <c r="E18" s="116">
        <f>SUM('Fin Smmry'!O79:Q79)</f>
        <v>0</v>
      </c>
      <c r="F18" s="116">
        <f>SUM(C18:E18)</f>
        <v>394.35854850000004</v>
      </c>
      <c r="G18" s="701">
        <f>F18/F22</f>
        <v>0.24985968820797183</v>
      </c>
      <c r="H18" s="155">
        <f>F22/4</f>
        <v>394.58000541063063</v>
      </c>
      <c r="I18" s="710">
        <f>H18-F18</f>
        <v>0.22145691063059303</v>
      </c>
    </row>
    <row r="19" spans="2:9" ht="20.25" customHeight="1">
      <c r="B19" s="113" t="s">
        <v>50</v>
      </c>
      <c r="C19" s="116">
        <f>SUM('Fin Smmry'!B47:K47)</f>
        <v>0</v>
      </c>
      <c r="D19" s="116">
        <f>SUM('Fin Smmry'!L47:N47)</f>
        <v>0</v>
      </c>
      <c r="E19" s="116">
        <f>SUM('Fin Smmry'!O47:Q47)</f>
        <v>0</v>
      </c>
      <c r="F19" s="116">
        <f>SUM(C19:E19)</f>
        <v>0</v>
      </c>
      <c r="G19" s="722">
        <f>F19/F22</f>
        <v>0</v>
      </c>
      <c r="H19" s="709"/>
    </row>
    <row r="20" spans="2:9" ht="20.25" customHeight="1">
      <c r="B20" s="113" t="s">
        <v>639</v>
      </c>
      <c r="C20" s="116">
        <f>SUM('Fin Smmry'!B81:K81)</f>
        <v>233.06030000000004</v>
      </c>
      <c r="D20" s="116">
        <f>SUM('Fin Smmry'!L81:N81)</f>
        <v>56.084400000000016</v>
      </c>
      <c r="E20" s="116">
        <f>SUM('Fin Smmry'!O81:Q81)</f>
        <v>-289.60000000000002</v>
      </c>
      <c r="F20" s="116">
        <f>MAX('Fin Smmry'!B137:L137)</f>
        <v>361.54470000000003</v>
      </c>
      <c r="G20" s="482">
        <f>F20/F22</f>
        <v>0.22906932373812791</v>
      </c>
      <c r="H20" s="709"/>
    </row>
    <row r="21" spans="2:9" ht="20.25" customHeight="1">
      <c r="B21" s="113" t="s">
        <v>224</v>
      </c>
      <c r="C21" s="116">
        <f>MAX('Fin Smmry'!B50:K50)</f>
        <v>822.4167731425224</v>
      </c>
      <c r="D21" s="116">
        <f>MAX('Fin Smmry'!L50:N50)</f>
        <v>92.075059712661528</v>
      </c>
      <c r="E21" s="116">
        <f>MAX('Fin Smmry'!O50:Q50)</f>
        <v>0</v>
      </c>
      <c r="F21" s="116">
        <f>MAX('Fin Smmry'!B89:Q89)</f>
        <v>822.4167731425224</v>
      </c>
      <c r="G21" s="482">
        <f>F21/F22</f>
        <v>0.52107098805390017</v>
      </c>
    </row>
    <row r="22" spans="2:9" ht="20.25" customHeight="1">
      <c r="C22" s="116"/>
      <c r="D22" s="116"/>
      <c r="E22" s="116"/>
      <c r="F22" s="167">
        <f>SUM(F18:F21)</f>
        <v>1578.3200216425225</v>
      </c>
    </row>
    <row r="23" spans="2:9" ht="9" customHeight="1">
      <c r="G23" s="275"/>
    </row>
    <row r="24" spans="2:9" ht="20.25" customHeight="1">
      <c r="B24" s="183" t="s">
        <v>227</v>
      </c>
      <c r="C24" s="183"/>
      <c r="D24" s="183"/>
      <c r="E24" s="183"/>
      <c r="F24" s="364">
        <f>'Cashflow Statement'!R38</f>
        <v>0.12234756562006428</v>
      </c>
      <c r="G24" s="658"/>
    </row>
  </sheetData>
  <mergeCells count="1">
    <mergeCell ref="B3:F3"/>
  </mergeCells>
  <printOptions horizontalCentered="1"/>
  <pageMargins left="0.7" right="0.7" top="0.75" bottom="0.75" header="0.3" footer="0.3"/>
  <pageSetup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8">
    <tabColor rgb="FF00B0F0"/>
    <pageSetUpPr fitToPage="1"/>
  </sheetPr>
  <dimension ref="A1:AK148"/>
  <sheetViews>
    <sheetView zoomScale="70" zoomScaleNormal="7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8" sqref="C8:C16"/>
    </sheetView>
  </sheetViews>
  <sheetFormatPr defaultRowHeight="15"/>
  <cols>
    <col min="1" max="1" width="5.85546875" style="548" customWidth="1"/>
    <col min="2" max="2" width="35.85546875" style="507" customWidth="1"/>
    <col min="3" max="4" width="13.5703125" style="507" customWidth="1"/>
    <col min="5" max="5" width="12.7109375" style="548" customWidth="1"/>
    <col min="6" max="6" width="13" style="507" customWidth="1"/>
    <col min="7" max="7" width="11.42578125" style="507" bestFit="1" customWidth="1"/>
    <col min="8" max="8" width="9.28515625" style="507" customWidth="1"/>
    <col min="9" max="9" width="9" style="507" customWidth="1"/>
    <col min="10" max="10" width="8.5703125" style="507" customWidth="1"/>
    <col min="11" max="13" width="9.5703125" style="507" bestFit="1" customWidth="1"/>
    <col min="14" max="14" width="9.42578125" style="507" customWidth="1"/>
    <col min="15" max="15" width="10.85546875" style="507" customWidth="1"/>
    <col min="16" max="17" width="13.28515625" style="507" bestFit="1" customWidth="1"/>
    <col min="18" max="21" width="13.85546875" style="507" bestFit="1" customWidth="1"/>
    <col min="22" max="22" width="12.85546875" style="507" customWidth="1"/>
    <col min="23" max="23" width="15.140625" style="507" bestFit="1" customWidth="1"/>
    <col min="24" max="24" width="15.140625" style="548" bestFit="1" customWidth="1"/>
    <col min="25" max="25" width="16.5703125" style="507" customWidth="1"/>
    <col min="26" max="27" width="11.42578125" style="507" bestFit="1" customWidth="1"/>
    <col min="28" max="36" width="9.140625" style="507"/>
    <col min="37" max="37" width="13.28515625" style="507" bestFit="1" customWidth="1"/>
    <col min="38" max="16384" width="9.140625" style="507"/>
  </cols>
  <sheetData>
    <row r="1" spans="1:36" ht="15" customHeight="1">
      <c r="A1" s="1326" t="s">
        <v>332</v>
      </c>
      <c r="B1" s="1326"/>
      <c r="C1" s="1326"/>
      <c r="D1" s="1326"/>
      <c r="E1" s="1326"/>
      <c r="F1" s="1326"/>
      <c r="G1" s="1326"/>
      <c r="H1" s="1326"/>
      <c r="I1" s="1326"/>
      <c r="J1" s="1326"/>
      <c r="K1" s="1326"/>
      <c r="L1" s="1326"/>
      <c r="M1" s="1326"/>
      <c r="N1" s="1326"/>
      <c r="O1" s="1326"/>
      <c r="P1" s="1326"/>
      <c r="Q1" s="1326"/>
      <c r="R1" s="1326"/>
      <c r="S1" s="1326"/>
      <c r="T1" s="1326"/>
      <c r="U1" s="1326"/>
      <c r="V1" s="1326"/>
      <c r="W1" s="1326"/>
    </row>
    <row r="2" spans="1:36" s="461" customFormat="1" ht="17.25">
      <c r="A2" s="732"/>
      <c r="B2" s="733" t="s">
        <v>633</v>
      </c>
      <c r="C2" s="734"/>
      <c r="D2" s="734"/>
      <c r="E2" s="734"/>
      <c r="F2" s="735" t="s">
        <v>209</v>
      </c>
      <c r="G2" s="735"/>
      <c r="H2" s="735"/>
      <c r="I2" s="735"/>
      <c r="J2" s="735"/>
      <c r="K2" s="736"/>
      <c r="L2" s="736"/>
      <c r="M2" s="736"/>
      <c r="N2" s="736"/>
      <c r="O2" s="737"/>
      <c r="P2" s="737"/>
      <c r="Q2" s="737"/>
      <c r="R2" s="737"/>
      <c r="S2" s="737"/>
      <c r="T2" s="737"/>
      <c r="U2" s="737"/>
      <c r="V2" s="737"/>
      <c r="W2" s="737"/>
      <c r="X2" s="738"/>
      <c r="Y2" s="739"/>
      <c r="Z2" s="739"/>
      <c r="AA2" s="739"/>
      <c r="AB2" s="739"/>
      <c r="AC2" s="739"/>
      <c r="AD2" s="739"/>
      <c r="AE2" s="739"/>
      <c r="AF2" s="739"/>
      <c r="AG2" s="739"/>
      <c r="AH2" s="739"/>
      <c r="AI2" s="739"/>
      <c r="AJ2" s="739"/>
    </row>
    <row r="3" spans="1:36">
      <c r="B3" s="544"/>
      <c r="C3" s="544"/>
      <c r="D3" s="544"/>
      <c r="E3" s="727"/>
      <c r="AA3" s="508">
        <v>1.1000000000000001</v>
      </c>
    </row>
    <row r="4" spans="1:36" s="548" customFormat="1" ht="33" customHeight="1">
      <c r="A4" s="727" t="s">
        <v>21</v>
      </c>
      <c r="B4" s="727" t="s">
        <v>22</v>
      </c>
      <c r="C4" s="727"/>
      <c r="D4" s="727" t="s">
        <v>623</v>
      </c>
      <c r="E4" s="727" t="s">
        <v>7</v>
      </c>
      <c r="F4" s="727" t="s">
        <v>274</v>
      </c>
      <c r="G4" s="1329" t="s">
        <v>156</v>
      </c>
      <c r="H4" s="1329"/>
      <c r="I4" s="1329"/>
      <c r="J4" s="1329"/>
      <c r="K4" s="1329" t="s">
        <v>157</v>
      </c>
      <c r="L4" s="1329"/>
      <c r="M4" s="1329"/>
      <c r="N4" s="1329"/>
      <c r="O4" s="727" t="str">
        <f>'Fin Smmry'!J2</f>
        <v>Year 3</v>
      </c>
      <c r="P4" s="727" t="str">
        <f>'Fin Smmry'!K2</f>
        <v>Year 4</v>
      </c>
      <c r="Q4" s="727" t="str">
        <f>'Fin Smmry'!L2</f>
        <v>Year 5</v>
      </c>
      <c r="R4" s="727" t="str">
        <f>'Fin Smmry'!M2</f>
        <v>Year 6</v>
      </c>
      <c r="S4" s="727" t="str">
        <f>'Fin Smmry'!N2</f>
        <v>Year 7</v>
      </c>
      <c r="T4" s="727" t="str">
        <f>'Fin Smmry'!O2</f>
        <v>Year 8</v>
      </c>
      <c r="U4" s="727" t="str">
        <f>'Fin Smmry'!P2</f>
        <v>Year 9</v>
      </c>
      <c r="V4" s="727" t="str">
        <f>'Fin Smmry'!Q2</f>
        <v>Year 10</v>
      </c>
      <c r="W4" s="548" t="s">
        <v>6</v>
      </c>
      <c r="X4" s="548" t="s">
        <v>529</v>
      </c>
    </row>
    <row r="5" spans="1:36" s="548" customFormat="1" ht="33" customHeight="1">
      <c r="A5" s="727"/>
      <c r="B5" s="727"/>
      <c r="C5" s="727"/>
      <c r="D5" s="727"/>
      <c r="E5" s="727"/>
      <c r="F5" s="727"/>
      <c r="G5" s="319" t="s">
        <v>608</v>
      </c>
      <c r="H5" s="319" t="s">
        <v>609</v>
      </c>
      <c r="I5" s="319" t="s">
        <v>610</v>
      </c>
      <c r="J5" s="319" t="s">
        <v>611</v>
      </c>
      <c r="K5" s="319" t="s">
        <v>608</v>
      </c>
      <c r="L5" s="319" t="s">
        <v>609</v>
      </c>
      <c r="M5" s="319" t="s">
        <v>610</v>
      </c>
      <c r="N5" s="319" t="s">
        <v>611</v>
      </c>
      <c r="O5" s="727"/>
      <c r="P5" s="727"/>
      <c r="Q5" s="727"/>
      <c r="R5" s="727"/>
      <c r="S5" s="727"/>
      <c r="T5" s="727"/>
      <c r="U5" s="727"/>
      <c r="V5" s="727"/>
    </row>
    <row r="6" spans="1:36" s="548" customFormat="1" ht="33" customHeight="1">
      <c r="A6" s="727"/>
      <c r="B6" s="727"/>
      <c r="C6" s="727"/>
      <c r="D6" s="727" t="s">
        <v>427</v>
      </c>
      <c r="E6" s="740">
        <f>'Key Assumptions'!G10</f>
        <v>0.1</v>
      </c>
      <c r="F6" s="727"/>
      <c r="G6" s="740">
        <f>'Key Assumptions'!K10</f>
        <v>1</v>
      </c>
      <c r="H6" s="740">
        <f>'Key Assumptions'!L10</f>
        <v>1</v>
      </c>
      <c r="I6" s="740">
        <f>'Key Assumptions'!M10</f>
        <v>1</v>
      </c>
      <c r="J6" s="740">
        <f>'Key Assumptions'!N10</f>
        <v>1</v>
      </c>
      <c r="K6" s="740">
        <f>'Key Assumptions'!O10</f>
        <v>1.1000000000000001</v>
      </c>
      <c r="L6" s="740">
        <f>'Key Assumptions'!P10</f>
        <v>1.1000000000000001</v>
      </c>
      <c r="M6" s="740">
        <f>'Key Assumptions'!Q10</f>
        <v>1.1000000000000001</v>
      </c>
      <c r="N6" s="740">
        <f>'Key Assumptions'!R10</f>
        <v>1.1000000000000001</v>
      </c>
      <c r="O6" s="740">
        <f>'Key Assumptions'!S10</f>
        <v>1.2100000000000002</v>
      </c>
      <c r="P6" s="740">
        <f>'Key Assumptions'!T10</f>
        <v>1.3310000000000002</v>
      </c>
      <c r="Q6" s="740">
        <f>'Key Assumptions'!U10</f>
        <v>1.4641000000000002</v>
      </c>
      <c r="R6" s="740">
        <f>'Key Assumptions'!V10</f>
        <v>1.6105100000000001</v>
      </c>
      <c r="S6" s="740">
        <f>'Key Assumptions'!W10</f>
        <v>1.7715610000000002</v>
      </c>
      <c r="T6" s="740">
        <f>'Key Assumptions'!X10</f>
        <v>1.9487171000000001</v>
      </c>
      <c r="U6" s="740">
        <f>'Key Assumptions'!Y10</f>
        <v>2.1435888100000002</v>
      </c>
      <c r="V6" s="740">
        <f>'Key Assumptions'!Z10</f>
        <v>2.3579476910000001</v>
      </c>
    </row>
    <row r="7" spans="1:36">
      <c r="B7" s="544" t="s">
        <v>195</v>
      </c>
      <c r="C7" s="544"/>
      <c r="D7" s="544"/>
      <c r="K7" s="741"/>
      <c r="L7" s="741"/>
      <c r="M7" s="741"/>
      <c r="N7" s="741"/>
    </row>
    <row r="8" spans="1:36" ht="30">
      <c r="A8" s="376">
        <v>1</v>
      </c>
      <c r="B8" s="485" t="s">
        <v>487</v>
      </c>
      <c r="C8" s="556"/>
      <c r="D8" s="557">
        <v>1</v>
      </c>
      <c r="E8" s="558">
        <v>1</v>
      </c>
      <c r="F8" s="546">
        <v>2</v>
      </c>
      <c r="G8" s="463">
        <f t="shared" ref="G8:G16" si="0">F8*3*E8*$G$6*D8</f>
        <v>6</v>
      </c>
      <c r="H8" s="462">
        <f t="shared" ref="H8:H16" si="1">F8*E8*3*$H$6*D8</f>
        <v>6</v>
      </c>
      <c r="I8" s="462">
        <f t="shared" ref="I8:I16" si="2">F8*E8*3*D8*$I$6</f>
        <v>6</v>
      </c>
      <c r="J8" s="462">
        <f t="shared" ref="J8:J16" si="3">F8*E8*D8*$J$6*3</f>
        <v>6</v>
      </c>
      <c r="K8" s="463">
        <f t="shared" ref="K8:K16" si="4">F8*E8*3*D8*$K$6</f>
        <v>6.6000000000000005</v>
      </c>
      <c r="L8" s="463">
        <f t="shared" ref="L8:L16" si="5">F8*E8*3*D8*$L$6</f>
        <v>6.6000000000000005</v>
      </c>
      <c r="M8" s="463">
        <f t="shared" ref="M8:M16" si="6">F8*E8*3*D8*$M$6</f>
        <v>6.6000000000000005</v>
      </c>
      <c r="N8" s="463">
        <f t="shared" ref="N8:N16" si="7">F8*E8*3*D8*$N$6</f>
        <v>6.6000000000000005</v>
      </c>
      <c r="O8" s="463">
        <f>F8*12*E8*$O$6</f>
        <v>29.040000000000006</v>
      </c>
      <c r="P8" s="463">
        <f>F8*12*E8*$P$6</f>
        <v>31.944000000000003</v>
      </c>
      <c r="Q8" s="463">
        <f>F8*12*E8*$Q$6</f>
        <v>35.138400000000004</v>
      </c>
      <c r="R8" s="463">
        <f>F8*12*E8*$R$6</f>
        <v>38.652240000000006</v>
      </c>
      <c r="S8" s="463">
        <f>F8*E8*12*$S$6</f>
        <v>42.517464000000004</v>
      </c>
      <c r="T8" s="463">
        <f>F8*12*E8*$T$6</f>
        <v>46.769210400000006</v>
      </c>
      <c r="U8" s="463">
        <f>F8*12*E8*$U$6</f>
        <v>51.446131440000002</v>
      </c>
      <c r="V8" s="463">
        <f>F8*12*E8*$V$6</f>
        <v>56.590744584000007</v>
      </c>
      <c r="W8" s="547">
        <f t="shared" ref="W8:W16" si="8">G8+H8+I8+J8+K8+L8+M8+N8+O8+P8+Q8+R8+S8+T8+U8+V8</f>
        <v>382.49819042400003</v>
      </c>
      <c r="X8" s="742">
        <f t="shared" ref="X8:X16" si="9">W8/$W$18</f>
        <v>0.30760035658404716</v>
      </c>
      <c r="Y8" s="548" t="s">
        <v>513</v>
      </c>
    </row>
    <row r="9" spans="1:36">
      <c r="A9" s="376">
        <v>3</v>
      </c>
      <c r="B9" s="485" t="s">
        <v>490</v>
      </c>
      <c r="C9" s="556"/>
      <c r="D9" s="557">
        <v>1</v>
      </c>
      <c r="E9" s="558">
        <v>1</v>
      </c>
      <c r="F9" s="546">
        <v>0.7</v>
      </c>
      <c r="G9" s="463">
        <f t="shared" si="0"/>
        <v>2.0999999999999996</v>
      </c>
      <c r="H9" s="462">
        <f t="shared" si="1"/>
        <v>2.0999999999999996</v>
      </c>
      <c r="I9" s="462">
        <f t="shared" si="2"/>
        <v>2.0999999999999996</v>
      </c>
      <c r="J9" s="462">
        <f t="shared" si="3"/>
        <v>2.0999999999999996</v>
      </c>
      <c r="K9" s="463">
        <f t="shared" si="4"/>
        <v>2.3099999999999996</v>
      </c>
      <c r="L9" s="463">
        <f t="shared" si="5"/>
        <v>2.3099999999999996</v>
      </c>
      <c r="M9" s="463">
        <f t="shared" si="6"/>
        <v>2.3099999999999996</v>
      </c>
      <c r="N9" s="463">
        <f t="shared" si="7"/>
        <v>2.3099999999999996</v>
      </c>
      <c r="O9" s="463">
        <f>F9*12*E9*$O$6</f>
        <v>10.164</v>
      </c>
      <c r="P9" s="463">
        <f>F9*12*E9*$P$6</f>
        <v>11.180399999999999</v>
      </c>
      <c r="Q9" s="463">
        <f>F9*12*E9*$Q$6</f>
        <v>12.298439999999999</v>
      </c>
      <c r="R9" s="463">
        <f>F9*12*E9*$R$6</f>
        <v>13.528283999999999</v>
      </c>
      <c r="S9" s="463">
        <f>F9*E9*12*$S$6</f>
        <v>14.881112399999999</v>
      </c>
      <c r="T9" s="463">
        <f>F9*12*E9*$T$6</f>
        <v>16.369223639999998</v>
      </c>
      <c r="U9" s="463">
        <f>F9*12*E9*$U$6</f>
        <v>18.006146003999998</v>
      </c>
      <c r="V9" s="463">
        <f>F9*12*E9*$V$6</f>
        <v>19.806760604399997</v>
      </c>
      <c r="W9" s="547">
        <f t="shared" si="8"/>
        <v>133.87436664839998</v>
      </c>
      <c r="X9" s="742">
        <f t="shared" si="9"/>
        <v>0.10766012480441649</v>
      </c>
      <c r="Y9" s="548" t="s">
        <v>514</v>
      </c>
    </row>
    <row r="10" spans="1:36">
      <c r="A10" s="376">
        <v>4</v>
      </c>
      <c r="B10" s="485" t="s">
        <v>491</v>
      </c>
      <c r="C10" s="556"/>
      <c r="D10" s="557">
        <v>1</v>
      </c>
      <c r="E10" s="558">
        <v>1</v>
      </c>
      <c r="F10" s="546">
        <v>0.4</v>
      </c>
      <c r="G10" s="463">
        <f t="shared" si="0"/>
        <v>1.2000000000000002</v>
      </c>
      <c r="H10" s="462">
        <f t="shared" si="1"/>
        <v>1.2000000000000002</v>
      </c>
      <c r="I10" s="462">
        <f t="shared" si="2"/>
        <v>1.2000000000000002</v>
      </c>
      <c r="J10" s="462">
        <f t="shared" si="3"/>
        <v>1.2000000000000002</v>
      </c>
      <c r="K10" s="463">
        <f t="shared" si="4"/>
        <v>1.3200000000000003</v>
      </c>
      <c r="L10" s="463">
        <f t="shared" si="5"/>
        <v>1.3200000000000003</v>
      </c>
      <c r="M10" s="463">
        <f t="shared" si="6"/>
        <v>1.3200000000000003</v>
      </c>
      <c r="N10" s="463">
        <f t="shared" si="7"/>
        <v>1.3200000000000003</v>
      </c>
      <c r="O10" s="463">
        <f>F10*12*E10*$O$6</f>
        <v>5.8080000000000016</v>
      </c>
      <c r="P10" s="463">
        <f>F10*12*E10*$P$6</f>
        <v>6.3888000000000016</v>
      </c>
      <c r="Q10" s="463">
        <f>F10*12*E10*$Q$6</f>
        <v>7.0276800000000019</v>
      </c>
      <c r="R10" s="463">
        <f>F10*12*E10*$R$6</f>
        <v>7.7304480000000018</v>
      </c>
      <c r="S10" s="463">
        <f>F10*E10*12*$S$6</f>
        <v>8.5034928000000018</v>
      </c>
      <c r="T10" s="463">
        <f>F10*12*E10*$T$6</f>
        <v>9.3538420800000015</v>
      </c>
      <c r="U10" s="463">
        <f>F10*12*E10*$U$6</f>
        <v>10.289226288000002</v>
      </c>
      <c r="V10" s="463">
        <f>F10*12*E10*$V$6</f>
        <v>11.318148916800002</v>
      </c>
      <c r="W10" s="547">
        <f t="shared" si="8"/>
        <v>76.499638084800011</v>
      </c>
      <c r="X10" s="742">
        <f t="shared" si="9"/>
        <v>6.1520071316809442E-2</v>
      </c>
      <c r="Y10" s="548" t="s">
        <v>514</v>
      </c>
    </row>
    <row r="11" spans="1:36" ht="17.25" customHeight="1">
      <c r="A11" s="376">
        <v>5</v>
      </c>
      <c r="B11" s="485" t="s">
        <v>335</v>
      </c>
      <c r="C11" s="556"/>
      <c r="D11" s="557">
        <v>1</v>
      </c>
      <c r="E11" s="558">
        <v>1</v>
      </c>
      <c r="F11" s="546">
        <v>0.7</v>
      </c>
      <c r="G11" s="463">
        <f t="shared" si="0"/>
        <v>2.0999999999999996</v>
      </c>
      <c r="H11" s="462">
        <f t="shared" si="1"/>
        <v>2.0999999999999996</v>
      </c>
      <c r="I11" s="462">
        <f t="shared" si="2"/>
        <v>2.0999999999999996</v>
      </c>
      <c r="J11" s="462">
        <f t="shared" si="3"/>
        <v>2.0999999999999996</v>
      </c>
      <c r="K11" s="463">
        <f t="shared" si="4"/>
        <v>2.3099999999999996</v>
      </c>
      <c r="L11" s="463">
        <f t="shared" si="5"/>
        <v>2.3099999999999996</v>
      </c>
      <c r="M11" s="463">
        <f t="shared" si="6"/>
        <v>2.3099999999999996</v>
      </c>
      <c r="N11" s="463">
        <f t="shared" si="7"/>
        <v>2.3099999999999996</v>
      </c>
      <c r="O11" s="463">
        <f>F11*12*E11*$O$6</f>
        <v>10.164</v>
      </c>
      <c r="P11" s="463">
        <f>F11*12*E11*$P$6</f>
        <v>11.180399999999999</v>
      </c>
      <c r="Q11" s="463">
        <f>F11*12*E11*$Q$6</f>
        <v>12.298439999999999</v>
      </c>
      <c r="R11" s="463">
        <f>F11*12*E11*$R$6</f>
        <v>13.528283999999999</v>
      </c>
      <c r="S11" s="463">
        <f>F11*E11*12*$S$6</f>
        <v>14.881112399999999</v>
      </c>
      <c r="T11" s="463">
        <f>F11*12*E11*$T$6</f>
        <v>16.369223639999998</v>
      </c>
      <c r="U11" s="463">
        <f>F11*12*E11*$U$6</f>
        <v>18.006146003999998</v>
      </c>
      <c r="V11" s="463">
        <f>F11*12*E11*$V$6</f>
        <v>19.806760604399997</v>
      </c>
      <c r="W11" s="547">
        <f t="shared" si="8"/>
        <v>133.87436664839998</v>
      </c>
      <c r="X11" s="742">
        <f t="shared" si="9"/>
        <v>0.10766012480441649</v>
      </c>
      <c r="Y11" s="548" t="s">
        <v>514</v>
      </c>
    </row>
    <row r="12" spans="1:36">
      <c r="A12" s="376">
        <v>6</v>
      </c>
      <c r="B12" s="485" t="s">
        <v>655</v>
      </c>
      <c r="C12" s="556"/>
      <c r="D12" s="557">
        <v>0.5</v>
      </c>
      <c r="E12" s="558">
        <v>1</v>
      </c>
      <c r="F12" s="546">
        <v>0.4</v>
      </c>
      <c r="G12" s="463">
        <f t="shared" si="0"/>
        <v>0.60000000000000009</v>
      </c>
      <c r="H12" s="462">
        <f t="shared" si="1"/>
        <v>0.60000000000000009</v>
      </c>
      <c r="I12" s="462">
        <f t="shared" si="2"/>
        <v>0.60000000000000009</v>
      </c>
      <c r="J12" s="462">
        <f t="shared" si="3"/>
        <v>0.60000000000000009</v>
      </c>
      <c r="K12" s="463">
        <f t="shared" si="4"/>
        <v>0.66000000000000014</v>
      </c>
      <c r="L12" s="463">
        <f t="shared" si="5"/>
        <v>0.66000000000000014</v>
      </c>
      <c r="M12" s="463">
        <f t="shared" si="6"/>
        <v>0.66000000000000014</v>
      </c>
      <c r="N12" s="463">
        <f t="shared" si="7"/>
        <v>0.66000000000000014</v>
      </c>
      <c r="O12" s="463">
        <f>F12*12*E12*$O$6*$D$12</f>
        <v>2.9040000000000008</v>
      </c>
      <c r="P12" s="463">
        <f t="shared" ref="P12:V12" si="10">G12*12*F12*$O$6*$D$12</f>
        <v>1.7424000000000008</v>
      </c>
      <c r="Q12" s="463">
        <f t="shared" si="10"/>
        <v>2.6136000000000013</v>
      </c>
      <c r="R12" s="463">
        <f t="shared" si="10"/>
        <v>2.6136000000000013</v>
      </c>
      <c r="S12" s="463">
        <f t="shared" si="10"/>
        <v>2.6136000000000013</v>
      </c>
      <c r="T12" s="463">
        <f t="shared" si="10"/>
        <v>2.8749600000000015</v>
      </c>
      <c r="U12" s="463">
        <f t="shared" si="10"/>
        <v>3.1624560000000019</v>
      </c>
      <c r="V12" s="463">
        <f t="shared" si="10"/>
        <v>3.1624560000000019</v>
      </c>
      <c r="W12" s="547">
        <f t="shared" si="8"/>
        <v>26.727072000000014</v>
      </c>
      <c r="X12" s="742">
        <f t="shared" si="9"/>
        <v>2.1493583717439885E-2</v>
      </c>
      <c r="Y12" s="548" t="s">
        <v>514</v>
      </c>
    </row>
    <row r="13" spans="1:36">
      <c r="A13" s="376">
        <v>7</v>
      </c>
      <c r="B13" s="485" t="s">
        <v>502</v>
      </c>
      <c r="C13" s="556"/>
      <c r="D13" s="557">
        <v>1</v>
      </c>
      <c r="E13" s="558">
        <v>3</v>
      </c>
      <c r="F13" s="546">
        <v>0.3</v>
      </c>
      <c r="G13" s="463">
        <f t="shared" si="0"/>
        <v>2.6999999999999997</v>
      </c>
      <c r="H13" s="462">
        <f t="shared" si="1"/>
        <v>2.6999999999999997</v>
      </c>
      <c r="I13" s="462">
        <f t="shared" si="2"/>
        <v>2.6999999999999997</v>
      </c>
      <c r="J13" s="462">
        <f t="shared" si="3"/>
        <v>2.6999999999999997</v>
      </c>
      <c r="K13" s="463">
        <f t="shared" si="4"/>
        <v>2.9699999999999998</v>
      </c>
      <c r="L13" s="463">
        <f t="shared" si="5"/>
        <v>2.9699999999999998</v>
      </c>
      <c r="M13" s="463">
        <f t="shared" si="6"/>
        <v>2.9699999999999998</v>
      </c>
      <c r="N13" s="463">
        <f t="shared" si="7"/>
        <v>2.9699999999999998</v>
      </c>
      <c r="O13" s="463">
        <f>F13*12*E13*$O$6</f>
        <v>13.068000000000001</v>
      </c>
      <c r="P13" s="463">
        <f>F13*12*E13*$P$6</f>
        <v>14.3748</v>
      </c>
      <c r="Q13" s="463">
        <f>F13*12*E13*$Q$6</f>
        <v>15.812280000000001</v>
      </c>
      <c r="R13" s="463">
        <f>F13*12*E13*$R$6</f>
        <v>17.393508000000001</v>
      </c>
      <c r="S13" s="463">
        <f>F13*E13*12*$S$6</f>
        <v>19.132858800000001</v>
      </c>
      <c r="T13" s="463">
        <f>F13*12*E13*$T$6</f>
        <v>21.046144679999998</v>
      </c>
      <c r="U13" s="463">
        <f>F13*12*E13*$U$6</f>
        <v>23.150759147999999</v>
      </c>
      <c r="V13" s="463">
        <f>F13*12*E13*$V$6</f>
        <v>25.4658350628</v>
      </c>
      <c r="W13" s="547">
        <f t="shared" si="8"/>
        <v>172.1241856908</v>
      </c>
      <c r="X13" s="742">
        <f t="shared" si="9"/>
        <v>0.13842016046282121</v>
      </c>
      <c r="Y13" s="548" t="s">
        <v>514</v>
      </c>
    </row>
    <row r="14" spans="1:36">
      <c r="A14" s="376">
        <v>8</v>
      </c>
      <c r="B14" s="485" t="s">
        <v>656</v>
      </c>
      <c r="C14" s="556"/>
      <c r="D14" s="557">
        <v>0.5</v>
      </c>
      <c r="E14" s="558">
        <v>1</v>
      </c>
      <c r="F14" s="546">
        <v>0.3</v>
      </c>
      <c r="G14" s="463">
        <f t="shared" si="0"/>
        <v>0.44999999999999996</v>
      </c>
      <c r="H14" s="462">
        <f t="shared" si="1"/>
        <v>0.44999999999999996</v>
      </c>
      <c r="I14" s="462">
        <f t="shared" si="2"/>
        <v>0.44999999999999996</v>
      </c>
      <c r="J14" s="462">
        <f t="shared" si="3"/>
        <v>0.44999999999999996</v>
      </c>
      <c r="K14" s="463">
        <f t="shared" si="4"/>
        <v>0.495</v>
      </c>
      <c r="L14" s="463">
        <f t="shared" si="5"/>
        <v>0.495</v>
      </c>
      <c r="M14" s="463">
        <f t="shared" si="6"/>
        <v>0.495</v>
      </c>
      <c r="N14" s="463">
        <f t="shared" si="7"/>
        <v>0.495</v>
      </c>
      <c r="O14" s="463">
        <f>F14*12*E14*$O$6*$D$14</f>
        <v>2.1779999999999999</v>
      </c>
      <c r="P14" s="463">
        <f t="shared" ref="P14:V14" si="11">G14*12*F14*$O$6*$D$14</f>
        <v>0.98010000000000008</v>
      </c>
      <c r="Q14" s="463">
        <f t="shared" si="11"/>
        <v>1.4701500000000001</v>
      </c>
      <c r="R14" s="463">
        <f t="shared" si="11"/>
        <v>1.4701500000000001</v>
      </c>
      <c r="S14" s="463">
        <f t="shared" si="11"/>
        <v>1.4701500000000001</v>
      </c>
      <c r="T14" s="463">
        <f t="shared" si="11"/>
        <v>1.617165</v>
      </c>
      <c r="U14" s="463">
        <f t="shared" si="11"/>
        <v>1.7788815</v>
      </c>
      <c r="V14" s="463">
        <f t="shared" si="11"/>
        <v>1.7788815</v>
      </c>
      <c r="W14" s="547">
        <f t="shared" si="8"/>
        <v>16.523478000000001</v>
      </c>
      <c r="X14" s="742">
        <f t="shared" si="9"/>
        <v>1.32879784847467E-2</v>
      </c>
      <c r="Y14" s="548" t="s">
        <v>514</v>
      </c>
    </row>
    <row r="15" spans="1:36">
      <c r="A15" s="376">
        <v>9</v>
      </c>
      <c r="B15" s="485" t="s">
        <v>657</v>
      </c>
      <c r="C15" s="556"/>
      <c r="D15" s="557">
        <v>0.5</v>
      </c>
      <c r="E15" s="558">
        <v>2</v>
      </c>
      <c r="F15" s="546">
        <v>0.17</v>
      </c>
      <c r="G15" s="463">
        <f t="shared" si="0"/>
        <v>0.51</v>
      </c>
      <c r="H15" s="462">
        <f t="shared" si="1"/>
        <v>0.51</v>
      </c>
      <c r="I15" s="462">
        <f t="shared" si="2"/>
        <v>0.51</v>
      </c>
      <c r="J15" s="462">
        <f t="shared" si="3"/>
        <v>0.51</v>
      </c>
      <c r="K15" s="463">
        <f t="shared" si="4"/>
        <v>0.56100000000000005</v>
      </c>
      <c r="L15" s="463">
        <f t="shared" si="5"/>
        <v>0.56100000000000005</v>
      </c>
      <c r="M15" s="463">
        <f t="shared" si="6"/>
        <v>0.56100000000000005</v>
      </c>
      <c r="N15" s="463">
        <f t="shared" si="7"/>
        <v>0.56100000000000005</v>
      </c>
      <c r="O15" s="463">
        <f>F15*12*E15*$O$6*$D$15</f>
        <v>2.4684000000000004</v>
      </c>
      <c r="P15" s="463">
        <f t="shared" ref="P15:V15" si="12">G15*12*F15*$O$6*$D$15</f>
        <v>0.62944200000000006</v>
      </c>
      <c r="Q15" s="463">
        <f t="shared" si="12"/>
        <v>1.8883260000000002</v>
      </c>
      <c r="R15" s="463">
        <f t="shared" si="12"/>
        <v>1.8883260000000002</v>
      </c>
      <c r="S15" s="463">
        <f t="shared" si="12"/>
        <v>1.8883260000000002</v>
      </c>
      <c r="T15" s="463">
        <f t="shared" si="12"/>
        <v>2.0771586000000006</v>
      </c>
      <c r="U15" s="463">
        <f t="shared" si="12"/>
        <v>2.2848744600000006</v>
      </c>
      <c r="V15" s="463">
        <f t="shared" si="12"/>
        <v>2.2848744600000006</v>
      </c>
      <c r="W15" s="547">
        <f t="shared" si="8"/>
        <v>19.693727520000003</v>
      </c>
      <c r="X15" s="742">
        <f t="shared" si="9"/>
        <v>1.5837454292021571E-2</v>
      </c>
      <c r="Y15" s="548" t="s">
        <v>514</v>
      </c>
    </row>
    <row r="16" spans="1:36">
      <c r="A16" s="376">
        <v>10</v>
      </c>
      <c r="B16" s="485" t="s">
        <v>658</v>
      </c>
      <c r="C16" s="556"/>
      <c r="D16" s="557">
        <v>0.5</v>
      </c>
      <c r="E16" s="558">
        <v>2</v>
      </c>
      <c r="F16" s="546">
        <v>0.75</v>
      </c>
      <c r="G16" s="463">
        <f t="shared" si="0"/>
        <v>2.25</v>
      </c>
      <c r="H16" s="462">
        <f t="shared" si="1"/>
        <v>2.25</v>
      </c>
      <c r="I16" s="462">
        <f t="shared" si="2"/>
        <v>2.25</v>
      </c>
      <c r="J16" s="462">
        <f t="shared" si="3"/>
        <v>2.25</v>
      </c>
      <c r="K16" s="463">
        <f t="shared" si="4"/>
        <v>2.4750000000000001</v>
      </c>
      <c r="L16" s="463">
        <f t="shared" si="5"/>
        <v>2.4750000000000001</v>
      </c>
      <c r="M16" s="463">
        <f t="shared" si="6"/>
        <v>2.4750000000000001</v>
      </c>
      <c r="N16" s="463">
        <f t="shared" si="7"/>
        <v>2.4750000000000001</v>
      </c>
      <c r="O16" s="463">
        <f>F16*12*E16*$O$6*$D$16</f>
        <v>10.890000000000002</v>
      </c>
      <c r="P16" s="463">
        <f t="shared" ref="P16:V16" si="13">G16*12*F16*$O$6*$D$16</f>
        <v>12.251250000000002</v>
      </c>
      <c r="Q16" s="463">
        <f t="shared" si="13"/>
        <v>36.753750000000004</v>
      </c>
      <c r="R16" s="463">
        <f t="shared" si="13"/>
        <v>36.753750000000004</v>
      </c>
      <c r="S16" s="463">
        <f t="shared" si="13"/>
        <v>36.753750000000004</v>
      </c>
      <c r="T16" s="463">
        <f t="shared" si="13"/>
        <v>40.429125000000006</v>
      </c>
      <c r="U16" s="463">
        <f t="shared" si="13"/>
        <v>44.472037500000013</v>
      </c>
      <c r="V16" s="463">
        <f t="shared" si="13"/>
        <v>44.472037500000013</v>
      </c>
      <c r="W16" s="547">
        <f t="shared" si="8"/>
        <v>281.67570000000001</v>
      </c>
      <c r="X16" s="742">
        <f t="shared" si="9"/>
        <v>0.22652014553328095</v>
      </c>
      <c r="Y16" s="548" t="s">
        <v>514</v>
      </c>
    </row>
    <row r="17" spans="1:25">
      <c r="A17" s="376"/>
      <c r="B17" s="485"/>
      <c r="C17" s="556"/>
      <c r="D17" s="743"/>
      <c r="E17" s="558"/>
      <c r="F17" s="546"/>
      <c r="G17" s="546"/>
      <c r="H17" s="546"/>
      <c r="I17" s="546"/>
      <c r="J17" s="546"/>
      <c r="K17" s="463"/>
      <c r="L17" s="463"/>
      <c r="M17" s="463"/>
      <c r="N17" s="463"/>
      <c r="O17" s="463"/>
      <c r="P17" s="463"/>
      <c r="Q17" s="463"/>
      <c r="R17" s="463"/>
      <c r="S17" s="463"/>
      <c r="T17" s="463"/>
      <c r="U17" s="463"/>
      <c r="V17" s="463"/>
      <c r="W17" s="547"/>
    </row>
    <row r="18" spans="1:25" ht="32.25" customHeight="1">
      <c r="A18" s="376"/>
      <c r="B18" s="1331" t="s">
        <v>425</v>
      </c>
      <c r="C18" s="1332"/>
      <c r="D18" s="744"/>
      <c r="E18" s="632">
        <f t="shared" ref="E18:J18" si="14">SUM(E8:E16)</f>
        <v>13</v>
      </c>
      <c r="F18" s="745">
        <f t="shared" si="14"/>
        <v>5.72</v>
      </c>
      <c r="G18" s="745">
        <f t="shared" si="14"/>
        <v>17.909999999999997</v>
      </c>
      <c r="H18" s="745">
        <f t="shared" si="14"/>
        <v>17.909999999999997</v>
      </c>
      <c r="I18" s="745">
        <f t="shared" si="14"/>
        <v>17.909999999999997</v>
      </c>
      <c r="J18" s="745">
        <f t="shared" si="14"/>
        <v>17.909999999999997</v>
      </c>
      <c r="K18" s="745">
        <f t="shared" ref="K18:W18" si="15">SUM(K8:K16)</f>
        <v>19.701000000000001</v>
      </c>
      <c r="L18" s="745">
        <f t="shared" si="15"/>
        <v>19.701000000000001</v>
      </c>
      <c r="M18" s="745">
        <f t="shared" si="15"/>
        <v>19.701000000000001</v>
      </c>
      <c r="N18" s="745">
        <f t="shared" si="15"/>
        <v>19.701000000000001</v>
      </c>
      <c r="O18" s="745">
        <f t="shared" si="15"/>
        <v>86.684400000000011</v>
      </c>
      <c r="P18" s="745">
        <f t="shared" si="15"/>
        <v>90.67159199999999</v>
      </c>
      <c r="Q18" s="745">
        <f t="shared" si="15"/>
        <v>125.30106600000002</v>
      </c>
      <c r="R18" s="745">
        <f t="shared" si="15"/>
        <v>133.55859000000001</v>
      </c>
      <c r="S18" s="745">
        <f t="shared" si="15"/>
        <v>142.64186640000003</v>
      </c>
      <c r="T18" s="745">
        <f t="shared" si="15"/>
        <v>156.90605304000002</v>
      </c>
      <c r="U18" s="745">
        <f t="shared" si="15"/>
        <v>172.59665834400005</v>
      </c>
      <c r="V18" s="745">
        <f t="shared" si="15"/>
        <v>184.68649923240002</v>
      </c>
      <c r="W18" s="745">
        <f t="shared" si="15"/>
        <v>1243.4907250164001</v>
      </c>
      <c r="X18" s="740">
        <f>W18/W47</f>
        <v>9.0315675099855872E-2</v>
      </c>
      <c r="Y18" s="548" t="s">
        <v>515</v>
      </c>
    </row>
    <row r="19" spans="1:25">
      <c r="A19" s="507"/>
      <c r="B19" s="746" t="s">
        <v>354</v>
      </c>
      <c r="C19" s="556"/>
      <c r="D19" s="556"/>
      <c r="E19" s="747"/>
      <c r="F19" s="508"/>
      <c r="G19" s="508"/>
      <c r="H19" s="508"/>
      <c r="I19" s="508"/>
      <c r="J19" s="508"/>
      <c r="K19" s="463"/>
      <c r="L19" s="463"/>
      <c r="M19" s="463"/>
      <c r="N19" s="463"/>
      <c r="O19" s="463"/>
      <c r="P19" s="463"/>
      <c r="Q19" s="463"/>
      <c r="R19" s="463"/>
      <c r="S19" s="463"/>
      <c r="T19" s="463"/>
      <c r="U19" s="463"/>
      <c r="V19" s="463"/>
      <c r="W19" s="547"/>
    </row>
    <row r="20" spans="1:25" ht="20.25" customHeight="1">
      <c r="A20" s="507"/>
      <c r="B20" s="376"/>
      <c r="C20" s="1328" t="s">
        <v>422</v>
      </c>
      <c r="D20" s="1328"/>
      <c r="F20" s="508"/>
      <c r="G20" s="629">
        <f>'Key Assumptions'!K33</f>
        <v>3</v>
      </c>
      <c r="H20" s="629">
        <f>'Key Assumptions'!L33</f>
        <v>6</v>
      </c>
      <c r="I20" s="629">
        <f>'Key Assumptions'!M33</f>
        <v>9</v>
      </c>
      <c r="J20" s="629">
        <f>'Key Assumptions'!N33</f>
        <v>12</v>
      </c>
      <c r="K20" s="629">
        <f>'Key Assumptions'!O33</f>
        <v>15</v>
      </c>
      <c r="L20" s="629">
        <f>'Key Assumptions'!P33</f>
        <v>18</v>
      </c>
      <c r="M20" s="629">
        <f>'Key Assumptions'!Q33</f>
        <v>21</v>
      </c>
      <c r="N20" s="629">
        <f>'Key Assumptions'!R33</f>
        <v>24</v>
      </c>
      <c r="O20" s="629">
        <f>'Key Assumptions'!S33</f>
        <v>36</v>
      </c>
      <c r="P20" s="629">
        <f>'Key Assumptions'!T33</f>
        <v>48</v>
      </c>
      <c r="Q20" s="629">
        <f>'Key Assumptions'!U33</f>
        <v>60</v>
      </c>
      <c r="R20" s="629">
        <f>'Key Assumptions'!V33</f>
        <v>72</v>
      </c>
      <c r="S20" s="629">
        <f>'Key Assumptions'!W33</f>
        <v>84</v>
      </c>
      <c r="T20" s="629">
        <f>'Key Assumptions'!X33</f>
        <v>96</v>
      </c>
      <c r="U20" s="629">
        <f>'Key Assumptions'!Y33</f>
        <v>108</v>
      </c>
      <c r="V20" s="629">
        <f>'Key Assumptions'!Z33</f>
        <v>120</v>
      </c>
      <c r="W20" s="547"/>
    </row>
    <row r="21" spans="1:25" ht="20.25" customHeight="1">
      <c r="A21" s="507"/>
      <c r="B21" s="376"/>
      <c r="C21" s="1321" t="s">
        <v>744</v>
      </c>
      <c r="D21" s="1322"/>
      <c r="F21" s="508"/>
      <c r="G21" s="629">
        <f>'Key Assumptions'!K57</f>
        <v>2</v>
      </c>
      <c r="H21" s="629">
        <f>'Key Assumptions'!L57</f>
        <v>5</v>
      </c>
      <c r="I21" s="629">
        <f>'Key Assumptions'!M57</f>
        <v>7</v>
      </c>
      <c r="J21" s="629">
        <f>'Key Assumptions'!N57</f>
        <v>9</v>
      </c>
      <c r="K21" s="629">
        <f>'Key Assumptions'!O57</f>
        <v>14</v>
      </c>
      <c r="L21" s="629">
        <f>'Key Assumptions'!P57</f>
        <v>16</v>
      </c>
      <c r="M21" s="629">
        <f>'Key Assumptions'!Q57</f>
        <v>19</v>
      </c>
      <c r="N21" s="629">
        <f>'Key Assumptions'!R57</f>
        <v>21</v>
      </c>
      <c r="O21" s="629">
        <f>'Key Assumptions'!S57</f>
        <v>33</v>
      </c>
      <c r="P21" s="629">
        <f>'Key Assumptions'!T57</f>
        <v>38</v>
      </c>
      <c r="Q21" s="629">
        <f>'Key Assumptions'!U57</f>
        <v>42</v>
      </c>
      <c r="R21" s="629">
        <f>'Key Assumptions'!V57</f>
        <v>47</v>
      </c>
      <c r="S21" s="629">
        <f>'Key Assumptions'!W57</f>
        <v>48</v>
      </c>
      <c r="T21" s="629">
        <f>'Key Assumptions'!X57</f>
        <v>53</v>
      </c>
      <c r="U21" s="629">
        <f>'Key Assumptions'!Y57</f>
        <v>58</v>
      </c>
      <c r="V21" s="629">
        <f>'Key Assumptions'!Z57</f>
        <v>62</v>
      </c>
      <c r="W21" s="547"/>
    </row>
    <row r="22" spans="1:25" ht="20.25" customHeight="1">
      <c r="A22" s="507"/>
      <c r="B22" s="376"/>
      <c r="C22" s="376"/>
      <c r="D22" s="376"/>
      <c r="E22" s="748"/>
      <c r="F22" s="508"/>
      <c r="G22" s="508"/>
      <c r="H22" s="508"/>
      <c r="I22" s="508"/>
      <c r="J22" s="508"/>
      <c r="K22" s="508"/>
      <c r="L22" s="508"/>
      <c r="M22" s="508"/>
      <c r="N22" s="508"/>
      <c r="O22" s="508"/>
      <c r="P22" s="508"/>
      <c r="Q22" s="508"/>
      <c r="R22" s="508"/>
      <c r="S22" s="508"/>
      <c r="T22" s="508"/>
      <c r="U22" s="508"/>
      <c r="V22" s="508"/>
      <c r="W22" s="547"/>
    </row>
    <row r="23" spans="1:25" ht="30">
      <c r="A23" s="382">
        <v>1</v>
      </c>
      <c r="B23" s="486" t="s">
        <v>339</v>
      </c>
      <c r="C23" s="486"/>
      <c r="D23" s="486"/>
      <c r="E23" s="558">
        <v>1</v>
      </c>
      <c r="F23" s="546">
        <v>0.4</v>
      </c>
      <c r="G23" s="462">
        <f t="shared" ref="G23:N23" si="16">$F$23*$E$23*3*G20*G6/$E$24</f>
        <v>0.72000000000000008</v>
      </c>
      <c r="H23" s="462">
        <f t="shared" si="16"/>
        <v>1.4400000000000002</v>
      </c>
      <c r="I23" s="462">
        <f t="shared" si="16"/>
        <v>2.16</v>
      </c>
      <c r="J23" s="462">
        <f t="shared" si="16"/>
        <v>2.8800000000000003</v>
      </c>
      <c r="K23" s="462">
        <f t="shared" si="16"/>
        <v>3.9600000000000009</v>
      </c>
      <c r="L23" s="462">
        <f t="shared" si="16"/>
        <v>4.7520000000000007</v>
      </c>
      <c r="M23" s="462">
        <f t="shared" si="16"/>
        <v>5.5440000000000014</v>
      </c>
      <c r="N23" s="462">
        <f t="shared" si="16"/>
        <v>6.3360000000000012</v>
      </c>
      <c r="O23" s="463">
        <f t="shared" ref="O23:V23" si="17">$F$23*12*O20*O6/$E$24</f>
        <v>41.817600000000013</v>
      </c>
      <c r="P23" s="463">
        <f t="shared" si="17"/>
        <v>61.332480000000018</v>
      </c>
      <c r="Q23" s="463">
        <f t="shared" si="17"/>
        <v>84.332160000000016</v>
      </c>
      <c r="R23" s="463">
        <f t="shared" si="17"/>
        <v>111.3184512</v>
      </c>
      <c r="S23" s="463">
        <f t="shared" si="17"/>
        <v>142.85867904000003</v>
      </c>
      <c r="T23" s="463">
        <f t="shared" si="17"/>
        <v>179.59376793600003</v>
      </c>
      <c r="U23" s="463">
        <f t="shared" si="17"/>
        <v>222.24728782080007</v>
      </c>
      <c r="V23" s="463">
        <f t="shared" si="17"/>
        <v>271.63557400320008</v>
      </c>
      <c r="W23" s="547">
        <f>G23+H23+I23+J23+K23+L23+M23+N23+O23+P23+Q23+R23+S23+T23+U23+V23</f>
        <v>1142.9280000000003</v>
      </c>
      <c r="X23" s="742">
        <f>W23/$W$37</f>
        <v>9.3728670720369986E-2</v>
      </c>
      <c r="Y23" s="507" t="s">
        <v>516</v>
      </c>
    </row>
    <row r="24" spans="1:25">
      <c r="A24" s="382"/>
      <c r="B24" s="486" t="s">
        <v>424</v>
      </c>
      <c r="C24" s="486"/>
      <c r="D24" s="486"/>
      <c r="E24" s="558">
        <v>5</v>
      </c>
      <c r="F24" s="546"/>
      <c r="G24" s="462"/>
      <c r="H24" s="462"/>
      <c r="I24" s="462"/>
      <c r="J24" s="462"/>
      <c r="K24" s="463"/>
      <c r="L24" s="463"/>
      <c r="M24" s="463"/>
      <c r="N24" s="463"/>
      <c r="O24" s="463"/>
      <c r="P24" s="463"/>
      <c r="Q24" s="463"/>
      <c r="R24" s="463"/>
      <c r="S24" s="463"/>
      <c r="T24" s="463"/>
      <c r="U24" s="463"/>
      <c r="V24" s="463"/>
      <c r="W24" s="547">
        <f>G24+H24+I24+J24+K24+L24+M24+N24+O24+P24+Q24+R24+S24+T24+U24+V24</f>
        <v>0</v>
      </c>
      <c r="X24" s="742"/>
    </row>
    <row r="25" spans="1:25">
      <c r="A25" s="382">
        <v>2</v>
      </c>
      <c r="B25" s="486" t="s">
        <v>340</v>
      </c>
      <c r="C25" s="486"/>
      <c r="D25" s="486"/>
      <c r="E25" s="558">
        <v>2</v>
      </c>
      <c r="F25" s="546">
        <v>0.2</v>
      </c>
      <c r="G25" s="462">
        <f t="shared" ref="G25:N25" si="18">$F$25*$E$25*3*G20*G6</f>
        <v>3.6000000000000005</v>
      </c>
      <c r="H25" s="462">
        <f t="shared" si="18"/>
        <v>7.2000000000000011</v>
      </c>
      <c r="I25" s="462">
        <f t="shared" si="18"/>
        <v>10.8</v>
      </c>
      <c r="J25" s="462">
        <f t="shared" si="18"/>
        <v>14.400000000000002</v>
      </c>
      <c r="K25" s="462">
        <f t="shared" si="18"/>
        <v>19.800000000000004</v>
      </c>
      <c r="L25" s="462">
        <f t="shared" si="18"/>
        <v>23.760000000000005</v>
      </c>
      <c r="M25" s="462">
        <f t="shared" si="18"/>
        <v>27.720000000000006</v>
      </c>
      <c r="N25" s="462">
        <f t="shared" si="18"/>
        <v>31.680000000000007</v>
      </c>
      <c r="O25" s="463">
        <f t="shared" ref="O25:V25" si="19">$F$25*12*O20*O6</f>
        <v>104.54400000000003</v>
      </c>
      <c r="P25" s="463">
        <f t="shared" si="19"/>
        <v>153.33120000000005</v>
      </c>
      <c r="Q25" s="463">
        <f t="shared" si="19"/>
        <v>210.83040000000005</v>
      </c>
      <c r="R25" s="463">
        <f t="shared" si="19"/>
        <v>278.29612800000001</v>
      </c>
      <c r="S25" s="463">
        <f t="shared" si="19"/>
        <v>357.1466976000001</v>
      </c>
      <c r="T25" s="463">
        <f t="shared" si="19"/>
        <v>448.9844198400001</v>
      </c>
      <c r="U25" s="463">
        <f t="shared" si="19"/>
        <v>555.61821955200014</v>
      </c>
      <c r="V25" s="463">
        <f t="shared" si="19"/>
        <v>679.08893500800013</v>
      </c>
      <c r="W25" s="547">
        <f>G25+H25+I25+J25+K25+L25+M25+N25+O25+P25+Q25+R25+S25+T25+U25+V25</f>
        <v>2926.8000000000006</v>
      </c>
      <c r="X25" s="742">
        <f>W25/$W$37</f>
        <v>0.24001955806873124</v>
      </c>
      <c r="Y25" s="548" t="s">
        <v>514</v>
      </c>
    </row>
    <row r="26" spans="1:25">
      <c r="A26" s="382">
        <v>3</v>
      </c>
      <c r="B26" s="486" t="s">
        <v>341</v>
      </c>
      <c r="C26" s="486"/>
      <c r="D26" s="486"/>
      <c r="E26" s="558">
        <v>1</v>
      </c>
      <c r="F26" s="546">
        <v>0.12</v>
      </c>
      <c r="G26" s="462">
        <f t="shared" ref="G26:N26" si="20">$E$26*$F$26*3*G20*G6/$E$27</f>
        <v>0.21600000000000003</v>
      </c>
      <c r="H26" s="462">
        <f t="shared" si="20"/>
        <v>0.43200000000000005</v>
      </c>
      <c r="I26" s="462">
        <f t="shared" si="20"/>
        <v>0.64799999999999991</v>
      </c>
      <c r="J26" s="462">
        <f t="shared" si="20"/>
        <v>0.8640000000000001</v>
      </c>
      <c r="K26" s="462">
        <f t="shared" si="20"/>
        <v>1.1879999999999999</v>
      </c>
      <c r="L26" s="462">
        <f t="shared" si="20"/>
        <v>1.4256</v>
      </c>
      <c r="M26" s="462">
        <f t="shared" si="20"/>
        <v>1.6632000000000002</v>
      </c>
      <c r="N26" s="462">
        <f t="shared" si="20"/>
        <v>1.9008000000000003</v>
      </c>
      <c r="O26" s="463">
        <f t="shared" ref="O26:V26" si="21">$F$26*12*O20*O6/$E$27</f>
        <v>12.545280000000002</v>
      </c>
      <c r="P26" s="463">
        <f t="shared" si="21"/>
        <v>18.399744000000005</v>
      </c>
      <c r="Q26" s="463">
        <f t="shared" si="21"/>
        <v>25.299648000000001</v>
      </c>
      <c r="R26" s="463">
        <f t="shared" si="21"/>
        <v>33.395535360000004</v>
      </c>
      <c r="S26" s="463">
        <f t="shared" si="21"/>
        <v>42.857603712</v>
      </c>
      <c r="T26" s="463">
        <f t="shared" si="21"/>
        <v>53.878130380800009</v>
      </c>
      <c r="U26" s="463">
        <f t="shared" si="21"/>
        <v>66.674186346240006</v>
      </c>
      <c r="V26" s="463">
        <f t="shared" si="21"/>
        <v>81.490672200960006</v>
      </c>
      <c r="W26" s="547">
        <f>G26+H26+I26+J26+K26+L26+M26+N26+O26+P26+Q26+R26+S26+T26+U26+V26</f>
        <v>342.87840000000006</v>
      </c>
      <c r="X26" s="742">
        <f>W26/$W$37</f>
        <v>2.8118601216110994E-2</v>
      </c>
      <c r="Y26" s="548" t="s">
        <v>514</v>
      </c>
    </row>
    <row r="27" spans="1:25">
      <c r="A27" s="630"/>
      <c r="B27" s="486" t="s">
        <v>423</v>
      </c>
      <c r="C27" s="486"/>
      <c r="D27" s="486"/>
      <c r="E27" s="558">
        <v>5</v>
      </c>
      <c r="F27" s="546"/>
      <c r="G27" s="546"/>
      <c r="H27" s="546"/>
      <c r="I27" s="546"/>
      <c r="J27" s="546"/>
      <c r="K27" s="463"/>
      <c r="L27" s="463"/>
      <c r="M27" s="463"/>
      <c r="N27" s="463"/>
      <c r="O27" s="463"/>
      <c r="P27" s="463"/>
      <c r="Q27" s="463"/>
      <c r="R27" s="463"/>
      <c r="S27" s="463"/>
      <c r="T27" s="463"/>
      <c r="X27" s="742"/>
    </row>
    <row r="28" spans="1:25" s="631" customFormat="1">
      <c r="A28" s="632"/>
      <c r="B28" s="661" t="s">
        <v>811</v>
      </c>
      <c r="C28" s="1141"/>
      <c r="D28" s="1141"/>
      <c r="E28" s="632"/>
      <c r="F28" s="745"/>
      <c r="G28" s="745">
        <f>SUM(G23:G26)</f>
        <v>4.5360000000000005</v>
      </c>
      <c r="H28" s="745">
        <f t="shared" ref="H28:V28" si="22">SUM(H23:H26)</f>
        <v>9.072000000000001</v>
      </c>
      <c r="I28" s="745">
        <f t="shared" si="22"/>
        <v>13.608000000000001</v>
      </c>
      <c r="J28" s="745">
        <f t="shared" si="22"/>
        <v>18.144000000000002</v>
      </c>
      <c r="K28" s="745">
        <f t="shared" si="22"/>
        <v>24.948000000000004</v>
      </c>
      <c r="L28" s="745">
        <f t="shared" si="22"/>
        <v>29.937600000000007</v>
      </c>
      <c r="M28" s="745">
        <f t="shared" si="22"/>
        <v>34.927200000000013</v>
      </c>
      <c r="N28" s="745">
        <f t="shared" si="22"/>
        <v>39.916800000000009</v>
      </c>
      <c r="O28" s="745">
        <f t="shared" si="22"/>
        <v>158.90688000000003</v>
      </c>
      <c r="P28" s="745">
        <f t="shared" si="22"/>
        <v>233.06342400000005</v>
      </c>
      <c r="Q28" s="745">
        <f t="shared" si="22"/>
        <v>320.46220800000009</v>
      </c>
      <c r="R28" s="745">
        <f t="shared" si="22"/>
        <v>423.01011455999998</v>
      </c>
      <c r="S28" s="745">
        <f t="shared" si="22"/>
        <v>542.86298035200014</v>
      </c>
      <c r="T28" s="745">
        <f t="shared" si="22"/>
        <v>682.45631815680019</v>
      </c>
      <c r="U28" s="745">
        <f t="shared" si="22"/>
        <v>844.53969371904032</v>
      </c>
      <c r="V28" s="745">
        <f t="shared" si="22"/>
        <v>1032.2151812121601</v>
      </c>
      <c r="W28" s="1139">
        <f>SUM(W23:W26)</f>
        <v>4412.6064000000006</v>
      </c>
      <c r="X28" s="1140"/>
      <c r="Y28" s="745">
        <f>W28+W35</f>
        <v>12194.006286612243</v>
      </c>
    </row>
    <row r="29" spans="1:25">
      <c r="A29" s="630"/>
      <c r="B29" s="749" t="s">
        <v>747</v>
      </c>
      <c r="C29" s="1145"/>
      <c r="D29" s="1145"/>
      <c r="E29" s="1146"/>
      <c r="F29" s="1147"/>
      <c r="G29" s="546"/>
      <c r="H29" s="546"/>
      <c r="I29" s="546"/>
      <c r="J29" s="546"/>
      <c r="K29" s="463"/>
      <c r="L29" s="463"/>
      <c r="M29" s="463"/>
      <c r="N29" s="463"/>
      <c r="O29" s="463"/>
      <c r="P29" s="463"/>
      <c r="Q29" s="463"/>
      <c r="R29" s="463"/>
      <c r="S29" s="463"/>
      <c r="T29" s="463"/>
      <c r="U29" s="463"/>
      <c r="V29" s="463"/>
      <c r="W29" s="574"/>
      <c r="X29" s="742"/>
    </row>
    <row r="30" spans="1:25">
      <c r="A30" s="382">
        <v>1</v>
      </c>
      <c r="B30" s="1148" t="s">
        <v>690</v>
      </c>
      <c r="C30" s="1145"/>
      <c r="D30" s="1145"/>
      <c r="E30" s="1146">
        <v>1</v>
      </c>
      <c r="F30" s="1149">
        <v>0.18</v>
      </c>
      <c r="G30" s="462">
        <f>E30*F30*G21*G6*3</f>
        <v>1.08</v>
      </c>
      <c r="H30" s="462">
        <f>E30*F30*H21*H6*3</f>
        <v>2.6999999999999997</v>
      </c>
      <c r="I30" s="462">
        <f>E30*F30*I21*I6*3</f>
        <v>3.7800000000000002</v>
      </c>
      <c r="J30" s="462">
        <f>E30*F30*J21*J6*3</f>
        <v>4.8599999999999994</v>
      </c>
      <c r="K30" s="462">
        <f>E30*F30*K21*K6*3</f>
        <v>8.3160000000000007</v>
      </c>
      <c r="L30" s="462">
        <f>E30*F30*L21*L6*3</f>
        <v>9.5040000000000013</v>
      </c>
      <c r="M30" s="462">
        <f>E30*F30*M21*M6*3</f>
        <v>11.286</v>
      </c>
      <c r="N30" s="462">
        <f>E30*F30*N21*N6*3</f>
        <v>12.474</v>
      </c>
      <c r="O30" s="462">
        <f>E30*F30*O21*O6*12</f>
        <v>86.248800000000003</v>
      </c>
      <c r="P30" s="462">
        <f>E30*F30*P21*P6*12</f>
        <v>109.24848000000001</v>
      </c>
      <c r="Q30" s="462">
        <f>E30*F30*Q21*Q6*12</f>
        <v>132.82315200000002</v>
      </c>
      <c r="R30" s="462">
        <f>E30*F30*R21*R6*12</f>
        <v>163.49897519999999</v>
      </c>
      <c r="S30" s="462">
        <f>E30*F30*S21*S6*12</f>
        <v>183.67544448000004</v>
      </c>
      <c r="T30" s="462">
        <f>E30*F30*T21*T6*12</f>
        <v>223.089133608</v>
      </c>
      <c r="U30" s="462">
        <f>E30*F30*U21*U6*12</f>
        <v>268.54880611680005</v>
      </c>
      <c r="V30" s="462">
        <f>E30*F30*V21*V6*12</f>
        <v>315.77635477872002</v>
      </c>
      <c r="W30" s="574">
        <f>SUM(G30:V30)</f>
        <v>1536.9091461835201</v>
      </c>
      <c r="X30" s="742">
        <f t="shared" ref="X30:X35" si="23">W30/$W$37</f>
        <v>0.126038080517548</v>
      </c>
      <c r="Y30" s="548" t="s">
        <v>514</v>
      </c>
    </row>
    <row r="31" spans="1:25">
      <c r="A31" s="382">
        <v>2</v>
      </c>
      <c r="B31" s="1148" t="s">
        <v>340</v>
      </c>
      <c r="C31" s="1145"/>
      <c r="D31" s="1145"/>
      <c r="E31" s="1146">
        <v>3</v>
      </c>
      <c r="F31" s="1148">
        <v>0.15</v>
      </c>
      <c r="G31" s="462">
        <f>E31*F31*G21*G6*3</f>
        <v>2.6999999999999997</v>
      </c>
      <c r="H31" s="462">
        <f>E31*F31*H21*H6*3</f>
        <v>6.75</v>
      </c>
      <c r="I31" s="462">
        <f>E31*F31*I21*I6*3</f>
        <v>9.4499999999999993</v>
      </c>
      <c r="J31" s="462">
        <f>E31*F31*J21*J6*3</f>
        <v>12.149999999999999</v>
      </c>
      <c r="K31" s="462">
        <f>E31*F31*K21*K6*3</f>
        <v>20.79</v>
      </c>
      <c r="L31" s="462">
        <f>E31*F31*L21*L6*3</f>
        <v>23.759999999999998</v>
      </c>
      <c r="M31" s="462">
        <f>E31*F31*M21*M6*3</f>
        <v>28.214999999999996</v>
      </c>
      <c r="N31" s="462">
        <f>E31*F31*N21*N6*3</f>
        <v>31.184999999999999</v>
      </c>
      <c r="O31" s="462">
        <f>E31*F31*O21*O6*12</f>
        <v>215.62199999999999</v>
      </c>
      <c r="P31" s="462">
        <f>E31*F31*P21*P6*12</f>
        <v>273.12120000000004</v>
      </c>
      <c r="Q31" s="462">
        <f>E31*F31*Q21*Q6*12</f>
        <v>332.05788000000001</v>
      </c>
      <c r="R31" s="462">
        <f>E31*F31*R21*R6*12</f>
        <v>408.74743799999999</v>
      </c>
      <c r="S31" s="462">
        <f>E31*F31*S21*S6*12</f>
        <v>459.18861120000003</v>
      </c>
      <c r="T31" s="462">
        <f>E31*F31*T21*T6*12</f>
        <v>557.72283401999994</v>
      </c>
      <c r="U31" s="462">
        <f>E31*F31*U21*U6*12</f>
        <v>671.37201529200001</v>
      </c>
      <c r="V31" s="462">
        <f>E31*F31*V21*V6*12</f>
        <v>789.44088694679999</v>
      </c>
      <c r="W31" s="574">
        <f>SUM(G31:V31)</f>
        <v>3842.2728654588</v>
      </c>
      <c r="X31" s="742">
        <f t="shared" si="23"/>
        <v>0.31509520129386998</v>
      </c>
      <c r="Y31" s="548" t="s">
        <v>514</v>
      </c>
    </row>
    <row r="32" spans="1:25">
      <c r="A32" s="382">
        <v>3</v>
      </c>
      <c r="B32" s="1148" t="s">
        <v>691</v>
      </c>
      <c r="C32" s="1145"/>
      <c r="D32" s="1145"/>
      <c r="E32" s="1146">
        <v>1</v>
      </c>
      <c r="F32" s="1148">
        <v>0.12</v>
      </c>
      <c r="G32" s="462">
        <f>E32*F32*G21*G6*3</f>
        <v>0.72</v>
      </c>
      <c r="H32" s="462">
        <f>E32*F32*H21*H6*3</f>
        <v>1.7999999999999998</v>
      </c>
      <c r="I32" s="462">
        <f>E32*F32*I21*I6*3</f>
        <v>2.52</v>
      </c>
      <c r="J32" s="462">
        <f>E32*F32*J21*J6*3</f>
        <v>3.24</v>
      </c>
      <c r="K32" s="462">
        <f>E32*F32*K21*K6*3</f>
        <v>5.5440000000000005</v>
      </c>
      <c r="L32" s="462">
        <f>E32*F32*L21*L6*3</f>
        <v>6.3360000000000003</v>
      </c>
      <c r="M32" s="462">
        <f>E32*F32*M21*M6*3</f>
        <v>7.524</v>
      </c>
      <c r="N32" s="462">
        <f>E32*F32*N21*N6*3</f>
        <v>8.3160000000000007</v>
      </c>
      <c r="O32" s="462">
        <f>E32*F32*O21*O6*12</f>
        <v>57.499200000000009</v>
      </c>
      <c r="P32" s="462">
        <f>E32*F32*P21*P6*12</f>
        <v>72.83232000000001</v>
      </c>
      <c r="Q32" s="462">
        <f>E32*F32*Q21*Q6*12</f>
        <v>88.54876800000001</v>
      </c>
      <c r="R32" s="462">
        <f>E32*F32*R21*R6*12</f>
        <v>108.9993168</v>
      </c>
      <c r="S32" s="462">
        <f>E32*F32*S21*S6*12</f>
        <v>122.45029632000001</v>
      </c>
      <c r="T32" s="462">
        <f>E32*F32*T21*T6*12</f>
        <v>148.72608907199998</v>
      </c>
      <c r="U32" s="462">
        <f>E32*F32*U21*U6*12</f>
        <v>179.0325374112</v>
      </c>
      <c r="V32" s="462">
        <f>E32*F32*V21*V6*12</f>
        <v>210.51756985247999</v>
      </c>
      <c r="W32" s="574">
        <f>SUM(G32:V32)</f>
        <v>1024.6060974556801</v>
      </c>
      <c r="X32" s="742">
        <f t="shared" si="23"/>
        <v>8.4025387011698677E-2</v>
      </c>
      <c r="Y32" s="548" t="s">
        <v>514</v>
      </c>
    </row>
    <row r="33" spans="1:25">
      <c r="A33" s="382">
        <v>4</v>
      </c>
      <c r="B33" s="1148" t="s">
        <v>692</v>
      </c>
      <c r="C33" s="1145"/>
      <c r="D33" s="1145"/>
      <c r="E33" s="1146">
        <v>1</v>
      </c>
      <c r="F33" s="1148">
        <v>0.1</v>
      </c>
      <c r="G33" s="462">
        <f>E33*F33*G21*G6*3</f>
        <v>0.60000000000000009</v>
      </c>
      <c r="H33" s="462">
        <f>E33*F33*H21*H6*3</f>
        <v>1.5</v>
      </c>
      <c r="I33" s="462">
        <f>E33*F33*I21*I6*3</f>
        <v>2.1</v>
      </c>
      <c r="J33" s="462">
        <f>E33*F33*J21*J6*3</f>
        <v>2.7</v>
      </c>
      <c r="K33" s="462">
        <f>E33*F33*K21*K6*3</f>
        <v>4.620000000000001</v>
      </c>
      <c r="L33" s="462">
        <f>E33*F33*L21*L6*3</f>
        <v>5.2800000000000011</v>
      </c>
      <c r="M33" s="462">
        <f>E33*F33*M21*M6*3</f>
        <v>6.2700000000000014</v>
      </c>
      <c r="N33" s="462">
        <f>E33*F33*N21*N6*3</f>
        <v>6.9300000000000015</v>
      </c>
      <c r="O33" s="462">
        <f>E33*F33*O21*O6*12</f>
        <v>47.916000000000011</v>
      </c>
      <c r="P33" s="462">
        <f>E33*F33*P21*P6*12</f>
        <v>60.693600000000018</v>
      </c>
      <c r="Q33" s="462">
        <f>E33*F33*Q21*Q6*12</f>
        <v>73.79064000000001</v>
      </c>
      <c r="R33" s="462">
        <f>E33*F33*R21*R6*12</f>
        <v>90.832763999999997</v>
      </c>
      <c r="S33" s="462">
        <f>E33*F33*S21*S6*12</f>
        <v>102.04191360000002</v>
      </c>
      <c r="T33" s="462">
        <f>E33*F33*T21*T6*12</f>
        <v>123.93840756000002</v>
      </c>
      <c r="U33" s="462">
        <f>E33*F33*U21*U6*12</f>
        <v>149.19378117600002</v>
      </c>
      <c r="V33" s="462">
        <f>E33*F33*V21*V6*12</f>
        <v>175.4313082104</v>
      </c>
      <c r="W33" s="574">
        <f>SUM(G33:V33)</f>
        <v>853.83841454640014</v>
      </c>
      <c r="X33" s="742">
        <f t="shared" si="23"/>
        <v>7.0021155843082231E-2</v>
      </c>
      <c r="Y33" s="548" t="s">
        <v>514</v>
      </c>
    </row>
    <row r="34" spans="1:25">
      <c r="A34" s="382">
        <v>5</v>
      </c>
      <c r="B34" s="1148" t="s">
        <v>693</v>
      </c>
      <c r="C34" s="1145"/>
      <c r="D34" s="1145"/>
      <c r="E34" s="1146">
        <v>1</v>
      </c>
      <c r="F34" s="1149">
        <v>0.06</v>
      </c>
      <c r="G34" s="462">
        <f>E34*F34*G21*G6*3</f>
        <v>0.36</v>
      </c>
      <c r="H34" s="462">
        <f>E34*F34*H21*H6*3</f>
        <v>0.89999999999999991</v>
      </c>
      <c r="I34" s="462">
        <f>E34*F34*I21*I6*3</f>
        <v>1.26</v>
      </c>
      <c r="J34" s="462">
        <f>E34*F34*J21*J6*3</f>
        <v>1.62</v>
      </c>
      <c r="K34" s="462">
        <f>E34*F34*K21*K15*3</f>
        <v>1.4137200000000001</v>
      </c>
      <c r="L34" s="462">
        <f>E34*F34*L21*L6*3</f>
        <v>3.1680000000000001</v>
      </c>
      <c r="M34" s="462">
        <f>E34*F34*M21*M6*3</f>
        <v>3.762</v>
      </c>
      <c r="N34" s="462">
        <f>E34*F34*N21*N6*3</f>
        <v>4.1580000000000004</v>
      </c>
      <c r="O34" s="462">
        <f>E34*F34*O21*O6*12</f>
        <v>28.749600000000004</v>
      </c>
      <c r="P34" s="462">
        <f>E34*F34*P21*P6*12</f>
        <v>36.416160000000005</v>
      </c>
      <c r="Q34" s="462">
        <f>E34*F34*Q21*Q15*12</f>
        <v>57.102978240000013</v>
      </c>
      <c r="R34" s="462">
        <f>E34*F34*R21*R6*12</f>
        <v>54.499658400000001</v>
      </c>
      <c r="S34" s="462">
        <f>E34*F34*S21*S6*12</f>
        <v>61.225148160000003</v>
      </c>
      <c r="T34" s="462">
        <f>E34*F34*T21*T6*12</f>
        <v>74.36304453599999</v>
      </c>
      <c r="U34" s="462">
        <f>E34*F34*U21*U6*12</f>
        <v>89.516268705599998</v>
      </c>
      <c r="V34" s="462">
        <f>E34*F34*V21*V6*12</f>
        <v>105.25878492624</v>
      </c>
      <c r="W34" s="574">
        <f>SUM(G34:V34)</f>
        <v>523.77336296784006</v>
      </c>
      <c r="X34" s="742">
        <f t="shared" si="23"/>
        <v>4.2953345328588938E-2</v>
      </c>
      <c r="Y34" s="548" t="s">
        <v>514</v>
      </c>
    </row>
    <row r="35" spans="1:25" s="631" customFormat="1">
      <c r="A35" s="632"/>
      <c r="B35" s="661" t="s">
        <v>812</v>
      </c>
      <c r="C35" s="1141"/>
      <c r="D35" s="1141"/>
      <c r="E35" s="632"/>
      <c r="F35" s="745"/>
      <c r="G35" s="745">
        <f>SUM(G30:G34)</f>
        <v>5.46</v>
      </c>
      <c r="H35" s="745">
        <f t="shared" ref="H35:V35" si="24">SUM(H30:H34)</f>
        <v>13.65</v>
      </c>
      <c r="I35" s="745">
        <f t="shared" si="24"/>
        <v>19.110000000000003</v>
      </c>
      <c r="J35" s="745">
        <f t="shared" si="24"/>
        <v>24.57</v>
      </c>
      <c r="K35" s="745">
        <f t="shared" si="24"/>
        <v>40.683720000000008</v>
      </c>
      <c r="L35" s="745">
        <f t="shared" si="24"/>
        <v>48.047999999999995</v>
      </c>
      <c r="M35" s="745">
        <f t="shared" si="24"/>
        <v>57.057000000000002</v>
      </c>
      <c r="N35" s="745">
        <f t="shared" si="24"/>
        <v>63.063000000000002</v>
      </c>
      <c r="O35" s="745">
        <f t="shared" si="24"/>
        <v>436.03559999999999</v>
      </c>
      <c r="P35" s="745">
        <f t="shared" si="24"/>
        <v>552.31176000000016</v>
      </c>
      <c r="Q35" s="745">
        <f t="shared" si="24"/>
        <v>684.32341824000002</v>
      </c>
      <c r="R35" s="745">
        <f t="shared" si="24"/>
        <v>826.57815240000002</v>
      </c>
      <c r="S35" s="745">
        <f t="shared" si="24"/>
        <v>928.58141376000015</v>
      </c>
      <c r="T35" s="745">
        <f t="shared" si="24"/>
        <v>1127.839508796</v>
      </c>
      <c r="U35" s="745">
        <f t="shared" si="24"/>
        <v>1357.6634087016</v>
      </c>
      <c r="V35" s="745">
        <f t="shared" si="24"/>
        <v>1596.42490471464</v>
      </c>
      <c r="W35" s="1139">
        <f>SUM(W30:W34)</f>
        <v>7781.399886612242</v>
      </c>
      <c r="X35" s="1140">
        <f t="shared" si="23"/>
        <v>0.63813316999478797</v>
      </c>
    </row>
    <row r="36" spans="1:25" s="581" customFormat="1">
      <c r="A36" s="793"/>
      <c r="B36" s="794"/>
      <c r="C36" s="1142"/>
      <c r="D36" s="1142"/>
      <c r="E36" s="793"/>
      <c r="F36" s="535"/>
      <c r="G36" s="535"/>
      <c r="H36" s="535"/>
      <c r="I36" s="535"/>
      <c r="J36" s="535"/>
      <c r="K36" s="535"/>
      <c r="L36" s="535"/>
      <c r="M36" s="535"/>
      <c r="N36" s="535"/>
      <c r="O36" s="535"/>
      <c r="P36" s="535"/>
      <c r="Q36" s="535"/>
      <c r="R36" s="535"/>
      <c r="S36" s="535"/>
      <c r="T36" s="535"/>
      <c r="U36" s="535"/>
      <c r="V36" s="794"/>
      <c r="W36" s="1143"/>
      <c r="X36" s="1144"/>
    </row>
    <row r="37" spans="1:25" ht="28.5" customHeight="1">
      <c r="A37" s="630"/>
      <c r="B37" s="750" t="s">
        <v>756</v>
      </c>
      <c r="C37" s="750"/>
      <c r="D37" s="750"/>
      <c r="E37" s="632"/>
      <c r="F37" s="745"/>
      <c r="G37" s="745">
        <f>G28+G35</f>
        <v>9.9960000000000004</v>
      </c>
      <c r="H37" s="745">
        <f t="shared" ref="H37:V37" si="25">H28+H35</f>
        <v>22.722000000000001</v>
      </c>
      <c r="I37" s="745">
        <f t="shared" si="25"/>
        <v>32.718000000000004</v>
      </c>
      <c r="J37" s="745">
        <f t="shared" si="25"/>
        <v>42.713999999999999</v>
      </c>
      <c r="K37" s="745">
        <f t="shared" si="25"/>
        <v>65.631720000000016</v>
      </c>
      <c r="L37" s="745">
        <f t="shared" si="25"/>
        <v>77.985600000000005</v>
      </c>
      <c r="M37" s="745">
        <f t="shared" si="25"/>
        <v>91.984200000000016</v>
      </c>
      <c r="N37" s="745">
        <f t="shared" si="25"/>
        <v>102.97980000000001</v>
      </c>
      <c r="O37" s="745">
        <f t="shared" si="25"/>
        <v>594.94248000000005</v>
      </c>
      <c r="P37" s="745">
        <f t="shared" si="25"/>
        <v>785.37518400000022</v>
      </c>
      <c r="Q37" s="745">
        <f t="shared" si="25"/>
        <v>1004.7856262400001</v>
      </c>
      <c r="R37" s="745">
        <f t="shared" si="25"/>
        <v>1249.5882669600001</v>
      </c>
      <c r="S37" s="745">
        <f t="shared" si="25"/>
        <v>1471.4443941120003</v>
      </c>
      <c r="T37" s="745">
        <f t="shared" si="25"/>
        <v>1810.2958269528003</v>
      </c>
      <c r="U37" s="745">
        <f t="shared" si="25"/>
        <v>2202.2031024206403</v>
      </c>
      <c r="V37" s="745">
        <f t="shared" si="25"/>
        <v>2628.6400859268001</v>
      </c>
      <c r="W37" s="566">
        <f>G37+H37+I37+J37+K37+L37+M37+N37+O37+P37+Q37+R37+S37+T37+U37+V37</f>
        <v>12194.006286612241</v>
      </c>
      <c r="X37" s="740">
        <f>W37/W47</f>
        <v>0.8856599311850486</v>
      </c>
      <c r="Y37" s="548" t="s">
        <v>515</v>
      </c>
    </row>
    <row r="38" spans="1:25" s="702" customFormat="1">
      <c r="A38" s="461"/>
      <c r="B38" s="539"/>
      <c r="C38" s="539"/>
      <c r="D38" s="539"/>
      <c r="E38" s="751"/>
      <c r="F38" s="677"/>
      <c r="G38" s="677"/>
      <c r="H38" s="677"/>
      <c r="I38" s="677"/>
      <c r="J38" s="677"/>
      <c r="K38" s="677"/>
      <c r="L38" s="677"/>
      <c r="M38" s="677"/>
      <c r="N38" s="677"/>
      <c r="O38" s="677"/>
      <c r="P38" s="677"/>
      <c r="Q38" s="677"/>
      <c r="R38" s="677"/>
      <c r="S38" s="677"/>
      <c r="T38" s="677"/>
      <c r="U38" s="677"/>
      <c r="V38" s="677"/>
      <c r="W38" s="677"/>
      <c r="X38" s="461"/>
    </row>
    <row r="39" spans="1:25">
      <c r="B39" s="752" t="s">
        <v>284</v>
      </c>
      <c r="C39" s="534"/>
      <c r="D39" s="534"/>
      <c r="E39" s="747"/>
      <c r="K39" s="535"/>
      <c r="L39" s="535"/>
      <c r="M39" s="535"/>
      <c r="N39" s="535"/>
      <c r="O39" s="535"/>
      <c r="P39" s="535"/>
      <c r="Q39" s="535"/>
      <c r="R39" s="535"/>
      <c r="S39" s="535"/>
      <c r="T39" s="535"/>
      <c r="U39" s="535"/>
      <c r="V39" s="535"/>
    </row>
    <row r="40" spans="1:25" ht="18" customHeight="1">
      <c r="B40" s="478"/>
      <c r="C40" s="1323" t="s">
        <v>412</v>
      </c>
      <c r="D40" s="1324"/>
      <c r="E40" s="1081"/>
      <c r="F40" s="1082"/>
      <c r="G40" s="754">
        <f>'Key Assumptions'!K13</f>
        <v>0</v>
      </c>
      <c r="H40" s="754">
        <f>'Key Assumptions'!L13</f>
        <v>0</v>
      </c>
      <c r="I40" s="754">
        <f>'Key Assumptions'!M13</f>
        <v>0</v>
      </c>
      <c r="J40" s="754">
        <f>'Key Assumptions'!N13</f>
        <v>0</v>
      </c>
      <c r="K40" s="467">
        <f>'Key Assumptions'!O13</f>
        <v>1</v>
      </c>
      <c r="L40" s="467">
        <f>'Key Assumptions'!P13</f>
        <v>1</v>
      </c>
      <c r="M40" s="467">
        <f>'Key Assumptions'!Q13</f>
        <v>1</v>
      </c>
      <c r="N40" s="467">
        <f>'Key Assumptions'!R13</f>
        <v>1</v>
      </c>
      <c r="O40" s="467">
        <f>'Key Assumptions'!S13</f>
        <v>1</v>
      </c>
      <c r="P40" s="467">
        <f>'Key Assumptions'!T13</f>
        <v>1</v>
      </c>
      <c r="Q40" s="467">
        <f>'Key Assumptions'!U13</f>
        <v>2</v>
      </c>
      <c r="R40" s="467">
        <f>'Key Assumptions'!V13</f>
        <v>2</v>
      </c>
      <c r="S40" s="467">
        <f>'Key Assumptions'!W13</f>
        <v>3</v>
      </c>
      <c r="T40" s="467">
        <f>'Key Assumptions'!X13</f>
        <v>3</v>
      </c>
      <c r="U40" s="467">
        <f>'Key Assumptions'!Y13</f>
        <v>3</v>
      </c>
      <c r="V40" s="467">
        <f>'Key Assumptions'!Z13</f>
        <v>3</v>
      </c>
    </row>
    <row r="41" spans="1:25" ht="30">
      <c r="A41" s="382">
        <v>1</v>
      </c>
      <c r="B41" s="486" t="s">
        <v>361</v>
      </c>
      <c r="C41" s="556"/>
      <c r="D41" s="556"/>
      <c r="E41" s="558">
        <v>1</v>
      </c>
      <c r="F41" s="546">
        <v>0.5</v>
      </c>
      <c r="G41" s="555">
        <f>$F$41*$E456*3*G40*G6</f>
        <v>0</v>
      </c>
      <c r="H41" s="555">
        <f>$F$41*$E456*3*H40*H6</f>
        <v>0</v>
      </c>
      <c r="I41" s="555">
        <f>$F$41*$E456*3*I40*I6</f>
        <v>0</v>
      </c>
      <c r="J41" s="555">
        <f>$F$41*$E456*3*J40*J6</f>
        <v>0</v>
      </c>
      <c r="K41" s="463">
        <f>$F$41*3*K40*K6*$E$41</f>
        <v>1.6500000000000001</v>
      </c>
      <c r="L41" s="463">
        <f>$F$41*3*L40*L6*$E$41</f>
        <v>1.6500000000000001</v>
      </c>
      <c r="M41" s="463">
        <f>$F$41*3*M40*M6*$E$41</f>
        <v>1.6500000000000001</v>
      </c>
      <c r="N41" s="463">
        <f>$F$41*3*N40*N6*$E$41</f>
        <v>1.6500000000000001</v>
      </c>
      <c r="O41" s="463">
        <f t="shared" ref="O41:V41" si="26">$F$41*12*O40*O6</f>
        <v>7.2600000000000016</v>
      </c>
      <c r="P41" s="463">
        <f t="shared" si="26"/>
        <v>7.9860000000000007</v>
      </c>
      <c r="Q41" s="463">
        <f t="shared" si="26"/>
        <v>17.569200000000002</v>
      </c>
      <c r="R41" s="463">
        <f t="shared" si="26"/>
        <v>19.326120000000003</v>
      </c>
      <c r="S41" s="463">
        <f t="shared" si="26"/>
        <v>31.888098000000003</v>
      </c>
      <c r="T41" s="463">
        <f t="shared" si="26"/>
        <v>35.076907800000001</v>
      </c>
      <c r="U41" s="463">
        <f t="shared" si="26"/>
        <v>38.584598580000005</v>
      </c>
      <c r="V41" s="463">
        <f t="shared" si="26"/>
        <v>42.443058438000001</v>
      </c>
      <c r="W41" s="547">
        <f>G41+H41+I41+J41+K41+L41+M41+N41+O41+P41+Q41+R41+S41+T41+U41+V41</f>
        <v>206.73398281800004</v>
      </c>
      <c r="X41" s="742">
        <f>W41/$W$44</f>
        <v>0.62500000000000011</v>
      </c>
      <c r="Y41" s="548" t="s">
        <v>517</v>
      </c>
    </row>
    <row r="42" spans="1:25" ht="23.25" customHeight="1">
      <c r="A42" s="382">
        <v>2</v>
      </c>
      <c r="B42" s="486" t="s">
        <v>341</v>
      </c>
      <c r="C42" s="556"/>
      <c r="D42" s="556"/>
      <c r="E42" s="558">
        <v>1</v>
      </c>
      <c r="F42" s="546">
        <v>0.15</v>
      </c>
      <c r="G42" s="555">
        <f t="shared" ref="G42:N42" si="27">$F$42*$E$42*3*G40*G6</f>
        <v>0</v>
      </c>
      <c r="H42" s="555">
        <f t="shared" si="27"/>
        <v>0</v>
      </c>
      <c r="I42" s="555">
        <f t="shared" si="27"/>
        <v>0</v>
      </c>
      <c r="J42" s="555">
        <f t="shared" si="27"/>
        <v>0</v>
      </c>
      <c r="K42" s="463">
        <f t="shared" si="27"/>
        <v>0.495</v>
      </c>
      <c r="L42" s="463">
        <f t="shared" si="27"/>
        <v>0.495</v>
      </c>
      <c r="M42" s="463">
        <f t="shared" si="27"/>
        <v>0.495</v>
      </c>
      <c r="N42" s="463">
        <f t="shared" si="27"/>
        <v>0.495</v>
      </c>
      <c r="O42" s="463">
        <f t="shared" ref="O42:V42" si="28">$F$42*12*O40*O6</f>
        <v>2.1779999999999999</v>
      </c>
      <c r="P42" s="463">
        <f t="shared" si="28"/>
        <v>2.3957999999999999</v>
      </c>
      <c r="Q42" s="463">
        <f t="shared" si="28"/>
        <v>5.2707600000000001</v>
      </c>
      <c r="R42" s="463">
        <f t="shared" si="28"/>
        <v>5.7978360000000002</v>
      </c>
      <c r="S42" s="463">
        <f t="shared" si="28"/>
        <v>9.5664294000000005</v>
      </c>
      <c r="T42" s="463">
        <f t="shared" si="28"/>
        <v>10.523072339999999</v>
      </c>
      <c r="U42" s="463">
        <f t="shared" si="28"/>
        <v>11.575379573999999</v>
      </c>
      <c r="V42" s="463">
        <f t="shared" si="28"/>
        <v>12.7329175314</v>
      </c>
      <c r="W42" s="547">
        <f>G42+H42+I42+J42+K42+L42+M42+N42+O42+P42+Q42+R42+S42+T42+U42+V42</f>
        <v>62.020194845399992</v>
      </c>
      <c r="X42" s="742">
        <f>W42/$W$44</f>
        <v>0.18749999999999997</v>
      </c>
      <c r="Y42" s="548" t="s">
        <v>514</v>
      </c>
    </row>
    <row r="43" spans="1:25" ht="23.25" customHeight="1">
      <c r="A43" s="382">
        <v>3</v>
      </c>
      <c r="B43" s="486" t="s">
        <v>342</v>
      </c>
      <c r="C43" s="556"/>
      <c r="D43" s="556"/>
      <c r="E43" s="558">
        <v>1</v>
      </c>
      <c r="F43" s="546">
        <v>0.15</v>
      </c>
      <c r="G43" s="555">
        <f t="shared" ref="G43:N43" si="29">$F$43*$E$43*3*G40*G6</f>
        <v>0</v>
      </c>
      <c r="H43" s="555">
        <f t="shared" si="29"/>
        <v>0</v>
      </c>
      <c r="I43" s="555">
        <f t="shared" si="29"/>
        <v>0</v>
      </c>
      <c r="J43" s="555">
        <f t="shared" si="29"/>
        <v>0</v>
      </c>
      <c r="K43" s="463">
        <f t="shared" si="29"/>
        <v>0.495</v>
      </c>
      <c r="L43" s="463">
        <f t="shared" si="29"/>
        <v>0.495</v>
      </c>
      <c r="M43" s="463">
        <f t="shared" si="29"/>
        <v>0.495</v>
      </c>
      <c r="N43" s="463">
        <f t="shared" si="29"/>
        <v>0.495</v>
      </c>
      <c r="O43" s="463">
        <f t="shared" ref="O43:V43" si="30">$F$43*12*O40*O6</f>
        <v>2.1779999999999999</v>
      </c>
      <c r="P43" s="463">
        <f t="shared" si="30"/>
        <v>2.3957999999999999</v>
      </c>
      <c r="Q43" s="463">
        <f t="shared" si="30"/>
        <v>5.2707600000000001</v>
      </c>
      <c r="R43" s="463">
        <f t="shared" si="30"/>
        <v>5.7978360000000002</v>
      </c>
      <c r="S43" s="463">
        <f t="shared" si="30"/>
        <v>9.5664294000000005</v>
      </c>
      <c r="T43" s="463">
        <f t="shared" si="30"/>
        <v>10.523072339999999</v>
      </c>
      <c r="U43" s="463">
        <f t="shared" si="30"/>
        <v>11.575379573999999</v>
      </c>
      <c r="V43" s="463">
        <f t="shared" si="30"/>
        <v>12.7329175314</v>
      </c>
      <c r="W43" s="547">
        <f>G43+H43+I43+J43+K43+L43+M43+N43+O43+P43+Q43+R43+S43+T43+U43+V43</f>
        <v>62.020194845399992</v>
      </c>
      <c r="X43" s="742">
        <f>W43/$W$44</f>
        <v>0.18749999999999997</v>
      </c>
      <c r="Y43" s="548" t="s">
        <v>514</v>
      </c>
    </row>
    <row r="44" spans="1:25" ht="30">
      <c r="A44" s="630"/>
      <c r="B44" s="755" t="s">
        <v>426</v>
      </c>
      <c r="C44" s="755"/>
      <c r="D44" s="755"/>
      <c r="E44" s="505"/>
      <c r="F44" s="505">
        <f t="shared" ref="F44:K44" si="31">SUM(F41:F43)</f>
        <v>0.8</v>
      </c>
      <c r="G44" s="665">
        <f t="shared" si="31"/>
        <v>0</v>
      </c>
      <c r="H44" s="665">
        <f t="shared" si="31"/>
        <v>0</v>
      </c>
      <c r="I44" s="665">
        <f t="shared" si="31"/>
        <v>0</v>
      </c>
      <c r="J44" s="665">
        <f t="shared" si="31"/>
        <v>0</v>
      </c>
      <c r="K44" s="665">
        <f t="shared" si="31"/>
        <v>2.64</v>
      </c>
      <c r="L44" s="505">
        <f t="shared" ref="L44:U44" si="32">SUM(L41:L43)</f>
        <v>2.64</v>
      </c>
      <c r="M44" s="505">
        <f t="shared" si="32"/>
        <v>2.64</v>
      </c>
      <c r="N44" s="505">
        <f t="shared" si="32"/>
        <v>2.64</v>
      </c>
      <c r="O44" s="505">
        <f t="shared" si="32"/>
        <v>11.616000000000003</v>
      </c>
      <c r="P44" s="505">
        <f t="shared" si="32"/>
        <v>12.7776</v>
      </c>
      <c r="Q44" s="505">
        <f t="shared" si="32"/>
        <v>28.110720000000001</v>
      </c>
      <c r="R44" s="505">
        <f t="shared" si="32"/>
        <v>30.921792000000003</v>
      </c>
      <c r="S44" s="505">
        <f t="shared" si="32"/>
        <v>51.020956800000008</v>
      </c>
      <c r="T44" s="505">
        <f t="shared" si="32"/>
        <v>56.123052479999998</v>
      </c>
      <c r="U44" s="505">
        <f t="shared" si="32"/>
        <v>61.735357727999997</v>
      </c>
      <c r="V44" s="505">
        <f>SUM(V41:V43)</f>
        <v>67.908893500800005</v>
      </c>
      <c r="W44" s="566">
        <f>G44+H44+I44+J44+K44+L44+M44+N44+O44+P44+Q44+R44+S44+T44+U44+V44</f>
        <v>330.77437250880001</v>
      </c>
      <c r="X44" s="784">
        <f>W44/W47</f>
        <v>2.4024393715095443E-2</v>
      </c>
      <c r="Y44" s="785" t="s">
        <v>515</v>
      </c>
    </row>
    <row r="45" spans="1:25">
      <c r="B45" s="533"/>
      <c r="C45" s="533"/>
      <c r="D45" s="533"/>
      <c r="E45" s="757"/>
      <c r="F45" s="535"/>
      <c r="G45" s="535"/>
      <c r="H45" s="535"/>
      <c r="I45" s="535"/>
      <c r="J45" s="535"/>
      <c r="K45" s="535"/>
      <c r="L45" s="535"/>
      <c r="M45" s="535"/>
      <c r="N45" s="535"/>
      <c r="O45" s="535"/>
      <c r="P45" s="535"/>
      <c r="Q45" s="535"/>
      <c r="R45" s="535"/>
      <c r="S45" s="535"/>
      <c r="T45" s="535"/>
      <c r="U45" s="535"/>
      <c r="V45" s="535"/>
    </row>
    <row r="46" spans="1:25">
      <c r="B46" s="533"/>
      <c r="C46" s="533"/>
      <c r="D46" s="533"/>
      <c r="E46" s="534"/>
      <c r="F46" s="535"/>
      <c r="G46" s="535"/>
      <c r="H46" s="535"/>
      <c r="I46" s="535"/>
      <c r="J46" s="535"/>
      <c r="K46" s="758"/>
      <c r="L46" s="758"/>
      <c r="M46" s="758"/>
      <c r="N46" s="758"/>
      <c r="O46" s="758"/>
      <c r="P46" s="758"/>
      <c r="Q46" s="758"/>
      <c r="R46" s="758"/>
      <c r="S46" s="758"/>
      <c r="T46" s="758"/>
      <c r="U46" s="758"/>
      <c r="V46" s="758"/>
      <c r="W46" s="581"/>
    </row>
    <row r="47" spans="1:25" ht="17.25">
      <c r="A47" s="759"/>
      <c r="B47" s="760" t="s">
        <v>428</v>
      </c>
      <c r="C47" s="760"/>
      <c r="D47" s="760"/>
      <c r="E47" s="761"/>
      <c r="F47" s="762"/>
      <c r="G47" s="761">
        <f t="shared" ref="G47:V47" si="33">G18+G37+G44</f>
        <v>27.905999999999999</v>
      </c>
      <c r="H47" s="761">
        <f t="shared" si="33"/>
        <v>40.631999999999998</v>
      </c>
      <c r="I47" s="761">
        <f t="shared" si="33"/>
        <v>50.628</v>
      </c>
      <c r="J47" s="761">
        <f t="shared" si="33"/>
        <v>60.623999999999995</v>
      </c>
      <c r="K47" s="761">
        <f t="shared" si="33"/>
        <v>87.972720000000024</v>
      </c>
      <c r="L47" s="761">
        <f t="shared" si="33"/>
        <v>100.3266</v>
      </c>
      <c r="M47" s="761">
        <f t="shared" si="33"/>
        <v>114.32520000000001</v>
      </c>
      <c r="N47" s="761">
        <f t="shared" si="33"/>
        <v>125.32080000000001</v>
      </c>
      <c r="O47" s="761">
        <f t="shared" si="33"/>
        <v>693.24288000000001</v>
      </c>
      <c r="P47" s="761">
        <f t="shared" si="33"/>
        <v>888.82437600000026</v>
      </c>
      <c r="Q47" s="761">
        <f t="shared" si="33"/>
        <v>1158.1974122399999</v>
      </c>
      <c r="R47" s="761">
        <f t="shared" si="33"/>
        <v>1414.0686489600002</v>
      </c>
      <c r="S47" s="761">
        <f t="shared" si="33"/>
        <v>1665.1072173120003</v>
      </c>
      <c r="T47" s="761">
        <f t="shared" si="33"/>
        <v>2023.3249324728004</v>
      </c>
      <c r="U47" s="761">
        <f t="shared" si="33"/>
        <v>2436.5351184926403</v>
      </c>
      <c r="V47" s="761">
        <f t="shared" si="33"/>
        <v>2881.2354786599999</v>
      </c>
      <c r="W47" s="761">
        <f>SUM(G47:V47)</f>
        <v>13768.271384137443</v>
      </c>
      <c r="X47" s="740">
        <f>W47/'Fin Smmry'!R21</f>
        <v>0.54237484098071831</v>
      </c>
      <c r="Y47" s="507" t="s">
        <v>518</v>
      </c>
    </row>
    <row r="48" spans="1:25">
      <c r="F48" s="508"/>
      <c r="G48" s="508"/>
      <c r="H48" s="508"/>
      <c r="I48" s="508"/>
      <c r="J48" s="508"/>
    </row>
    <row r="49" spans="1:25" s="765" customFormat="1" ht="26.25" customHeight="1">
      <c r="A49" s="763"/>
      <c r="B49" s="764" t="s">
        <v>23</v>
      </c>
      <c r="C49" s="764"/>
      <c r="D49" s="764"/>
      <c r="G49" s="1330" t="s">
        <v>156</v>
      </c>
      <c r="H49" s="1330"/>
      <c r="I49" s="1330"/>
      <c r="J49" s="1330"/>
      <c r="K49" s="1330" t="s">
        <v>157</v>
      </c>
      <c r="L49" s="1330"/>
      <c r="M49" s="1330"/>
      <c r="N49" s="1330"/>
      <c r="O49" s="765" t="str">
        <f>'Fin Smmry'!J2</f>
        <v>Year 3</v>
      </c>
      <c r="P49" s="765" t="str">
        <f>'Fin Smmry'!K2</f>
        <v>Year 4</v>
      </c>
      <c r="Q49" s="765" t="str">
        <f>'Fin Smmry'!L2</f>
        <v>Year 5</v>
      </c>
      <c r="R49" s="765" t="str">
        <f>'Fin Smmry'!M2</f>
        <v>Year 6</v>
      </c>
      <c r="S49" s="765" t="str">
        <f>'Fin Smmry'!N2</f>
        <v>Year 7</v>
      </c>
      <c r="T49" s="765" t="str">
        <f>'Fin Smmry'!O2</f>
        <v>Year 8</v>
      </c>
      <c r="U49" s="765" t="str">
        <f>'Fin Smmry'!P2</f>
        <v>Year 9</v>
      </c>
      <c r="V49" s="765" t="str">
        <f>'Fin Smmry'!Q2</f>
        <v>Year 10</v>
      </c>
      <c r="W49" s="765" t="s">
        <v>6</v>
      </c>
    </row>
    <row r="50" spans="1:25" s="765" customFormat="1" ht="26.25" customHeight="1">
      <c r="A50" s="1150"/>
      <c r="B50" s="1151"/>
      <c r="C50" s="1151"/>
      <c r="D50" s="1151"/>
      <c r="G50" s="765" t="s">
        <v>608</v>
      </c>
      <c r="H50" s="765" t="s">
        <v>609</v>
      </c>
      <c r="I50" s="765" t="s">
        <v>610</v>
      </c>
      <c r="J50" s="765" t="s">
        <v>611</v>
      </c>
      <c r="K50" s="765" t="s">
        <v>608</v>
      </c>
      <c r="L50" s="765" t="s">
        <v>609</v>
      </c>
      <c r="M50" s="765" t="s">
        <v>610</v>
      </c>
      <c r="N50" s="765" t="s">
        <v>611</v>
      </c>
    </row>
    <row r="51" spans="1:25" ht="15.75">
      <c r="C51" s="1327" t="s">
        <v>401</v>
      </c>
      <c r="D51" s="1327"/>
      <c r="F51" s="766">
        <f>'Key Assumptions'!G10</f>
        <v>0.1</v>
      </c>
      <c r="G51" s="766">
        <f>'Key Assumptions'!K10</f>
        <v>1</v>
      </c>
      <c r="H51" s="766">
        <f>'Key Assumptions'!L10</f>
        <v>1</v>
      </c>
      <c r="I51" s="766">
        <f>'Key Assumptions'!M10</f>
        <v>1</v>
      </c>
      <c r="J51" s="766">
        <f>'Key Assumptions'!N10</f>
        <v>1</v>
      </c>
      <c r="K51" s="766">
        <f>'Key Assumptions'!O10</f>
        <v>1.1000000000000001</v>
      </c>
      <c r="L51" s="766">
        <f>'Key Assumptions'!P10</f>
        <v>1.1000000000000001</v>
      </c>
      <c r="M51" s="766">
        <f>'Key Assumptions'!Q10</f>
        <v>1.1000000000000001</v>
      </c>
      <c r="N51" s="766">
        <f>'Key Assumptions'!R10</f>
        <v>1.1000000000000001</v>
      </c>
      <c r="O51" s="767">
        <f>'Key Assumptions'!S10</f>
        <v>1.2100000000000002</v>
      </c>
      <c r="P51" s="767">
        <f>'Key Assumptions'!T10</f>
        <v>1.3310000000000002</v>
      </c>
      <c r="Q51" s="767">
        <f>'Key Assumptions'!U10</f>
        <v>1.4641000000000002</v>
      </c>
      <c r="R51" s="767">
        <f>'Key Assumptions'!V10</f>
        <v>1.6105100000000001</v>
      </c>
      <c r="S51" s="767">
        <f>'Key Assumptions'!W10</f>
        <v>1.7715610000000002</v>
      </c>
      <c r="T51" s="767">
        <f>'Key Assumptions'!X10</f>
        <v>1.9487171000000001</v>
      </c>
      <c r="U51" s="767">
        <f>'Key Assumptions'!Y10</f>
        <v>2.1435888100000002</v>
      </c>
      <c r="V51" s="767">
        <f>'Key Assumptions'!Z10</f>
        <v>2.3579476910000001</v>
      </c>
      <c r="W51" s="739"/>
    </row>
    <row r="52" spans="1:25">
      <c r="B52" s="752" t="s">
        <v>632</v>
      </c>
      <c r="C52" s="768"/>
      <c r="D52" s="768"/>
      <c r="E52" s="769"/>
      <c r="F52" s="769" t="s">
        <v>207</v>
      </c>
      <c r="G52" s="462"/>
      <c r="H52" s="462"/>
      <c r="I52" s="462"/>
      <c r="J52" s="462"/>
      <c r="K52" s="770"/>
      <c r="L52" s="770"/>
      <c r="M52" s="770"/>
      <c r="N52" s="770"/>
    </row>
    <row r="53" spans="1:25" ht="45">
      <c r="B53" s="507" t="s">
        <v>568</v>
      </c>
      <c r="C53" s="507" t="s">
        <v>862</v>
      </c>
      <c r="D53" s="678">
        <v>0.05</v>
      </c>
      <c r="E53" s="560">
        <v>0.5</v>
      </c>
      <c r="F53" s="546">
        <v>2</v>
      </c>
      <c r="G53" s="462">
        <f>$F$53*3*$E$53</f>
        <v>3</v>
      </c>
      <c r="H53" s="462">
        <f t="shared" ref="H53:N53" si="34">$F$53*3*$E$53</f>
        <v>3</v>
      </c>
      <c r="I53" s="462">
        <f t="shared" si="34"/>
        <v>3</v>
      </c>
      <c r="J53" s="462">
        <f t="shared" si="34"/>
        <v>3</v>
      </c>
      <c r="K53" s="462">
        <f t="shared" si="34"/>
        <v>3</v>
      </c>
      <c r="L53" s="462">
        <f t="shared" si="34"/>
        <v>3</v>
      </c>
      <c r="M53" s="462">
        <f t="shared" si="34"/>
        <v>3</v>
      </c>
      <c r="N53" s="462">
        <f t="shared" si="34"/>
        <v>3</v>
      </c>
      <c r="O53" s="462">
        <f>SUM(K53:N53)</f>
        <v>12</v>
      </c>
      <c r="P53" s="465">
        <f>O53++D53*SUM(K53:N53)</f>
        <v>12.6</v>
      </c>
      <c r="Q53" s="465">
        <f>P53</f>
        <v>12.6</v>
      </c>
      <c r="R53" s="465">
        <f>Q53</f>
        <v>12.6</v>
      </c>
      <c r="S53" s="465">
        <f>R53+R53*D53</f>
        <v>13.23</v>
      </c>
      <c r="T53" s="465">
        <f>S53</f>
        <v>13.23</v>
      </c>
      <c r="U53" s="465">
        <f>T53</f>
        <v>13.23</v>
      </c>
      <c r="V53" s="465">
        <f>U53+U53*D53</f>
        <v>13.891500000000001</v>
      </c>
      <c r="W53" s="547">
        <f>G53+H53+I53+J53+K53+L53+M53+N53+O53+P53+Q53+R53+S53+T53+U53+V53</f>
        <v>127.38150000000002</v>
      </c>
      <c r="X53" s="742">
        <f>W53/$W$70</f>
        <v>0.15686734844521466</v>
      </c>
      <c r="Y53" s="548" t="s">
        <v>519</v>
      </c>
    </row>
    <row r="54" spans="1:25">
      <c r="B54" s="507" t="s">
        <v>200</v>
      </c>
      <c r="D54" s="544"/>
      <c r="F54" s="549"/>
      <c r="G54" s="462"/>
      <c r="H54" s="462"/>
      <c r="I54" s="462"/>
      <c r="J54" s="462"/>
      <c r="K54" s="465"/>
      <c r="L54" s="465"/>
      <c r="M54" s="465"/>
      <c r="N54" s="465"/>
      <c r="O54" s="465"/>
      <c r="P54" s="465"/>
      <c r="Q54" s="465"/>
      <c r="R54" s="465"/>
      <c r="S54" s="465"/>
      <c r="T54" s="465"/>
      <c r="U54" s="465"/>
      <c r="V54" s="465"/>
      <c r="W54" s="547"/>
      <c r="X54" s="742"/>
    </row>
    <row r="55" spans="1:25" ht="25.5">
      <c r="B55" s="550" t="s">
        <v>199</v>
      </c>
      <c r="C55" s="550"/>
      <c r="D55" s="550"/>
      <c r="F55" s="546">
        <v>0.23</v>
      </c>
      <c r="G55" s="462">
        <f>F55*3</f>
        <v>0.69000000000000006</v>
      </c>
      <c r="H55" s="462">
        <f>F55*3</f>
        <v>0.69000000000000006</v>
      </c>
      <c r="I55" s="462">
        <f>F55*3</f>
        <v>0.69000000000000006</v>
      </c>
      <c r="J55" s="462">
        <f>F55*3</f>
        <v>0.69000000000000006</v>
      </c>
      <c r="K55" s="465">
        <f t="shared" ref="K55:K66" si="35">F55*3*$K$51</f>
        <v>0.75900000000000012</v>
      </c>
      <c r="L55" s="465">
        <f t="shared" ref="L55:L66" si="36">F55*3*$L$51</f>
        <v>0.75900000000000012</v>
      </c>
      <c r="M55" s="465">
        <f t="shared" ref="M55:M66" si="37">F55*3*$M$51</f>
        <v>0.75900000000000012</v>
      </c>
      <c r="N55" s="465">
        <f t="shared" ref="N55:N66" si="38">F55*3*$N$51</f>
        <v>0.75900000000000012</v>
      </c>
      <c r="O55" s="465">
        <f t="shared" ref="O55:O66" si="39">(SUM(K55:N55))*$K$51</f>
        <v>3.3396000000000008</v>
      </c>
      <c r="P55" s="465">
        <f t="shared" ref="P55:V65" si="40">O55*1.1</f>
        <v>3.673560000000001</v>
      </c>
      <c r="Q55" s="465">
        <f t="shared" si="40"/>
        <v>4.0409160000000011</v>
      </c>
      <c r="R55" s="465">
        <f t="shared" si="40"/>
        <v>4.4450076000000012</v>
      </c>
      <c r="S55" s="465">
        <f t="shared" si="40"/>
        <v>4.8895083600000016</v>
      </c>
      <c r="T55" s="465">
        <f t="shared" si="40"/>
        <v>5.3784591960000023</v>
      </c>
      <c r="U55" s="465">
        <f t="shared" si="40"/>
        <v>5.9163051156000028</v>
      </c>
      <c r="V55" s="465">
        <f t="shared" si="40"/>
        <v>6.5079356271600037</v>
      </c>
      <c r="W55" s="547">
        <f t="shared" ref="W55:W67" si="41">G55+H55+I55+J55+K55+L55+M55+N55+O55+P55+Q55+R55+S55+T55+U55+V55</f>
        <v>43.987291898760006</v>
      </c>
      <c r="X55" s="742">
        <f t="shared" ref="X55:X67" si="42">W55/$W$70</f>
        <v>5.4169324787698002E-2</v>
      </c>
      <c r="Y55" s="548" t="s">
        <v>514</v>
      </c>
    </row>
    <row r="56" spans="1:25">
      <c r="B56" s="551" t="s">
        <v>201</v>
      </c>
      <c r="C56" s="551"/>
      <c r="D56" s="551"/>
      <c r="F56" s="546">
        <v>0.08</v>
      </c>
      <c r="G56" s="462">
        <f t="shared" ref="G56:G66" si="43">F56*3</f>
        <v>0.24</v>
      </c>
      <c r="H56" s="462">
        <f t="shared" ref="H56:H64" si="44">F56*3</f>
        <v>0.24</v>
      </c>
      <c r="I56" s="462">
        <f t="shared" ref="I56:I64" si="45">F56*3</f>
        <v>0.24</v>
      </c>
      <c r="J56" s="462">
        <f t="shared" ref="J56:J64" si="46">F56*3</f>
        <v>0.24</v>
      </c>
      <c r="K56" s="465">
        <f t="shared" si="35"/>
        <v>0.26400000000000001</v>
      </c>
      <c r="L56" s="465">
        <f t="shared" si="36"/>
        <v>0.26400000000000001</v>
      </c>
      <c r="M56" s="465">
        <f t="shared" si="37"/>
        <v>0.26400000000000001</v>
      </c>
      <c r="N56" s="465">
        <f t="shared" si="38"/>
        <v>0.26400000000000001</v>
      </c>
      <c r="O56" s="465">
        <f t="shared" si="39"/>
        <v>1.1616000000000002</v>
      </c>
      <c r="P56" s="465">
        <f t="shared" si="40"/>
        <v>1.2777600000000002</v>
      </c>
      <c r="Q56" s="465">
        <f t="shared" si="40"/>
        <v>1.4055360000000003</v>
      </c>
      <c r="R56" s="465">
        <f t="shared" si="40"/>
        <v>1.5460896000000004</v>
      </c>
      <c r="S56" s="465">
        <f t="shared" si="40"/>
        <v>1.7006985600000006</v>
      </c>
      <c r="T56" s="465">
        <f t="shared" si="40"/>
        <v>1.8707684160000009</v>
      </c>
      <c r="U56" s="465">
        <f t="shared" si="40"/>
        <v>2.0578452576000013</v>
      </c>
      <c r="V56" s="465">
        <f t="shared" si="40"/>
        <v>2.2636297833600016</v>
      </c>
      <c r="W56" s="547">
        <f t="shared" si="41"/>
        <v>15.299927616960005</v>
      </c>
      <c r="X56" s="742">
        <f t="shared" si="42"/>
        <v>1.8841504273981916E-2</v>
      </c>
      <c r="Y56" s="548" t="s">
        <v>514</v>
      </c>
    </row>
    <row r="57" spans="1:25">
      <c r="B57" s="551" t="s">
        <v>202</v>
      </c>
      <c r="C57" s="551"/>
      <c r="D57" s="551"/>
      <c r="F57" s="546">
        <v>0.16</v>
      </c>
      <c r="G57" s="462">
        <f t="shared" si="43"/>
        <v>0.48</v>
      </c>
      <c r="H57" s="462">
        <f t="shared" si="44"/>
        <v>0.48</v>
      </c>
      <c r="I57" s="462">
        <f t="shared" si="45"/>
        <v>0.48</v>
      </c>
      <c r="J57" s="462">
        <f t="shared" si="46"/>
        <v>0.48</v>
      </c>
      <c r="K57" s="465">
        <f t="shared" si="35"/>
        <v>0.52800000000000002</v>
      </c>
      <c r="L57" s="465">
        <f t="shared" si="36"/>
        <v>0.52800000000000002</v>
      </c>
      <c r="M57" s="465">
        <f t="shared" si="37"/>
        <v>0.52800000000000002</v>
      </c>
      <c r="N57" s="465">
        <f t="shared" si="38"/>
        <v>0.52800000000000002</v>
      </c>
      <c r="O57" s="465">
        <f t="shared" si="39"/>
        <v>2.3232000000000004</v>
      </c>
      <c r="P57" s="465">
        <f t="shared" si="40"/>
        <v>2.5555200000000005</v>
      </c>
      <c r="Q57" s="465">
        <f t="shared" si="40"/>
        <v>2.8110720000000007</v>
      </c>
      <c r="R57" s="465">
        <f t="shared" si="40"/>
        <v>3.0921792000000008</v>
      </c>
      <c r="S57" s="465">
        <f t="shared" si="40"/>
        <v>3.4013971200000013</v>
      </c>
      <c r="T57" s="465">
        <f t="shared" si="40"/>
        <v>3.7415368320000018</v>
      </c>
      <c r="U57" s="465">
        <f t="shared" si="40"/>
        <v>4.1156905152000025</v>
      </c>
      <c r="V57" s="465">
        <f t="shared" si="40"/>
        <v>4.5272595667200033</v>
      </c>
      <c r="W57" s="547">
        <f t="shared" si="41"/>
        <v>30.59985523392001</v>
      </c>
      <c r="X57" s="742">
        <f t="shared" si="42"/>
        <v>3.7683008547963831E-2</v>
      </c>
      <c r="Y57" s="548" t="s">
        <v>514</v>
      </c>
    </row>
    <row r="58" spans="1:25" ht="30">
      <c r="B58" s="507" t="s">
        <v>203</v>
      </c>
      <c r="D58" s="544"/>
      <c r="F58" s="546">
        <v>0.22</v>
      </c>
      <c r="G58" s="462">
        <f t="shared" si="43"/>
        <v>0.66</v>
      </c>
      <c r="H58" s="462">
        <f t="shared" si="44"/>
        <v>0.66</v>
      </c>
      <c r="I58" s="462">
        <f t="shared" si="45"/>
        <v>0.66</v>
      </c>
      <c r="J58" s="462">
        <f t="shared" si="46"/>
        <v>0.66</v>
      </c>
      <c r="K58" s="465">
        <f t="shared" si="35"/>
        <v>0.72600000000000009</v>
      </c>
      <c r="L58" s="465">
        <f t="shared" si="36"/>
        <v>0.72600000000000009</v>
      </c>
      <c r="M58" s="465">
        <f t="shared" si="37"/>
        <v>0.72600000000000009</v>
      </c>
      <c r="N58" s="465">
        <f t="shared" si="38"/>
        <v>0.72600000000000009</v>
      </c>
      <c r="O58" s="465">
        <f t="shared" si="39"/>
        <v>3.1944000000000008</v>
      </c>
      <c r="P58" s="465">
        <f t="shared" si="40"/>
        <v>3.513840000000001</v>
      </c>
      <c r="Q58" s="465">
        <f t="shared" si="40"/>
        <v>3.8652240000000013</v>
      </c>
      <c r="R58" s="465">
        <f t="shared" si="40"/>
        <v>4.2517464000000018</v>
      </c>
      <c r="S58" s="465">
        <f t="shared" si="40"/>
        <v>4.6769210400000025</v>
      </c>
      <c r="T58" s="465">
        <f t="shared" si="40"/>
        <v>5.1446131440000036</v>
      </c>
      <c r="U58" s="465">
        <f t="shared" si="40"/>
        <v>5.6590744584000046</v>
      </c>
      <c r="V58" s="465">
        <f t="shared" si="40"/>
        <v>6.2249819042400052</v>
      </c>
      <c r="W58" s="547">
        <f t="shared" si="41"/>
        <v>42.074800946640025</v>
      </c>
      <c r="X58" s="742">
        <f t="shared" si="42"/>
        <v>5.1814136753450285E-2</v>
      </c>
      <c r="Y58" s="548" t="s">
        <v>514</v>
      </c>
    </row>
    <row r="59" spans="1:25">
      <c r="B59" s="507" t="s">
        <v>198</v>
      </c>
      <c r="D59" s="544"/>
      <c r="F59" s="546">
        <v>0.18</v>
      </c>
      <c r="G59" s="462">
        <f t="shared" si="43"/>
        <v>0.54</v>
      </c>
      <c r="H59" s="462">
        <f t="shared" si="44"/>
        <v>0.54</v>
      </c>
      <c r="I59" s="462">
        <f t="shared" si="45"/>
        <v>0.54</v>
      </c>
      <c r="J59" s="462">
        <f t="shared" si="46"/>
        <v>0.54</v>
      </c>
      <c r="K59" s="465">
        <f t="shared" si="35"/>
        <v>0.59400000000000008</v>
      </c>
      <c r="L59" s="465">
        <f t="shared" si="36"/>
        <v>0.59400000000000008</v>
      </c>
      <c r="M59" s="465">
        <f t="shared" si="37"/>
        <v>0.59400000000000008</v>
      </c>
      <c r="N59" s="465">
        <f t="shared" si="38"/>
        <v>0.59400000000000008</v>
      </c>
      <c r="O59" s="465">
        <f t="shared" si="39"/>
        <v>2.6136000000000004</v>
      </c>
      <c r="P59" s="465">
        <f t="shared" si="40"/>
        <v>2.8749600000000006</v>
      </c>
      <c r="Q59" s="465">
        <f t="shared" si="40"/>
        <v>3.162456000000001</v>
      </c>
      <c r="R59" s="465">
        <f t="shared" si="40"/>
        <v>3.4787016000000013</v>
      </c>
      <c r="S59" s="465">
        <f t="shared" si="40"/>
        <v>3.8265717600000015</v>
      </c>
      <c r="T59" s="465">
        <f t="shared" si="40"/>
        <v>4.2092289360000024</v>
      </c>
      <c r="U59" s="465">
        <f t="shared" si="40"/>
        <v>4.6301518296000026</v>
      </c>
      <c r="V59" s="465">
        <f t="shared" si="40"/>
        <v>5.093167012560003</v>
      </c>
      <c r="W59" s="547">
        <f t="shared" si="41"/>
        <v>34.424837138160015</v>
      </c>
      <c r="X59" s="742">
        <f t="shared" si="42"/>
        <v>4.2393384616459313E-2</v>
      </c>
      <c r="Y59" s="548" t="s">
        <v>514</v>
      </c>
    </row>
    <row r="60" spans="1:25">
      <c r="B60" s="507" t="s">
        <v>204</v>
      </c>
      <c r="D60" s="544"/>
      <c r="F60" s="546">
        <v>0.08</v>
      </c>
      <c r="G60" s="462">
        <f t="shared" si="43"/>
        <v>0.24</v>
      </c>
      <c r="H60" s="462">
        <f t="shared" si="44"/>
        <v>0.24</v>
      </c>
      <c r="I60" s="462">
        <f t="shared" si="45"/>
        <v>0.24</v>
      </c>
      <c r="J60" s="462">
        <f t="shared" si="46"/>
        <v>0.24</v>
      </c>
      <c r="K60" s="465">
        <f t="shared" si="35"/>
        <v>0.26400000000000001</v>
      </c>
      <c r="L60" s="465">
        <f t="shared" si="36"/>
        <v>0.26400000000000001</v>
      </c>
      <c r="M60" s="465">
        <f t="shared" si="37"/>
        <v>0.26400000000000001</v>
      </c>
      <c r="N60" s="465">
        <f t="shared" si="38"/>
        <v>0.26400000000000001</v>
      </c>
      <c r="O60" s="465">
        <f t="shared" si="39"/>
        <v>1.1616000000000002</v>
      </c>
      <c r="P60" s="465">
        <f t="shared" si="40"/>
        <v>1.2777600000000002</v>
      </c>
      <c r="Q60" s="465">
        <f t="shared" si="40"/>
        <v>1.4055360000000003</v>
      </c>
      <c r="R60" s="465">
        <f t="shared" si="40"/>
        <v>1.5460896000000004</v>
      </c>
      <c r="S60" s="465">
        <f t="shared" si="40"/>
        <v>1.7006985600000006</v>
      </c>
      <c r="T60" s="465">
        <f t="shared" si="40"/>
        <v>1.8707684160000009</v>
      </c>
      <c r="U60" s="465">
        <f t="shared" si="40"/>
        <v>2.0578452576000013</v>
      </c>
      <c r="V60" s="465">
        <f t="shared" si="40"/>
        <v>2.2636297833600016</v>
      </c>
      <c r="W60" s="547">
        <f t="shared" si="41"/>
        <v>15.299927616960005</v>
      </c>
      <c r="X60" s="742">
        <f t="shared" si="42"/>
        <v>1.8841504273981916E-2</v>
      </c>
      <c r="Y60" s="548" t="s">
        <v>514</v>
      </c>
    </row>
    <row r="61" spans="1:25" s="702" customFormat="1">
      <c r="A61" s="461"/>
      <c r="B61" s="702" t="s">
        <v>640</v>
      </c>
      <c r="D61" s="539"/>
      <c r="E61" s="461"/>
      <c r="F61" s="546">
        <v>0.25</v>
      </c>
      <c r="G61" s="462">
        <f t="shared" si="43"/>
        <v>0.75</v>
      </c>
      <c r="H61" s="462">
        <f t="shared" si="44"/>
        <v>0.75</v>
      </c>
      <c r="I61" s="462">
        <f t="shared" si="45"/>
        <v>0.75</v>
      </c>
      <c r="J61" s="462">
        <f t="shared" si="46"/>
        <v>0.75</v>
      </c>
      <c r="K61" s="660">
        <f t="shared" si="35"/>
        <v>0.82500000000000007</v>
      </c>
      <c r="L61" s="660">
        <f t="shared" si="36"/>
        <v>0.82500000000000007</v>
      </c>
      <c r="M61" s="660">
        <f t="shared" si="37"/>
        <v>0.82500000000000007</v>
      </c>
      <c r="N61" s="660">
        <f t="shared" si="38"/>
        <v>0.82500000000000007</v>
      </c>
      <c r="O61" s="660">
        <f t="shared" si="39"/>
        <v>3.6300000000000008</v>
      </c>
      <c r="P61" s="660">
        <f t="shared" ref="P61:V61" si="47">O61*1.1</f>
        <v>3.9930000000000012</v>
      </c>
      <c r="Q61" s="660">
        <f t="shared" si="47"/>
        <v>4.3923000000000014</v>
      </c>
      <c r="R61" s="660">
        <f t="shared" si="47"/>
        <v>4.8315300000000017</v>
      </c>
      <c r="S61" s="660">
        <f t="shared" si="47"/>
        <v>5.3146830000000023</v>
      </c>
      <c r="T61" s="660">
        <f t="shared" si="47"/>
        <v>5.8461513000000034</v>
      </c>
      <c r="U61" s="660">
        <f t="shared" si="47"/>
        <v>6.4307664300000038</v>
      </c>
      <c r="V61" s="660">
        <f t="shared" si="47"/>
        <v>7.0738430730000044</v>
      </c>
      <c r="W61" s="703">
        <f t="shared" si="41"/>
        <v>47.812273803000025</v>
      </c>
      <c r="X61" s="771">
        <f t="shared" si="42"/>
        <v>5.8879700856193498E-2</v>
      </c>
      <c r="Y61" s="461" t="s">
        <v>514</v>
      </c>
    </row>
    <row r="62" spans="1:25">
      <c r="B62" s="507" t="s">
        <v>240</v>
      </c>
      <c r="D62" s="544"/>
      <c r="F62" s="546">
        <v>0.3</v>
      </c>
      <c r="G62" s="462">
        <f t="shared" si="43"/>
        <v>0.89999999999999991</v>
      </c>
      <c r="H62" s="462">
        <f t="shared" si="44"/>
        <v>0.89999999999999991</v>
      </c>
      <c r="I62" s="462">
        <f t="shared" si="45"/>
        <v>0.89999999999999991</v>
      </c>
      <c r="J62" s="462">
        <f t="shared" si="46"/>
        <v>0.89999999999999991</v>
      </c>
      <c r="K62" s="465">
        <f t="shared" si="35"/>
        <v>0.99</v>
      </c>
      <c r="L62" s="465">
        <f t="shared" si="36"/>
        <v>0.99</v>
      </c>
      <c r="M62" s="465">
        <f t="shared" si="37"/>
        <v>0.99</v>
      </c>
      <c r="N62" s="465">
        <f t="shared" si="38"/>
        <v>0.99</v>
      </c>
      <c r="O62" s="465">
        <f t="shared" si="39"/>
        <v>4.3559999999999999</v>
      </c>
      <c r="P62" s="465">
        <f t="shared" si="40"/>
        <v>4.7915999999999999</v>
      </c>
      <c r="Q62" s="465">
        <f t="shared" si="40"/>
        <v>5.2707600000000001</v>
      </c>
      <c r="R62" s="465">
        <f t="shared" si="40"/>
        <v>5.7978360000000002</v>
      </c>
      <c r="S62" s="465">
        <f t="shared" si="40"/>
        <v>6.3776196000000009</v>
      </c>
      <c r="T62" s="465">
        <f t="shared" si="40"/>
        <v>7.0153815600000016</v>
      </c>
      <c r="U62" s="465">
        <f t="shared" si="40"/>
        <v>7.7169197160000023</v>
      </c>
      <c r="V62" s="465">
        <f t="shared" si="40"/>
        <v>8.4886116876000024</v>
      </c>
      <c r="W62" s="547">
        <f t="shared" si="41"/>
        <v>57.374728563600002</v>
      </c>
      <c r="X62" s="742">
        <f t="shared" si="42"/>
        <v>7.0655641027432159E-2</v>
      </c>
      <c r="Y62" s="548" t="s">
        <v>514</v>
      </c>
    </row>
    <row r="63" spans="1:25">
      <c r="B63" s="507" t="s">
        <v>485</v>
      </c>
      <c r="D63" s="544"/>
      <c r="F63" s="546">
        <v>0.2</v>
      </c>
      <c r="G63" s="462">
        <f t="shared" si="43"/>
        <v>0.60000000000000009</v>
      </c>
      <c r="H63" s="462">
        <f t="shared" si="44"/>
        <v>0.60000000000000009</v>
      </c>
      <c r="I63" s="462">
        <f t="shared" si="45"/>
        <v>0.60000000000000009</v>
      </c>
      <c r="J63" s="462">
        <f t="shared" si="46"/>
        <v>0.60000000000000009</v>
      </c>
      <c r="K63" s="465">
        <f t="shared" si="35"/>
        <v>0.66000000000000014</v>
      </c>
      <c r="L63" s="465">
        <f t="shared" si="36"/>
        <v>0.66000000000000014</v>
      </c>
      <c r="M63" s="465">
        <f t="shared" si="37"/>
        <v>0.66000000000000014</v>
      </c>
      <c r="N63" s="465">
        <f t="shared" si="38"/>
        <v>0.66000000000000014</v>
      </c>
      <c r="O63" s="465">
        <f t="shared" si="39"/>
        <v>2.9040000000000008</v>
      </c>
      <c r="P63" s="465">
        <f t="shared" ref="P63:V63" si="48">O63*1.1</f>
        <v>3.1944000000000012</v>
      </c>
      <c r="Q63" s="465">
        <f t="shared" si="48"/>
        <v>3.5138400000000019</v>
      </c>
      <c r="R63" s="465">
        <f t="shared" si="48"/>
        <v>3.8652240000000022</v>
      </c>
      <c r="S63" s="465">
        <f t="shared" si="48"/>
        <v>4.2517464000000027</v>
      </c>
      <c r="T63" s="465">
        <f t="shared" si="48"/>
        <v>4.6769210400000034</v>
      </c>
      <c r="U63" s="465">
        <f t="shared" si="48"/>
        <v>5.1446131440000045</v>
      </c>
      <c r="V63" s="465">
        <f t="shared" si="48"/>
        <v>5.6590744584000054</v>
      </c>
      <c r="W63" s="547">
        <f t="shared" si="41"/>
        <v>38.249819042400027</v>
      </c>
      <c r="X63" s="742">
        <f t="shared" si="42"/>
        <v>4.710376068495481E-2</v>
      </c>
      <c r="Y63" s="548" t="s">
        <v>514</v>
      </c>
    </row>
    <row r="64" spans="1:25" ht="30">
      <c r="B64" s="507" t="s">
        <v>290</v>
      </c>
      <c r="D64" s="544"/>
      <c r="F64" s="546">
        <v>0.15</v>
      </c>
      <c r="G64" s="462">
        <f t="shared" si="43"/>
        <v>0.44999999999999996</v>
      </c>
      <c r="H64" s="462">
        <f t="shared" si="44"/>
        <v>0.44999999999999996</v>
      </c>
      <c r="I64" s="462">
        <f t="shared" si="45"/>
        <v>0.44999999999999996</v>
      </c>
      <c r="J64" s="462">
        <f t="shared" si="46"/>
        <v>0.44999999999999996</v>
      </c>
      <c r="K64" s="465">
        <f t="shared" si="35"/>
        <v>0.495</v>
      </c>
      <c r="L64" s="465">
        <f t="shared" si="36"/>
        <v>0.495</v>
      </c>
      <c r="M64" s="465">
        <f t="shared" si="37"/>
        <v>0.495</v>
      </c>
      <c r="N64" s="465">
        <f t="shared" si="38"/>
        <v>0.495</v>
      </c>
      <c r="O64" s="465">
        <f t="shared" si="39"/>
        <v>2.1779999999999999</v>
      </c>
      <c r="P64" s="465">
        <f t="shared" si="40"/>
        <v>2.3957999999999999</v>
      </c>
      <c r="Q64" s="465">
        <f t="shared" si="40"/>
        <v>2.6353800000000001</v>
      </c>
      <c r="R64" s="465">
        <f t="shared" si="40"/>
        <v>2.8989180000000001</v>
      </c>
      <c r="S64" s="465">
        <f t="shared" si="40"/>
        <v>3.1888098000000005</v>
      </c>
      <c r="T64" s="465">
        <f t="shared" si="40"/>
        <v>3.5076907800000008</v>
      </c>
      <c r="U64" s="465">
        <f t="shared" si="40"/>
        <v>3.8584598580000011</v>
      </c>
      <c r="V64" s="465">
        <f t="shared" si="40"/>
        <v>4.2443058438000012</v>
      </c>
      <c r="W64" s="547">
        <f t="shared" si="41"/>
        <v>28.687364281800001</v>
      </c>
      <c r="X64" s="742">
        <f t="shared" si="42"/>
        <v>3.5327820513716079E-2</v>
      </c>
      <c r="Y64" s="548" t="s">
        <v>514</v>
      </c>
    </row>
    <row r="65" spans="1:37">
      <c r="B65" s="570" t="s">
        <v>229</v>
      </c>
      <c r="C65" s="570"/>
      <c r="D65" s="552"/>
      <c r="F65" s="546">
        <v>0.3</v>
      </c>
      <c r="G65" s="462">
        <f t="shared" si="43"/>
        <v>0.89999999999999991</v>
      </c>
      <c r="H65" s="462">
        <f>F65*3</f>
        <v>0.89999999999999991</v>
      </c>
      <c r="I65" s="462">
        <f>F65*3</f>
        <v>0.89999999999999991</v>
      </c>
      <c r="J65" s="462">
        <f>F65*3</f>
        <v>0.89999999999999991</v>
      </c>
      <c r="K65" s="465">
        <f t="shared" si="35"/>
        <v>0.99</v>
      </c>
      <c r="L65" s="465">
        <f t="shared" si="36"/>
        <v>0.99</v>
      </c>
      <c r="M65" s="465">
        <f t="shared" si="37"/>
        <v>0.99</v>
      </c>
      <c r="N65" s="465">
        <f t="shared" si="38"/>
        <v>0.99</v>
      </c>
      <c r="O65" s="465">
        <f t="shared" si="39"/>
        <v>4.3559999999999999</v>
      </c>
      <c r="P65" s="465">
        <f t="shared" si="40"/>
        <v>4.7915999999999999</v>
      </c>
      <c r="Q65" s="465">
        <f t="shared" si="40"/>
        <v>5.2707600000000001</v>
      </c>
      <c r="R65" s="465">
        <f t="shared" si="40"/>
        <v>5.7978360000000002</v>
      </c>
      <c r="S65" s="465">
        <f t="shared" si="40"/>
        <v>6.3776196000000009</v>
      </c>
      <c r="T65" s="465">
        <f t="shared" si="40"/>
        <v>7.0153815600000016</v>
      </c>
      <c r="U65" s="465">
        <f t="shared" si="40"/>
        <v>7.7169197160000023</v>
      </c>
      <c r="V65" s="465">
        <f t="shared" si="40"/>
        <v>8.4886116876000024</v>
      </c>
      <c r="W65" s="547">
        <f t="shared" si="41"/>
        <v>57.374728563600002</v>
      </c>
      <c r="X65" s="742">
        <f t="shared" si="42"/>
        <v>7.0655641027432159E-2</v>
      </c>
      <c r="Y65" s="548" t="s">
        <v>514</v>
      </c>
    </row>
    <row r="66" spans="1:37">
      <c r="B66" s="581" t="s">
        <v>486</v>
      </c>
      <c r="C66" s="581"/>
      <c r="D66" s="533"/>
      <c r="F66" s="546">
        <v>0.1</v>
      </c>
      <c r="G66" s="462">
        <f t="shared" si="43"/>
        <v>0.30000000000000004</v>
      </c>
      <c r="H66" s="462">
        <f>F66*3</f>
        <v>0.30000000000000004</v>
      </c>
      <c r="I66" s="462">
        <f>F66*3</f>
        <v>0.30000000000000004</v>
      </c>
      <c r="J66" s="462">
        <f>F66*3</f>
        <v>0.30000000000000004</v>
      </c>
      <c r="K66" s="465">
        <f t="shared" si="35"/>
        <v>0.33000000000000007</v>
      </c>
      <c r="L66" s="465">
        <f t="shared" si="36"/>
        <v>0.33000000000000007</v>
      </c>
      <c r="M66" s="465">
        <f t="shared" si="37"/>
        <v>0.33000000000000007</v>
      </c>
      <c r="N66" s="465">
        <f t="shared" si="38"/>
        <v>0.33000000000000007</v>
      </c>
      <c r="O66" s="465">
        <f t="shared" si="39"/>
        <v>1.4520000000000004</v>
      </c>
      <c r="P66" s="465">
        <f t="shared" ref="P66:V66" si="49">O66*1.1</f>
        <v>1.5972000000000006</v>
      </c>
      <c r="Q66" s="465">
        <f t="shared" si="49"/>
        <v>1.7569200000000009</v>
      </c>
      <c r="R66" s="465">
        <f t="shared" si="49"/>
        <v>1.9326120000000011</v>
      </c>
      <c r="S66" s="465">
        <f t="shared" si="49"/>
        <v>2.1258732000000014</v>
      </c>
      <c r="T66" s="465">
        <f t="shared" si="49"/>
        <v>2.3384605200000017</v>
      </c>
      <c r="U66" s="465">
        <f t="shared" si="49"/>
        <v>2.5723065720000022</v>
      </c>
      <c r="V66" s="465">
        <f t="shared" si="49"/>
        <v>2.8295372292000027</v>
      </c>
      <c r="W66" s="547">
        <f t="shared" si="41"/>
        <v>19.124909521200014</v>
      </c>
      <c r="X66" s="742">
        <f t="shared" si="42"/>
        <v>2.3551880342477405E-2</v>
      </c>
      <c r="Y66" s="548" t="s">
        <v>514</v>
      </c>
    </row>
    <row r="67" spans="1:37" s="702" customFormat="1" ht="60">
      <c r="A67" s="461"/>
      <c r="B67" s="702" t="s">
        <v>278</v>
      </c>
      <c r="C67" s="461" t="s">
        <v>645</v>
      </c>
      <c r="D67" s="461" t="s">
        <v>646</v>
      </c>
      <c r="F67" s="332">
        <f>D68</f>
        <v>5</v>
      </c>
      <c r="G67" s="462">
        <f>C68/4</f>
        <v>2.5</v>
      </c>
      <c r="H67" s="462">
        <f>G67</f>
        <v>2.5</v>
      </c>
      <c r="I67" s="462">
        <f>H67</f>
        <v>2.5</v>
      </c>
      <c r="J67" s="462">
        <f>I67</f>
        <v>2.5</v>
      </c>
      <c r="K67" s="660">
        <f>C68/4</f>
        <v>2.5</v>
      </c>
      <c r="L67" s="660">
        <f>K67</f>
        <v>2.5</v>
      </c>
      <c r="M67" s="660">
        <f>L67</f>
        <v>2.5</v>
      </c>
      <c r="N67" s="660">
        <f>M67</f>
        <v>2.5</v>
      </c>
      <c r="O67" s="660">
        <f>C68</f>
        <v>10</v>
      </c>
      <c r="P67" s="660">
        <f>D68</f>
        <v>5</v>
      </c>
      <c r="Q67" s="660">
        <f t="shared" ref="Q67:V67" si="50">P67*1.1</f>
        <v>5.5</v>
      </c>
      <c r="R67" s="660">
        <f t="shared" si="50"/>
        <v>6.0500000000000007</v>
      </c>
      <c r="S67" s="660">
        <f t="shared" si="50"/>
        <v>6.6550000000000011</v>
      </c>
      <c r="T67" s="660">
        <f t="shared" si="50"/>
        <v>7.3205000000000018</v>
      </c>
      <c r="U67" s="660">
        <f t="shared" si="50"/>
        <v>8.0525500000000019</v>
      </c>
      <c r="V67" s="660">
        <f t="shared" si="50"/>
        <v>8.8578050000000026</v>
      </c>
      <c r="W67" s="703">
        <f t="shared" si="41"/>
        <v>77.435855000000004</v>
      </c>
      <c r="X67" s="771">
        <f t="shared" si="42"/>
        <v>9.5360450681128084E-2</v>
      </c>
      <c r="Y67" s="461" t="s">
        <v>514</v>
      </c>
    </row>
    <row r="68" spans="1:37">
      <c r="C68" s="553">
        <v>10</v>
      </c>
      <c r="D68" s="554">
        <v>5</v>
      </c>
      <c r="F68" s="332"/>
      <c r="G68" s="462"/>
      <c r="H68" s="462"/>
      <c r="I68" s="462"/>
      <c r="J68" s="462"/>
      <c r="K68" s="465"/>
      <c r="L68" s="465"/>
      <c r="M68" s="465"/>
      <c r="N68" s="465"/>
      <c r="O68" s="465"/>
      <c r="P68" s="465"/>
      <c r="Q68" s="465"/>
      <c r="R68" s="465"/>
      <c r="S68" s="465"/>
      <c r="T68" s="465"/>
      <c r="U68" s="465"/>
      <c r="V68" s="465"/>
      <c r="W68" s="547"/>
      <c r="X68" s="742"/>
      <c r="Y68" s="548" t="s">
        <v>514</v>
      </c>
    </row>
    <row r="69" spans="1:37">
      <c r="B69" s="507" t="s">
        <v>287</v>
      </c>
      <c r="F69" s="555">
        <f>SUM(F53:F67)*0.1</f>
        <v>0.92500000000000004</v>
      </c>
      <c r="G69" s="462">
        <f>F69*3</f>
        <v>2.7750000000000004</v>
      </c>
      <c r="H69" s="462">
        <f>F69*3</f>
        <v>2.7750000000000004</v>
      </c>
      <c r="I69" s="462">
        <f>F69*3</f>
        <v>2.7750000000000004</v>
      </c>
      <c r="J69" s="462">
        <f>F69*3</f>
        <v>2.7750000000000004</v>
      </c>
      <c r="K69" s="465">
        <f>F69*3*K51</f>
        <v>3.0525000000000007</v>
      </c>
      <c r="L69" s="465">
        <f>K69</f>
        <v>3.0525000000000007</v>
      </c>
      <c r="M69" s="465">
        <f>L69</f>
        <v>3.0525000000000007</v>
      </c>
      <c r="N69" s="465">
        <f>M69</f>
        <v>3.0525000000000007</v>
      </c>
      <c r="O69" s="465">
        <f>(SUM(K69:N69))*$K$51</f>
        <v>13.431000000000004</v>
      </c>
      <c r="P69" s="465">
        <f>O69*1.1</f>
        <v>14.774100000000006</v>
      </c>
      <c r="Q69" s="465">
        <f>P69*1.1</f>
        <v>16.251510000000007</v>
      </c>
      <c r="R69" s="465">
        <f t="shared" ref="R69:V69" si="51">Q69*1.1</f>
        <v>17.876661000000009</v>
      </c>
      <c r="S69" s="465">
        <f t="shared" si="51"/>
        <v>19.664327100000012</v>
      </c>
      <c r="T69" s="465">
        <f t="shared" si="51"/>
        <v>21.630759810000015</v>
      </c>
      <c r="U69" s="465">
        <f t="shared" si="51"/>
        <v>23.793835791000017</v>
      </c>
      <c r="V69" s="465">
        <f t="shared" si="51"/>
        <v>26.173219370100021</v>
      </c>
      <c r="W69" s="547">
        <f>G69+H69+I69+J69+K69+L69+M69+N69+O69+P69+Q69+R69+S69+T69+U69+V69</f>
        <v>176.9054130711001</v>
      </c>
      <c r="X69" s="742">
        <f>W69/$W$70</f>
        <v>0.21785489316791595</v>
      </c>
      <c r="Y69" s="548" t="s">
        <v>514</v>
      </c>
      <c r="AK69" s="507">
        <f>250000/180</f>
        <v>1388.8888888888889</v>
      </c>
    </row>
    <row r="70" spans="1:37" ht="33" customHeight="1">
      <c r="B70" s="772" t="s">
        <v>206</v>
      </c>
      <c r="C70" s="772"/>
      <c r="D70" s="772"/>
      <c r="E70" s="773"/>
      <c r="F70" s="505">
        <f t="shared" ref="F70:V70" si="52">SUM(F53:F69)</f>
        <v>10.175000000000001</v>
      </c>
      <c r="G70" s="505">
        <f t="shared" si="52"/>
        <v>15.025</v>
      </c>
      <c r="H70" s="505">
        <f t="shared" si="52"/>
        <v>15.025</v>
      </c>
      <c r="I70" s="505">
        <f t="shared" si="52"/>
        <v>15.025</v>
      </c>
      <c r="J70" s="505">
        <f t="shared" si="52"/>
        <v>15.025</v>
      </c>
      <c r="K70" s="774">
        <f t="shared" si="52"/>
        <v>15.977500000000001</v>
      </c>
      <c r="L70" s="774">
        <f t="shared" si="52"/>
        <v>15.977500000000001</v>
      </c>
      <c r="M70" s="774">
        <f t="shared" si="52"/>
        <v>15.977500000000001</v>
      </c>
      <c r="N70" s="774">
        <f t="shared" si="52"/>
        <v>15.977500000000001</v>
      </c>
      <c r="O70" s="774">
        <f t="shared" si="52"/>
        <v>68.101000000000013</v>
      </c>
      <c r="P70" s="774">
        <f>SUM(P53:P69)</f>
        <v>68.311100000000025</v>
      </c>
      <c r="Q70" s="774">
        <f t="shared" si="52"/>
        <v>73.882210000000015</v>
      </c>
      <c r="R70" s="774">
        <f t="shared" si="52"/>
        <v>80.01043100000004</v>
      </c>
      <c r="S70" s="774">
        <f t="shared" si="52"/>
        <v>87.38147410000002</v>
      </c>
      <c r="T70" s="774">
        <f t="shared" si="52"/>
        <v>94.796621510000037</v>
      </c>
      <c r="U70" s="774">
        <f t="shared" si="52"/>
        <v>102.95328366100006</v>
      </c>
      <c r="V70" s="774">
        <f t="shared" si="52"/>
        <v>112.58711202710006</v>
      </c>
      <c r="W70" s="566">
        <f>G70+H70+I70+J70+K70+L70+M70+N70+O70+P70+Q70+R70+S70+T70+U70+V70</f>
        <v>812.03323229810019</v>
      </c>
      <c r="X70" s="756">
        <f>W70/W128</f>
        <v>7.2189161190574766E-2</v>
      </c>
      <c r="Y70" s="504" t="s">
        <v>520</v>
      </c>
    </row>
    <row r="71" spans="1:37">
      <c r="B71" s="539"/>
      <c r="C71" s="539"/>
      <c r="D71" s="539"/>
      <c r="E71" s="751"/>
      <c r="F71" s="462"/>
      <c r="G71" s="462"/>
      <c r="H71" s="462"/>
      <c r="I71" s="462"/>
      <c r="J71" s="462"/>
      <c r="K71" s="677"/>
      <c r="L71" s="677"/>
      <c r="M71" s="677"/>
      <c r="N71" s="677"/>
      <c r="O71" s="677"/>
      <c r="P71" s="677"/>
      <c r="Q71" s="677"/>
      <c r="R71" s="677"/>
      <c r="S71" s="677"/>
      <c r="T71" s="677"/>
      <c r="U71" s="677"/>
      <c r="V71" s="677"/>
      <c r="W71" s="677"/>
    </row>
    <row r="72" spans="1:37">
      <c r="B72" s="772" t="s">
        <v>832</v>
      </c>
      <c r="C72" s="772"/>
      <c r="D72" s="772"/>
      <c r="E72" s="773"/>
      <c r="F72" s="505"/>
      <c r="G72" s="505">
        <f t="shared" ref="G72:V72" si="53">G18+G70</f>
        <v>32.934999999999995</v>
      </c>
      <c r="H72" s="505">
        <f t="shared" si="53"/>
        <v>32.934999999999995</v>
      </c>
      <c r="I72" s="505">
        <f t="shared" si="53"/>
        <v>32.934999999999995</v>
      </c>
      <c r="J72" s="505">
        <f t="shared" si="53"/>
        <v>32.934999999999995</v>
      </c>
      <c r="K72" s="505">
        <f t="shared" si="53"/>
        <v>35.6785</v>
      </c>
      <c r="L72" s="505">
        <f t="shared" si="53"/>
        <v>35.6785</v>
      </c>
      <c r="M72" s="505">
        <f t="shared" si="53"/>
        <v>35.6785</v>
      </c>
      <c r="N72" s="505">
        <f t="shared" si="53"/>
        <v>35.6785</v>
      </c>
      <c r="O72" s="505">
        <f t="shared" si="53"/>
        <v>154.78540000000004</v>
      </c>
      <c r="P72" s="505">
        <f t="shared" si="53"/>
        <v>158.98269200000001</v>
      </c>
      <c r="Q72" s="505">
        <f t="shared" si="53"/>
        <v>199.18327600000003</v>
      </c>
      <c r="R72" s="505">
        <f t="shared" si="53"/>
        <v>213.56902100000005</v>
      </c>
      <c r="S72" s="505">
        <f t="shared" si="53"/>
        <v>230.02334050000005</v>
      </c>
      <c r="T72" s="505">
        <f t="shared" si="53"/>
        <v>251.70267455000004</v>
      </c>
      <c r="U72" s="505">
        <f t="shared" si="53"/>
        <v>275.5499420050001</v>
      </c>
      <c r="V72" s="505">
        <f t="shared" si="53"/>
        <v>297.27361125950006</v>
      </c>
      <c r="W72" s="774">
        <f>SUM(G72:V72)</f>
        <v>2055.5239573145</v>
      </c>
      <c r="X72" s="504"/>
      <c r="Y72" s="1160"/>
    </row>
    <row r="73" spans="1:37">
      <c r="B73" s="539"/>
      <c r="C73" s="539"/>
      <c r="D73" s="539"/>
      <c r="E73" s="751"/>
      <c r="F73" s="462"/>
      <c r="G73" s="462"/>
      <c r="H73" s="462"/>
      <c r="I73" s="462"/>
      <c r="J73" s="462"/>
      <c r="K73" s="677"/>
      <c r="L73" s="677"/>
      <c r="M73" s="677"/>
      <c r="N73" s="677"/>
      <c r="O73" s="677"/>
      <c r="P73" s="677"/>
      <c r="Q73" s="677"/>
      <c r="R73" s="677"/>
      <c r="S73" s="677"/>
      <c r="T73" s="677"/>
      <c r="U73" s="677"/>
      <c r="V73" s="677"/>
      <c r="W73" s="677"/>
    </row>
    <row r="74" spans="1:37">
      <c r="A74" s="507"/>
      <c r="B74" s="775" t="s">
        <v>384</v>
      </c>
      <c r="C74" s="539"/>
      <c r="D74" s="539"/>
      <c r="E74" s="751"/>
      <c r="F74" s="462"/>
      <c r="G74" s="462"/>
      <c r="H74" s="462"/>
      <c r="I74" s="462"/>
      <c r="J74" s="462"/>
      <c r="K74" s="677"/>
      <c r="L74" s="677"/>
      <c r="M74" s="677"/>
      <c r="N74" s="677"/>
      <c r="O74" s="677"/>
      <c r="P74" s="677"/>
      <c r="Q74" s="677"/>
      <c r="R74" s="677"/>
      <c r="S74" s="677"/>
      <c r="T74" s="677"/>
      <c r="U74" s="677"/>
      <c r="V74" s="677"/>
      <c r="W74" s="677"/>
    </row>
    <row r="75" spans="1:37">
      <c r="B75" s="776" t="s">
        <v>414</v>
      </c>
      <c r="C75" s="776"/>
      <c r="D75" s="776"/>
      <c r="E75" s="753"/>
      <c r="F75" s="745"/>
      <c r="G75" s="786">
        <f>'Key Assumptions'!K33</f>
        <v>3</v>
      </c>
      <c r="H75" s="786">
        <f>'Key Assumptions'!L33</f>
        <v>6</v>
      </c>
      <c r="I75" s="786">
        <f>'Key Assumptions'!M33</f>
        <v>9</v>
      </c>
      <c r="J75" s="786">
        <f>'Key Assumptions'!N33</f>
        <v>12</v>
      </c>
      <c r="K75" s="758">
        <f>'Key Assumptions'!O33</f>
        <v>15</v>
      </c>
      <c r="L75" s="758">
        <f>'Key Assumptions'!P33</f>
        <v>18</v>
      </c>
      <c r="M75" s="758">
        <f>'Key Assumptions'!Q33</f>
        <v>21</v>
      </c>
      <c r="N75" s="758">
        <f>'Key Assumptions'!R33</f>
        <v>24</v>
      </c>
      <c r="O75" s="758">
        <f>'Key Assumptions'!S33</f>
        <v>36</v>
      </c>
      <c r="P75" s="758">
        <f>'Key Assumptions'!T33</f>
        <v>48</v>
      </c>
      <c r="Q75" s="758">
        <f>'Key Assumptions'!U33</f>
        <v>60</v>
      </c>
      <c r="R75" s="758">
        <f>'Key Assumptions'!V33</f>
        <v>72</v>
      </c>
      <c r="S75" s="758">
        <f>'Key Assumptions'!W33</f>
        <v>84</v>
      </c>
      <c r="T75" s="758">
        <f>'Key Assumptions'!X33</f>
        <v>96</v>
      </c>
      <c r="U75" s="758">
        <f>'Key Assumptions'!Y33</f>
        <v>108</v>
      </c>
      <c r="V75" s="758">
        <f>'Key Assumptions'!Z33</f>
        <v>120</v>
      </c>
    </row>
    <row r="76" spans="1:37" ht="30">
      <c r="A76" s="427"/>
      <c r="C76" s="805" t="s">
        <v>476</v>
      </c>
      <c r="D76" s="533" t="s">
        <v>475</v>
      </c>
      <c r="E76" s="534" t="s">
        <v>745</v>
      </c>
      <c r="X76" s="507"/>
    </row>
    <row r="77" spans="1:37">
      <c r="A77" s="427"/>
      <c r="B77" s="787" t="s">
        <v>700</v>
      </c>
      <c r="C77" s="1258">
        <f>3000/5</f>
        <v>600</v>
      </c>
      <c r="D77" s="537">
        <f>500*2</f>
        <v>1000</v>
      </c>
      <c r="E77" s="537">
        <v>300</v>
      </c>
      <c r="F77" s="1083">
        <f>(C77+D77+E77)/10^5</f>
        <v>1.9E-2</v>
      </c>
      <c r="G77" s="535">
        <f>F77*3*$G$75</f>
        <v>0.17099999999999999</v>
      </c>
      <c r="H77" s="535">
        <f>F77*3*$H$75</f>
        <v>0.34199999999999997</v>
      </c>
      <c r="I77" s="535">
        <f>F77*3*$I$75</f>
        <v>0.5129999999999999</v>
      </c>
      <c r="J77" s="535">
        <f>F77*3*$J$75</f>
        <v>0.68399999999999994</v>
      </c>
      <c r="K77" s="1085">
        <f t="shared" ref="K77:V77" si="54">$F$77*3*$K$75*$K$51</f>
        <v>0.9405</v>
      </c>
      <c r="L77" s="1085">
        <f t="shared" si="54"/>
        <v>0.9405</v>
      </c>
      <c r="M77" s="1085">
        <f t="shared" si="54"/>
        <v>0.9405</v>
      </c>
      <c r="N77" s="1085">
        <f t="shared" si="54"/>
        <v>0.9405</v>
      </c>
      <c r="O77" s="1085">
        <f t="shared" si="54"/>
        <v>0.9405</v>
      </c>
      <c r="P77" s="1085">
        <f t="shared" si="54"/>
        <v>0.9405</v>
      </c>
      <c r="Q77" s="1085">
        <f t="shared" si="54"/>
        <v>0.9405</v>
      </c>
      <c r="R77" s="1085">
        <f t="shared" si="54"/>
        <v>0.9405</v>
      </c>
      <c r="S77" s="1085">
        <f t="shared" si="54"/>
        <v>0.9405</v>
      </c>
      <c r="T77" s="1085">
        <f t="shared" si="54"/>
        <v>0.9405</v>
      </c>
      <c r="U77" s="1085">
        <f t="shared" si="54"/>
        <v>0.9405</v>
      </c>
      <c r="V77" s="1085">
        <f t="shared" si="54"/>
        <v>0.9405</v>
      </c>
      <c r="W77" s="547">
        <f>G77+H77+I77+J77+K77+L77+M77+N77+O77+P77+Q77+R77+S77+T77+U77+V77</f>
        <v>12.996</v>
      </c>
      <c r="X77" s="742">
        <f>W77/$W$87</f>
        <v>4.9386463820088808E-3</v>
      </c>
      <c r="Y77" s="548" t="s">
        <v>514</v>
      </c>
    </row>
    <row r="78" spans="1:37">
      <c r="A78" s="427"/>
      <c r="B78" s="705" t="s">
        <v>649</v>
      </c>
      <c r="C78" s="537">
        <f>5000/5</f>
        <v>1000</v>
      </c>
      <c r="D78" s="537">
        <f>500*2</f>
        <v>1000</v>
      </c>
      <c r="E78" s="537">
        <f>2500/5</f>
        <v>500</v>
      </c>
      <c r="F78" s="1083">
        <f>(C78+D78+E78)/10^5</f>
        <v>2.5000000000000001E-2</v>
      </c>
      <c r="G78" s="535">
        <f>F78*3*$G$75</f>
        <v>0.22500000000000003</v>
      </c>
      <c r="H78" s="535">
        <f>F78*3*$H$75</f>
        <v>0.45000000000000007</v>
      </c>
      <c r="I78" s="535">
        <f>F78*3*$I$75</f>
        <v>0.67500000000000004</v>
      </c>
      <c r="J78" s="535">
        <f>F78*3*$J$75</f>
        <v>0.90000000000000013</v>
      </c>
      <c r="K78" s="1085">
        <f t="shared" ref="K78:V78" si="55">$F$78*3*$K$75*$K$51</f>
        <v>1.2375000000000003</v>
      </c>
      <c r="L78" s="1085">
        <f t="shared" si="55"/>
        <v>1.2375000000000003</v>
      </c>
      <c r="M78" s="1085">
        <f t="shared" si="55"/>
        <v>1.2375000000000003</v>
      </c>
      <c r="N78" s="1085">
        <f t="shared" si="55"/>
        <v>1.2375000000000003</v>
      </c>
      <c r="O78" s="1085">
        <f t="shared" si="55"/>
        <v>1.2375000000000003</v>
      </c>
      <c r="P78" s="1085">
        <f t="shared" si="55"/>
        <v>1.2375000000000003</v>
      </c>
      <c r="Q78" s="1085">
        <f t="shared" si="55"/>
        <v>1.2375000000000003</v>
      </c>
      <c r="R78" s="1085">
        <f t="shared" si="55"/>
        <v>1.2375000000000003</v>
      </c>
      <c r="S78" s="1085">
        <f t="shared" si="55"/>
        <v>1.2375000000000003</v>
      </c>
      <c r="T78" s="1085">
        <f t="shared" si="55"/>
        <v>1.2375000000000003</v>
      </c>
      <c r="U78" s="1085">
        <f t="shared" si="55"/>
        <v>1.2375000000000003</v>
      </c>
      <c r="V78" s="1085">
        <f t="shared" si="55"/>
        <v>1.2375000000000003</v>
      </c>
      <c r="W78" s="547">
        <f>G78+H78+I78+J78+K78+L78+M78+N78+O78+P78+Q78+R78+S78+T78+U78+V78</f>
        <v>17.100000000000005</v>
      </c>
      <c r="X78" s="742">
        <f>W78/$W$87</f>
        <v>6.4982189236958967E-3</v>
      </c>
      <c r="Y78" s="548" t="s">
        <v>514</v>
      </c>
    </row>
    <row r="79" spans="1:37">
      <c r="A79" s="427"/>
      <c r="B79" s="705" t="s">
        <v>650</v>
      </c>
      <c r="C79" s="537">
        <v>15</v>
      </c>
      <c r="D79" s="537">
        <v>20</v>
      </c>
      <c r="E79" s="537">
        <v>10</v>
      </c>
      <c r="F79" s="1083">
        <f>(C79*D79*E79)/10^5</f>
        <v>0.03</v>
      </c>
      <c r="G79" s="535">
        <f>F79*3*$G$75</f>
        <v>0.27</v>
      </c>
      <c r="H79" s="535">
        <f>F79*3*$H$75</f>
        <v>0.54</v>
      </c>
      <c r="I79" s="535">
        <f>F79*3*$I$75</f>
        <v>0.80999999999999994</v>
      </c>
      <c r="J79" s="535">
        <f>F79*3*$J$75</f>
        <v>1.08</v>
      </c>
      <c r="K79" s="1085">
        <f t="shared" ref="K79:V79" si="56">$F$79*3*$K$75*$K$51</f>
        <v>1.4849999999999999</v>
      </c>
      <c r="L79" s="1085">
        <f t="shared" si="56"/>
        <v>1.4849999999999999</v>
      </c>
      <c r="M79" s="1085">
        <f t="shared" si="56"/>
        <v>1.4849999999999999</v>
      </c>
      <c r="N79" s="1085">
        <f t="shared" si="56"/>
        <v>1.4849999999999999</v>
      </c>
      <c r="O79" s="1085">
        <f t="shared" si="56"/>
        <v>1.4849999999999999</v>
      </c>
      <c r="P79" s="1085">
        <f t="shared" si="56"/>
        <v>1.4849999999999999</v>
      </c>
      <c r="Q79" s="1085">
        <f t="shared" si="56"/>
        <v>1.4849999999999999</v>
      </c>
      <c r="R79" s="1085">
        <f t="shared" si="56"/>
        <v>1.4849999999999999</v>
      </c>
      <c r="S79" s="1085">
        <f t="shared" si="56"/>
        <v>1.4849999999999999</v>
      </c>
      <c r="T79" s="1085">
        <f t="shared" si="56"/>
        <v>1.4849999999999999</v>
      </c>
      <c r="U79" s="1085">
        <f t="shared" si="56"/>
        <v>1.4849999999999999</v>
      </c>
      <c r="V79" s="1085">
        <f t="shared" si="56"/>
        <v>1.4849999999999999</v>
      </c>
      <c r="W79" s="547">
        <f>G79+H79+I79+J79+K79+L79+M79+N79+O79+P79+Q79+R79+S79+T79+U79+V79</f>
        <v>20.519999999999996</v>
      </c>
      <c r="X79" s="742">
        <f>W79/$W$87</f>
        <v>7.7978627084350728E-3</v>
      </c>
      <c r="Y79" s="548" t="s">
        <v>514</v>
      </c>
    </row>
    <row r="80" spans="1:37" s="702" customFormat="1" ht="48" customHeight="1">
      <c r="A80" s="538"/>
      <c r="B80" s="538" t="s">
        <v>386</v>
      </c>
      <c r="C80" s="538" t="s">
        <v>477</v>
      </c>
      <c r="D80" s="478" t="s">
        <v>478</v>
      </c>
      <c r="E80" s="478" t="s">
        <v>648</v>
      </c>
      <c r="F80" s="1084"/>
      <c r="G80" s="462"/>
      <c r="H80" s="462"/>
      <c r="I80" s="462"/>
      <c r="J80" s="462"/>
      <c r="K80" s="462"/>
      <c r="L80" s="462"/>
      <c r="M80" s="462"/>
      <c r="N80" s="462"/>
      <c r="O80" s="462"/>
      <c r="P80" s="462"/>
      <c r="Q80" s="462"/>
      <c r="R80" s="462"/>
      <c r="S80" s="462"/>
      <c r="T80" s="462"/>
      <c r="U80" s="462"/>
      <c r="V80" s="462"/>
    </row>
    <row r="81" spans="1:25" ht="30">
      <c r="A81" s="427"/>
      <c r="B81" s="704" t="s">
        <v>647</v>
      </c>
      <c r="C81" s="1259">
        <v>25</v>
      </c>
      <c r="D81" s="537">
        <v>25</v>
      </c>
      <c r="E81" s="537">
        <v>10</v>
      </c>
      <c r="F81" s="1084">
        <f>C81*D81*E81/10^5</f>
        <v>6.25E-2</v>
      </c>
      <c r="G81" s="462">
        <f>$F$81*3*G75*G51</f>
        <v>0.5625</v>
      </c>
      <c r="H81" s="462">
        <f t="shared" ref="H81:N81" si="57">$F$81*3*H75*H51</f>
        <v>1.125</v>
      </c>
      <c r="I81" s="462">
        <f t="shared" si="57"/>
        <v>1.6875</v>
      </c>
      <c r="J81" s="462">
        <f t="shared" si="57"/>
        <v>2.25</v>
      </c>
      <c r="K81" s="462">
        <f t="shared" si="57"/>
        <v>3.0937500000000004</v>
      </c>
      <c r="L81" s="462">
        <f t="shared" si="57"/>
        <v>3.7125000000000004</v>
      </c>
      <c r="M81" s="462">
        <f t="shared" si="57"/>
        <v>4.3312500000000007</v>
      </c>
      <c r="N81" s="462">
        <f t="shared" si="57"/>
        <v>4.95</v>
      </c>
      <c r="O81" s="1086">
        <f t="shared" ref="O81:V81" si="58">$F$81*12*O75*O51</f>
        <v>32.67</v>
      </c>
      <c r="P81" s="1086">
        <f t="shared" si="58"/>
        <v>47.916000000000004</v>
      </c>
      <c r="Q81" s="1086">
        <f t="shared" si="58"/>
        <v>65.884500000000003</v>
      </c>
      <c r="R81" s="1086">
        <f t="shared" si="58"/>
        <v>86.96754</v>
      </c>
      <c r="S81" s="1086">
        <f t="shared" si="58"/>
        <v>111.608343</v>
      </c>
      <c r="T81" s="1086">
        <f t="shared" si="58"/>
        <v>140.3076312</v>
      </c>
      <c r="U81" s="1086">
        <f t="shared" si="58"/>
        <v>173.63069361000001</v>
      </c>
      <c r="V81" s="1086">
        <f t="shared" si="58"/>
        <v>212.21529219000001</v>
      </c>
      <c r="W81" s="703">
        <f>G81+H81+I81+J81+K81+L81+M81+N81+O81+P81+Q81+R81+S81+T81+U81+V81</f>
        <v>892.91250000000002</v>
      </c>
      <c r="X81" s="771">
        <f t="shared" ref="X81:X86" si="59">W81/$W$87</f>
        <v>0.33931818156167315</v>
      </c>
      <c r="Y81" s="461" t="s">
        <v>514</v>
      </c>
    </row>
    <row r="82" spans="1:25" s="702" customFormat="1">
      <c r="A82" s="538"/>
      <c r="B82" s="706" t="s">
        <v>651</v>
      </c>
      <c r="C82" s="1258"/>
      <c r="D82" s="536"/>
      <c r="E82" s="537"/>
      <c r="F82" s="1084">
        <f>0.05</f>
        <v>0.05</v>
      </c>
      <c r="G82" s="462">
        <f>$F$82*3*G75*G51</f>
        <v>0.45000000000000007</v>
      </c>
      <c r="H82" s="462">
        <f t="shared" ref="H82:N82" si="60">$F$82*3*H75*H51</f>
        <v>0.90000000000000013</v>
      </c>
      <c r="I82" s="462">
        <f t="shared" si="60"/>
        <v>1.35</v>
      </c>
      <c r="J82" s="462">
        <f t="shared" si="60"/>
        <v>1.8000000000000003</v>
      </c>
      <c r="K82" s="462">
        <f t="shared" si="60"/>
        <v>2.4750000000000005</v>
      </c>
      <c r="L82" s="462">
        <f t="shared" si="60"/>
        <v>2.9700000000000006</v>
      </c>
      <c r="M82" s="462">
        <f t="shared" si="60"/>
        <v>3.4650000000000007</v>
      </c>
      <c r="N82" s="462">
        <f t="shared" si="60"/>
        <v>3.9600000000000009</v>
      </c>
      <c r="O82" s="462">
        <f>$F$82*12*O75*O51</f>
        <v>26.136000000000006</v>
      </c>
      <c r="P82" s="462">
        <f t="shared" ref="P82:V82" si="61">$F$82*12*P75*P51</f>
        <v>38.332800000000013</v>
      </c>
      <c r="Q82" s="462">
        <f t="shared" si="61"/>
        <v>52.707600000000014</v>
      </c>
      <c r="R82" s="462">
        <f t="shared" si="61"/>
        <v>69.574032000000003</v>
      </c>
      <c r="S82" s="462">
        <f t="shared" si="61"/>
        <v>89.286674400000024</v>
      </c>
      <c r="T82" s="462">
        <f t="shared" si="61"/>
        <v>112.24610496000003</v>
      </c>
      <c r="U82" s="462">
        <f t="shared" si="61"/>
        <v>138.90455488800004</v>
      </c>
      <c r="V82" s="462">
        <f t="shared" si="61"/>
        <v>169.77223375200003</v>
      </c>
      <c r="W82" s="703">
        <f t="shared" ref="W82:W87" si="62">G82+H82+I82+J82+K82+L82+M82+N82+O82+P82+Q82+R82+S82+T82+U82+V82</f>
        <v>714.33000000000015</v>
      </c>
      <c r="X82" s="771">
        <f t="shared" si="59"/>
        <v>0.2714545452493386</v>
      </c>
      <c r="Y82" s="461" t="s">
        <v>514</v>
      </c>
    </row>
    <row r="83" spans="1:25">
      <c r="A83" s="427"/>
      <c r="B83" s="427" t="s">
        <v>204</v>
      </c>
      <c r="D83" s="538"/>
      <c r="E83" s="478"/>
      <c r="F83" s="1083">
        <f>0.005</f>
        <v>5.0000000000000001E-3</v>
      </c>
      <c r="G83" s="535">
        <f>$F$83*3*G75*G51</f>
        <v>4.4999999999999998E-2</v>
      </c>
      <c r="H83" s="535">
        <f t="shared" ref="H83:N83" si="63">$F$83*3*H75*H51</f>
        <v>0.09</v>
      </c>
      <c r="I83" s="535">
        <f t="shared" si="63"/>
        <v>0.13500000000000001</v>
      </c>
      <c r="J83" s="535">
        <f t="shared" si="63"/>
        <v>0.18</v>
      </c>
      <c r="K83" s="535">
        <f t="shared" si="63"/>
        <v>0.2475</v>
      </c>
      <c r="L83" s="535">
        <f t="shared" si="63"/>
        <v>0.29700000000000004</v>
      </c>
      <c r="M83" s="535">
        <f t="shared" si="63"/>
        <v>0.34650000000000003</v>
      </c>
      <c r="N83" s="535">
        <f t="shared" si="63"/>
        <v>0.39600000000000002</v>
      </c>
      <c r="O83" s="535">
        <f>$F$83*12*O75*O51</f>
        <v>2.6136000000000004</v>
      </c>
      <c r="P83" s="535">
        <f t="shared" ref="P83:V83" si="64">$F$83*12*P75*P51</f>
        <v>3.8332800000000002</v>
      </c>
      <c r="Q83" s="535">
        <f t="shared" si="64"/>
        <v>5.2707600000000001</v>
      </c>
      <c r="R83" s="535">
        <f t="shared" si="64"/>
        <v>6.9574032000000008</v>
      </c>
      <c r="S83" s="535">
        <f t="shared" si="64"/>
        <v>8.9286674400000017</v>
      </c>
      <c r="T83" s="535">
        <f t="shared" si="64"/>
        <v>11.224610496</v>
      </c>
      <c r="U83" s="535">
        <f t="shared" si="64"/>
        <v>13.890455488800001</v>
      </c>
      <c r="V83" s="535">
        <f t="shared" si="64"/>
        <v>16.977223375199998</v>
      </c>
      <c r="W83" s="547">
        <f t="shared" si="62"/>
        <v>71.433000000000007</v>
      </c>
      <c r="X83" s="742">
        <f t="shared" si="59"/>
        <v>2.7145454524933856E-2</v>
      </c>
      <c r="Y83" s="548" t="s">
        <v>514</v>
      </c>
    </row>
    <row r="84" spans="1:25">
      <c r="A84" s="427"/>
      <c r="B84" s="427" t="s">
        <v>387</v>
      </c>
      <c r="C84" s="1319" t="s">
        <v>479</v>
      </c>
      <c r="D84" s="1320"/>
      <c r="E84" s="534"/>
      <c r="F84" s="1083">
        <f>0.03</f>
        <v>0.03</v>
      </c>
      <c r="G84" s="535">
        <f t="shared" ref="G84:G86" si="65">F84*3*$G$75</f>
        <v>0.27</v>
      </c>
      <c r="H84" s="535">
        <f t="shared" ref="H84:H86" si="66">F84*3*$H$75</f>
        <v>0.54</v>
      </c>
      <c r="I84" s="535">
        <f t="shared" ref="I84:I86" si="67">F84*3*$I$75</f>
        <v>0.80999999999999994</v>
      </c>
      <c r="J84" s="535">
        <f t="shared" ref="J84:J86" si="68">F84*3*$J$75</f>
        <v>1.08</v>
      </c>
      <c r="K84" s="1085">
        <f t="shared" ref="K84:K86" si="69">F84*3*$K$75*$K$51</f>
        <v>1.4849999999999999</v>
      </c>
      <c r="L84" s="1085">
        <f t="shared" ref="L84:L86" si="70">F84*3*$L$75*$L$51</f>
        <v>1.782</v>
      </c>
      <c r="M84" s="1085">
        <f t="shared" ref="M84:M86" si="71">F84*3*$M$75*$M$51</f>
        <v>2.0790000000000002</v>
      </c>
      <c r="N84" s="1085">
        <f t="shared" ref="N84:N86" si="72">F84*3*$N$75*$N$51</f>
        <v>2.3760000000000003</v>
      </c>
      <c r="O84" s="1085">
        <f>F84*12*$O$75*$O$51</f>
        <v>15.681600000000001</v>
      </c>
      <c r="P84" s="1085">
        <f>F84*12*$P$75*$P$51</f>
        <v>22.999680000000005</v>
      </c>
      <c r="Q84" s="1085">
        <f>F84*12*$Q$75*$Q$51</f>
        <v>31.624560000000002</v>
      </c>
      <c r="R84" s="1085">
        <f>F84*12*$R$75*$R$51</f>
        <v>41.744419200000003</v>
      </c>
      <c r="S84" s="1085">
        <f>F84*12*$S$75*$S$51</f>
        <v>53.572004640000003</v>
      </c>
      <c r="T84" s="1085">
        <f>F84*12*$T$75*$T$51</f>
        <v>67.347662976000009</v>
      </c>
      <c r="U84" s="1085">
        <f>F84*12*$U$75*$U$51</f>
        <v>83.342732932800004</v>
      </c>
      <c r="V84" s="1085">
        <f>F84*12*$V$75*$V$51</f>
        <v>101.8633402512</v>
      </c>
      <c r="W84" s="547">
        <f>G84+H84+I84+J84+K84+L84+M84+N84+O84+P84+Q84+R84+S84+T84+U84+V84</f>
        <v>428.59800000000001</v>
      </c>
      <c r="X84" s="742">
        <f t="shared" si="59"/>
        <v>0.16287272714960313</v>
      </c>
      <c r="Y84" s="548" t="s">
        <v>514</v>
      </c>
    </row>
    <row r="85" spans="1:25">
      <c r="A85" s="427"/>
      <c r="B85" s="427" t="s">
        <v>395</v>
      </c>
      <c r="C85" s="540" t="s">
        <v>480</v>
      </c>
      <c r="D85" s="540"/>
      <c r="E85" s="541"/>
      <c r="F85" s="1083">
        <f>0.01</f>
        <v>0.01</v>
      </c>
      <c r="G85" s="535">
        <f t="shared" si="65"/>
        <v>0.09</v>
      </c>
      <c r="H85" s="535">
        <f t="shared" si="66"/>
        <v>0.18</v>
      </c>
      <c r="I85" s="535">
        <f t="shared" si="67"/>
        <v>0.27</v>
      </c>
      <c r="J85" s="535">
        <f t="shared" si="68"/>
        <v>0.36</v>
      </c>
      <c r="K85" s="1085">
        <f t="shared" si="69"/>
        <v>0.495</v>
      </c>
      <c r="L85" s="1085">
        <f t="shared" si="70"/>
        <v>0.59400000000000008</v>
      </c>
      <c r="M85" s="1085">
        <f t="shared" si="71"/>
        <v>0.69300000000000006</v>
      </c>
      <c r="N85" s="1085">
        <f t="shared" si="72"/>
        <v>0.79200000000000004</v>
      </c>
      <c r="O85" s="1085">
        <f>F85*12*$O$75*$O$51</f>
        <v>5.2272000000000007</v>
      </c>
      <c r="P85" s="1085">
        <f>F85*12*$P$75*$P$51</f>
        <v>7.6665600000000005</v>
      </c>
      <c r="Q85" s="1085">
        <f>F85*12*$Q$75*$Q$51</f>
        <v>10.54152</v>
      </c>
      <c r="R85" s="1085">
        <f>F85*12*$R$75*$R$51</f>
        <v>13.914806400000002</v>
      </c>
      <c r="S85" s="1085">
        <f>F85*12*$S$75*$S$51</f>
        <v>17.857334880000003</v>
      </c>
      <c r="T85" s="1085">
        <f>F85*12*$T$75*$T$51</f>
        <v>22.449220992000001</v>
      </c>
      <c r="U85" s="1085">
        <f>F85*12*$U$75*$U$51</f>
        <v>27.780910977600001</v>
      </c>
      <c r="V85" s="1085">
        <f>F85*12*$V$75*$V$51</f>
        <v>33.954446750399995</v>
      </c>
      <c r="W85" s="547">
        <f t="shared" si="62"/>
        <v>142.86600000000001</v>
      </c>
      <c r="X85" s="742">
        <f t="shared" si="59"/>
        <v>5.4290909049867712E-2</v>
      </c>
      <c r="Y85" s="548" t="s">
        <v>514</v>
      </c>
    </row>
    <row r="86" spans="1:25">
      <c r="A86" s="427"/>
      <c r="B86" s="427" t="s">
        <v>481</v>
      </c>
      <c r="C86" s="542" t="s">
        <v>482</v>
      </c>
      <c r="D86" s="542"/>
      <c r="E86" s="543">
        <f>SUM(F77:F85)</f>
        <v>0.23150000000000001</v>
      </c>
      <c r="F86" s="1083">
        <f>E86*10%</f>
        <v>2.3150000000000004E-2</v>
      </c>
      <c r="G86" s="535">
        <f t="shared" si="65"/>
        <v>0.20835000000000004</v>
      </c>
      <c r="H86" s="535">
        <f t="shared" si="66"/>
        <v>0.41670000000000007</v>
      </c>
      <c r="I86" s="535">
        <f t="shared" si="67"/>
        <v>0.62505000000000011</v>
      </c>
      <c r="J86" s="535">
        <f t="shared" si="68"/>
        <v>0.83340000000000014</v>
      </c>
      <c r="K86" s="1085">
        <f t="shared" si="69"/>
        <v>1.1459250000000003</v>
      </c>
      <c r="L86" s="1085">
        <f t="shared" si="70"/>
        <v>1.3751100000000003</v>
      </c>
      <c r="M86" s="1085">
        <f t="shared" si="71"/>
        <v>1.6042950000000005</v>
      </c>
      <c r="N86" s="1085">
        <f t="shared" si="72"/>
        <v>1.8334800000000004</v>
      </c>
      <c r="O86" s="1085">
        <f>F86*12*$O$75*$O$51</f>
        <v>12.100968000000003</v>
      </c>
      <c r="P86" s="1085">
        <f>F86*12*$P$75*$P$51</f>
        <v>17.748086400000005</v>
      </c>
      <c r="Q86" s="1085">
        <f>F86*12*$Q$75*$Q$51</f>
        <v>24.403618800000007</v>
      </c>
      <c r="R86" s="1085">
        <f>F86*12*$R$75*$R$51</f>
        <v>32.212776816000009</v>
      </c>
      <c r="S86" s="1085">
        <f>F86*12*$S$75*$S$51</f>
        <v>41.339730247200009</v>
      </c>
      <c r="T86" s="1085">
        <f>F86*12*$T$75*$T$51</f>
        <v>51.969946596480014</v>
      </c>
      <c r="U86" s="1085">
        <f>F86*12*$U$75*$U$51</f>
        <v>64.312808913144025</v>
      </c>
      <c r="V86" s="1085">
        <f>F86*12*$V$75*$V$51</f>
        <v>78.604544227176021</v>
      </c>
      <c r="W86" s="547">
        <f t="shared" si="62"/>
        <v>330.73479000000009</v>
      </c>
      <c r="X86" s="742">
        <f t="shared" si="59"/>
        <v>0.12568345445044377</v>
      </c>
      <c r="Y86" s="548" t="s">
        <v>514</v>
      </c>
    </row>
    <row r="87" spans="1:25" s="702" customFormat="1" ht="30">
      <c r="A87" s="461"/>
      <c r="B87" s="1156" t="s">
        <v>822</v>
      </c>
      <c r="C87" s="772"/>
      <c r="D87" s="772"/>
      <c r="E87" s="755"/>
      <c r="F87" s="505">
        <f>SUM(F77:F86)</f>
        <v>0.25465000000000004</v>
      </c>
      <c r="G87" s="1087">
        <f t="shared" ref="G87:V87" si="73">SUM(G76:G86)</f>
        <v>2.2918500000000002</v>
      </c>
      <c r="H87" s="1087">
        <f t="shared" si="73"/>
        <v>4.5837000000000003</v>
      </c>
      <c r="I87" s="1087">
        <f t="shared" si="73"/>
        <v>6.8755499999999987</v>
      </c>
      <c r="J87" s="1087">
        <f t="shared" si="73"/>
        <v>9.1674000000000007</v>
      </c>
      <c r="K87" s="1087">
        <f t="shared" si="73"/>
        <v>12.605175000000001</v>
      </c>
      <c r="L87" s="1087">
        <f t="shared" si="73"/>
        <v>14.393610000000002</v>
      </c>
      <c r="M87" s="1087">
        <f t="shared" si="73"/>
        <v>16.182045000000002</v>
      </c>
      <c r="N87" s="1087">
        <f t="shared" si="73"/>
        <v>17.970480000000006</v>
      </c>
      <c r="O87" s="1087">
        <f t="shared" si="73"/>
        <v>98.092368000000022</v>
      </c>
      <c r="P87" s="1087">
        <f t="shared" si="73"/>
        <v>142.15940640000005</v>
      </c>
      <c r="Q87" s="1087">
        <f t="shared" si="73"/>
        <v>194.09555879999999</v>
      </c>
      <c r="R87" s="1087">
        <f t="shared" si="73"/>
        <v>255.03397761599999</v>
      </c>
      <c r="S87" s="1087">
        <f t="shared" si="73"/>
        <v>326.25575460720006</v>
      </c>
      <c r="T87" s="1087">
        <f t="shared" si="73"/>
        <v>409.20817722048014</v>
      </c>
      <c r="U87" s="1087">
        <f t="shared" si="73"/>
        <v>505.52515681034407</v>
      </c>
      <c r="V87" s="1087">
        <f t="shared" si="73"/>
        <v>617.05008054597602</v>
      </c>
      <c r="W87" s="566">
        <f t="shared" si="62"/>
        <v>2631.4902900000002</v>
      </c>
      <c r="X87" s="756">
        <f>W87/W128</f>
        <v>0.23393756457310297</v>
      </c>
      <c r="Y87" s="504" t="s">
        <v>521</v>
      </c>
    </row>
    <row r="88" spans="1:25">
      <c r="B88" s="533"/>
      <c r="C88" s="533"/>
      <c r="D88" s="533"/>
      <c r="E88" s="534"/>
      <c r="F88" s="535"/>
      <c r="G88" s="535"/>
      <c r="H88" s="535"/>
      <c r="I88" s="535"/>
      <c r="J88" s="535"/>
      <c r="K88" s="464"/>
      <c r="L88" s="464"/>
      <c r="M88" s="464"/>
      <c r="N88" s="464"/>
      <c r="O88" s="464"/>
      <c r="P88" s="464"/>
      <c r="Q88" s="464"/>
      <c r="R88" s="464"/>
      <c r="S88" s="464"/>
      <c r="T88" s="464"/>
      <c r="U88" s="464"/>
      <c r="V88" s="464"/>
    </row>
    <row r="89" spans="1:25">
      <c r="B89" s="783" t="s">
        <v>748</v>
      </c>
      <c r="C89" s="533"/>
      <c r="D89" s="533"/>
      <c r="E89" s="534"/>
      <c r="F89" s="535"/>
      <c r="G89" s="535"/>
      <c r="H89" s="535"/>
      <c r="I89" s="535"/>
      <c r="J89" s="535"/>
      <c r="K89" s="464"/>
      <c r="L89" s="464"/>
      <c r="M89" s="464"/>
      <c r="N89" s="464"/>
      <c r="O89" s="464"/>
      <c r="P89" s="464"/>
      <c r="Q89" s="464"/>
      <c r="R89" s="464"/>
      <c r="S89" s="464"/>
      <c r="T89" s="464"/>
      <c r="U89" s="464"/>
      <c r="V89" s="464"/>
    </row>
    <row r="90" spans="1:25">
      <c r="B90" s="776" t="s">
        <v>749</v>
      </c>
      <c r="C90" s="776"/>
      <c r="D90" s="776"/>
      <c r="E90" s="753"/>
      <c r="F90" s="745"/>
      <c r="G90" s="535">
        <f>'Key Assumptions'!K57</f>
        <v>2</v>
      </c>
      <c r="H90" s="535">
        <f>'Key Assumptions'!L57</f>
        <v>5</v>
      </c>
      <c r="I90" s="535">
        <f>'Key Assumptions'!M57</f>
        <v>7</v>
      </c>
      <c r="J90" s="535">
        <f>'Key Assumptions'!N57</f>
        <v>9</v>
      </c>
      <c r="K90" s="535">
        <f>'Key Assumptions'!O57</f>
        <v>14</v>
      </c>
      <c r="L90" s="535">
        <f>'Key Assumptions'!P57</f>
        <v>16</v>
      </c>
      <c r="M90" s="535">
        <f>'Key Assumptions'!Q57</f>
        <v>19</v>
      </c>
      <c r="N90" s="535">
        <f>'Key Assumptions'!R57</f>
        <v>21</v>
      </c>
      <c r="O90" s="535">
        <f>'Key Assumptions'!S57</f>
        <v>33</v>
      </c>
      <c r="P90" s="535">
        <f>'Key Assumptions'!T57</f>
        <v>38</v>
      </c>
      <c r="Q90" s="535">
        <f>'Key Assumptions'!U57</f>
        <v>42</v>
      </c>
      <c r="R90" s="535">
        <f>'Key Assumptions'!V57</f>
        <v>47</v>
      </c>
      <c r="S90" s="535">
        <f>'Key Assumptions'!W57</f>
        <v>48</v>
      </c>
      <c r="T90" s="535">
        <f>'Key Assumptions'!X57</f>
        <v>53</v>
      </c>
      <c r="U90" s="535">
        <f>'Key Assumptions'!Y57</f>
        <v>58</v>
      </c>
      <c r="V90" s="535">
        <f>'Key Assumptions'!Z57</f>
        <v>62</v>
      </c>
    </row>
    <row r="91" spans="1:25">
      <c r="B91" s="533"/>
      <c r="C91" s="533" t="s">
        <v>750</v>
      </c>
      <c r="D91" s="533" t="s">
        <v>751</v>
      </c>
      <c r="E91" s="534"/>
      <c r="F91" s="535"/>
      <c r="G91" s="535"/>
      <c r="H91" s="535"/>
      <c r="I91" s="535"/>
      <c r="J91" s="535"/>
      <c r="K91" s="464"/>
      <c r="L91" s="464"/>
      <c r="M91" s="464"/>
      <c r="N91" s="464"/>
      <c r="O91" s="464"/>
      <c r="P91" s="464"/>
      <c r="Q91" s="464"/>
      <c r="R91" s="464"/>
      <c r="S91" s="464"/>
      <c r="T91" s="464"/>
      <c r="U91" s="464"/>
      <c r="V91" s="464"/>
    </row>
    <row r="92" spans="1:25">
      <c r="B92" s="581" t="s">
        <v>547</v>
      </c>
      <c r="C92" s="1268">
        <v>2500</v>
      </c>
      <c r="D92" s="1269">
        <v>15</v>
      </c>
      <c r="E92" s="757"/>
      <c r="F92" s="535">
        <f>C92*D92/10^5</f>
        <v>0.375</v>
      </c>
      <c r="G92" s="535">
        <f t="shared" ref="G92:N92" si="74">$F$92*G90*G6*3</f>
        <v>2.25</v>
      </c>
      <c r="H92" s="535">
        <f t="shared" si="74"/>
        <v>5.625</v>
      </c>
      <c r="I92" s="535">
        <f t="shared" si="74"/>
        <v>7.875</v>
      </c>
      <c r="J92" s="535">
        <f t="shared" si="74"/>
        <v>10.125</v>
      </c>
      <c r="K92" s="535">
        <f t="shared" si="74"/>
        <v>17.325000000000003</v>
      </c>
      <c r="L92" s="535">
        <f t="shared" si="74"/>
        <v>19.8</v>
      </c>
      <c r="M92" s="535">
        <f t="shared" si="74"/>
        <v>23.512500000000003</v>
      </c>
      <c r="N92" s="535">
        <f t="shared" si="74"/>
        <v>25.987500000000004</v>
      </c>
      <c r="O92" s="535">
        <f t="shared" ref="O92:V92" si="75">$F$92*O90*O6*12</f>
        <v>179.68500000000003</v>
      </c>
      <c r="P92" s="535">
        <f t="shared" si="75"/>
        <v>227.601</v>
      </c>
      <c r="Q92" s="535">
        <f t="shared" si="75"/>
        <v>276.71490000000006</v>
      </c>
      <c r="R92" s="535">
        <f t="shared" si="75"/>
        <v>340.62286500000005</v>
      </c>
      <c r="S92" s="535">
        <f t="shared" si="75"/>
        <v>382.65717600000005</v>
      </c>
      <c r="T92" s="535">
        <f t="shared" si="75"/>
        <v>464.76902834999999</v>
      </c>
      <c r="U92" s="535">
        <f t="shared" si="75"/>
        <v>559.47667941000009</v>
      </c>
      <c r="V92" s="535">
        <f t="shared" si="75"/>
        <v>657.86740578900003</v>
      </c>
      <c r="W92" s="508">
        <f>SUM(G92:V92)</f>
        <v>3201.8940545490004</v>
      </c>
      <c r="X92" s="742">
        <f>W92/$W$103</f>
        <v>0.43859649122807015</v>
      </c>
    </row>
    <row r="93" spans="1:25">
      <c r="B93" s="581" t="s">
        <v>385</v>
      </c>
      <c r="C93" s="535"/>
      <c r="D93" s="535"/>
      <c r="E93" s="757"/>
      <c r="F93" s="535">
        <v>0.05</v>
      </c>
      <c r="G93" s="535">
        <f t="shared" ref="G93:N93" si="76">$F$93*G90*G6*3</f>
        <v>0.30000000000000004</v>
      </c>
      <c r="H93" s="535">
        <f t="shared" si="76"/>
        <v>0.75</v>
      </c>
      <c r="I93" s="535">
        <f t="shared" si="76"/>
        <v>1.05</v>
      </c>
      <c r="J93" s="535">
        <f t="shared" si="76"/>
        <v>1.35</v>
      </c>
      <c r="K93" s="535">
        <f t="shared" si="76"/>
        <v>2.3100000000000005</v>
      </c>
      <c r="L93" s="535">
        <f t="shared" si="76"/>
        <v>2.6400000000000006</v>
      </c>
      <c r="M93" s="535">
        <f t="shared" si="76"/>
        <v>3.1350000000000007</v>
      </c>
      <c r="N93" s="535">
        <f t="shared" si="76"/>
        <v>3.4650000000000007</v>
      </c>
      <c r="O93" s="535">
        <f t="shared" ref="O93:V93" si="77">$F$93*O90*O6*12</f>
        <v>23.958000000000006</v>
      </c>
      <c r="P93" s="535">
        <f t="shared" si="77"/>
        <v>30.346800000000009</v>
      </c>
      <c r="Q93" s="535">
        <f t="shared" si="77"/>
        <v>36.895320000000005</v>
      </c>
      <c r="R93" s="535">
        <f t="shared" si="77"/>
        <v>45.416381999999999</v>
      </c>
      <c r="S93" s="535">
        <f t="shared" si="77"/>
        <v>51.020956800000008</v>
      </c>
      <c r="T93" s="535">
        <f t="shared" si="77"/>
        <v>61.969203780000008</v>
      </c>
      <c r="U93" s="535">
        <f t="shared" si="77"/>
        <v>74.596890588000008</v>
      </c>
      <c r="V93" s="535">
        <f t="shared" si="77"/>
        <v>87.715654105200002</v>
      </c>
      <c r="W93" s="508">
        <f t="shared" ref="W93:W101" si="78">SUM(G93:V93)</f>
        <v>426.91920727320007</v>
      </c>
      <c r="X93" s="742">
        <f t="shared" ref="X93:X101" si="79">W93/$W$103</f>
        <v>5.8479532163742694E-2</v>
      </c>
    </row>
    <row r="94" spans="1:25">
      <c r="B94" s="581" t="s">
        <v>387</v>
      </c>
      <c r="C94" s="535"/>
      <c r="D94" s="535"/>
      <c r="E94" s="757"/>
      <c r="F94" s="535">
        <v>0.05</v>
      </c>
      <c r="G94" s="535">
        <f t="shared" ref="G94:N94" si="80">$F$94*G90*G6*3</f>
        <v>0.30000000000000004</v>
      </c>
      <c r="H94" s="535">
        <f t="shared" si="80"/>
        <v>0.75</v>
      </c>
      <c r="I94" s="535">
        <f t="shared" si="80"/>
        <v>1.05</v>
      </c>
      <c r="J94" s="535">
        <f t="shared" si="80"/>
        <v>1.35</v>
      </c>
      <c r="K94" s="535">
        <f t="shared" si="80"/>
        <v>2.3100000000000005</v>
      </c>
      <c r="L94" s="535">
        <f t="shared" si="80"/>
        <v>2.6400000000000006</v>
      </c>
      <c r="M94" s="535">
        <f t="shared" si="80"/>
        <v>3.1350000000000007</v>
      </c>
      <c r="N94" s="535">
        <f t="shared" si="80"/>
        <v>3.4650000000000007</v>
      </c>
      <c r="O94" s="535">
        <f t="shared" ref="O94:V94" si="81">$F$94*O90*O6*12</f>
        <v>23.958000000000006</v>
      </c>
      <c r="P94" s="535">
        <f t="shared" si="81"/>
        <v>30.346800000000009</v>
      </c>
      <c r="Q94" s="535">
        <f t="shared" si="81"/>
        <v>36.895320000000005</v>
      </c>
      <c r="R94" s="535">
        <f t="shared" si="81"/>
        <v>45.416381999999999</v>
      </c>
      <c r="S94" s="535">
        <f t="shared" si="81"/>
        <v>51.020956800000008</v>
      </c>
      <c r="T94" s="535">
        <f t="shared" si="81"/>
        <v>61.969203780000008</v>
      </c>
      <c r="U94" s="535">
        <f t="shared" si="81"/>
        <v>74.596890588000008</v>
      </c>
      <c r="V94" s="535">
        <f t="shared" si="81"/>
        <v>87.715654105200002</v>
      </c>
      <c r="W94" s="508">
        <f t="shared" si="78"/>
        <v>426.91920727320007</v>
      </c>
      <c r="X94" s="742">
        <f t="shared" si="79"/>
        <v>5.8479532163742694E-2</v>
      </c>
    </row>
    <row r="95" spans="1:25">
      <c r="B95" s="581" t="s">
        <v>204</v>
      </c>
      <c r="C95" s="535"/>
      <c r="D95" s="535"/>
      <c r="E95" s="757"/>
      <c r="F95" s="535">
        <v>0.01</v>
      </c>
      <c r="G95" s="535">
        <f t="shared" ref="G95:N95" si="82">$F$95*G90*G6*3</f>
        <v>0.06</v>
      </c>
      <c r="H95" s="535">
        <f t="shared" si="82"/>
        <v>0.15000000000000002</v>
      </c>
      <c r="I95" s="535">
        <f t="shared" si="82"/>
        <v>0.21000000000000002</v>
      </c>
      <c r="J95" s="535">
        <f t="shared" si="82"/>
        <v>0.27</v>
      </c>
      <c r="K95" s="535">
        <f t="shared" si="82"/>
        <v>0.46200000000000008</v>
      </c>
      <c r="L95" s="535">
        <f t="shared" si="82"/>
        <v>0.52800000000000002</v>
      </c>
      <c r="M95" s="535">
        <f t="shared" si="82"/>
        <v>0.627</v>
      </c>
      <c r="N95" s="535">
        <f t="shared" si="82"/>
        <v>0.69300000000000006</v>
      </c>
      <c r="O95" s="535">
        <f t="shared" ref="O95:V95" si="83">$F$95*O90*O6*12</f>
        <v>4.7916000000000007</v>
      </c>
      <c r="P95" s="535">
        <f t="shared" si="83"/>
        <v>6.0693600000000014</v>
      </c>
      <c r="Q95" s="535">
        <f t="shared" si="83"/>
        <v>7.3790640000000014</v>
      </c>
      <c r="R95" s="535">
        <f t="shared" si="83"/>
        <v>9.0832764000000008</v>
      </c>
      <c r="S95" s="535">
        <f t="shared" si="83"/>
        <v>10.204191360000001</v>
      </c>
      <c r="T95" s="535">
        <f t="shared" si="83"/>
        <v>12.393840756000003</v>
      </c>
      <c r="U95" s="535">
        <f t="shared" si="83"/>
        <v>14.919378117600001</v>
      </c>
      <c r="V95" s="535">
        <f t="shared" si="83"/>
        <v>17.543130821040002</v>
      </c>
      <c r="W95" s="508">
        <f t="shared" si="78"/>
        <v>85.38384145464002</v>
      </c>
      <c r="X95" s="742">
        <f t="shared" si="79"/>
        <v>1.1695906432748539E-2</v>
      </c>
    </row>
    <row r="96" spans="1:25">
      <c r="B96" s="581" t="s">
        <v>752</v>
      </c>
      <c r="C96" s="535"/>
      <c r="D96" s="535"/>
      <c r="E96" s="757"/>
      <c r="F96" s="535">
        <v>0.04</v>
      </c>
      <c r="G96" s="535">
        <f t="shared" ref="G96:N96" si="84">$F$96*G90*G6*3</f>
        <v>0.24</v>
      </c>
      <c r="H96" s="535">
        <f t="shared" si="84"/>
        <v>0.60000000000000009</v>
      </c>
      <c r="I96" s="535">
        <f t="shared" si="84"/>
        <v>0.84000000000000008</v>
      </c>
      <c r="J96" s="535">
        <f t="shared" si="84"/>
        <v>1.08</v>
      </c>
      <c r="K96" s="535">
        <f t="shared" si="84"/>
        <v>1.8480000000000003</v>
      </c>
      <c r="L96" s="535">
        <f t="shared" si="84"/>
        <v>2.1120000000000001</v>
      </c>
      <c r="M96" s="535">
        <f t="shared" si="84"/>
        <v>2.508</v>
      </c>
      <c r="N96" s="535">
        <f t="shared" si="84"/>
        <v>2.7720000000000002</v>
      </c>
      <c r="O96" s="535">
        <f t="shared" ref="O96:V96" si="85">$F$96*O90*O6*12</f>
        <v>19.166400000000003</v>
      </c>
      <c r="P96" s="535">
        <f t="shared" si="85"/>
        <v>24.277440000000006</v>
      </c>
      <c r="Q96" s="535">
        <f t="shared" si="85"/>
        <v>29.516256000000006</v>
      </c>
      <c r="R96" s="535">
        <f t="shared" si="85"/>
        <v>36.333105600000003</v>
      </c>
      <c r="S96" s="535">
        <f t="shared" si="85"/>
        <v>40.816765440000005</v>
      </c>
      <c r="T96" s="535">
        <f t="shared" si="85"/>
        <v>49.575363024000012</v>
      </c>
      <c r="U96" s="535">
        <f t="shared" si="85"/>
        <v>59.677512470400004</v>
      </c>
      <c r="V96" s="535">
        <f t="shared" si="85"/>
        <v>70.172523284160008</v>
      </c>
      <c r="W96" s="508">
        <f t="shared" si="78"/>
        <v>341.53536581856008</v>
      </c>
      <c r="X96" s="742">
        <f t="shared" si="79"/>
        <v>4.6783625730994156E-2</v>
      </c>
    </row>
    <row r="97" spans="1:25">
      <c r="B97" s="581" t="s">
        <v>753</v>
      </c>
      <c r="C97" s="535"/>
      <c r="D97" s="535"/>
      <c r="E97" s="757"/>
      <c r="F97" s="535">
        <v>0.03</v>
      </c>
      <c r="G97" s="535">
        <f t="shared" ref="G97:N97" si="86">$F$97*G90*G6*3</f>
        <v>0.18</v>
      </c>
      <c r="H97" s="535">
        <f t="shared" si="86"/>
        <v>0.44999999999999996</v>
      </c>
      <c r="I97" s="535">
        <f t="shared" si="86"/>
        <v>0.63</v>
      </c>
      <c r="J97" s="535">
        <f t="shared" si="86"/>
        <v>0.81</v>
      </c>
      <c r="K97" s="535">
        <f t="shared" si="86"/>
        <v>1.3860000000000001</v>
      </c>
      <c r="L97" s="535">
        <f t="shared" si="86"/>
        <v>1.5840000000000001</v>
      </c>
      <c r="M97" s="535">
        <f t="shared" si="86"/>
        <v>1.881</v>
      </c>
      <c r="N97" s="535">
        <f t="shared" si="86"/>
        <v>2.0790000000000002</v>
      </c>
      <c r="O97" s="535">
        <f t="shared" ref="O97:V97" si="87">$F$97*O90*O6*12</f>
        <v>14.374800000000002</v>
      </c>
      <c r="P97" s="535">
        <f t="shared" si="87"/>
        <v>18.208080000000002</v>
      </c>
      <c r="Q97" s="535">
        <f t="shared" si="87"/>
        <v>22.137192000000002</v>
      </c>
      <c r="R97" s="535">
        <f t="shared" si="87"/>
        <v>27.249829200000001</v>
      </c>
      <c r="S97" s="535">
        <f t="shared" si="87"/>
        <v>30.612574080000002</v>
      </c>
      <c r="T97" s="535">
        <f t="shared" si="87"/>
        <v>37.181522267999995</v>
      </c>
      <c r="U97" s="535">
        <f t="shared" si="87"/>
        <v>44.758134352799999</v>
      </c>
      <c r="V97" s="535">
        <f t="shared" si="87"/>
        <v>52.629392463119999</v>
      </c>
      <c r="W97" s="508">
        <f t="shared" si="78"/>
        <v>256.15152436392003</v>
      </c>
      <c r="X97" s="742">
        <f t="shared" si="79"/>
        <v>3.5087719298245612E-2</v>
      </c>
    </row>
    <row r="98" spans="1:25">
      <c r="B98" s="581" t="s">
        <v>754</v>
      </c>
      <c r="C98" s="535"/>
      <c r="D98" s="535"/>
      <c r="E98" s="757"/>
      <c r="F98" s="535">
        <v>0.06</v>
      </c>
      <c r="G98" s="535">
        <f t="shared" ref="G98:N98" si="88">$F$98*G90*G6*3</f>
        <v>0.36</v>
      </c>
      <c r="H98" s="535">
        <f t="shared" si="88"/>
        <v>0.89999999999999991</v>
      </c>
      <c r="I98" s="535">
        <f t="shared" si="88"/>
        <v>1.26</v>
      </c>
      <c r="J98" s="535">
        <f t="shared" si="88"/>
        <v>1.62</v>
      </c>
      <c r="K98" s="535">
        <f t="shared" si="88"/>
        <v>2.7720000000000002</v>
      </c>
      <c r="L98" s="535">
        <f t="shared" si="88"/>
        <v>3.1680000000000001</v>
      </c>
      <c r="M98" s="535">
        <f t="shared" si="88"/>
        <v>3.762</v>
      </c>
      <c r="N98" s="535">
        <f t="shared" si="88"/>
        <v>4.1580000000000004</v>
      </c>
      <c r="O98" s="535">
        <f t="shared" ref="O98:V98" si="89">$F$98*O90*O6*12</f>
        <v>28.749600000000004</v>
      </c>
      <c r="P98" s="535">
        <f t="shared" si="89"/>
        <v>36.416160000000005</v>
      </c>
      <c r="Q98" s="535">
        <f t="shared" si="89"/>
        <v>44.274384000000005</v>
      </c>
      <c r="R98" s="535">
        <f t="shared" si="89"/>
        <v>54.499658400000001</v>
      </c>
      <c r="S98" s="535">
        <f t="shared" si="89"/>
        <v>61.225148160000003</v>
      </c>
      <c r="T98" s="535">
        <f t="shared" si="89"/>
        <v>74.36304453599999</v>
      </c>
      <c r="U98" s="535">
        <f t="shared" si="89"/>
        <v>89.516268705599998</v>
      </c>
      <c r="V98" s="535">
        <f t="shared" si="89"/>
        <v>105.25878492624</v>
      </c>
      <c r="W98" s="508">
        <f t="shared" si="78"/>
        <v>512.30304872784006</v>
      </c>
      <c r="X98" s="742">
        <f t="shared" si="79"/>
        <v>7.0175438596491224E-2</v>
      </c>
    </row>
    <row r="99" spans="1:25">
      <c r="B99" s="376" t="s">
        <v>395</v>
      </c>
      <c r="C99" s="535"/>
      <c r="D99" s="535"/>
      <c r="E99" s="757"/>
      <c r="F99" s="535">
        <v>0.01</v>
      </c>
      <c r="G99" s="535">
        <f t="shared" ref="G99:N99" si="90">$F$99*G90*G6*3</f>
        <v>0.06</v>
      </c>
      <c r="H99" s="535">
        <f t="shared" si="90"/>
        <v>0.15000000000000002</v>
      </c>
      <c r="I99" s="535">
        <f t="shared" si="90"/>
        <v>0.21000000000000002</v>
      </c>
      <c r="J99" s="535">
        <f t="shared" si="90"/>
        <v>0.27</v>
      </c>
      <c r="K99" s="535">
        <f t="shared" si="90"/>
        <v>0.46200000000000008</v>
      </c>
      <c r="L99" s="535">
        <f t="shared" si="90"/>
        <v>0.52800000000000002</v>
      </c>
      <c r="M99" s="535">
        <f t="shared" si="90"/>
        <v>0.627</v>
      </c>
      <c r="N99" s="535">
        <f t="shared" si="90"/>
        <v>0.69300000000000006</v>
      </c>
      <c r="O99" s="535">
        <f t="shared" ref="O99:V99" si="91">$F$99*O90*O6*12</f>
        <v>4.7916000000000007</v>
      </c>
      <c r="P99" s="535">
        <f t="shared" si="91"/>
        <v>6.0693600000000014</v>
      </c>
      <c r="Q99" s="535">
        <f t="shared" si="91"/>
        <v>7.3790640000000014</v>
      </c>
      <c r="R99" s="535">
        <f t="shared" si="91"/>
        <v>9.0832764000000008</v>
      </c>
      <c r="S99" s="535">
        <f t="shared" si="91"/>
        <v>10.204191360000001</v>
      </c>
      <c r="T99" s="535">
        <f t="shared" si="91"/>
        <v>12.393840756000003</v>
      </c>
      <c r="U99" s="535">
        <f t="shared" si="91"/>
        <v>14.919378117600001</v>
      </c>
      <c r="V99" s="535">
        <f t="shared" si="91"/>
        <v>17.543130821040002</v>
      </c>
      <c r="W99" s="508">
        <f t="shared" si="78"/>
        <v>85.38384145464002</v>
      </c>
      <c r="X99" s="742">
        <f t="shared" si="79"/>
        <v>1.1695906432748539E-2</v>
      </c>
    </row>
    <row r="100" spans="1:25">
      <c r="B100" s="376" t="s">
        <v>396</v>
      </c>
      <c r="E100" s="507"/>
      <c r="F100" s="508">
        <v>0.15</v>
      </c>
      <c r="G100" s="535">
        <f t="shared" ref="G100:N100" si="92">$F$100*G90*G6*3</f>
        <v>0.89999999999999991</v>
      </c>
      <c r="H100" s="535">
        <f t="shared" si="92"/>
        <v>2.25</v>
      </c>
      <c r="I100" s="535">
        <f t="shared" si="92"/>
        <v>3.1500000000000004</v>
      </c>
      <c r="J100" s="535">
        <f t="shared" si="92"/>
        <v>4.05</v>
      </c>
      <c r="K100" s="535">
        <f t="shared" si="92"/>
        <v>6.9300000000000015</v>
      </c>
      <c r="L100" s="535">
        <f t="shared" si="92"/>
        <v>7.92</v>
      </c>
      <c r="M100" s="535">
        <f t="shared" si="92"/>
        <v>9.4050000000000011</v>
      </c>
      <c r="N100" s="535">
        <f t="shared" si="92"/>
        <v>10.395000000000001</v>
      </c>
      <c r="O100" s="535">
        <f t="shared" ref="O100:V100" si="93">$F$100*O90*O6*12</f>
        <v>71.874000000000024</v>
      </c>
      <c r="P100" s="535">
        <f t="shared" si="93"/>
        <v>91.04040000000002</v>
      </c>
      <c r="Q100" s="535">
        <f t="shared" si="93"/>
        <v>110.68596000000002</v>
      </c>
      <c r="R100" s="535">
        <f t="shared" si="93"/>
        <v>136.249146</v>
      </c>
      <c r="S100" s="535">
        <f t="shared" si="93"/>
        <v>153.06287040000001</v>
      </c>
      <c r="T100" s="535">
        <f t="shared" si="93"/>
        <v>185.90761134000002</v>
      </c>
      <c r="U100" s="535">
        <f t="shared" si="93"/>
        <v>223.79067176400002</v>
      </c>
      <c r="V100" s="535">
        <f t="shared" si="93"/>
        <v>263.14696231559998</v>
      </c>
      <c r="W100" s="508">
        <f t="shared" si="78"/>
        <v>1280.7576218196</v>
      </c>
      <c r="X100" s="742">
        <f t="shared" si="79"/>
        <v>0.17543859649122803</v>
      </c>
    </row>
    <row r="101" spans="1:25">
      <c r="B101" s="376" t="s">
        <v>755</v>
      </c>
      <c r="C101" s="535"/>
      <c r="D101" s="535"/>
      <c r="E101" s="757"/>
      <c r="F101" s="535">
        <v>0.08</v>
      </c>
      <c r="G101" s="535">
        <f t="shared" ref="G101:N101" si="94">$F$101*G90*G6*3</f>
        <v>0.48</v>
      </c>
      <c r="H101" s="535">
        <f t="shared" si="94"/>
        <v>1.2000000000000002</v>
      </c>
      <c r="I101" s="535">
        <f t="shared" si="94"/>
        <v>1.6800000000000002</v>
      </c>
      <c r="J101" s="535">
        <f t="shared" si="94"/>
        <v>2.16</v>
      </c>
      <c r="K101" s="535">
        <f t="shared" si="94"/>
        <v>3.6960000000000006</v>
      </c>
      <c r="L101" s="535">
        <f t="shared" si="94"/>
        <v>4.2240000000000002</v>
      </c>
      <c r="M101" s="535">
        <f t="shared" si="94"/>
        <v>5.016</v>
      </c>
      <c r="N101" s="535">
        <f t="shared" si="94"/>
        <v>5.5440000000000005</v>
      </c>
      <c r="O101" s="535">
        <f t="shared" ref="O101:V101" si="95">$F$101*O90*O6*12</f>
        <v>38.332800000000006</v>
      </c>
      <c r="P101" s="535">
        <f t="shared" si="95"/>
        <v>48.554880000000011</v>
      </c>
      <c r="Q101" s="535">
        <f t="shared" si="95"/>
        <v>59.032512000000011</v>
      </c>
      <c r="R101" s="535">
        <f t="shared" si="95"/>
        <v>72.666211200000006</v>
      </c>
      <c r="S101" s="535">
        <f t="shared" si="95"/>
        <v>81.633530880000009</v>
      </c>
      <c r="T101" s="535">
        <f t="shared" si="95"/>
        <v>99.150726048000024</v>
      </c>
      <c r="U101" s="535">
        <f t="shared" si="95"/>
        <v>119.35502494080001</v>
      </c>
      <c r="V101" s="535">
        <f t="shared" si="95"/>
        <v>140.34504656832002</v>
      </c>
      <c r="W101" s="508">
        <f t="shared" si="78"/>
        <v>683.07073163712016</v>
      </c>
      <c r="X101" s="742">
        <f t="shared" si="79"/>
        <v>9.3567251461988313E-2</v>
      </c>
    </row>
    <row r="102" spans="1:25">
      <c r="B102" s="376"/>
      <c r="C102" s="535"/>
      <c r="D102" s="535"/>
      <c r="E102" s="757"/>
      <c r="F102" s="535"/>
      <c r="G102" s="535"/>
      <c r="H102" s="535"/>
      <c r="I102" s="535"/>
      <c r="J102" s="535"/>
      <c r="K102" s="535"/>
      <c r="L102" s="535"/>
      <c r="M102" s="535"/>
      <c r="N102" s="535"/>
      <c r="O102" s="535"/>
      <c r="P102" s="535"/>
      <c r="Q102" s="535"/>
      <c r="R102" s="535"/>
      <c r="S102" s="535"/>
      <c r="T102" s="535"/>
      <c r="U102" s="535"/>
      <c r="V102" s="535"/>
      <c r="W102" s="508"/>
    </row>
    <row r="103" spans="1:25" ht="15.75">
      <c r="B103" s="1157" t="s">
        <v>823</v>
      </c>
      <c r="C103" s="745"/>
      <c r="D103" s="745"/>
      <c r="E103" s="1008"/>
      <c r="F103" s="745">
        <f>SUM(F92:F102)</f>
        <v>0.85499999999999998</v>
      </c>
      <c r="G103" s="745">
        <f t="shared" ref="G103:V103" si="96">SUM(G92:G102)</f>
        <v>5.129999999999999</v>
      </c>
      <c r="H103" s="745">
        <f t="shared" si="96"/>
        <v>12.824999999999999</v>
      </c>
      <c r="I103" s="745">
        <f t="shared" si="96"/>
        <v>17.955000000000005</v>
      </c>
      <c r="J103" s="745">
        <f t="shared" si="96"/>
        <v>23.085000000000001</v>
      </c>
      <c r="K103" s="745">
        <f t="shared" si="96"/>
        <v>39.501000000000005</v>
      </c>
      <c r="L103" s="745">
        <f t="shared" si="96"/>
        <v>45.144000000000005</v>
      </c>
      <c r="M103" s="745">
        <f t="shared" si="96"/>
        <v>53.608500000000006</v>
      </c>
      <c r="N103" s="745">
        <f t="shared" si="96"/>
        <v>59.251500000000007</v>
      </c>
      <c r="O103" s="745">
        <f t="shared" si="96"/>
        <v>409.68180000000007</v>
      </c>
      <c r="P103" s="745">
        <f t="shared" si="96"/>
        <v>518.93028000000015</v>
      </c>
      <c r="Q103" s="745">
        <f t="shared" si="96"/>
        <v>630.90997200000015</v>
      </c>
      <c r="R103" s="745">
        <f t="shared" si="96"/>
        <v>776.62013220000017</v>
      </c>
      <c r="S103" s="745">
        <f t="shared" si="96"/>
        <v>872.45836128000008</v>
      </c>
      <c r="T103" s="745">
        <f t="shared" si="96"/>
        <v>1059.6733846380002</v>
      </c>
      <c r="U103" s="745">
        <f t="shared" si="96"/>
        <v>1275.6068290547998</v>
      </c>
      <c r="V103" s="745">
        <f t="shared" si="96"/>
        <v>1499.9376851989198</v>
      </c>
      <c r="W103" s="745">
        <f>SUM(W92:W101)</f>
        <v>7300.3184443717209</v>
      </c>
      <c r="X103" s="1166">
        <f>W103-W92</f>
        <v>4098.4243898227205</v>
      </c>
    </row>
    <row r="104" spans="1:25" s="581" customFormat="1" ht="15.75">
      <c r="A104" s="785"/>
      <c r="B104" s="1158"/>
      <c r="C104" s="535"/>
      <c r="D104" s="535"/>
      <c r="E104" s="757"/>
      <c r="F104" s="535"/>
      <c r="G104" s="535"/>
      <c r="H104" s="535"/>
      <c r="I104" s="535"/>
      <c r="J104" s="535"/>
      <c r="K104" s="535"/>
      <c r="L104" s="535"/>
      <c r="M104" s="535"/>
      <c r="N104" s="535"/>
      <c r="O104" s="535"/>
      <c r="P104" s="535"/>
      <c r="Q104" s="535"/>
      <c r="R104" s="535"/>
      <c r="S104" s="535"/>
      <c r="T104" s="535"/>
      <c r="U104" s="535"/>
      <c r="V104" s="535"/>
      <c r="W104" s="535"/>
      <c r="X104" s="785"/>
    </row>
    <row r="105" spans="1:25" ht="15.75">
      <c r="B105" s="1331" t="s">
        <v>824</v>
      </c>
      <c r="C105" s="1332"/>
      <c r="D105" s="745"/>
      <c r="E105" s="1008"/>
      <c r="F105" s="745"/>
      <c r="G105" s="745">
        <f>G87+G103</f>
        <v>7.4218499999999992</v>
      </c>
      <c r="H105" s="745">
        <f t="shared" ref="H105:V105" si="97">H87+H103</f>
        <v>17.4087</v>
      </c>
      <c r="I105" s="745">
        <f t="shared" si="97"/>
        <v>24.830550000000002</v>
      </c>
      <c r="J105" s="745">
        <f t="shared" si="97"/>
        <v>32.252400000000002</v>
      </c>
      <c r="K105" s="745">
        <f t="shared" si="97"/>
        <v>52.106175000000007</v>
      </c>
      <c r="L105" s="745">
        <f t="shared" si="97"/>
        <v>59.537610000000008</v>
      </c>
      <c r="M105" s="745">
        <f t="shared" si="97"/>
        <v>69.790545000000009</v>
      </c>
      <c r="N105" s="745">
        <f t="shared" si="97"/>
        <v>77.221980000000016</v>
      </c>
      <c r="O105" s="745">
        <f t="shared" si="97"/>
        <v>507.77416800000009</v>
      </c>
      <c r="P105" s="745">
        <f t="shared" si="97"/>
        <v>661.08968640000023</v>
      </c>
      <c r="Q105" s="745">
        <f t="shared" si="97"/>
        <v>825.00553080000009</v>
      </c>
      <c r="R105" s="745">
        <f t="shared" si="97"/>
        <v>1031.6541098160001</v>
      </c>
      <c r="S105" s="745">
        <f t="shared" si="97"/>
        <v>1198.7141158872</v>
      </c>
      <c r="T105" s="745">
        <f t="shared" si="97"/>
        <v>1468.8815618584804</v>
      </c>
      <c r="U105" s="745">
        <f t="shared" si="97"/>
        <v>1781.1319858651439</v>
      </c>
      <c r="V105" s="745">
        <f t="shared" si="97"/>
        <v>2116.987765744896</v>
      </c>
      <c r="W105" s="745">
        <f>SUM(W94:W103)</f>
        <v>10971.823626921241</v>
      </c>
    </row>
    <row r="106" spans="1:25">
      <c r="B106" s="533"/>
      <c r="C106" s="786"/>
      <c r="D106" s="786"/>
      <c r="E106" s="757"/>
      <c r="F106" s="535"/>
      <c r="G106" s="535"/>
      <c r="H106" s="535"/>
      <c r="I106" s="535"/>
      <c r="J106" s="535"/>
      <c r="K106" s="464"/>
      <c r="L106" s="464"/>
      <c r="M106" s="464"/>
      <c r="N106" s="464"/>
      <c r="O106" s="464"/>
      <c r="P106" s="464"/>
      <c r="Q106" s="464"/>
      <c r="R106" s="464"/>
      <c r="S106" s="464"/>
      <c r="T106" s="464"/>
      <c r="U106" s="464"/>
      <c r="V106" s="464"/>
    </row>
    <row r="107" spans="1:25">
      <c r="B107" s="752" t="s">
        <v>155</v>
      </c>
      <c r="C107" s="478"/>
      <c r="D107" s="478"/>
      <c r="E107" s="462"/>
      <c r="F107" s="462" t="s">
        <v>207</v>
      </c>
      <c r="G107" s="462"/>
      <c r="H107" s="462"/>
      <c r="I107" s="462"/>
      <c r="J107" s="462"/>
      <c r="K107" s="465"/>
      <c r="L107" s="465"/>
      <c r="M107" s="465"/>
      <c r="N107" s="465"/>
      <c r="O107" s="465"/>
      <c r="P107" s="465"/>
      <c r="Q107" s="465"/>
      <c r="R107" s="465"/>
      <c r="S107" s="465"/>
      <c r="T107" s="465"/>
      <c r="U107" s="465"/>
      <c r="V107" s="465"/>
    </row>
    <row r="108" spans="1:25" hidden="1">
      <c r="B108" s="478" t="s">
        <v>412</v>
      </c>
      <c r="C108" s="478"/>
      <c r="D108" s="478"/>
      <c r="E108" s="462"/>
      <c r="F108" s="462"/>
      <c r="G108" s="462"/>
      <c r="H108" s="462"/>
      <c r="I108" s="462"/>
      <c r="J108" s="462"/>
      <c r="K108" s="463"/>
      <c r="L108" s="463"/>
      <c r="M108" s="463"/>
      <c r="N108" s="463"/>
      <c r="O108" s="467">
        <f>'Key Assumptions'!S12</f>
        <v>0</v>
      </c>
      <c r="P108" s="467">
        <f>'Key Assumptions'!T12</f>
        <v>0</v>
      </c>
      <c r="Q108" s="463">
        <f>'Key Assumptions'!U12</f>
        <v>1</v>
      </c>
      <c r="R108" s="463">
        <f>'Key Assumptions'!V12</f>
        <v>0</v>
      </c>
      <c r="S108" s="463">
        <f>'Key Assumptions'!W12</f>
        <v>1</v>
      </c>
      <c r="T108" s="463">
        <f>'Key Assumptions'!X12</f>
        <v>0</v>
      </c>
      <c r="U108" s="463">
        <f>'Key Assumptions'!Y12</f>
        <v>0</v>
      </c>
      <c r="V108" s="463">
        <f>'Key Assumptions'!Z12</f>
        <v>0</v>
      </c>
    </row>
    <row r="109" spans="1:25" ht="30" customHeight="1">
      <c r="B109" s="1325" t="s">
        <v>413</v>
      </c>
      <c r="C109" s="1325"/>
      <c r="D109" s="1325"/>
      <c r="E109" s="1325"/>
      <c r="F109" s="1325"/>
      <c r="G109" s="677">
        <f>'Key Assumptions'!K13</f>
        <v>0</v>
      </c>
      <c r="H109" s="677">
        <f>'Key Assumptions'!L13</f>
        <v>0</v>
      </c>
      <c r="I109" s="677">
        <f>'Key Assumptions'!M13</f>
        <v>0</v>
      </c>
      <c r="J109" s="677">
        <f>'Key Assumptions'!N13</f>
        <v>0</v>
      </c>
      <c r="K109" s="655">
        <f>'Key Assumptions'!O13</f>
        <v>1</v>
      </c>
      <c r="L109" s="655">
        <f>'Key Assumptions'!P13</f>
        <v>1</v>
      </c>
      <c r="M109" s="655">
        <f>'Key Assumptions'!Q13</f>
        <v>1</v>
      </c>
      <c r="N109" s="655">
        <f>'Key Assumptions'!R13</f>
        <v>1</v>
      </c>
      <c r="O109" s="467">
        <f>'Key Assumptions'!S13</f>
        <v>1</v>
      </c>
      <c r="P109" s="467">
        <f>'Key Assumptions'!T13</f>
        <v>1</v>
      </c>
      <c r="Q109" s="467">
        <f>'Key Assumptions'!U13</f>
        <v>2</v>
      </c>
      <c r="R109" s="467">
        <f>'Key Assumptions'!V13</f>
        <v>2</v>
      </c>
      <c r="S109" s="467">
        <f>'Key Assumptions'!W13</f>
        <v>3</v>
      </c>
      <c r="T109" s="467">
        <f>'Key Assumptions'!X13</f>
        <v>3</v>
      </c>
      <c r="U109" s="467">
        <f>'Key Assumptions'!Y13</f>
        <v>3</v>
      </c>
      <c r="V109" s="467">
        <f>'Key Assumptions'!Z13</f>
        <v>3</v>
      </c>
    </row>
    <row r="110" spans="1:25" ht="18.75" customHeight="1">
      <c r="B110" s="477"/>
      <c r="C110" s="478" t="s">
        <v>368</v>
      </c>
      <c r="D110" s="478" t="s">
        <v>483</v>
      </c>
      <c r="E110" s="477"/>
      <c r="F110" s="477"/>
      <c r="G110" s="477"/>
      <c r="H110" s="477"/>
      <c r="I110" s="477"/>
      <c r="J110" s="477"/>
      <c r="K110" s="467"/>
      <c r="L110" s="467"/>
      <c r="M110" s="467"/>
      <c r="N110" s="467"/>
      <c r="O110" s="467"/>
      <c r="P110" s="467"/>
      <c r="Q110" s="467"/>
      <c r="R110" s="467"/>
      <c r="S110" s="467"/>
      <c r="T110" s="467"/>
      <c r="U110" s="467"/>
      <c r="V110" s="467"/>
    </row>
    <row r="111" spans="1:25" ht="30">
      <c r="B111" s="1260" t="s">
        <v>375</v>
      </c>
      <c r="C111" s="1259">
        <v>1000</v>
      </c>
      <c r="D111" s="537">
        <v>40</v>
      </c>
      <c r="E111" s="1261"/>
      <c r="F111" s="703">
        <f>C111*D111/10^5</f>
        <v>0.4</v>
      </c>
      <c r="G111" s="332">
        <f>F111*3*$G$109</f>
        <v>0</v>
      </c>
      <c r="H111" s="332">
        <f>F111*3*$H$109</f>
        <v>0</v>
      </c>
      <c r="I111" s="332">
        <f>F111*3*$I$109</f>
        <v>0</v>
      </c>
      <c r="J111" s="332">
        <f>F111*3*J109</f>
        <v>0</v>
      </c>
      <c r="K111" s="659">
        <f>F111*3*$K$109*$K$51</f>
        <v>1.3200000000000003</v>
      </c>
      <c r="L111" s="659">
        <f>F111*3*$L$109*$L$51</f>
        <v>1.3200000000000003</v>
      </c>
      <c r="M111" s="659">
        <f>F111*3*$M$109*$M$51</f>
        <v>1.3200000000000003</v>
      </c>
      <c r="N111" s="659">
        <f>F111*3*$N$109*$N$51</f>
        <v>1.3200000000000003</v>
      </c>
      <c r="O111" s="465">
        <f>F111*12*$O$109*$O$51</f>
        <v>5.8080000000000016</v>
      </c>
      <c r="P111" s="465">
        <f>F111*12*$P$109*$P$51</f>
        <v>6.3888000000000016</v>
      </c>
      <c r="Q111" s="465">
        <f>F111*12*$Q$109*$Q$51</f>
        <v>14.055360000000004</v>
      </c>
      <c r="R111" s="465">
        <f>F111*12*$R$109*$R$51</f>
        <v>15.460896000000004</v>
      </c>
      <c r="S111" s="465">
        <f>F111*12*$S$109*$S$51</f>
        <v>25.510478400000007</v>
      </c>
      <c r="T111" s="465">
        <f>F111*12*$T$109*$T$51</f>
        <v>28.061526240000006</v>
      </c>
      <c r="U111" s="465">
        <f>F111*12*$U$109*$U$51</f>
        <v>30.867678864000009</v>
      </c>
      <c r="V111" s="465">
        <f>F111*12*$V$109*$V$51</f>
        <v>33.95444675040001</v>
      </c>
      <c r="W111" s="547">
        <f>G111+H111+I111+J111+K111+L111+M111+N111+O111+P111+Q111+R111+S111+T111+U111+V111</f>
        <v>165.38718625440004</v>
      </c>
      <c r="X111" s="742">
        <f>W111/$W$123</f>
        <v>0.32760032760032759</v>
      </c>
      <c r="Y111" s="548" t="s">
        <v>522</v>
      </c>
    </row>
    <row r="112" spans="1:25">
      <c r="B112" s="435" t="s">
        <v>377</v>
      </c>
      <c r="C112" s="435"/>
      <c r="D112" s="435"/>
      <c r="E112" s="703"/>
      <c r="F112" s="1262"/>
      <c r="G112" s="332"/>
      <c r="H112" s="332"/>
      <c r="I112" s="332"/>
      <c r="J112" s="332"/>
      <c r="K112" s="659"/>
      <c r="L112" s="659"/>
      <c r="M112" s="659"/>
      <c r="N112" s="659"/>
      <c r="O112" s="465"/>
      <c r="P112" s="465"/>
      <c r="Q112" s="465"/>
      <c r="R112" s="465"/>
      <c r="S112" s="465"/>
      <c r="T112" s="465"/>
      <c r="U112" s="465"/>
      <c r="V112" s="465"/>
      <c r="W112" s="547"/>
      <c r="X112" s="742"/>
    </row>
    <row r="113" spans="1:25" ht="25.5">
      <c r="B113" s="438" t="s">
        <v>199</v>
      </c>
      <c r="C113" s="1263"/>
      <c r="D113" s="1263"/>
      <c r="E113" s="703"/>
      <c r="F113" s="1262">
        <v>0.12</v>
      </c>
      <c r="G113" s="332">
        <f t="shared" ref="G113:G122" si="98">F113*3*$G$109</f>
        <v>0</v>
      </c>
      <c r="H113" s="332">
        <f t="shared" ref="H113:H122" si="99">F113*3*$H$109</f>
        <v>0</v>
      </c>
      <c r="I113" s="332">
        <f t="shared" ref="I113:I122" si="100">F113*3*$I$109</f>
        <v>0</v>
      </c>
      <c r="J113" s="332">
        <f t="shared" ref="J113:J122" si="101">F113*3*J111</f>
        <v>0</v>
      </c>
      <c r="K113" s="659">
        <f t="shared" ref="K113:K122" si="102">F113*3*$K$109*$K$51</f>
        <v>0.39600000000000002</v>
      </c>
      <c r="L113" s="659">
        <f t="shared" ref="L113:L122" si="103">F113*3*$L$109*$L$51</f>
        <v>0.39600000000000002</v>
      </c>
      <c r="M113" s="659">
        <f t="shared" ref="M113:M122" si="104">F113*3*$M$109*$M$51</f>
        <v>0.39600000000000002</v>
      </c>
      <c r="N113" s="659">
        <f t="shared" ref="N113:N122" si="105">F113*3*$N$109*$N$51</f>
        <v>0.39600000000000002</v>
      </c>
      <c r="O113" s="465">
        <f t="shared" ref="O113:O122" si="106">F113*12*$O$109*$O$51</f>
        <v>1.7424000000000002</v>
      </c>
      <c r="P113" s="465">
        <f t="shared" ref="P113:P122" si="107">F113*12*$P$109*$P$51</f>
        <v>1.9166400000000001</v>
      </c>
      <c r="Q113" s="465">
        <f t="shared" ref="Q113:Q122" si="108">F113*12*$Q$109*$Q$51</f>
        <v>4.2166080000000008</v>
      </c>
      <c r="R113" s="465">
        <f t="shared" ref="R113:R122" si="109">F113*12*$R$109*$R$51</f>
        <v>4.6382688000000005</v>
      </c>
      <c r="S113" s="465">
        <f t="shared" ref="S113:S122" si="110">F113*12*$S$109*$S$51</f>
        <v>7.6531435200000013</v>
      </c>
      <c r="T113" s="465">
        <f t="shared" ref="T113:T122" si="111">F113*12*$T$109*$T$51</f>
        <v>8.4184578720000012</v>
      </c>
      <c r="U113" s="465">
        <f t="shared" ref="U113:U122" si="112">F113*12*$U$109*$U$51</f>
        <v>9.2603036592000016</v>
      </c>
      <c r="V113" s="465">
        <f t="shared" ref="V113:V122" si="113">F113*12*$V$109*$V$51</f>
        <v>10.186334025120001</v>
      </c>
      <c r="W113" s="547">
        <f t="shared" ref="W113:W125" si="114">G113+H113+I113+J113+K113+L113+M113+N113+O113+P113+Q113+R113+S113+T113+U113+V113</f>
        <v>49.616155876320008</v>
      </c>
      <c r="X113" s="742">
        <f t="shared" ref="X113:X119" si="115">W113/$W$123</f>
        <v>9.8280098280098274E-2</v>
      </c>
      <c r="Y113" s="548" t="s">
        <v>514</v>
      </c>
    </row>
    <row r="114" spans="1:25">
      <c r="B114" s="439" t="s">
        <v>201</v>
      </c>
      <c r="C114" s="1264"/>
      <c r="D114" s="1264"/>
      <c r="E114" s="703"/>
      <c r="F114" s="1262">
        <v>0.1</v>
      </c>
      <c r="G114" s="332">
        <f t="shared" si="98"/>
        <v>0</v>
      </c>
      <c r="H114" s="332">
        <f t="shared" si="99"/>
        <v>0</v>
      </c>
      <c r="I114" s="332">
        <f t="shared" si="100"/>
        <v>0</v>
      </c>
      <c r="J114" s="332">
        <f t="shared" si="101"/>
        <v>0</v>
      </c>
      <c r="K114" s="659">
        <f t="shared" si="102"/>
        <v>0.33000000000000007</v>
      </c>
      <c r="L114" s="659">
        <f t="shared" si="103"/>
        <v>0.33000000000000007</v>
      </c>
      <c r="M114" s="659">
        <f t="shared" si="104"/>
        <v>0.33000000000000007</v>
      </c>
      <c r="N114" s="659">
        <f t="shared" si="105"/>
        <v>0.33000000000000007</v>
      </c>
      <c r="O114" s="465">
        <f t="shared" si="106"/>
        <v>1.4520000000000004</v>
      </c>
      <c r="P114" s="465">
        <f t="shared" si="107"/>
        <v>1.5972000000000004</v>
      </c>
      <c r="Q114" s="465">
        <f t="shared" si="108"/>
        <v>3.513840000000001</v>
      </c>
      <c r="R114" s="465">
        <f t="shared" si="109"/>
        <v>3.8652240000000009</v>
      </c>
      <c r="S114" s="465">
        <f t="shared" si="110"/>
        <v>6.3776196000000018</v>
      </c>
      <c r="T114" s="465">
        <f t="shared" si="111"/>
        <v>7.0153815600000016</v>
      </c>
      <c r="U114" s="465">
        <f t="shared" si="112"/>
        <v>7.7169197160000023</v>
      </c>
      <c r="V114" s="465">
        <f t="shared" si="113"/>
        <v>8.4886116876000024</v>
      </c>
      <c r="W114" s="547">
        <f t="shared" si="114"/>
        <v>41.346796563600009</v>
      </c>
      <c r="X114" s="742">
        <f t="shared" si="115"/>
        <v>8.1900081900081897E-2</v>
      </c>
      <c r="Y114" s="548" t="s">
        <v>514</v>
      </c>
    </row>
    <row r="115" spans="1:25">
      <c r="B115" s="439" t="s">
        <v>202</v>
      </c>
      <c r="C115" s="1264"/>
      <c r="D115" s="1264"/>
      <c r="E115" s="703"/>
      <c r="F115" s="1262">
        <v>0.05</v>
      </c>
      <c r="G115" s="332">
        <f t="shared" si="98"/>
        <v>0</v>
      </c>
      <c r="H115" s="332">
        <f t="shared" si="99"/>
        <v>0</v>
      </c>
      <c r="I115" s="332">
        <f t="shared" si="100"/>
        <v>0</v>
      </c>
      <c r="J115" s="332">
        <f t="shared" si="101"/>
        <v>0</v>
      </c>
      <c r="K115" s="659">
        <f t="shared" si="102"/>
        <v>0.16500000000000004</v>
      </c>
      <c r="L115" s="659">
        <f t="shared" si="103"/>
        <v>0.16500000000000004</v>
      </c>
      <c r="M115" s="659">
        <f t="shared" si="104"/>
        <v>0.16500000000000004</v>
      </c>
      <c r="N115" s="659">
        <f t="shared" si="105"/>
        <v>0.16500000000000004</v>
      </c>
      <c r="O115" s="465">
        <f t="shared" si="106"/>
        <v>0.7260000000000002</v>
      </c>
      <c r="P115" s="465">
        <f t="shared" si="107"/>
        <v>0.7986000000000002</v>
      </c>
      <c r="Q115" s="465">
        <f t="shared" si="108"/>
        <v>1.7569200000000005</v>
      </c>
      <c r="R115" s="465">
        <f t="shared" si="109"/>
        <v>1.9326120000000004</v>
      </c>
      <c r="S115" s="465">
        <f t="shared" si="110"/>
        <v>3.1888098000000009</v>
      </c>
      <c r="T115" s="465">
        <f t="shared" si="111"/>
        <v>3.5076907800000008</v>
      </c>
      <c r="U115" s="465">
        <f t="shared" si="112"/>
        <v>3.8584598580000011</v>
      </c>
      <c r="V115" s="465">
        <f t="shared" si="113"/>
        <v>4.2443058438000012</v>
      </c>
      <c r="W115" s="547">
        <f t="shared" si="114"/>
        <v>20.673398281800004</v>
      </c>
      <c r="X115" s="742">
        <f t="shared" si="115"/>
        <v>4.0950040950040949E-2</v>
      </c>
      <c r="Y115" s="548" t="s">
        <v>514</v>
      </c>
    </row>
    <row r="116" spans="1:25" ht="30">
      <c r="B116" s="440" t="s">
        <v>203</v>
      </c>
      <c r="C116" s="435"/>
      <c r="D116" s="435"/>
      <c r="E116" s="703"/>
      <c r="F116" s="1262">
        <v>0.09</v>
      </c>
      <c r="G116" s="332">
        <f t="shared" si="98"/>
        <v>0</v>
      </c>
      <c r="H116" s="332">
        <f t="shared" si="99"/>
        <v>0</v>
      </c>
      <c r="I116" s="332">
        <f t="shared" si="100"/>
        <v>0</v>
      </c>
      <c r="J116" s="332">
        <f t="shared" si="101"/>
        <v>0</v>
      </c>
      <c r="K116" s="659">
        <f t="shared" si="102"/>
        <v>0.29700000000000004</v>
      </c>
      <c r="L116" s="659">
        <f t="shared" si="103"/>
        <v>0.29700000000000004</v>
      </c>
      <c r="M116" s="659">
        <f t="shared" si="104"/>
        <v>0.29700000000000004</v>
      </c>
      <c r="N116" s="659">
        <f t="shared" si="105"/>
        <v>0.29700000000000004</v>
      </c>
      <c r="O116" s="465">
        <f t="shared" si="106"/>
        <v>1.3068000000000002</v>
      </c>
      <c r="P116" s="465">
        <f t="shared" si="107"/>
        <v>1.4374800000000003</v>
      </c>
      <c r="Q116" s="465">
        <f t="shared" si="108"/>
        <v>3.1624560000000006</v>
      </c>
      <c r="R116" s="465">
        <f t="shared" si="109"/>
        <v>3.4787016000000004</v>
      </c>
      <c r="S116" s="465">
        <f t="shared" si="110"/>
        <v>5.7398576400000012</v>
      </c>
      <c r="T116" s="465">
        <f t="shared" si="111"/>
        <v>6.3138434040000009</v>
      </c>
      <c r="U116" s="465">
        <f t="shared" si="112"/>
        <v>6.9452277444000012</v>
      </c>
      <c r="V116" s="465">
        <f t="shared" si="113"/>
        <v>7.6397505188400006</v>
      </c>
      <c r="W116" s="547">
        <f t="shared" si="114"/>
        <v>37.212116907240002</v>
      </c>
      <c r="X116" s="742">
        <f t="shared" si="115"/>
        <v>7.3710073710073695E-2</v>
      </c>
      <c r="Y116" s="548" t="s">
        <v>514</v>
      </c>
    </row>
    <row r="117" spans="1:25" ht="15" customHeight="1">
      <c r="B117" s="806" t="s">
        <v>378</v>
      </c>
      <c r="C117" s="1265"/>
      <c r="D117" s="435"/>
      <c r="E117" s="703"/>
      <c r="F117" s="1262">
        <f>0.08</f>
        <v>0.08</v>
      </c>
      <c r="G117" s="332">
        <f t="shared" si="98"/>
        <v>0</v>
      </c>
      <c r="H117" s="332">
        <f t="shared" si="99"/>
        <v>0</v>
      </c>
      <c r="I117" s="332">
        <f t="shared" si="100"/>
        <v>0</v>
      </c>
      <c r="J117" s="332">
        <f t="shared" si="101"/>
        <v>0</v>
      </c>
      <c r="K117" s="659">
        <f t="shared" si="102"/>
        <v>0.26400000000000001</v>
      </c>
      <c r="L117" s="659">
        <f t="shared" si="103"/>
        <v>0.26400000000000001</v>
      </c>
      <c r="M117" s="659">
        <f t="shared" si="104"/>
        <v>0.26400000000000001</v>
      </c>
      <c r="N117" s="659">
        <f t="shared" si="105"/>
        <v>0.26400000000000001</v>
      </c>
      <c r="O117" s="465">
        <f t="shared" si="106"/>
        <v>1.1616000000000002</v>
      </c>
      <c r="P117" s="465">
        <f t="shared" si="107"/>
        <v>1.2777600000000002</v>
      </c>
      <c r="Q117" s="465">
        <f t="shared" si="108"/>
        <v>2.8110720000000002</v>
      </c>
      <c r="R117" s="465">
        <f t="shared" si="109"/>
        <v>3.0921791999999999</v>
      </c>
      <c r="S117" s="465">
        <f t="shared" si="110"/>
        <v>5.1020956800000006</v>
      </c>
      <c r="T117" s="465">
        <f t="shared" si="111"/>
        <v>5.6123052480000002</v>
      </c>
      <c r="U117" s="465">
        <f t="shared" si="112"/>
        <v>6.1735357728000002</v>
      </c>
      <c r="V117" s="465">
        <f t="shared" si="113"/>
        <v>6.7908893500800005</v>
      </c>
      <c r="W117" s="547">
        <f t="shared" si="114"/>
        <v>33.077437250880003</v>
      </c>
      <c r="X117" s="742">
        <f t="shared" si="115"/>
        <v>6.5520065520065507E-2</v>
      </c>
      <c r="Y117" s="548" t="s">
        <v>514</v>
      </c>
    </row>
    <row r="118" spans="1:25">
      <c r="B118" s="440" t="s">
        <v>204</v>
      </c>
      <c r="C118" s="435"/>
      <c r="D118" s="435"/>
      <c r="E118" s="703"/>
      <c r="F118" s="1262">
        <v>0.01</v>
      </c>
      <c r="G118" s="332">
        <f t="shared" si="98"/>
        <v>0</v>
      </c>
      <c r="H118" s="332">
        <f t="shared" si="99"/>
        <v>0</v>
      </c>
      <c r="I118" s="332">
        <f t="shared" si="100"/>
        <v>0</v>
      </c>
      <c r="J118" s="332">
        <f t="shared" si="101"/>
        <v>0</v>
      </c>
      <c r="K118" s="659">
        <f t="shared" si="102"/>
        <v>3.3000000000000002E-2</v>
      </c>
      <c r="L118" s="659">
        <f t="shared" si="103"/>
        <v>3.3000000000000002E-2</v>
      </c>
      <c r="M118" s="659">
        <f t="shared" si="104"/>
        <v>3.3000000000000002E-2</v>
      </c>
      <c r="N118" s="659">
        <f t="shared" si="105"/>
        <v>3.3000000000000002E-2</v>
      </c>
      <c r="O118" s="465">
        <f t="shared" si="106"/>
        <v>0.14520000000000002</v>
      </c>
      <c r="P118" s="465">
        <f t="shared" si="107"/>
        <v>0.15972000000000003</v>
      </c>
      <c r="Q118" s="465">
        <f t="shared" si="108"/>
        <v>0.35138400000000003</v>
      </c>
      <c r="R118" s="465">
        <f t="shared" si="109"/>
        <v>0.38652239999999999</v>
      </c>
      <c r="S118" s="465">
        <f t="shared" si="110"/>
        <v>0.63776196000000007</v>
      </c>
      <c r="T118" s="465">
        <f t="shared" si="111"/>
        <v>0.70153815600000002</v>
      </c>
      <c r="U118" s="465">
        <f t="shared" si="112"/>
        <v>0.77169197160000003</v>
      </c>
      <c r="V118" s="465">
        <f t="shared" si="113"/>
        <v>0.84886116876000006</v>
      </c>
      <c r="W118" s="547">
        <f t="shared" si="114"/>
        <v>4.1346796563600003</v>
      </c>
      <c r="X118" s="742">
        <f t="shared" si="115"/>
        <v>8.1900081900081884E-3</v>
      </c>
      <c r="Y118" s="548" t="s">
        <v>514</v>
      </c>
    </row>
    <row r="119" spans="1:25">
      <c r="B119" s="440" t="s">
        <v>289</v>
      </c>
      <c r="C119" s="435"/>
      <c r="D119" s="435"/>
      <c r="E119" s="703"/>
      <c r="F119" s="1262">
        <v>0.05</v>
      </c>
      <c r="G119" s="332">
        <f t="shared" si="98"/>
        <v>0</v>
      </c>
      <c r="H119" s="332">
        <f t="shared" si="99"/>
        <v>0</v>
      </c>
      <c r="I119" s="332">
        <f t="shared" si="100"/>
        <v>0</v>
      </c>
      <c r="J119" s="332">
        <f t="shared" si="101"/>
        <v>0</v>
      </c>
      <c r="K119" s="659">
        <f t="shared" si="102"/>
        <v>0.16500000000000004</v>
      </c>
      <c r="L119" s="659">
        <f t="shared" si="103"/>
        <v>0.16500000000000004</v>
      </c>
      <c r="M119" s="659">
        <f t="shared" si="104"/>
        <v>0.16500000000000004</v>
      </c>
      <c r="N119" s="659">
        <f t="shared" si="105"/>
        <v>0.16500000000000004</v>
      </c>
      <c r="O119" s="465">
        <f t="shared" si="106"/>
        <v>0.7260000000000002</v>
      </c>
      <c r="P119" s="465">
        <f t="shared" si="107"/>
        <v>0.7986000000000002</v>
      </c>
      <c r="Q119" s="465">
        <f t="shared" si="108"/>
        <v>1.7569200000000005</v>
      </c>
      <c r="R119" s="465">
        <f t="shared" si="109"/>
        <v>1.9326120000000004</v>
      </c>
      <c r="S119" s="465">
        <f t="shared" si="110"/>
        <v>3.1888098000000009</v>
      </c>
      <c r="T119" s="465">
        <f t="shared" si="111"/>
        <v>3.5076907800000008</v>
      </c>
      <c r="U119" s="465">
        <f t="shared" si="112"/>
        <v>3.8584598580000011</v>
      </c>
      <c r="V119" s="465">
        <f t="shared" si="113"/>
        <v>4.2443058438000012</v>
      </c>
      <c r="W119" s="547">
        <f t="shared" si="114"/>
        <v>20.673398281800004</v>
      </c>
      <c r="X119" s="742">
        <f t="shared" si="115"/>
        <v>4.0950040950040949E-2</v>
      </c>
      <c r="Y119" s="548" t="s">
        <v>514</v>
      </c>
    </row>
    <row r="120" spans="1:25">
      <c r="B120" s="439" t="s">
        <v>229</v>
      </c>
      <c r="C120" s="1264"/>
      <c r="D120" s="1264"/>
      <c r="E120" s="703"/>
      <c r="F120" s="1262">
        <v>0.05</v>
      </c>
      <c r="G120" s="332">
        <f t="shared" si="98"/>
        <v>0</v>
      </c>
      <c r="H120" s="332">
        <f t="shared" si="99"/>
        <v>0</v>
      </c>
      <c r="I120" s="332">
        <f t="shared" si="100"/>
        <v>0</v>
      </c>
      <c r="J120" s="332">
        <f t="shared" si="101"/>
        <v>0</v>
      </c>
      <c r="K120" s="659">
        <f t="shared" si="102"/>
        <v>0.16500000000000004</v>
      </c>
      <c r="L120" s="659">
        <f t="shared" si="103"/>
        <v>0.16500000000000004</v>
      </c>
      <c r="M120" s="659">
        <f t="shared" si="104"/>
        <v>0.16500000000000004</v>
      </c>
      <c r="N120" s="659">
        <f t="shared" si="105"/>
        <v>0.16500000000000004</v>
      </c>
      <c r="O120" s="465">
        <f t="shared" si="106"/>
        <v>0.7260000000000002</v>
      </c>
      <c r="P120" s="465">
        <f t="shared" si="107"/>
        <v>0.7986000000000002</v>
      </c>
      <c r="Q120" s="465">
        <f t="shared" si="108"/>
        <v>1.7569200000000005</v>
      </c>
      <c r="R120" s="465">
        <f t="shared" si="109"/>
        <v>1.9326120000000004</v>
      </c>
      <c r="S120" s="465">
        <f t="shared" si="110"/>
        <v>3.1888098000000009</v>
      </c>
      <c r="T120" s="465">
        <f t="shared" si="111"/>
        <v>3.5076907800000008</v>
      </c>
      <c r="U120" s="465">
        <f t="shared" si="112"/>
        <v>3.8584598580000011</v>
      </c>
      <c r="V120" s="465">
        <f t="shared" si="113"/>
        <v>4.2443058438000012</v>
      </c>
      <c r="W120" s="547">
        <f t="shared" si="114"/>
        <v>20.673398281800004</v>
      </c>
      <c r="X120" s="742">
        <f>W120/$W$123</f>
        <v>4.0950040950040949E-2</v>
      </c>
      <c r="Y120" s="548" t="s">
        <v>514</v>
      </c>
    </row>
    <row r="121" spans="1:25">
      <c r="B121" s="441" t="s">
        <v>381</v>
      </c>
      <c r="C121" s="1161"/>
      <c r="D121" s="1161"/>
      <c r="E121" s="703"/>
      <c r="F121" s="1262">
        <v>0.16</v>
      </c>
      <c r="G121" s="332">
        <f t="shared" si="98"/>
        <v>0</v>
      </c>
      <c r="H121" s="332">
        <f t="shared" si="99"/>
        <v>0</v>
      </c>
      <c r="I121" s="332">
        <f t="shared" si="100"/>
        <v>0</v>
      </c>
      <c r="J121" s="332">
        <f t="shared" si="101"/>
        <v>0</v>
      </c>
      <c r="K121" s="659">
        <f t="shared" si="102"/>
        <v>0.52800000000000002</v>
      </c>
      <c r="L121" s="659">
        <f t="shared" si="103"/>
        <v>0.52800000000000002</v>
      </c>
      <c r="M121" s="659">
        <f t="shared" si="104"/>
        <v>0.52800000000000002</v>
      </c>
      <c r="N121" s="659">
        <f t="shared" si="105"/>
        <v>0.52800000000000002</v>
      </c>
      <c r="O121" s="465">
        <f t="shared" si="106"/>
        <v>2.3232000000000004</v>
      </c>
      <c r="P121" s="465">
        <f t="shared" si="107"/>
        <v>2.5555200000000005</v>
      </c>
      <c r="Q121" s="465">
        <f t="shared" si="108"/>
        <v>5.6221440000000005</v>
      </c>
      <c r="R121" s="465">
        <f t="shared" si="109"/>
        <v>6.1843583999999998</v>
      </c>
      <c r="S121" s="465">
        <f t="shared" si="110"/>
        <v>10.204191360000001</v>
      </c>
      <c r="T121" s="465">
        <f t="shared" si="111"/>
        <v>11.224610496</v>
      </c>
      <c r="U121" s="465">
        <f t="shared" si="112"/>
        <v>12.3470715456</v>
      </c>
      <c r="V121" s="465">
        <f t="shared" si="113"/>
        <v>13.581778700160001</v>
      </c>
      <c r="W121" s="547">
        <f t="shared" si="114"/>
        <v>66.154874501760006</v>
      </c>
      <c r="X121" s="742">
        <f>W121/$W$123</f>
        <v>0.13104013104013101</v>
      </c>
      <c r="Y121" s="548" t="s">
        <v>514</v>
      </c>
    </row>
    <row r="122" spans="1:25">
      <c r="B122" s="440" t="s">
        <v>746</v>
      </c>
      <c r="C122" s="1266" t="s">
        <v>484</v>
      </c>
      <c r="D122" s="1267">
        <f>SUM(F111:F121)</f>
        <v>1.1100000000000001</v>
      </c>
      <c r="E122" s="703"/>
      <c r="F122" s="1262">
        <f>D122*10%</f>
        <v>0.11100000000000002</v>
      </c>
      <c r="G122" s="332">
        <f t="shared" si="98"/>
        <v>0</v>
      </c>
      <c r="H122" s="332">
        <f t="shared" si="99"/>
        <v>0</v>
      </c>
      <c r="I122" s="332">
        <f t="shared" si="100"/>
        <v>0</v>
      </c>
      <c r="J122" s="332">
        <f t="shared" si="101"/>
        <v>0</v>
      </c>
      <c r="K122" s="659">
        <f t="shared" si="102"/>
        <v>0.36630000000000013</v>
      </c>
      <c r="L122" s="659">
        <f t="shared" si="103"/>
        <v>0.36630000000000013</v>
      </c>
      <c r="M122" s="659">
        <f t="shared" si="104"/>
        <v>0.36630000000000013</v>
      </c>
      <c r="N122" s="659">
        <f t="shared" si="105"/>
        <v>0.36630000000000013</v>
      </c>
      <c r="O122" s="465">
        <f t="shared" si="106"/>
        <v>1.6117200000000007</v>
      </c>
      <c r="P122" s="465">
        <f t="shared" si="107"/>
        <v>1.7728920000000006</v>
      </c>
      <c r="Q122" s="465">
        <f t="shared" si="108"/>
        <v>3.9003624000000015</v>
      </c>
      <c r="R122" s="465">
        <f t="shared" si="109"/>
        <v>4.2903986400000012</v>
      </c>
      <c r="S122" s="465">
        <f t="shared" si="110"/>
        <v>7.0791577560000025</v>
      </c>
      <c r="T122" s="465">
        <f t="shared" si="111"/>
        <v>7.7870735316000017</v>
      </c>
      <c r="U122" s="465">
        <f t="shared" si="112"/>
        <v>8.5657808847600023</v>
      </c>
      <c r="V122" s="465">
        <f t="shared" si="113"/>
        <v>9.4223589732360029</v>
      </c>
      <c r="W122" s="547">
        <f t="shared" si="114"/>
        <v>45.89494418559601</v>
      </c>
      <c r="X122" s="742">
        <f>W122/$W$123</f>
        <v>9.0909090909090912E-2</v>
      </c>
      <c r="Y122" s="548" t="s">
        <v>514</v>
      </c>
    </row>
    <row r="123" spans="1:25" ht="27" customHeight="1">
      <c r="B123" s="459" t="s">
        <v>400</v>
      </c>
      <c r="C123" s="459"/>
      <c r="D123" s="459"/>
      <c r="E123" s="505"/>
      <c r="F123" s="505">
        <f>SUM(E111:F122)</f>
        <v>1.2210000000000001</v>
      </c>
      <c r="G123" s="466">
        <f t="shared" ref="G123:V123" si="116">SUM(G111:G122)</f>
        <v>0</v>
      </c>
      <c r="H123" s="466">
        <f t="shared" si="116"/>
        <v>0</v>
      </c>
      <c r="I123" s="466">
        <f t="shared" si="116"/>
        <v>0</v>
      </c>
      <c r="J123" s="466">
        <f t="shared" si="116"/>
        <v>0</v>
      </c>
      <c r="K123" s="466">
        <f t="shared" si="116"/>
        <v>4.0293000000000001</v>
      </c>
      <c r="L123" s="466">
        <f t="shared" si="116"/>
        <v>4.0293000000000001</v>
      </c>
      <c r="M123" s="466">
        <f t="shared" si="116"/>
        <v>4.0293000000000001</v>
      </c>
      <c r="N123" s="466">
        <f t="shared" si="116"/>
        <v>4.0293000000000001</v>
      </c>
      <c r="O123" s="466">
        <f t="shared" si="116"/>
        <v>17.728920000000009</v>
      </c>
      <c r="P123" s="466">
        <f t="shared" si="116"/>
        <v>19.501812000000008</v>
      </c>
      <c r="Q123" s="466">
        <f t="shared" si="116"/>
        <v>42.903986400000008</v>
      </c>
      <c r="R123" s="466">
        <f t="shared" si="116"/>
        <v>47.19438504</v>
      </c>
      <c r="S123" s="466">
        <f t="shared" si="116"/>
        <v>77.870735316000022</v>
      </c>
      <c r="T123" s="466">
        <f t="shared" si="116"/>
        <v>85.657808847600009</v>
      </c>
      <c r="U123" s="466">
        <f t="shared" si="116"/>
        <v>94.223589732360026</v>
      </c>
      <c r="V123" s="466">
        <f t="shared" si="116"/>
        <v>103.64594870559601</v>
      </c>
      <c r="W123" s="566">
        <f t="shared" si="114"/>
        <v>504.84438604155611</v>
      </c>
      <c r="X123" s="742">
        <f>W123/W128</f>
        <v>4.4880297148641599E-2</v>
      </c>
      <c r="Y123" s="548" t="s">
        <v>523</v>
      </c>
    </row>
    <row r="124" spans="1:25" s="581" customFormat="1" ht="27" customHeight="1">
      <c r="A124" s="785"/>
      <c r="B124" s="1161"/>
      <c r="C124" s="1161"/>
      <c r="D124" s="1161"/>
      <c r="E124" s="535"/>
      <c r="F124" s="535"/>
      <c r="G124" s="1162"/>
      <c r="H124" s="1162"/>
      <c r="I124" s="1162"/>
      <c r="J124" s="1162"/>
      <c r="K124" s="1162"/>
      <c r="L124" s="1162"/>
      <c r="M124" s="1162"/>
      <c r="N124" s="1162"/>
      <c r="O124" s="1162"/>
      <c r="P124" s="1162"/>
      <c r="Q124" s="1162"/>
      <c r="R124" s="1162"/>
      <c r="S124" s="1162"/>
      <c r="T124" s="1162"/>
      <c r="U124" s="1162"/>
      <c r="V124" s="1162"/>
      <c r="W124" s="786"/>
      <c r="X124" s="1144"/>
      <c r="Y124" s="785"/>
    </row>
    <row r="125" spans="1:25" s="1160" customFormat="1" ht="27" customHeight="1">
      <c r="A125" s="504"/>
      <c r="B125" s="459" t="s">
        <v>833</v>
      </c>
      <c r="C125" s="459"/>
      <c r="D125" s="459"/>
      <c r="E125" s="505"/>
      <c r="F125" s="505"/>
      <c r="G125" s="466">
        <f t="shared" ref="G125:V125" si="117">G44+G123</f>
        <v>0</v>
      </c>
      <c r="H125" s="466">
        <f t="shared" si="117"/>
        <v>0</v>
      </c>
      <c r="I125" s="466">
        <f t="shared" si="117"/>
        <v>0</v>
      </c>
      <c r="J125" s="466">
        <f t="shared" si="117"/>
        <v>0</v>
      </c>
      <c r="K125" s="466">
        <f t="shared" si="117"/>
        <v>6.6692999999999998</v>
      </c>
      <c r="L125" s="466">
        <f t="shared" si="117"/>
        <v>6.6692999999999998</v>
      </c>
      <c r="M125" s="466">
        <f t="shared" si="117"/>
        <v>6.6692999999999998</v>
      </c>
      <c r="N125" s="466">
        <f t="shared" si="117"/>
        <v>6.6692999999999998</v>
      </c>
      <c r="O125" s="466">
        <f t="shared" si="117"/>
        <v>29.344920000000013</v>
      </c>
      <c r="P125" s="466">
        <f t="shared" si="117"/>
        <v>32.279412000000008</v>
      </c>
      <c r="Q125" s="466">
        <f t="shared" si="117"/>
        <v>71.014706400000009</v>
      </c>
      <c r="R125" s="466">
        <f t="shared" si="117"/>
        <v>78.116177039999997</v>
      </c>
      <c r="S125" s="466">
        <f t="shared" si="117"/>
        <v>128.89169211600003</v>
      </c>
      <c r="T125" s="466">
        <f t="shared" si="117"/>
        <v>141.78086132760001</v>
      </c>
      <c r="U125" s="466">
        <f t="shared" si="117"/>
        <v>155.95894746036004</v>
      </c>
      <c r="V125" s="466">
        <f t="shared" si="117"/>
        <v>171.55484220639602</v>
      </c>
      <c r="W125" s="566">
        <f t="shared" si="114"/>
        <v>835.61875855035601</v>
      </c>
      <c r="X125" s="756"/>
      <c r="Y125" s="504"/>
    </row>
    <row r="126" spans="1:25" s="581" customFormat="1" ht="27" customHeight="1">
      <c r="A126" s="785"/>
      <c r="B126" s="1161"/>
      <c r="C126" s="1161"/>
      <c r="D126" s="1161"/>
      <c r="E126" s="535"/>
      <c r="F126" s="535"/>
      <c r="G126" s="1162"/>
      <c r="H126" s="1162"/>
      <c r="I126" s="1162"/>
      <c r="J126" s="1162"/>
      <c r="K126" s="1162"/>
      <c r="L126" s="1162"/>
      <c r="M126" s="1162"/>
      <c r="N126" s="1162"/>
      <c r="O126" s="1162"/>
      <c r="P126" s="1162"/>
      <c r="Q126" s="1162"/>
      <c r="R126" s="1162"/>
      <c r="S126" s="1162"/>
      <c r="T126" s="1162"/>
      <c r="U126" s="1162"/>
      <c r="V126" s="1162"/>
      <c r="W126" s="786"/>
      <c r="X126" s="1144"/>
      <c r="Y126" s="785"/>
    </row>
    <row r="127" spans="1:25">
      <c r="B127" s="533"/>
      <c r="C127" s="533"/>
      <c r="D127" s="533"/>
      <c r="E127" s="534"/>
      <c r="F127" s="535"/>
      <c r="G127" s="535"/>
      <c r="H127" s="535"/>
      <c r="I127" s="535"/>
      <c r="J127" s="535"/>
      <c r="K127" s="758"/>
      <c r="L127" s="758"/>
      <c r="M127" s="758"/>
      <c r="N127" s="758"/>
      <c r="O127" s="758"/>
      <c r="P127" s="758"/>
      <c r="Q127" s="758"/>
      <c r="R127" s="758"/>
      <c r="S127" s="758"/>
      <c r="T127" s="758"/>
      <c r="U127" s="758"/>
      <c r="V127" s="758"/>
      <c r="W127" s="508"/>
    </row>
    <row r="128" spans="1:25" ht="17.25">
      <c r="A128" s="777"/>
      <c r="B128" s="778" t="s">
        <v>666</v>
      </c>
      <c r="C128" s="778"/>
      <c r="D128" s="778"/>
      <c r="E128" s="779"/>
      <c r="F128" s="780"/>
      <c r="G128" s="781">
        <f t="shared" ref="G128:V128" si="118">G70+G87+G123+G103</f>
        <v>22.446850000000001</v>
      </c>
      <c r="H128" s="781">
        <f t="shared" si="118"/>
        <v>32.433700000000002</v>
      </c>
      <c r="I128" s="781">
        <f t="shared" si="118"/>
        <v>39.855550000000008</v>
      </c>
      <c r="J128" s="781">
        <f t="shared" si="118"/>
        <v>47.2774</v>
      </c>
      <c r="K128" s="781">
        <f t="shared" si="118"/>
        <v>72.112975000000006</v>
      </c>
      <c r="L128" s="781">
        <f t="shared" si="118"/>
        <v>79.544409999999999</v>
      </c>
      <c r="M128" s="781">
        <f t="shared" si="118"/>
        <v>89.797345000000007</v>
      </c>
      <c r="N128" s="781">
        <f t="shared" si="118"/>
        <v>97.228780000000015</v>
      </c>
      <c r="O128" s="781">
        <f t="shared" si="118"/>
        <v>593.60408800000005</v>
      </c>
      <c r="P128" s="781">
        <f t="shared" si="118"/>
        <v>748.90259840000022</v>
      </c>
      <c r="Q128" s="781">
        <f t="shared" si="118"/>
        <v>941.7917272000002</v>
      </c>
      <c r="R128" s="781">
        <f t="shared" si="118"/>
        <v>1158.8589258560003</v>
      </c>
      <c r="S128" s="781">
        <f t="shared" si="118"/>
        <v>1363.9663253032002</v>
      </c>
      <c r="T128" s="781">
        <f t="shared" si="118"/>
        <v>1649.3359922160803</v>
      </c>
      <c r="U128" s="781">
        <f t="shared" si="118"/>
        <v>1978.3088592585041</v>
      </c>
      <c r="V128" s="781">
        <f t="shared" si="118"/>
        <v>2333.2208264775918</v>
      </c>
      <c r="W128" s="566">
        <f>G128+H128+I128+J128+K128+L128+M128+N128+O128+P128+Q128+R128+S128+T128+U128+V128</f>
        <v>11248.686352711378</v>
      </c>
      <c r="X128" s="740">
        <f>W128/'Fin Smmry'!R21</f>
        <v>0.44312058511737612</v>
      </c>
      <c r="Y128" s="548" t="s">
        <v>524</v>
      </c>
    </row>
    <row r="129" spans="1:25">
      <c r="E129" s="463"/>
    </row>
    <row r="130" spans="1:25">
      <c r="B130" s="507" t="s">
        <v>761</v>
      </c>
      <c r="E130" s="463"/>
      <c r="G130" s="629">
        <f>'Key Assumptions'!K32</f>
        <v>3</v>
      </c>
      <c r="H130" s="629">
        <f>'Key Assumptions'!L32</f>
        <v>3</v>
      </c>
      <c r="I130" s="629">
        <f>'Key Assumptions'!M32</f>
        <v>3</v>
      </c>
      <c r="J130" s="629">
        <f>'Key Assumptions'!N32</f>
        <v>3</v>
      </c>
      <c r="K130" s="629">
        <f>'Key Assumptions'!O32</f>
        <v>3</v>
      </c>
      <c r="L130" s="629">
        <f>'Key Assumptions'!P32</f>
        <v>3</v>
      </c>
      <c r="M130" s="629">
        <f>'Key Assumptions'!Q32</f>
        <v>3</v>
      </c>
      <c r="N130" s="629">
        <f>'Key Assumptions'!R32</f>
        <v>3</v>
      </c>
      <c r="O130" s="629">
        <f>'Key Assumptions'!S32</f>
        <v>12</v>
      </c>
      <c r="P130" s="629">
        <f>'Key Assumptions'!T32</f>
        <v>12</v>
      </c>
      <c r="Q130" s="629">
        <f>'Key Assumptions'!U32</f>
        <v>12</v>
      </c>
      <c r="R130" s="629">
        <f>'Key Assumptions'!V32</f>
        <v>12</v>
      </c>
      <c r="S130" s="629">
        <f>'Key Assumptions'!W32</f>
        <v>12</v>
      </c>
      <c r="T130" s="629">
        <f>'Key Assumptions'!X32</f>
        <v>12</v>
      </c>
      <c r="U130" s="629">
        <f>'Key Assumptions'!Y32</f>
        <v>12</v>
      </c>
      <c r="V130" s="629">
        <f>'Key Assumptions'!Z32</f>
        <v>12</v>
      </c>
      <c r="W130" s="1256">
        <f>SUM(G130:V130)</f>
        <v>120</v>
      </c>
    </row>
    <row r="131" spans="1:25">
      <c r="B131" s="507" t="s">
        <v>861</v>
      </c>
      <c r="E131" s="463"/>
      <c r="G131" s="629">
        <f>'Key Assumptions'!K56</f>
        <v>2</v>
      </c>
      <c r="H131" s="629">
        <f>'Key Assumptions'!L56</f>
        <v>3</v>
      </c>
      <c r="I131" s="629">
        <f>'Key Assumptions'!M56</f>
        <v>2</v>
      </c>
      <c r="J131" s="629">
        <f>'Key Assumptions'!N56</f>
        <v>2</v>
      </c>
      <c r="K131" s="629">
        <f>'Key Assumptions'!O56</f>
        <v>5</v>
      </c>
      <c r="L131" s="629">
        <f>'Key Assumptions'!P56</f>
        <v>2</v>
      </c>
      <c r="M131" s="629">
        <f>'Key Assumptions'!Q56</f>
        <v>3</v>
      </c>
      <c r="N131" s="629">
        <f>'Key Assumptions'!R56</f>
        <v>2</v>
      </c>
      <c r="O131" s="629">
        <f>'Key Assumptions'!S56</f>
        <v>12</v>
      </c>
      <c r="P131" s="629">
        <f>'Key Assumptions'!T56</f>
        <v>5</v>
      </c>
      <c r="Q131" s="629">
        <f>'Key Assumptions'!U56</f>
        <v>4</v>
      </c>
      <c r="R131" s="629">
        <f>'Key Assumptions'!V56</f>
        <v>5</v>
      </c>
      <c r="S131" s="629">
        <f>'Key Assumptions'!W56</f>
        <v>1</v>
      </c>
      <c r="T131" s="629">
        <f>'Key Assumptions'!X56</f>
        <v>5</v>
      </c>
      <c r="U131" s="629">
        <f>'Key Assumptions'!Y56</f>
        <v>5</v>
      </c>
      <c r="V131" s="629">
        <f>'Key Assumptions'!Z56</f>
        <v>4</v>
      </c>
      <c r="W131" s="1256">
        <f>SUM(G131:V131)</f>
        <v>62</v>
      </c>
    </row>
    <row r="132" spans="1:25" ht="35.25" customHeight="1">
      <c r="B132" s="783" t="s">
        <v>564</v>
      </c>
      <c r="C132" s="478" t="s">
        <v>613</v>
      </c>
      <c r="D132" s="478" t="s">
        <v>760</v>
      </c>
    </row>
    <row r="133" spans="1:25" ht="23.25" customHeight="1">
      <c r="B133" s="507" t="s">
        <v>558</v>
      </c>
      <c r="C133" s="629">
        <f>'Key Assumptions'!M94</f>
        <v>25</v>
      </c>
      <c r="D133" s="164">
        <f>'Key Assumptions'!K94</f>
        <v>1200</v>
      </c>
      <c r="E133" s="630"/>
      <c r="G133" s="519">
        <f>($C$133*$D$133*((G130*$E$25)+(G131*$E$31))/10^5)*G6</f>
        <v>3.6</v>
      </c>
      <c r="H133" s="519">
        <f t="shared" ref="H133:O133" si="119">($C$133*$D$133*((H130*$E$25)+(H131*$E$31))/10^5)*H6</f>
        <v>4.5</v>
      </c>
      <c r="I133" s="519">
        <f t="shared" si="119"/>
        <v>3.6</v>
      </c>
      <c r="J133" s="519">
        <f t="shared" si="119"/>
        <v>3.6</v>
      </c>
      <c r="K133" s="519">
        <f t="shared" si="119"/>
        <v>6.9300000000000006</v>
      </c>
      <c r="L133" s="519">
        <f t="shared" si="119"/>
        <v>3.9600000000000004</v>
      </c>
      <c r="M133" s="519">
        <f t="shared" si="119"/>
        <v>4.95</v>
      </c>
      <c r="N133" s="519">
        <f t="shared" si="119"/>
        <v>3.9600000000000004</v>
      </c>
      <c r="O133" s="519">
        <f t="shared" si="119"/>
        <v>21.780000000000005</v>
      </c>
      <c r="P133" s="519"/>
      <c r="Q133" s="519"/>
      <c r="R133" s="519"/>
      <c r="S133" s="519"/>
      <c r="T133" s="519"/>
      <c r="U133" s="519"/>
      <c r="V133" s="519"/>
    </row>
    <row r="134" spans="1:25" ht="30" customHeight="1">
      <c r="B134" s="631" t="s">
        <v>560</v>
      </c>
      <c r="C134" s="627"/>
      <c r="D134" s="627"/>
      <c r="E134" s="632"/>
      <c r="F134" s="627"/>
      <c r="G134" s="661">
        <f t="shared" ref="G134:N134" si="120">G133</f>
        <v>3.6</v>
      </c>
      <c r="H134" s="661">
        <f t="shared" si="120"/>
        <v>4.5</v>
      </c>
      <c r="I134" s="661">
        <f t="shared" si="120"/>
        <v>3.6</v>
      </c>
      <c r="J134" s="661">
        <f t="shared" si="120"/>
        <v>3.6</v>
      </c>
      <c r="K134" s="628">
        <f t="shared" si="120"/>
        <v>6.9300000000000006</v>
      </c>
      <c r="L134" s="628">
        <f t="shared" si="120"/>
        <v>3.9600000000000004</v>
      </c>
      <c r="M134" s="628">
        <f t="shared" si="120"/>
        <v>4.95</v>
      </c>
      <c r="N134" s="628">
        <f t="shared" si="120"/>
        <v>3.9600000000000004</v>
      </c>
      <c r="O134" s="628">
        <f t="shared" ref="O134:V134" si="121">O133</f>
        <v>21.780000000000005</v>
      </c>
      <c r="P134" s="628">
        <f t="shared" si="121"/>
        <v>0</v>
      </c>
      <c r="Q134" s="628">
        <f t="shared" si="121"/>
        <v>0</v>
      </c>
      <c r="R134" s="628">
        <f t="shared" si="121"/>
        <v>0</v>
      </c>
      <c r="S134" s="628">
        <f t="shared" si="121"/>
        <v>0</v>
      </c>
      <c r="T134" s="628">
        <f t="shared" si="121"/>
        <v>0</v>
      </c>
      <c r="U134" s="628">
        <f t="shared" si="121"/>
        <v>0</v>
      </c>
      <c r="V134" s="628">
        <f t="shared" si="121"/>
        <v>0</v>
      </c>
      <c r="W134" s="566">
        <f>G134+H134+I134+J134+K134+L134+M134+N134+O134+P134+Q134+R134+S134+T134+U134+V134</f>
        <v>56.88000000000001</v>
      </c>
      <c r="X134" s="782">
        <f>W134-'Fin Smmry'!R17</f>
        <v>0</v>
      </c>
      <c r="Y134" s="463"/>
    </row>
    <row r="135" spans="1:25" s="581" customFormat="1" ht="30" customHeight="1">
      <c r="A135" s="785"/>
      <c r="C135" s="792"/>
      <c r="D135" s="792"/>
      <c r="E135" s="793"/>
      <c r="F135" s="792"/>
      <c r="G135" s="794"/>
      <c r="H135" s="794"/>
      <c r="I135" s="794"/>
      <c r="J135" s="794"/>
      <c r="K135" s="795"/>
      <c r="L135" s="795"/>
      <c r="M135" s="795"/>
      <c r="N135" s="795"/>
      <c r="O135" s="795"/>
      <c r="P135" s="795"/>
      <c r="Q135" s="795"/>
      <c r="R135" s="795"/>
      <c r="S135" s="795"/>
      <c r="T135" s="795"/>
      <c r="U135" s="795"/>
      <c r="V135" s="795"/>
      <c r="W135" s="786"/>
      <c r="X135" s="796"/>
    </row>
    <row r="136" spans="1:25" s="789" customFormat="1">
      <c r="A136" s="797"/>
      <c r="B136" s="789" t="s">
        <v>759</v>
      </c>
      <c r="E136" s="797"/>
      <c r="G136" s="789">
        <f>'Key Assumptions'!K56</f>
        <v>2</v>
      </c>
      <c r="H136" s="789">
        <f>'Key Assumptions'!L56</f>
        <v>3</v>
      </c>
      <c r="I136" s="789">
        <f>'Key Assumptions'!M56</f>
        <v>2</v>
      </c>
      <c r="J136" s="789">
        <f>'Key Assumptions'!N56</f>
        <v>2</v>
      </c>
      <c r="K136" s="789">
        <f>'Key Assumptions'!O56</f>
        <v>5</v>
      </c>
      <c r="L136" s="789">
        <f>'Key Assumptions'!P56</f>
        <v>2</v>
      </c>
      <c r="M136" s="789">
        <f>'Key Assumptions'!Q56</f>
        <v>3</v>
      </c>
      <c r="N136" s="789">
        <f>'Key Assumptions'!R56</f>
        <v>2</v>
      </c>
      <c r="O136" s="789">
        <f>'Key Assumptions'!S56</f>
        <v>12</v>
      </c>
      <c r="P136" s="789">
        <f>'Key Assumptions'!T56</f>
        <v>5</v>
      </c>
      <c r="Q136" s="789">
        <f>'Key Assumptions'!U56</f>
        <v>4</v>
      </c>
      <c r="R136" s="789">
        <f>'Key Assumptions'!V56</f>
        <v>5</v>
      </c>
      <c r="S136" s="789">
        <f>'Key Assumptions'!W56</f>
        <v>1</v>
      </c>
      <c r="T136" s="789">
        <f>'Key Assumptions'!X56</f>
        <v>5</v>
      </c>
      <c r="U136" s="789">
        <f>'Key Assumptions'!Y56</f>
        <v>5</v>
      </c>
      <c r="V136" s="789">
        <f>'Key Assumptions'!Z56</f>
        <v>4</v>
      </c>
      <c r="W136" s="799">
        <f>SUM(G136:V136)</f>
        <v>62</v>
      </c>
      <c r="X136" s="797"/>
    </row>
    <row r="137" spans="1:25" s="789" customFormat="1">
      <c r="A137" s="797"/>
      <c r="B137" s="798" t="s">
        <v>774</v>
      </c>
      <c r="C137" s="789" t="s">
        <v>702</v>
      </c>
      <c r="D137" s="789" t="s">
        <v>703</v>
      </c>
      <c r="E137" s="797"/>
      <c r="X137" s="797"/>
    </row>
    <row r="138" spans="1:25" s="789" customFormat="1">
      <c r="A138" s="797"/>
      <c r="B138" s="788" t="s">
        <v>701</v>
      </c>
      <c r="C138" s="790">
        <v>1</v>
      </c>
      <c r="D138" s="790">
        <f>80000/10^5</f>
        <v>0.8</v>
      </c>
      <c r="E138" s="797"/>
      <c r="F138" s="791"/>
      <c r="G138" s="629">
        <f>$D$138*$C$138*G136*G6</f>
        <v>1.6</v>
      </c>
      <c r="H138" s="629">
        <f t="shared" ref="H138:V138" si="122">$D$138*$C$138*H136*H6</f>
        <v>2.4000000000000004</v>
      </c>
      <c r="I138" s="629">
        <f t="shared" si="122"/>
        <v>1.6</v>
      </c>
      <c r="J138" s="629">
        <f t="shared" si="122"/>
        <v>1.6</v>
      </c>
      <c r="K138" s="629">
        <f t="shared" si="122"/>
        <v>4.4000000000000004</v>
      </c>
      <c r="L138" s="629">
        <f t="shared" si="122"/>
        <v>1.7600000000000002</v>
      </c>
      <c r="M138" s="629">
        <f t="shared" si="122"/>
        <v>2.6400000000000006</v>
      </c>
      <c r="N138" s="629">
        <f t="shared" si="122"/>
        <v>1.7600000000000002</v>
      </c>
      <c r="O138" s="629">
        <f t="shared" si="122"/>
        <v>11.616000000000003</v>
      </c>
      <c r="P138" s="629">
        <f t="shared" si="122"/>
        <v>5.3240000000000007</v>
      </c>
      <c r="Q138" s="629">
        <f t="shared" si="122"/>
        <v>4.6851200000000004</v>
      </c>
      <c r="R138" s="629">
        <f t="shared" si="122"/>
        <v>6.4420400000000004</v>
      </c>
      <c r="S138" s="629">
        <f t="shared" si="122"/>
        <v>1.4172488000000003</v>
      </c>
      <c r="T138" s="629">
        <f t="shared" si="122"/>
        <v>7.7948684000000004</v>
      </c>
      <c r="U138" s="629">
        <f t="shared" si="122"/>
        <v>8.5743552400000009</v>
      </c>
      <c r="V138" s="629">
        <f t="shared" si="122"/>
        <v>7.5454326112000007</v>
      </c>
      <c r="W138" s="1256">
        <f>SUM(G138:V138)</f>
        <v>71.159065051200002</v>
      </c>
      <c r="X138" s="797"/>
    </row>
    <row r="139" spans="1:25" s="789" customFormat="1">
      <c r="A139" s="797"/>
      <c r="B139" s="789" t="s">
        <v>757</v>
      </c>
      <c r="C139" s="790">
        <v>1</v>
      </c>
      <c r="D139" s="790">
        <f>250000/10^5</f>
        <v>2.5</v>
      </c>
      <c r="E139" s="797"/>
      <c r="G139" s="629">
        <f>$D$139*$C$139*G136*G6</f>
        <v>5</v>
      </c>
      <c r="H139" s="629">
        <f t="shared" ref="H139:V139" si="123">$D$139*$C$139*H136*H6</f>
        <v>7.5</v>
      </c>
      <c r="I139" s="629">
        <f t="shared" si="123"/>
        <v>5</v>
      </c>
      <c r="J139" s="629">
        <f t="shared" si="123"/>
        <v>5</v>
      </c>
      <c r="K139" s="629">
        <f t="shared" si="123"/>
        <v>13.750000000000002</v>
      </c>
      <c r="L139" s="629">
        <f t="shared" si="123"/>
        <v>5.5</v>
      </c>
      <c r="M139" s="629">
        <f t="shared" si="123"/>
        <v>8.25</v>
      </c>
      <c r="N139" s="629">
        <f t="shared" si="123"/>
        <v>5.5</v>
      </c>
      <c r="O139" s="629">
        <f t="shared" si="123"/>
        <v>36.300000000000004</v>
      </c>
      <c r="P139" s="629">
        <f t="shared" si="123"/>
        <v>16.637500000000003</v>
      </c>
      <c r="Q139" s="629">
        <f t="shared" si="123"/>
        <v>14.641000000000002</v>
      </c>
      <c r="R139" s="629">
        <f t="shared" si="123"/>
        <v>20.131375000000002</v>
      </c>
      <c r="S139" s="629">
        <f t="shared" si="123"/>
        <v>4.4289025000000004</v>
      </c>
      <c r="T139" s="629">
        <f t="shared" si="123"/>
        <v>24.358963750000001</v>
      </c>
      <c r="U139" s="629">
        <f t="shared" si="123"/>
        <v>26.794860125000003</v>
      </c>
      <c r="V139" s="629">
        <f t="shared" si="123"/>
        <v>23.57947691</v>
      </c>
      <c r="W139" s="1256">
        <f>SUM(G139:V139)</f>
        <v>222.37207828500001</v>
      </c>
      <c r="X139" s="797"/>
    </row>
    <row r="140" spans="1:25" s="789" customFormat="1">
      <c r="A140" s="797"/>
      <c r="B140" s="789" t="s">
        <v>758</v>
      </c>
      <c r="C140" s="790">
        <v>1</v>
      </c>
      <c r="D140" s="790">
        <f>20000/10^5</f>
        <v>0.2</v>
      </c>
      <c r="E140" s="797"/>
      <c r="G140" s="629">
        <f>$D$140*$C$140*G136*G6</f>
        <v>0.4</v>
      </c>
      <c r="H140" s="629">
        <f t="shared" ref="H140:V140" si="124">$D$140*$C$140*H136*H6</f>
        <v>0.60000000000000009</v>
      </c>
      <c r="I140" s="629">
        <f t="shared" si="124"/>
        <v>0.4</v>
      </c>
      <c r="J140" s="629">
        <f t="shared" si="124"/>
        <v>0.4</v>
      </c>
      <c r="K140" s="629">
        <f t="shared" si="124"/>
        <v>1.1000000000000001</v>
      </c>
      <c r="L140" s="629">
        <f t="shared" si="124"/>
        <v>0.44000000000000006</v>
      </c>
      <c r="M140" s="629">
        <f t="shared" si="124"/>
        <v>0.66000000000000014</v>
      </c>
      <c r="N140" s="629">
        <f t="shared" si="124"/>
        <v>0.44000000000000006</v>
      </c>
      <c r="O140" s="629">
        <f t="shared" si="124"/>
        <v>2.9040000000000008</v>
      </c>
      <c r="P140" s="629">
        <f t="shared" si="124"/>
        <v>1.3310000000000002</v>
      </c>
      <c r="Q140" s="629">
        <f t="shared" si="124"/>
        <v>1.1712800000000001</v>
      </c>
      <c r="R140" s="629">
        <f t="shared" si="124"/>
        <v>1.6105100000000001</v>
      </c>
      <c r="S140" s="629">
        <f t="shared" si="124"/>
        <v>0.35431220000000008</v>
      </c>
      <c r="T140" s="629">
        <f t="shared" si="124"/>
        <v>1.9487171000000001</v>
      </c>
      <c r="U140" s="629">
        <f t="shared" si="124"/>
        <v>2.1435888100000002</v>
      </c>
      <c r="V140" s="629">
        <f t="shared" si="124"/>
        <v>1.8863581528000002</v>
      </c>
      <c r="W140" s="1256">
        <f>SUM(G140:V140)</f>
        <v>17.789766262800001</v>
      </c>
      <c r="X140" s="797"/>
    </row>
    <row r="141" spans="1:25" s="801" customFormat="1">
      <c r="A141" s="800"/>
      <c r="E141" s="800"/>
      <c r="G141" s="1257">
        <f t="shared" ref="G141:V141" si="125">SUM(G138:G140)</f>
        <v>7</v>
      </c>
      <c r="H141" s="1257">
        <f t="shared" si="125"/>
        <v>10.5</v>
      </c>
      <c r="I141" s="1257">
        <f t="shared" si="125"/>
        <v>7</v>
      </c>
      <c r="J141" s="1257">
        <f t="shared" si="125"/>
        <v>7</v>
      </c>
      <c r="K141" s="1257">
        <f t="shared" si="125"/>
        <v>19.250000000000004</v>
      </c>
      <c r="L141" s="1257">
        <f t="shared" si="125"/>
        <v>7.7</v>
      </c>
      <c r="M141" s="1257">
        <f t="shared" si="125"/>
        <v>11.55</v>
      </c>
      <c r="N141" s="1257">
        <f t="shared" si="125"/>
        <v>7.7</v>
      </c>
      <c r="O141" s="1257">
        <f t="shared" si="125"/>
        <v>50.820000000000014</v>
      </c>
      <c r="P141" s="1257">
        <f t="shared" si="125"/>
        <v>23.292500000000004</v>
      </c>
      <c r="Q141" s="1257">
        <f t="shared" si="125"/>
        <v>20.497400000000003</v>
      </c>
      <c r="R141" s="1257">
        <f t="shared" si="125"/>
        <v>28.183925000000006</v>
      </c>
      <c r="S141" s="1257">
        <f t="shared" si="125"/>
        <v>6.2004635000000006</v>
      </c>
      <c r="T141" s="1257">
        <f t="shared" si="125"/>
        <v>34.102549250000003</v>
      </c>
      <c r="U141" s="1257">
        <f t="shared" si="125"/>
        <v>37.512804174999999</v>
      </c>
      <c r="V141" s="1257">
        <f t="shared" si="125"/>
        <v>33.011267674000003</v>
      </c>
      <c r="W141" s="1257">
        <f>SUM(G141:V141)</f>
        <v>311.32090959900006</v>
      </c>
      <c r="X141" s="800"/>
    </row>
    <row r="142" spans="1:25" s="789" customFormat="1">
      <c r="A142" s="797"/>
      <c r="E142" s="797"/>
      <c r="X142" s="797"/>
    </row>
    <row r="143" spans="1:25" s="789" customFormat="1">
      <c r="A143" s="797"/>
      <c r="E143" s="797"/>
      <c r="X143" s="797"/>
    </row>
    <row r="144" spans="1:25" s="789" customFormat="1">
      <c r="A144" s="797"/>
      <c r="E144" s="797"/>
      <c r="X144" s="797"/>
    </row>
    <row r="145" spans="1:24" s="789" customFormat="1">
      <c r="A145" s="797"/>
      <c r="E145" s="797"/>
      <c r="X145" s="797"/>
    </row>
    <row r="146" spans="1:24" s="789" customFormat="1">
      <c r="A146" s="797"/>
      <c r="E146" s="797"/>
      <c r="X146" s="797"/>
    </row>
    <row r="147" spans="1:24" s="789" customFormat="1">
      <c r="A147" s="797"/>
      <c r="E147" s="797"/>
      <c r="X147" s="797"/>
    </row>
    <row r="148" spans="1:24" s="789" customFormat="1">
      <c r="A148" s="797"/>
      <c r="E148" s="797"/>
      <c r="X148" s="797"/>
    </row>
  </sheetData>
  <mergeCells count="13">
    <mergeCell ref="C84:D84"/>
    <mergeCell ref="C21:D21"/>
    <mergeCell ref="C40:D40"/>
    <mergeCell ref="B109:F109"/>
    <mergeCell ref="A1:W1"/>
    <mergeCell ref="C51:D51"/>
    <mergeCell ref="C20:D20"/>
    <mergeCell ref="G4:J4"/>
    <mergeCell ref="K4:N4"/>
    <mergeCell ref="G49:J49"/>
    <mergeCell ref="B18:C18"/>
    <mergeCell ref="B105:C105"/>
    <mergeCell ref="K49:N49"/>
  </mergeCells>
  <pageMargins left="0.43" right="0.4" top="0.56999999999999995" bottom="0.39" header="0.31496062992126" footer="0.19"/>
  <pageSetup paperSize="5" scale="53" fitToHeight="4" orientation="landscape" r:id="rId1"/>
  <headerFooter>
    <oddFooter>&amp;A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49"/>
  <sheetViews>
    <sheetView topLeftCell="A26" zoomScale="70" zoomScaleNormal="70" workbookViewId="0">
      <selection activeCell="T41" sqref="T41"/>
    </sheetView>
  </sheetViews>
  <sheetFormatPr defaultRowHeight="12.75"/>
  <cols>
    <col min="1" max="1" width="41.140625" style="113" customWidth="1"/>
    <col min="2" max="2" width="8.7109375" style="113" customWidth="1"/>
    <col min="3" max="6" width="9.5703125" style="113" customWidth="1"/>
    <col min="7" max="10" width="11.28515625" style="113" bestFit="1" customWidth="1"/>
    <col min="11" max="11" width="11.42578125" style="113" customWidth="1"/>
    <col min="12" max="12" width="11.28515625" style="113" bestFit="1" customWidth="1"/>
    <col min="13" max="14" width="11.5703125" style="113" bestFit="1" customWidth="1"/>
    <col min="15" max="16" width="12.28515625" style="113" bestFit="1" customWidth="1"/>
    <col min="17" max="17" width="12.85546875" style="113" bestFit="1" customWidth="1"/>
    <col min="18" max="18" width="12.42578125" style="113" bestFit="1" customWidth="1"/>
    <col min="19" max="19" width="13" style="113" bestFit="1" customWidth="1"/>
    <col min="20" max="20" width="20" style="159" bestFit="1" customWidth="1"/>
    <col min="21" max="21" width="11.7109375" style="714" customWidth="1"/>
    <col min="22" max="22" width="13" style="159" bestFit="1" customWidth="1"/>
    <col min="23" max="23" width="11.28515625" style="159" customWidth="1"/>
    <col min="24" max="35" width="9.140625" style="159"/>
    <col min="36" max="16384" width="9.140625" style="113"/>
  </cols>
  <sheetData>
    <row r="1" spans="1:22" ht="17.25" customHeight="1">
      <c r="A1" s="1318" t="s">
        <v>343</v>
      </c>
      <c r="B1" s="1318"/>
      <c r="C1" s="1318"/>
      <c r="D1" s="1318"/>
      <c r="E1" s="1318"/>
      <c r="F1" s="1318"/>
      <c r="G1" s="1318"/>
      <c r="H1" s="1318"/>
      <c r="I1" s="1318"/>
      <c r="J1" s="1318"/>
      <c r="K1" s="1318"/>
      <c r="L1" s="1318"/>
      <c r="M1" s="1318"/>
      <c r="N1" s="1318"/>
      <c r="O1" s="1318"/>
      <c r="P1" s="1318"/>
      <c r="Q1" s="1318"/>
      <c r="R1" s="1318"/>
      <c r="S1" s="1318"/>
    </row>
    <row r="2" spans="1:22" ht="17.25" customHeight="1">
      <c r="A2" s="1" t="s">
        <v>353</v>
      </c>
      <c r="B2" s="3"/>
      <c r="C2" s="460">
        <f>'Key Assumptions'!K32</f>
        <v>3</v>
      </c>
      <c r="D2" s="460">
        <f>'Key Assumptions'!L32</f>
        <v>3</v>
      </c>
      <c r="E2" s="460">
        <f>'Key Assumptions'!M32</f>
        <v>3</v>
      </c>
      <c r="F2" s="460">
        <f>'Key Assumptions'!N32</f>
        <v>3</v>
      </c>
      <c r="G2" s="460">
        <f>'Key Assumptions'!O32</f>
        <v>3</v>
      </c>
      <c r="H2" s="460">
        <f>'Key Assumptions'!P32</f>
        <v>3</v>
      </c>
      <c r="I2" s="460">
        <f>'Key Assumptions'!Q32</f>
        <v>3</v>
      </c>
      <c r="J2" s="460">
        <f>'Key Assumptions'!R32</f>
        <v>3</v>
      </c>
      <c r="K2" s="460">
        <f>'Key Assumptions'!S32</f>
        <v>12</v>
      </c>
      <c r="L2" s="460">
        <f>'Key Assumptions'!T32</f>
        <v>12</v>
      </c>
      <c r="M2" s="460">
        <f>'Key Assumptions'!U32</f>
        <v>12</v>
      </c>
      <c r="N2" s="460">
        <f>'Key Assumptions'!V32</f>
        <v>12</v>
      </c>
      <c r="O2" s="460">
        <f>'Key Assumptions'!W32</f>
        <v>12</v>
      </c>
      <c r="P2" s="460">
        <f>'Key Assumptions'!X32</f>
        <v>12</v>
      </c>
      <c r="Q2" s="460">
        <f>'Key Assumptions'!Y32</f>
        <v>12</v>
      </c>
      <c r="R2" s="460">
        <f>'Key Assumptions'!Z32</f>
        <v>12</v>
      </c>
      <c r="S2" s="159">
        <f>SUM(C2:R2)</f>
        <v>120</v>
      </c>
    </row>
    <row r="3" spans="1:22" ht="17.25" customHeight="1">
      <c r="A3" s="483" t="s">
        <v>493</v>
      </c>
      <c r="B3" s="502"/>
      <c r="C3" s="509">
        <f>'Key Assumptions'!K33</f>
        <v>3</v>
      </c>
      <c r="D3" s="509">
        <f>'Key Assumptions'!L33</f>
        <v>6</v>
      </c>
      <c r="E3" s="509">
        <f>'Key Assumptions'!M33</f>
        <v>9</v>
      </c>
      <c r="F3" s="509">
        <f>'Key Assumptions'!N33</f>
        <v>12</v>
      </c>
      <c r="G3" s="509">
        <f>'Key Assumptions'!O33</f>
        <v>15</v>
      </c>
      <c r="H3" s="509">
        <f>'Key Assumptions'!P33</f>
        <v>18</v>
      </c>
      <c r="I3" s="509">
        <f>'Key Assumptions'!Q33</f>
        <v>21</v>
      </c>
      <c r="J3" s="509">
        <f>'Key Assumptions'!R33</f>
        <v>24</v>
      </c>
      <c r="K3" s="509">
        <f>'Key Assumptions'!S33</f>
        <v>36</v>
      </c>
      <c r="L3" s="509">
        <f>'Key Assumptions'!T33</f>
        <v>48</v>
      </c>
      <c r="M3" s="509">
        <f>'Key Assumptions'!U33</f>
        <v>60</v>
      </c>
      <c r="N3" s="509">
        <f>'Key Assumptions'!V33</f>
        <v>72</v>
      </c>
      <c r="O3" s="509">
        <f>'Key Assumptions'!W33</f>
        <v>84</v>
      </c>
      <c r="P3" s="509">
        <f>'Key Assumptions'!X33</f>
        <v>96</v>
      </c>
      <c r="Q3" s="509">
        <f>'Key Assumptions'!Y33</f>
        <v>108</v>
      </c>
      <c r="R3" s="509">
        <f>'Key Assumptions'!Z33</f>
        <v>120</v>
      </c>
      <c r="S3" s="503"/>
      <c r="V3" s="709"/>
    </row>
    <row r="4" spans="1:22" ht="17.25" customHeight="1">
      <c r="A4" s="510"/>
      <c r="B4" s="385"/>
      <c r="C4" s="30"/>
      <c r="D4" s="30"/>
      <c r="E4" s="30"/>
      <c r="F4" s="30"/>
      <c r="G4" s="510"/>
      <c r="H4" s="510"/>
      <c r="I4" s="510"/>
      <c r="J4" s="510"/>
      <c r="K4" s="510"/>
      <c r="L4" s="30"/>
      <c r="M4" s="510"/>
      <c r="N4" s="510"/>
      <c r="O4" s="510"/>
      <c r="P4" s="510"/>
      <c r="Q4" s="510"/>
      <c r="R4" s="510"/>
    </row>
    <row r="5" spans="1:22">
      <c r="A5" s="510"/>
      <c r="C5" s="510"/>
      <c r="D5" s="510"/>
      <c r="E5" s="510"/>
      <c r="F5" s="510"/>
      <c r="G5" s="510"/>
      <c r="H5" s="510"/>
      <c r="I5" s="510"/>
      <c r="J5" s="510"/>
      <c r="K5" s="510"/>
      <c r="L5" s="510"/>
      <c r="M5" s="510"/>
      <c r="N5" s="510"/>
      <c r="O5" s="510"/>
      <c r="P5" s="510"/>
      <c r="Q5" s="510"/>
      <c r="R5" s="510"/>
    </row>
    <row r="6" spans="1:22" ht="17.25" customHeight="1">
      <c r="A6" s="912" t="s">
        <v>740</v>
      </c>
      <c r="B6" s="531"/>
      <c r="C6" s="1333" t="s">
        <v>210</v>
      </c>
      <c r="D6" s="1334"/>
      <c r="E6" s="1334"/>
      <c r="F6" s="1335"/>
      <c r="G6" s="1333" t="s">
        <v>211</v>
      </c>
      <c r="H6" s="1334"/>
      <c r="I6" s="1334"/>
      <c r="J6" s="1335"/>
      <c r="K6" s="319" t="s">
        <v>213</v>
      </c>
      <c r="L6" s="319" t="s">
        <v>214</v>
      </c>
      <c r="M6" s="319" t="s">
        <v>215</v>
      </c>
      <c r="N6" s="319" t="s">
        <v>216</v>
      </c>
      <c r="O6" s="319" t="s">
        <v>217</v>
      </c>
      <c r="P6" s="319" t="s">
        <v>218</v>
      </c>
      <c r="Q6" s="319" t="s">
        <v>219</v>
      </c>
      <c r="R6" s="319" t="s">
        <v>220</v>
      </c>
    </row>
    <row r="7" spans="1:22" ht="17.25" customHeight="1">
      <c r="A7" s="214"/>
      <c r="B7" s="214"/>
      <c r="C7" s="319" t="s">
        <v>608</v>
      </c>
      <c r="D7" s="319" t="s">
        <v>609</v>
      </c>
      <c r="E7" s="319" t="s">
        <v>610</v>
      </c>
      <c r="F7" s="319" t="s">
        <v>611</v>
      </c>
      <c r="G7" s="319" t="s">
        <v>608</v>
      </c>
      <c r="H7" s="319" t="s">
        <v>609</v>
      </c>
      <c r="I7" s="319" t="s">
        <v>610</v>
      </c>
      <c r="J7" s="319" t="s">
        <v>611</v>
      </c>
      <c r="K7" s="698"/>
      <c r="L7" s="699"/>
      <c r="M7" s="699"/>
      <c r="N7" s="699"/>
      <c r="O7" s="699"/>
      <c r="P7" s="699"/>
      <c r="Q7" s="699"/>
      <c r="R7" s="700"/>
    </row>
    <row r="8" spans="1:22" ht="17.25" customHeight="1">
      <c r="A8" s="479" t="str">
        <f>'Key Assumptions'!B19</f>
        <v>(a) 76 Days Re-Skilling course</v>
      </c>
      <c r="B8" s="330"/>
      <c r="C8" s="275"/>
      <c r="D8" s="275"/>
      <c r="E8" s="275"/>
      <c r="F8" s="275"/>
      <c r="G8" s="489"/>
      <c r="H8" s="489"/>
      <c r="I8" s="489"/>
      <c r="J8" s="489"/>
      <c r="K8" s="489"/>
      <c r="L8" s="489"/>
      <c r="M8" s="489"/>
      <c r="N8" s="489"/>
      <c r="O8" s="489"/>
      <c r="P8" s="489"/>
      <c r="Q8" s="489"/>
      <c r="R8" s="489"/>
      <c r="S8" s="275"/>
    </row>
    <row r="9" spans="1:22" ht="17.25" customHeight="1">
      <c r="A9" s="520" t="s">
        <v>508</v>
      </c>
      <c r="B9" s="521"/>
      <c r="C9" s="516">
        <f>'Key Assumptions'!K19</f>
        <v>2</v>
      </c>
      <c r="D9" s="516">
        <f>'Key Assumptions'!L19</f>
        <v>2</v>
      </c>
      <c r="E9" s="516">
        <f>'Key Assumptions'!M19</f>
        <v>2</v>
      </c>
      <c r="F9" s="516">
        <f>'Key Assumptions'!N19</f>
        <v>2</v>
      </c>
      <c r="G9" s="516">
        <f>'Key Assumptions'!O19</f>
        <v>2</v>
      </c>
      <c r="H9" s="516">
        <f>'Key Assumptions'!P19</f>
        <v>2</v>
      </c>
      <c r="I9" s="516">
        <f>'Key Assumptions'!Q19</f>
        <v>2</v>
      </c>
      <c r="J9" s="516">
        <f>'Key Assumptions'!R19</f>
        <v>2</v>
      </c>
      <c r="K9" s="516">
        <f>'Key Assumptions'!S19</f>
        <v>2</v>
      </c>
      <c r="L9" s="516">
        <f>'Key Assumptions'!T19</f>
        <v>2</v>
      </c>
      <c r="M9" s="516">
        <f>'Key Assumptions'!U19</f>
        <v>2</v>
      </c>
      <c r="N9" s="516">
        <f>'Key Assumptions'!V19</f>
        <v>2</v>
      </c>
      <c r="O9" s="516">
        <f>'Key Assumptions'!W19</f>
        <v>2</v>
      </c>
      <c r="P9" s="516">
        <f>'Key Assumptions'!X19</f>
        <v>2</v>
      </c>
      <c r="Q9" s="516">
        <f>'Key Assumptions'!Y19</f>
        <v>2</v>
      </c>
      <c r="R9" s="516">
        <f>'Key Assumptions'!Z19</f>
        <v>2</v>
      </c>
      <c r="S9" s="275"/>
    </row>
    <row r="10" spans="1:22" ht="17.25" customHeight="1">
      <c r="A10" s="522" t="s">
        <v>352</v>
      </c>
      <c r="B10" s="523"/>
      <c r="C10" s="513">
        <f t="shared" ref="C10:J10" si="0">C3</f>
        <v>3</v>
      </c>
      <c r="D10" s="513">
        <f t="shared" si="0"/>
        <v>6</v>
      </c>
      <c r="E10" s="513">
        <f t="shared" si="0"/>
        <v>9</v>
      </c>
      <c r="F10" s="513">
        <f t="shared" si="0"/>
        <v>12</v>
      </c>
      <c r="G10" s="515">
        <f t="shared" si="0"/>
        <v>15</v>
      </c>
      <c r="H10" s="515">
        <f t="shared" si="0"/>
        <v>18</v>
      </c>
      <c r="I10" s="515">
        <f t="shared" si="0"/>
        <v>21</v>
      </c>
      <c r="J10" s="515">
        <f t="shared" si="0"/>
        <v>24</v>
      </c>
      <c r="K10" s="515">
        <f t="shared" ref="K10:R10" si="1">K3</f>
        <v>36</v>
      </c>
      <c r="L10" s="515">
        <f t="shared" si="1"/>
        <v>48</v>
      </c>
      <c r="M10" s="515">
        <f t="shared" si="1"/>
        <v>60</v>
      </c>
      <c r="N10" s="515">
        <f t="shared" si="1"/>
        <v>72</v>
      </c>
      <c r="O10" s="515">
        <f t="shared" si="1"/>
        <v>84</v>
      </c>
      <c r="P10" s="515">
        <f t="shared" si="1"/>
        <v>96</v>
      </c>
      <c r="Q10" s="515">
        <f t="shared" si="1"/>
        <v>108</v>
      </c>
      <c r="R10" s="515">
        <f t="shared" si="1"/>
        <v>120</v>
      </c>
      <c r="S10" s="275"/>
    </row>
    <row r="11" spans="1:22" ht="17.25" customHeight="1">
      <c r="A11" s="522" t="s">
        <v>625</v>
      </c>
      <c r="B11" s="524"/>
      <c r="C11" s="513">
        <f>'Key Assumptions'!K36</f>
        <v>0.75</v>
      </c>
      <c r="D11" s="513">
        <f>'Key Assumptions'!L36</f>
        <v>0.75</v>
      </c>
      <c r="E11" s="513">
        <f>'Key Assumptions'!M36</f>
        <v>0.75</v>
      </c>
      <c r="F11" s="513">
        <f>'Key Assumptions'!N36</f>
        <v>0.75</v>
      </c>
      <c r="G11" s="516">
        <f>'Key Assumptions'!O36</f>
        <v>0.75</v>
      </c>
      <c r="H11" s="516">
        <f>'Key Assumptions'!P36</f>
        <v>0.75</v>
      </c>
      <c r="I11" s="516">
        <f>'Key Assumptions'!Q36</f>
        <v>0.75</v>
      </c>
      <c r="J11" s="516">
        <f>'Key Assumptions'!R36</f>
        <v>0.75</v>
      </c>
      <c r="K11" s="516">
        <f>'Key Assumptions'!S36</f>
        <v>4</v>
      </c>
      <c r="L11" s="516">
        <f>'Key Assumptions'!T36</f>
        <v>4</v>
      </c>
      <c r="M11" s="516">
        <f>'Key Assumptions'!U36</f>
        <v>4</v>
      </c>
      <c r="N11" s="516">
        <f>'Key Assumptions'!V36</f>
        <v>4</v>
      </c>
      <c r="O11" s="516">
        <f>'Key Assumptions'!W36</f>
        <v>4</v>
      </c>
      <c r="P11" s="516">
        <f>'Key Assumptions'!X36</f>
        <v>4</v>
      </c>
      <c r="Q11" s="516">
        <f>'Key Assumptions'!Y36</f>
        <v>4</v>
      </c>
      <c r="R11" s="516">
        <f>'Key Assumptions'!Z36</f>
        <v>4</v>
      </c>
      <c r="S11" s="275"/>
    </row>
    <row r="12" spans="1:22" ht="17.25" customHeight="1">
      <c r="A12" s="522" t="s">
        <v>612</v>
      </c>
      <c r="B12" s="524"/>
      <c r="C12" s="513">
        <f>'Key Assumptions'!K37</f>
        <v>1</v>
      </c>
      <c r="D12" s="513">
        <f>'Key Assumptions'!L37</f>
        <v>1</v>
      </c>
      <c r="E12" s="513">
        <f>'Key Assumptions'!M37</f>
        <v>1</v>
      </c>
      <c r="F12" s="513">
        <f>'Key Assumptions'!N37</f>
        <v>1</v>
      </c>
      <c r="G12" s="516">
        <f>'Key Assumptions'!O37</f>
        <v>1</v>
      </c>
      <c r="H12" s="516">
        <f>'Key Assumptions'!P37</f>
        <v>1</v>
      </c>
      <c r="I12" s="516">
        <f>'Key Assumptions'!Q37</f>
        <v>1</v>
      </c>
      <c r="J12" s="516">
        <f>'Key Assumptions'!R37</f>
        <v>1</v>
      </c>
      <c r="K12" s="516">
        <f>'Key Assumptions'!S37</f>
        <v>1</v>
      </c>
      <c r="L12" s="516">
        <f>'Key Assumptions'!T37</f>
        <v>1</v>
      </c>
      <c r="M12" s="516">
        <f>'Key Assumptions'!U37</f>
        <v>1</v>
      </c>
      <c r="N12" s="516">
        <f>'Key Assumptions'!V37</f>
        <v>1</v>
      </c>
      <c r="O12" s="516">
        <f>'Key Assumptions'!W37</f>
        <v>1</v>
      </c>
      <c r="P12" s="516">
        <f>'Key Assumptions'!X37</f>
        <v>1</v>
      </c>
      <c r="Q12" s="516">
        <f>'Key Assumptions'!Y37</f>
        <v>1</v>
      </c>
      <c r="R12" s="516">
        <f>'Key Assumptions'!Z37</f>
        <v>1</v>
      </c>
      <c r="S12" s="275"/>
    </row>
    <row r="13" spans="1:22" ht="17.25" customHeight="1">
      <c r="A13" s="522" t="s">
        <v>626</v>
      </c>
      <c r="B13" s="524"/>
      <c r="C13" s="516">
        <f t="shared" ref="C13:K13" si="2">C11*C12</f>
        <v>0.75</v>
      </c>
      <c r="D13" s="516">
        <f t="shared" si="2"/>
        <v>0.75</v>
      </c>
      <c r="E13" s="516">
        <f t="shared" si="2"/>
        <v>0.75</v>
      </c>
      <c r="F13" s="516">
        <f t="shared" si="2"/>
        <v>0.75</v>
      </c>
      <c r="G13" s="517">
        <f t="shared" si="2"/>
        <v>0.75</v>
      </c>
      <c r="H13" s="517">
        <f t="shared" si="2"/>
        <v>0.75</v>
      </c>
      <c r="I13" s="517">
        <f t="shared" si="2"/>
        <v>0.75</v>
      </c>
      <c r="J13" s="517">
        <f t="shared" si="2"/>
        <v>0.75</v>
      </c>
      <c r="K13" s="517">
        <f t="shared" si="2"/>
        <v>4</v>
      </c>
      <c r="L13" s="517">
        <f t="shared" ref="L13:R13" si="3">L11*L12</f>
        <v>4</v>
      </c>
      <c r="M13" s="517">
        <f t="shared" si="3"/>
        <v>4</v>
      </c>
      <c r="N13" s="517">
        <f t="shared" si="3"/>
        <v>4</v>
      </c>
      <c r="O13" s="517">
        <f t="shared" si="3"/>
        <v>4</v>
      </c>
      <c r="P13" s="517">
        <f t="shared" si="3"/>
        <v>4</v>
      </c>
      <c r="Q13" s="517">
        <f>Q11*Q12</f>
        <v>4</v>
      </c>
      <c r="R13" s="517">
        <f t="shared" si="3"/>
        <v>4</v>
      </c>
      <c r="S13" s="275"/>
    </row>
    <row r="14" spans="1:22" ht="17.25" customHeight="1">
      <c r="A14" s="525" t="s">
        <v>345</v>
      </c>
      <c r="B14" s="526"/>
      <c r="C14" s="516">
        <f>'Key Assumptions'!K35</f>
        <v>25</v>
      </c>
      <c r="D14" s="516">
        <f>'Key Assumptions'!L35</f>
        <v>25</v>
      </c>
      <c r="E14" s="516">
        <f>'Key Assumptions'!M35</f>
        <v>25</v>
      </c>
      <c r="F14" s="516">
        <f>'Key Assumptions'!N35</f>
        <v>25</v>
      </c>
      <c r="G14" s="516">
        <f>'Key Assumptions'!O35</f>
        <v>25</v>
      </c>
      <c r="H14" s="516">
        <f>'Key Assumptions'!P35</f>
        <v>25</v>
      </c>
      <c r="I14" s="516">
        <f>'Key Assumptions'!Q35</f>
        <v>25</v>
      </c>
      <c r="J14" s="516">
        <f>'Key Assumptions'!R35</f>
        <v>25</v>
      </c>
      <c r="K14" s="516">
        <f>'Key Assumptions'!S35</f>
        <v>25</v>
      </c>
      <c r="L14" s="516">
        <f>'Key Assumptions'!T35</f>
        <v>25</v>
      </c>
      <c r="M14" s="516">
        <f>'Key Assumptions'!U35</f>
        <v>25</v>
      </c>
      <c r="N14" s="516">
        <f>'Key Assumptions'!V35</f>
        <v>25</v>
      </c>
      <c r="O14" s="516">
        <f>'Key Assumptions'!W35</f>
        <v>25</v>
      </c>
      <c r="P14" s="516">
        <f>'Key Assumptions'!X35</f>
        <v>25</v>
      </c>
      <c r="Q14" s="516">
        <f>'Key Assumptions'!Y35</f>
        <v>25</v>
      </c>
      <c r="R14" s="516">
        <f>'Key Assumptions'!Z35</f>
        <v>25</v>
      </c>
      <c r="S14" s="275"/>
    </row>
    <row r="15" spans="1:22" ht="17.25" customHeight="1">
      <c r="A15" s="527" t="s">
        <v>346</v>
      </c>
      <c r="B15" s="528"/>
      <c r="C15" s="529">
        <f>C10*C13*C14*C9</f>
        <v>112.5</v>
      </c>
      <c r="D15" s="529">
        <f>D10*D13*D14*D9</f>
        <v>225</v>
      </c>
      <c r="E15" s="529">
        <f>E10*E13*E14*E9</f>
        <v>337.5</v>
      </c>
      <c r="F15" s="529">
        <f>F10*F13*F14*F9</f>
        <v>450</v>
      </c>
      <c r="G15" s="529">
        <f t="shared" ref="G15:R15" si="4">G10*G13*G14*G9</f>
        <v>562.5</v>
      </c>
      <c r="H15" s="529">
        <f t="shared" si="4"/>
        <v>675</v>
      </c>
      <c r="I15" s="529">
        <f t="shared" si="4"/>
        <v>787.5</v>
      </c>
      <c r="J15" s="529">
        <f t="shared" si="4"/>
        <v>900</v>
      </c>
      <c r="K15" s="529">
        <f t="shared" si="4"/>
        <v>7200</v>
      </c>
      <c r="L15" s="529">
        <f t="shared" si="4"/>
        <v>9600</v>
      </c>
      <c r="M15" s="529">
        <f t="shared" si="4"/>
        <v>12000</v>
      </c>
      <c r="N15" s="529">
        <f t="shared" si="4"/>
        <v>14400</v>
      </c>
      <c r="O15" s="529">
        <f t="shared" si="4"/>
        <v>16800</v>
      </c>
      <c r="P15" s="529">
        <f t="shared" si="4"/>
        <v>19200</v>
      </c>
      <c r="Q15" s="529">
        <f t="shared" si="4"/>
        <v>21600</v>
      </c>
      <c r="R15" s="529">
        <f t="shared" si="4"/>
        <v>24000</v>
      </c>
      <c r="S15" s="492">
        <f>C15+D15+E15+F15+G15+H15+I15+J15+K15+L15+M15+N15+O15+P15+Q15+R15</f>
        <v>128850</v>
      </c>
      <c r="T15" s="711"/>
    </row>
    <row r="16" spans="1:22" ht="17.25" customHeight="1">
      <c r="A16" s="275" t="s">
        <v>509</v>
      </c>
      <c r="B16" s="275"/>
      <c r="C16" s="489">
        <f t="shared" ref="C16:J16" si="5">C15/C10</f>
        <v>37.5</v>
      </c>
      <c r="D16" s="489">
        <f t="shared" si="5"/>
        <v>37.5</v>
      </c>
      <c r="E16" s="489">
        <f t="shared" si="5"/>
        <v>37.5</v>
      </c>
      <c r="F16" s="489">
        <f t="shared" si="5"/>
        <v>37.5</v>
      </c>
      <c r="G16" s="489">
        <f t="shared" si="5"/>
        <v>37.5</v>
      </c>
      <c r="H16" s="489">
        <f t="shared" si="5"/>
        <v>37.5</v>
      </c>
      <c r="I16" s="489">
        <f t="shared" si="5"/>
        <v>37.5</v>
      </c>
      <c r="J16" s="489">
        <f t="shared" si="5"/>
        <v>37.5</v>
      </c>
      <c r="K16" s="489">
        <f t="shared" ref="K16:R16" si="6">K15/K10</f>
        <v>200</v>
      </c>
      <c r="L16" s="489">
        <f t="shared" si="6"/>
        <v>200</v>
      </c>
      <c r="M16" s="489">
        <f t="shared" si="6"/>
        <v>200</v>
      </c>
      <c r="N16" s="489">
        <f t="shared" si="6"/>
        <v>200</v>
      </c>
      <c r="O16" s="489">
        <f t="shared" si="6"/>
        <v>200</v>
      </c>
      <c r="P16" s="489">
        <f t="shared" si="6"/>
        <v>200</v>
      </c>
      <c r="Q16" s="489">
        <f t="shared" si="6"/>
        <v>200</v>
      </c>
      <c r="R16" s="489">
        <f t="shared" si="6"/>
        <v>200</v>
      </c>
      <c r="S16" s="275"/>
      <c r="T16" s="712"/>
    </row>
    <row r="17" spans="1:20" ht="17.25" customHeight="1">
      <c r="A17" s="275"/>
      <c r="B17" s="275"/>
      <c r="C17" s="489"/>
      <c r="D17" s="489"/>
      <c r="E17" s="489"/>
      <c r="F17" s="489"/>
      <c r="G17" s="489"/>
      <c r="H17" s="489"/>
      <c r="I17" s="489"/>
      <c r="J17" s="489"/>
      <c r="K17" s="489"/>
      <c r="L17" s="489"/>
      <c r="M17" s="489"/>
      <c r="N17" s="489"/>
      <c r="O17" s="489"/>
      <c r="P17" s="489"/>
      <c r="Q17" s="489"/>
      <c r="R17" s="489"/>
      <c r="S17" s="275"/>
      <c r="T17" s="712"/>
    </row>
    <row r="18" spans="1:20" ht="17.25" customHeight="1">
      <c r="A18" s="530"/>
      <c r="B18" s="531"/>
      <c r="C18" s="1333" t="s">
        <v>210</v>
      </c>
      <c r="D18" s="1334"/>
      <c r="E18" s="1334"/>
      <c r="F18" s="1335"/>
      <c r="G18" s="1333" t="s">
        <v>211</v>
      </c>
      <c r="H18" s="1334"/>
      <c r="I18" s="1334"/>
      <c r="J18" s="1335"/>
      <c r="K18" s="319" t="s">
        <v>213</v>
      </c>
      <c r="L18" s="319" t="s">
        <v>214</v>
      </c>
      <c r="M18" s="319" t="s">
        <v>215</v>
      </c>
      <c r="N18" s="319" t="s">
        <v>216</v>
      </c>
      <c r="O18" s="319" t="s">
        <v>217</v>
      </c>
      <c r="P18" s="319" t="s">
        <v>218</v>
      </c>
      <c r="Q18" s="319" t="s">
        <v>219</v>
      </c>
      <c r="R18" s="319" t="s">
        <v>220</v>
      </c>
      <c r="T18" s="712"/>
    </row>
    <row r="19" spans="1:20" ht="17.25" customHeight="1">
      <c r="A19" s="214"/>
      <c r="B19" s="214"/>
      <c r="C19" s="319" t="s">
        <v>608</v>
      </c>
      <c r="D19" s="319" t="s">
        <v>609</v>
      </c>
      <c r="E19" s="319" t="s">
        <v>610</v>
      </c>
      <c r="F19" s="319" t="s">
        <v>611</v>
      </c>
      <c r="G19" s="319" t="s">
        <v>608</v>
      </c>
      <c r="H19" s="319" t="s">
        <v>609</v>
      </c>
      <c r="I19" s="319" t="s">
        <v>610</v>
      </c>
      <c r="J19" s="319" t="s">
        <v>611</v>
      </c>
      <c r="K19" s="698"/>
      <c r="L19" s="699"/>
      <c r="M19" s="699"/>
      <c r="N19" s="699"/>
      <c r="O19" s="699"/>
      <c r="P19" s="699"/>
      <c r="Q19" s="699"/>
      <c r="R19" s="700"/>
      <c r="T19" s="712"/>
    </row>
    <row r="20" spans="1:20" ht="17.25" customHeight="1">
      <c r="A20" s="479" t="str">
        <f>'Key Assumptions'!B22</f>
        <v>(b) 30 Days Re-Skilling course</v>
      </c>
      <c r="B20" s="330"/>
      <c r="C20" s="275"/>
      <c r="D20" s="275"/>
      <c r="E20" s="275"/>
      <c r="F20" s="275"/>
      <c r="G20" s="489"/>
      <c r="H20" s="489"/>
      <c r="I20" s="489"/>
      <c r="J20" s="489"/>
      <c r="K20" s="489"/>
      <c r="L20" s="489"/>
      <c r="M20" s="489"/>
      <c r="N20" s="489"/>
      <c r="O20" s="489"/>
      <c r="P20" s="489"/>
      <c r="Q20" s="489"/>
      <c r="R20" s="489"/>
      <c r="S20" s="275"/>
      <c r="T20" s="712"/>
    </row>
    <row r="21" spans="1:20" ht="17.25" customHeight="1">
      <c r="A21" s="520" t="s">
        <v>508</v>
      </c>
      <c r="B21" s="521"/>
      <c r="C21" s="515">
        <f>'Key Assumptions'!K22</f>
        <v>2</v>
      </c>
      <c r="D21" s="515">
        <f>'Key Assumptions'!L22</f>
        <v>2</v>
      </c>
      <c r="E21" s="515">
        <f>'Key Assumptions'!M22</f>
        <v>2</v>
      </c>
      <c r="F21" s="515">
        <f>'Key Assumptions'!N22</f>
        <v>2</v>
      </c>
      <c r="G21" s="515">
        <f>'Key Assumptions'!O22</f>
        <v>2</v>
      </c>
      <c r="H21" s="515">
        <f>'Key Assumptions'!P22</f>
        <v>2</v>
      </c>
      <c r="I21" s="515">
        <f>'Key Assumptions'!Q22</f>
        <v>2</v>
      </c>
      <c r="J21" s="515">
        <f>'Key Assumptions'!R22</f>
        <v>2</v>
      </c>
      <c r="K21" s="515">
        <f>'Key Assumptions'!S22</f>
        <v>2</v>
      </c>
      <c r="L21" s="515">
        <f>'Key Assumptions'!T22</f>
        <v>2</v>
      </c>
      <c r="M21" s="515">
        <f>'Key Assumptions'!U22</f>
        <v>2</v>
      </c>
      <c r="N21" s="515">
        <f>'Key Assumptions'!V22</f>
        <v>2</v>
      </c>
      <c r="O21" s="515">
        <f>'Key Assumptions'!W22</f>
        <v>2</v>
      </c>
      <c r="P21" s="515">
        <f>'Key Assumptions'!X22</f>
        <v>2</v>
      </c>
      <c r="Q21" s="515">
        <f>'Key Assumptions'!Y22</f>
        <v>2</v>
      </c>
      <c r="R21" s="515">
        <f>'Key Assumptions'!Z22</f>
        <v>2</v>
      </c>
      <c r="S21" s="275"/>
      <c r="T21" s="712"/>
    </row>
    <row r="22" spans="1:20" ht="17.25" customHeight="1">
      <c r="A22" s="522" t="s">
        <v>351</v>
      </c>
      <c r="B22" s="523"/>
      <c r="C22" s="515">
        <f>C3</f>
        <v>3</v>
      </c>
      <c r="D22" s="515">
        <f t="shared" ref="D22:R22" si="7">D3</f>
        <v>6</v>
      </c>
      <c r="E22" s="515">
        <f t="shared" si="7"/>
        <v>9</v>
      </c>
      <c r="F22" s="515">
        <f t="shared" si="7"/>
        <v>12</v>
      </c>
      <c r="G22" s="515">
        <f t="shared" si="7"/>
        <v>15</v>
      </c>
      <c r="H22" s="515">
        <f t="shared" si="7"/>
        <v>18</v>
      </c>
      <c r="I22" s="515">
        <f t="shared" si="7"/>
        <v>21</v>
      </c>
      <c r="J22" s="515">
        <f t="shared" si="7"/>
        <v>24</v>
      </c>
      <c r="K22" s="515">
        <f t="shared" si="7"/>
        <v>36</v>
      </c>
      <c r="L22" s="515">
        <f t="shared" si="7"/>
        <v>48</v>
      </c>
      <c r="M22" s="515">
        <f t="shared" si="7"/>
        <v>60</v>
      </c>
      <c r="N22" s="515">
        <f t="shared" si="7"/>
        <v>72</v>
      </c>
      <c r="O22" s="515">
        <f t="shared" si="7"/>
        <v>84</v>
      </c>
      <c r="P22" s="515">
        <f t="shared" si="7"/>
        <v>96</v>
      </c>
      <c r="Q22" s="515">
        <f t="shared" si="7"/>
        <v>108</v>
      </c>
      <c r="R22" s="515">
        <f t="shared" si="7"/>
        <v>120</v>
      </c>
      <c r="S22" s="275"/>
      <c r="T22" s="712"/>
    </row>
    <row r="23" spans="1:20" ht="17.25" customHeight="1">
      <c r="A23" s="522" t="s">
        <v>625</v>
      </c>
      <c r="B23" s="524"/>
      <c r="C23" s="511">
        <f>'Key Assumptions'!K41</f>
        <v>0.75</v>
      </c>
      <c r="D23" s="511">
        <f>'Key Assumptions'!L41</f>
        <v>0.75</v>
      </c>
      <c r="E23" s="511">
        <f>'Key Assumptions'!M41</f>
        <v>0.75</v>
      </c>
      <c r="F23" s="511">
        <f>'Key Assumptions'!N41</f>
        <v>0.75</v>
      </c>
      <c r="G23" s="511">
        <f>'Key Assumptions'!O41</f>
        <v>0.75</v>
      </c>
      <c r="H23" s="511">
        <f>'Key Assumptions'!P41</f>
        <v>0.75</v>
      </c>
      <c r="I23" s="511">
        <f>'Key Assumptions'!Q41</f>
        <v>0.75</v>
      </c>
      <c r="J23" s="511">
        <f>'Key Assumptions'!R41</f>
        <v>0.75</v>
      </c>
      <c r="K23" s="511">
        <f>'Key Assumptions'!S41</f>
        <v>4</v>
      </c>
      <c r="L23" s="511">
        <f>'Key Assumptions'!T41</f>
        <v>4</v>
      </c>
      <c r="M23" s="511">
        <f>'Key Assumptions'!U41</f>
        <v>4</v>
      </c>
      <c r="N23" s="511">
        <f>'Key Assumptions'!V41</f>
        <v>4</v>
      </c>
      <c r="O23" s="511">
        <f>'Key Assumptions'!W41</f>
        <v>4</v>
      </c>
      <c r="P23" s="511">
        <f>'Key Assumptions'!X41</f>
        <v>4</v>
      </c>
      <c r="Q23" s="511">
        <f>'Key Assumptions'!Y41</f>
        <v>4</v>
      </c>
      <c r="R23" s="511">
        <f>'Key Assumptions'!Z41</f>
        <v>4</v>
      </c>
      <c r="S23" s="275"/>
      <c r="T23" s="712"/>
    </row>
    <row r="24" spans="1:20" ht="17.25" customHeight="1">
      <c r="A24" s="522" t="s">
        <v>344</v>
      </c>
      <c r="B24" s="524"/>
      <c r="C24" s="511">
        <f>'Key Assumptions'!K42</f>
        <v>1</v>
      </c>
      <c r="D24" s="511">
        <f>'Key Assumptions'!L42</f>
        <v>1</v>
      </c>
      <c r="E24" s="511">
        <f>'Key Assumptions'!M42</f>
        <v>1</v>
      </c>
      <c r="F24" s="511">
        <f>'Key Assumptions'!N42</f>
        <v>1</v>
      </c>
      <c r="G24" s="511">
        <f>'Key Assumptions'!O42</f>
        <v>1</v>
      </c>
      <c r="H24" s="511">
        <f>'Key Assumptions'!P42</f>
        <v>1</v>
      </c>
      <c r="I24" s="511">
        <f>'Key Assumptions'!Q42</f>
        <v>1</v>
      </c>
      <c r="J24" s="511">
        <f>'Key Assumptions'!R42</f>
        <v>1</v>
      </c>
      <c r="K24" s="511">
        <f>'Key Assumptions'!S42</f>
        <v>1</v>
      </c>
      <c r="L24" s="511">
        <f>'Key Assumptions'!T42</f>
        <v>1</v>
      </c>
      <c r="M24" s="511">
        <f>'Key Assumptions'!U42</f>
        <v>1</v>
      </c>
      <c r="N24" s="511">
        <f>'Key Assumptions'!V42</f>
        <v>1</v>
      </c>
      <c r="O24" s="511">
        <f>'Key Assumptions'!W42</f>
        <v>1</v>
      </c>
      <c r="P24" s="511">
        <f>'Key Assumptions'!X42</f>
        <v>1</v>
      </c>
      <c r="Q24" s="511">
        <f>'Key Assumptions'!Y42</f>
        <v>1</v>
      </c>
      <c r="R24" s="511">
        <f>'Key Assumptions'!Z42</f>
        <v>1</v>
      </c>
      <c r="S24" s="275"/>
      <c r="T24" s="712"/>
    </row>
    <row r="25" spans="1:20" ht="17.25" customHeight="1">
      <c r="A25" s="522" t="s">
        <v>627</v>
      </c>
      <c r="B25" s="524"/>
      <c r="C25" s="493">
        <f t="shared" ref="C25:R25" si="8">C23*C24</f>
        <v>0.75</v>
      </c>
      <c r="D25" s="493">
        <f t="shared" si="8"/>
        <v>0.75</v>
      </c>
      <c r="E25" s="493">
        <f t="shared" si="8"/>
        <v>0.75</v>
      </c>
      <c r="F25" s="493">
        <f t="shared" si="8"/>
        <v>0.75</v>
      </c>
      <c r="G25" s="493">
        <f t="shared" si="8"/>
        <v>0.75</v>
      </c>
      <c r="H25" s="493">
        <f t="shared" si="8"/>
        <v>0.75</v>
      </c>
      <c r="I25" s="493">
        <f t="shared" si="8"/>
        <v>0.75</v>
      </c>
      <c r="J25" s="493">
        <f t="shared" si="8"/>
        <v>0.75</v>
      </c>
      <c r="K25" s="493">
        <f t="shared" si="8"/>
        <v>4</v>
      </c>
      <c r="L25" s="493">
        <f t="shared" si="8"/>
        <v>4</v>
      </c>
      <c r="M25" s="493">
        <f t="shared" si="8"/>
        <v>4</v>
      </c>
      <c r="N25" s="493">
        <f t="shared" si="8"/>
        <v>4</v>
      </c>
      <c r="O25" s="493">
        <f t="shared" si="8"/>
        <v>4</v>
      </c>
      <c r="P25" s="493">
        <f t="shared" si="8"/>
        <v>4</v>
      </c>
      <c r="Q25" s="493">
        <f t="shared" si="8"/>
        <v>4</v>
      </c>
      <c r="R25" s="493">
        <f t="shared" si="8"/>
        <v>4</v>
      </c>
      <c r="S25" s="275"/>
      <c r="T25" s="712"/>
    </row>
    <row r="26" spans="1:20" ht="17.25" customHeight="1">
      <c r="A26" s="522" t="s">
        <v>345</v>
      </c>
      <c r="B26" s="524"/>
      <c r="C26" s="493">
        <f>'Key Assumptions'!K40</f>
        <v>25</v>
      </c>
      <c r="D26" s="493">
        <f>'Key Assumptions'!L40</f>
        <v>25</v>
      </c>
      <c r="E26" s="493">
        <f>'Key Assumptions'!M40</f>
        <v>25</v>
      </c>
      <c r="F26" s="493">
        <f>'Key Assumptions'!N40</f>
        <v>25</v>
      </c>
      <c r="G26" s="493">
        <f>'Key Assumptions'!O40</f>
        <v>25</v>
      </c>
      <c r="H26" s="493">
        <f>'Key Assumptions'!P40</f>
        <v>25</v>
      </c>
      <c r="I26" s="493">
        <f>'Key Assumptions'!Q40</f>
        <v>25</v>
      </c>
      <c r="J26" s="493">
        <f>'Key Assumptions'!R40</f>
        <v>25</v>
      </c>
      <c r="K26" s="493">
        <f>'Key Assumptions'!S40</f>
        <v>25</v>
      </c>
      <c r="L26" s="493">
        <f>'Key Assumptions'!T40</f>
        <v>25</v>
      </c>
      <c r="M26" s="493">
        <f>'Key Assumptions'!U40</f>
        <v>25</v>
      </c>
      <c r="N26" s="493">
        <f>'Key Assumptions'!V40</f>
        <v>25</v>
      </c>
      <c r="O26" s="493">
        <f>'Key Assumptions'!W40</f>
        <v>25</v>
      </c>
      <c r="P26" s="493">
        <f>'Key Assumptions'!X40</f>
        <v>25</v>
      </c>
      <c r="Q26" s="493">
        <f>'Key Assumptions'!Y40</f>
        <v>25</v>
      </c>
      <c r="R26" s="493">
        <f>'Key Assumptions'!Z40</f>
        <v>25</v>
      </c>
      <c r="S26" s="275"/>
      <c r="T26" s="712"/>
    </row>
    <row r="27" spans="1:20" ht="17.25" customHeight="1">
      <c r="A27" s="527" t="s">
        <v>525</v>
      </c>
      <c r="B27" s="528"/>
      <c r="C27" s="529">
        <f t="shared" ref="C27:R27" si="9">C22*C25*C26*C21</f>
        <v>112.5</v>
      </c>
      <c r="D27" s="529">
        <f t="shared" si="9"/>
        <v>225</v>
      </c>
      <c r="E27" s="529">
        <f t="shared" si="9"/>
        <v>337.5</v>
      </c>
      <c r="F27" s="529">
        <f t="shared" si="9"/>
        <v>450</v>
      </c>
      <c r="G27" s="529">
        <f t="shared" si="9"/>
        <v>562.5</v>
      </c>
      <c r="H27" s="529">
        <f t="shared" si="9"/>
        <v>675</v>
      </c>
      <c r="I27" s="529">
        <f t="shared" si="9"/>
        <v>787.5</v>
      </c>
      <c r="J27" s="529">
        <f t="shared" si="9"/>
        <v>900</v>
      </c>
      <c r="K27" s="529">
        <f t="shared" si="9"/>
        <v>7200</v>
      </c>
      <c r="L27" s="529">
        <f t="shared" si="9"/>
        <v>9600</v>
      </c>
      <c r="M27" s="529">
        <f t="shared" si="9"/>
        <v>12000</v>
      </c>
      <c r="N27" s="529">
        <f t="shared" si="9"/>
        <v>14400</v>
      </c>
      <c r="O27" s="529">
        <f t="shared" si="9"/>
        <v>16800</v>
      </c>
      <c r="P27" s="529">
        <f t="shared" si="9"/>
        <v>19200</v>
      </c>
      <c r="Q27" s="529">
        <f t="shared" si="9"/>
        <v>21600</v>
      </c>
      <c r="R27" s="529">
        <f t="shared" si="9"/>
        <v>24000</v>
      </c>
      <c r="S27" s="492">
        <f>C27+D27+E27+F27+G27+H27+I27+J27+K27+L27+M27+N27+O27+P27+Q27+R27</f>
        <v>128850</v>
      </c>
      <c r="T27" s="712"/>
    </row>
    <row r="28" spans="1:20" ht="17.25" customHeight="1">
      <c r="A28" s="275" t="s">
        <v>509</v>
      </c>
      <c r="B28" s="275"/>
      <c r="C28" s="489">
        <f t="shared" ref="C28:R28" si="10">C27/C22</f>
        <v>37.5</v>
      </c>
      <c r="D28" s="489">
        <f t="shared" si="10"/>
        <v>37.5</v>
      </c>
      <c r="E28" s="489">
        <f t="shared" si="10"/>
        <v>37.5</v>
      </c>
      <c r="F28" s="489">
        <f t="shared" si="10"/>
        <v>37.5</v>
      </c>
      <c r="G28" s="489">
        <f t="shared" si="10"/>
        <v>37.5</v>
      </c>
      <c r="H28" s="489">
        <f t="shared" si="10"/>
        <v>37.5</v>
      </c>
      <c r="I28" s="489">
        <f t="shared" si="10"/>
        <v>37.5</v>
      </c>
      <c r="J28" s="489">
        <f t="shared" si="10"/>
        <v>37.5</v>
      </c>
      <c r="K28" s="489">
        <f t="shared" si="10"/>
        <v>200</v>
      </c>
      <c r="L28" s="489">
        <f t="shared" si="10"/>
        <v>200</v>
      </c>
      <c r="M28" s="489">
        <f t="shared" si="10"/>
        <v>200</v>
      </c>
      <c r="N28" s="489">
        <f t="shared" si="10"/>
        <v>200</v>
      </c>
      <c r="O28" s="489">
        <f t="shared" si="10"/>
        <v>200</v>
      </c>
      <c r="P28" s="489">
        <f t="shared" si="10"/>
        <v>200</v>
      </c>
      <c r="Q28" s="489">
        <f t="shared" si="10"/>
        <v>200</v>
      </c>
      <c r="R28" s="489">
        <f t="shared" si="10"/>
        <v>200</v>
      </c>
      <c r="S28" s="275"/>
      <c r="T28" s="712"/>
    </row>
    <row r="29" spans="1:20" ht="17.25" customHeight="1">
      <c r="A29" s="490"/>
      <c r="B29" s="275"/>
      <c r="C29" s="491"/>
      <c r="D29" s="491"/>
      <c r="E29" s="491"/>
      <c r="F29" s="491"/>
      <c r="G29" s="489"/>
      <c r="H29" s="489"/>
      <c r="I29" s="489"/>
      <c r="J29" s="489"/>
      <c r="K29" s="489"/>
      <c r="L29" s="489"/>
      <c r="M29" s="489"/>
      <c r="N29" s="489"/>
      <c r="O29" s="489"/>
      <c r="P29" s="489"/>
      <c r="Q29" s="489"/>
      <c r="R29" s="489"/>
      <c r="S29" s="275"/>
      <c r="T29" s="712"/>
    </row>
    <row r="30" spans="1:20" ht="17.25" customHeight="1">
      <c r="A30" s="530"/>
      <c r="B30" s="531"/>
      <c r="C30" s="1333" t="s">
        <v>210</v>
      </c>
      <c r="D30" s="1334"/>
      <c r="E30" s="1334"/>
      <c r="F30" s="1335"/>
      <c r="G30" s="1333" t="s">
        <v>211</v>
      </c>
      <c r="H30" s="1334"/>
      <c r="I30" s="1334"/>
      <c r="J30" s="1335"/>
      <c r="K30" s="319" t="s">
        <v>213</v>
      </c>
      <c r="L30" s="319" t="s">
        <v>214</v>
      </c>
      <c r="M30" s="319" t="s">
        <v>215</v>
      </c>
      <c r="N30" s="319" t="s">
        <v>216</v>
      </c>
      <c r="O30" s="319" t="s">
        <v>217</v>
      </c>
      <c r="P30" s="319" t="s">
        <v>218</v>
      </c>
      <c r="Q30" s="319" t="s">
        <v>219</v>
      </c>
      <c r="R30" s="319" t="s">
        <v>220</v>
      </c>
      <c r="T30" s="712"/>
    </row>
    <row r="31" spans="1:20" ht="17.25" customHeight="1">
      <c r="A31" s="214"/>
      <c r="B31" s="214"/>
      <c r="C31" s="319" t="s">
        <v>608</v>
      </c>
      <c r="D31" s="319" t="s">
        <v>609</v>
      </c>
      <c r="E31" s="319" t="s">
        <v>610</v>
      </c>
      <c r="F31" s="319" t="s">
        <v>611</v>
      </c>
      <c r="G31" s="319" t="s">
        <v>608</v>
      </c>
      <c r="H31" s="319" t="s">
        <v>609</v>
      </c>
      <c r="I31" s="319" t="s">
        <v>610</v>
      </c>
      <c r="J31" s="319" t="s">
        <v>611</v>
      </c>
      <c r="K31" s="698"/>
      <c r="L31" s="699"/>
      <c r="M31" s="699"/>
      <c r="N31" s="699"/>
      <c r="O31" s="699"/>
      <c r="P31" s="699"/>
      <c r="Q31" s="699"/>
      <c r="R31" s="700"/>
      <c r="T31" s="712"/>
    </row>
    <row r="32" spans="1:20" ht="17.25" customHeight="1">
      <c r="A32" s="479" t="str">
        <f>'Key Assumptions'!B25</f>
        <v>(c) 7 Days Re-Skilling course</v>
      </c>
      <c r="B32" s="330"/>
      <c r="C32" s="275"/>
      <c r="D32" s="275"/>
      <c r="E32" s="275"/>
      <c r="F32" s="275"/>
      <c r="G32" s="489"/>
      <c r="H32" s="489"/>
      <c r="I32" s="489"/>
      <c r="J32" s="489"/>
      <c r="K32" s="489"/>
      <c r="L32" s="489"/>
      <c r="M32" s="489"/>
      <c r="N32" s="489"/>
      <c r="O32" s="489"/>
      <c r="P32" s="489"/>
      <c r="Q32" s="489"/>
      <c r="R32" s="489"/>
      <c r="S32" s="275"/>
      <c r="T32" s="712"/>
    </row>
    <row r="33" spans="1:20" ht="17.25" customHeight="1">
      <c r="A33" s="520" t="s">
        <v>508</v>
      </c>
      <c r="B33" s="521"/>
      <c r="C33" s="515">
        <f>'Key Assumptions'!K25</f>
        <v>1</v>
      </c>
      <c r="D33" s="515">
        <f>'Key Assumptions'!L25</f>
        <v>1</v>
      </c>
      <c r="E33" s="515">
        <f>'Key Assumptions'!M25</f>
        <v>1</v>
      </c>
      <c r="F33" s="515">
        <f>'Key Assumptions'!N25</f>
        <v>1</v>
      </c>
      <c r="G33" s="515">
        <f>'Key Assumptions'!O25</f>
        <v>1</v>
      </c>
      <c r="H33" s="515">
        <f>'Key Assumptions'!P25</f>
        <v>1</v>
      </c>
      <c r="I33" s="515">
        <f>'Key Assumptions'!Q25</f>
        <v>1</v>
      </c>
      <c r="J33" s="515">
        <f>'Key Assumptions'!R25</f>
        <v>1</v>
      </c>
      <c r="K33" s="515">
        <f>'Key Assumptions'!S25</f>
        <v>3</v>
      </c>
      <c r="L33" s="515">
        <f>'Key Assumptions'!T25</f>
        <v>3</v>
      </c>
      <c r="M33" s="515">
        <f>'Key Assumptions'!U25</f>
        <v>3</v>
      </c>
      <c r="N33" s="515">
        <f>'Key Assumptions'!V25</f>
        <v>3</v>
      </c>
      <c r="O33" s="515">
        <f>'Key Assumptions'!W25</f>
        <v>3</v>
      </c>
      <c r="P33" s="515">
        <f>'Key Assumptions'!X25</f>
        <v>3</v>
      </c>
      <c r="Q33" s="515">
        <f>'Key Assumptions'!Y25</f>
        <v>3</v>
      </c>
      <c r="R33" s="515">
        <f>'Key Assumptions'!Z25</f>
        <v>3</v>
      </c>
      <c r="S33" s="275"/>
      <c r="T33" s="712"/>
    </row>
    <row r="34" spans="1:20" ht="17.25" customHeight="1">
      <c r="A34" s="522" t="s">
        <v>351</v>
      </c>
      <c r="B34" s="523"/>
      <c r="C34" s="515">
        <f>C3</f>
        <v>3</v>
      </c>
      <c r="D34" s="515">
        <f t="shared" ref="D34:J34" si="11">D3</f>
        <v>6</v>
      </c>
      <c r="E34" s="515">
        <f t="shared" si="11"/>
        <v>9</v>
      </c>
      <c r="F34" s="515">
        <f t="shared" si="11"/>
        <v>12</v>
      </c>
      <c r="G34" s="515">
        <f t="shared" si="11"/>
        <v>15</v>
      </c>
      <c r="H34" s="515">
        <f t="shared" si="11"/>
        <v>18</v>
      </c>
      <c r="I34" s="515">
        <f t="shared" si="11"/>
        <v>21</v>
      </c>
      <c r="J34" s="515">
        <f t="shared" si="11"/>
        <v>24</v>
      </c>
      <c r="K34" s="515">
        <f t="shared" ref="K34:R34" si="12">K3</f>
        <v>36</v>
      </c>
      <c r="L34" s="515">
        <f t="shared" si="12"/>
        <v>48</v>
      </c>
      <c r="M34" s="515">
        <f t="shared" si="12"/>
        <v>60</v>
      </c>
      <c r="N34" s="515">
        <f t="shared" si="12"/>
        <v>72</v>
      </c>
      <c r="O34" s="515">
        <f t="shared" si="12"/>
        <v>84</v>
      </c>
      <c r="P34" s="515">
        <f t="shared" si="12"/>
        <v>96</v>
      </c>
      <c r="Q34" s="515">
        <f t="shared" si="12"/>
        <v>108</v>
      </c>
      <c r="R34" s="515">
        <f t="shared" si="12"/>
        <v>120</v>
      </c>
      <c r="S34" s="275"/>
      <c r="T34" s="712"/>
    </row>
    <row r="35" spans="1:20" ht="17.25" customHeight="1">
      <c r="A35" s="522" t="s">
        <v>625</v>
      </c>
      <c r="B35" s="524"/>
      <c r="C35" s="511">
        <f>'Key Assumptions'!K46</f>
        <v>2</v>
      </c>
      <c r="D35" s="511">
        <f>'Key Assumptions'!L46</f>
        <v>2</v>
      </c>
      <c r="E35" s="511">
        <f>'Key Assumptions'!M46</f>
        <v>2</v>
      </c>
      <c r="F35" s="511">
        <f>'Key Assumptions'!N46</f>
        <v>2</v>
      </c>
      <c r="G35" s="511">
        <f>'Key Assumptions'!O46</f>
        <v>2</v>
      </c>
      <c r="H35" s="511">
        <f>'Key Assumptions'!P46</f>
        <v>2</v>
      </c>
      <c r="I35" s="511">
        <f>'Key Assumptions'!Q46</f>
        <v>2</v>
      </c>
      <c r="J35" s="511">
        <f>'Key Assumptions'!R46</f>
        <v>2</v>
      </c>
      <c r="K35" s="511">
        <f>'Key Assumptions'!S46</f>
        <v>8</v>
      </c>
      <c r="L35" s="511">
        <f>'Key Assumptions'!T46</f>
        <v>8</v>
      </c>
      <c r="M35" s="511">
        <f>'Key Assumptions'!U46</f>
        <v>8</v>
      </c>
      <c r="N35" s="511">
        <f>'Key Assumptions'!V46</f>
        <v>8</v>
      </c>
      <c r="O35" s="511">
        <f>'Key Assumptions'!W46</f>
        <v>8</v>
      </c>
      <c r="P35" s="511">
        <f>'Key Assumptions'!X46</f>
        <v>8</v>
      </c>
      <c r="Q35" s="511">
        <f>'Key Assumptions'!Y46</f>
        <v>8</v>
      </c>
      <c r="R35" s="511">
        <f>'Key Assumptions'!Z46</f>
        <v>8</v>
      </c>
      <c r="S35" s="275"/>
      <c r="T35" s="712"/>
    </row>
    <row r="36" spans="1:20" ht="17.25" customHeight="1">
      <c r="A36" s="522" t="s">
        <v>344</v>
      </c>
      <c r="B36" s="524"/>
      <c r="C36" s="511">
        <f>'Key Assumptions'!K47</f>
        <v>1</v>
      </c>
      <c r="D36" s="511">
        <f>'Key Assumptions'!L47</f>
        <v>1</v>
      </c>
      <c r="E36" s="511">
        <f>'Key Assumptions'!M47</f>
        <v>1</v>
      </c>
      <c r="F36" s="511">
        <f>'Key Assumptions'!N47</f>
        <v>1</v>
      </c>
      <c r="G36" s="511">
        <f>'Key Assumptions'!O47</f>
        <v>1</v>
      </c>
      <c r="H36" s="511">
        <f>'Key Assumptions'!P47</f>
        <v>1</v>
      </c>
      <c r="I36" s="511">
        <f>'Key Assumptions'!Q47</f>
        <v>1</v>
      </c>
      <c r="J36" s="511">
        <f>'Key Assumptions'!R47</f>
        <v>1</v>
      </c>
      <c r="K36" s="511">
        <f>'Key Assumptions'!S47</f>
        <v>1</v>
      </c>
      <c r="L36" s="511">
        <f>'Key Assumptions'!T47</f>
        <v>1</v>
      </c>
      <c r="M36" s="511">
        <f>'Key Assumptions'!U47</f>
        <v>1</v>
      </c>
      <c r="N36" s="511">
        <f>'Key Assumptions'!V47</f>
        <v>1</v>
      </c>
      <c r="O36" s="511">
        <f>'Key Assumptions'!W47</f>
        <v>1</v>
      </c>
      <c r="P36" s="511">
        <f>'Key Assumptions'!X47</f>
        <v>1</v>
      </c>
      <c r="Q36" s="511">
        <f>'Key Assumptions'!Y47</f>
        <v>1</v>
      </c>
      <c r="R36" s="511">
        <f>'Key Assumptions'!Z47</f>
        <v>1</v>
      </c>
      <c r="S36" s="275"/>
      <c r="T36" s="712"/>
    </row>
    <row r="37" spans="1:20" ht="17.25" customHeight="1">
      <c r="A37" s="522" t="s">
        <v>627</v>
      </c>
      <c r="B37" s="524"/>
      <c r="C37" s="493">
        <f t="shared" ref="C37:J37" si="13">C35*C36</f>
        <v>2</v>
      </c>
      <c r="D37" s="493">
        <f t="shared" si="13"/>
        <v>2</v>
      </c>
      <c r="E37" s="493">
        <f t="shared" si="13"/>
        <v>2</v>
      </c>
      <c r="F37" s="493">
        <f t="shared" si="13"/>
        <v>2</v>
      </c>
      <c r="G37" s="493">
        <f t="shared" si="13"/>
        <v>2</v>
      </c>
      <c r="H37" s="493">
        <f t="shared" si="13"/>
        <v>2</v>
      </c>
      <c r="I37" s="493">
        <f t="shared" si="13"/>
        <v>2</v>
      </c>
      <c r="J37" s="493">
        <f t="shared" si="13"/>
        <v>2</v>
      </c>
      <c r="K37" s="493">
        <f t="shared" ref="K37:R37" si="14">K35*K36</f>
        <v>8</v>
      </c>
      <c r="L37" s="493">
        <f t="shared" si="14"/>
        <v>8</v>
      </c>
      <c r="M37" s="493">
        <f t="shared" si="14"/>
        <v>8</v>
      </c>
      <c r="N37" s="493">
        <f t="shared" si="14"/>
        <v>8</v>
      </c>
      <c r="O37" s="493">
        <f t="shared" si="14"/>
        <v>8</v>
      </c>
      <c r="P37" s="493">
        <f t="shared" si="14"/>
        <v>8</v>
      </c>
      <c r="Q37" s="493">
        <f t="shared" si="14"/>
        <v>8</v>
      </c>
      <c r="R37" s="493">
        <f t="shared" si="14"/>
        <v>8</v>
      </c>
      <c r="S37" s="275"/>
      <c r="T37" s="712"/>
    </row>
    <row r="38" spans="1:20" ht="17.25" customHeight="1">
      <c r="A38" s="522" t="s">
        <v>345</v>
      </c>
      <c r="B38" s="524"/>
      <c r="C38" s="493">
        <f>'Key Assumptions'!K45</f>
        <v>25</v>
      </c>
      <c r="D38" s="493">
        <f>'Key Assumptions'!L45</f>
        <v>25</v>
      </c>
      <c r="E38" s="493">
        <f>'Key Assumptions'!M45</f>
        <v>25</v>
      </c>
      <c r="F38" s="493">
        <f>'Key Assumptions'!N45</f>
        <v>25</v>
      </c>
      <c r="G38" s="493">
        <f>'Key Assumptions'!O45</f>
        <v>25</v>
      </c>
      <c r="H38" s="493">
        <f>'Key Assumptions'!P45</f>
        <v>25</v>
      </c>
      <c r="I38" s="493">
        <f>'Key Assumptions'!Q45</f>
        <v>25</v>
      </c>
      <c r="J38" s="493">
        <f>'Key Assumptions'!R45</f>
        <v>25</v>
      </c>
      <c r="K38" s="493">
        <f>'Key Assumptions'!S45</f>
        <v>25</v>
      </c>
      <c r="L38" s="493">
        <f>'Key Assumptions'!T45</f>
        <v>25</v>
      </c>
      <c r="M38" s="493">
        <f>'Key Assumptions'!U45</f>
        <v>25</v>
      </c>
      <c r="N38" s="493">
        <f>'Key Assumptions'!V45</f>
        <v>25</v>
      </c>
      <c r="O38" s="493">
        <f>'Key Assumptions'!W45</f>
        <v>25</v>
      </c>
      <c r="P38" s="493">
        <f>'Key Assumptions'!X45</f>
        <v>25</v>
      </c>
      <c r="Q38" s="493">
        <f>'Key Assumptions'!Y45</f>
        <v>25</v>
      </c>
      <c r="R38" s="493">
        <f>'Key Assumptions'!Z45</f>
        <v>25</v>
      </c>
      <c r="S38" s="275"/>
      <c r="T38" s="712"/>
    </row>
    <row r="39" spans="1:20" ht="17.25" customHeight="1">
      <c r="A39" s="527" t="s">
        <v>525</v>
      </c>
      <c r="B39" s="528"/>
      <c r="C39" s="529">
        <f>C34*C37*C38*C33</f>
        <v>150</v>
      </c>
      <c r="D39" s="529">
        <f>D34*D37*D38*D33</f>
        <v>300</v>
      </c>
      <c r="E39" s="529">
        <f>E34*E37*E38*E33</f>
        <v>450</v>
      </c>
      <c r="F39" s="529">
        <f>F34*F37*F38*F33</f>
        <v>600</v>
      </c>
      <c r="G39" s="529">
        <f t="shared" ref="G39:R39" si="15">G34*G37*G38*G33</f>
        <v>750</v>
      </c>
      <c r="H39" s="529">
        <f t="shared" si="15"/>
        <v>900</v>
      </c>
      <c r="I39" s="529">
        <f t="shared" si="15"/>
        <v>1050</v>
      </c>
      <c r="J39" s="529">
        <f t="shared" si="15"/>
        <v>1200</v>
      </c>
      <c r="K39" s="529">
        <f t="shared" si="15"/>
        <v>21600</v>
      </c>
      <c r="L39" s="529">
        <f t="shared" si="15"/>
        <v>28800</v>
      </c>
      <c r="M39" s="529">
        <f t="shared" si="15"/>
        <v>36000</v>
      </c>
      <c r="N39" s="529">
        <f t="shared" si="15"/>
        <v>43200</v>
      </c>
      <c r="O39" s="529">
        <f t="shared" si="15"/>
        <v>50400</v>
      </c>
      <c r="P39" s="529">
        <f t="shared" si="15"/>
        <v>57600</v>
      </c>
      <c r="Q39" s="529">
        <f t="shared" si="15"/>
        <v>64800</v>
      </c>
      <c r="R39" s="529">
        <f t="shared" si="15"/>
        <v>72000</v>
      </c>
      <c r="S39" s="492">
        <f>C39+D39+E39+F39+G39+H39+I39+J39+K39+L39+M39+N39+O39+P39+Q39+R39</f>
        <v>379800</v>
      </c>
      <c r="T39" s="712"/>
    </row>
    <row r="40" spans="1:20" ht="17.25" customHeight="1">
      <c r="A40" s="275" t="s">
        <v>509</v>
      </c>
      <c r="B40" s="275"/>
      <c r="C40" s="489">
        <f t="shared" ref="C40:J40" si="16">C39/C34</f>
        <v>50</v>
      </c>
      <c r="D40" s="489">
        <f t="shared" si="16"/>
        <v>50</v>
      </c>
      <c r="E40" s="489">
        <f t="shared" si="16"/>
        <v>50</v>
      </c>
      <c r="F40" s="489">
        <f t="shared" si="16"/>
        <v>50</v>
      </c>
      <c r="G40" s="489">
        <f t="shared" si="16"/>
        <v>50</v>
      </c>
      <c r="H40" s="489">
        <f t="shared" si="16"/>
        <v>50</v>
      </c>
      <c r="I40" s="489">
        <f t="shared" si="16"/>
        <v>50</v>
      </c>
      <c r="J40" s="489">
        <f t="shared" si="16"/>
        <v>50</v>
      </c>
      <c r="K40" s="489">
        <f t="shared" ref="K40:R40" si="17">K39/K34</f>
        <v>600</v>
      </c>
      <c r="L40" s="489">
        <f t="shared" si="17"/>
        <v>600</v>
      </c>
      <c r="M40" s="489">
        <f t="shared" si="17"/>
        <v>600</v>
      </c>
      <c r="N40" s="489">
        <f t="shared" si="17"/>
        <v>600</v>
      </c>
      <c r="O40" s="489">
        <f t="shared" si="17"/>
        <v>600</v>
      </c>
      <c r="P40" s="489">
        <f t="shared" si="17"/>
        <v>600</v>
      </c>
      <c r="Q40" s="489">
        <f t="shared" si="17"/>
        <v>600</v>
      </c>
      <c r="R40" s="489">
        <f t="shared" si="17"/>
        <v>600</v>
      </c>
      <c r="S40" s="275"/>
      <c r="T40" s="712"/>
    </row>
    <row r="41" spans="1:20" ht="17.25" customHeight="1">
      <c r="A41" s="275"/>
      <c r="B41" s="275"/>
      <c r="C41" s="489"/>
      <c r="D41" s="489"/>
      <c r="E41" s="489"/>
      <c r="F41" s="489"/>
      <c r="G41" s="489"/>
      <c r="H41" s="489"/>
      <c r="I41" s="489"/>
      <c r="J41" s="489"/>
      <c r="K41" s="489"/>
      <c r="L41" s="489"/>
      <c r="M41" s="489"/>
      <c r="N41" s="489"/>
      <c r="O41" s="489"/>
      <c r="P41" s="489"/>
      <c r="Q41" s="489"/>
      <c r="R41" s="489"/>
      <c r="S41" s="275"/>
      <c r="T41" s="712"/>
    </row>
    <row r="42" spans="1:20" ht="17.25" customHeight="1">
      <c r="A42" s="275" t="s">
        <v>741</v>
      </c>
      <c r="B42" s="275"/>
      <c r="C42" s="489">
        <f>'Key Assumptions'!K57</f>
        <v>2</v>
      </c>
      <c r="D42" s="489">
        <f>'Key Assumptions'!L57</f>
        <v>5</v>
      </c>
      <c r="E42" s="489">
        <f>'Key Assumptions'!M57</f>
        <v>7</v>
      </c>
      <c r="F42" s="489">
        <f>'Key Assumptions'!N57</f>
        <v>9</v>
      </c>
      <c r="G42" s="489">
        <f>'Key Assumptions'!O57</f>
        <v>14</v>
      </c>
      <c r="H42" s="489">
        <f>'Key Assumptions'!P57</f>
        <v>16</v>
      </c>
      <c r="I42" s="489">
        <f>'Key Assumptions'!Q57</f>
        <v>19</v>
      </c>
      <c r="J42" s="489">
        <f>'Key Assumptions'!R57</f>
        <v>21</v>
      </c>
      <c r="K42" s="489">
        <f>'Key Assumptions'!S57</f>
        <v>33</v>
      </c>
      <c r="L42" s="489">
        <f>'Key Assumptions'!T57</f>
        <v>38</v>
      </c>
      <c r="M42" s="489">
        <f>'Key Assumptions'!U57</f>
        <v>42</v>
      </c>
      <c r="N42" s="489">
        <f>'Key Assumptions'!V57</f>
        <v>47</v>
      </c>
      <c r="O42" s="489">
        <f>'Key Assumptions'!W57</f>
        <v>48</v>
      </c>
      <c r="P42" s="489">
        <f>'Key Assumptions'!X57</f>
        <v>53</v>
      </c>
      <c r="Q42" s="489">
        <f>'Key Assumptions'!Y57</f>
        <v>58</v>
      </c>
      <c r="R42" s="489">
        <f>'Key Assumptions'!Z57</f>
        <v>62</v>
      </c>
      <c r="S42" s="275"/>
      <c r="T42" s="712"/>
    </row>
    <row r="43" spans="1:20" ht="17.25" customHeight="1">
      <c r="A43" s="275"/>
      <c r="B43" s="275"/>
      <c r="C43" s="489"/>
      <c r="D43" s="489"/>
      <c r="E43" s="489"/>
      <c r="F43" s="489"/>
      <c r="G43" s="489"/>
      <c r="H43" s="489"/>
      <c r="I43" s="489"/>
      <c r="J43" s="489"/>
      <c r="K43" s="489"/>
      <c r="L43" s="489"/>
      <c r="M43" s="489"/>
      <c r="N43" s="489"/>
      <c r="O43" s="489"/>
      <c r="P43" s="489"/>
      <c r="Q43" s="489"/>
      <c r="R43" s="489"/>
      <c r="S43" s="275"/>
      <c r="T43" s="712"/>
    </row>
    <row r="44" spans="1:20" ht="17.25" customHeight="1">
      <c r="A44" s="912" t="s">
        <v>680</v>
      </c>
      <c r="B44" s="531"/>
      <c r="C44" s="1333" t="s">
        <v>210</v>
      </c>
      <c r="D44" s="1334"/>
      <c r="E44" s="1334"/>
      <c r="F44" s="1335"/>
      <c r="G44" s="1333" t="s">
        <v>211</v>
      </c>
      <c r="H44" s="1334"/>
      <c r="I44" s="1334"/>
      <c r="J44" s="1335"/>
      <c r="K44" s="319" t="s">
        <v>213</v>
      </c>
      <c r="L44" s="319" t="s">
        <v>214</v>
      </c>
      <c r="M44" s="319" t="s">
        <v>215</v>
      </c>
      <c r="N44" s="319" t="s">
        <v>216</v>
      </c>
      <c r="O44" s="319" t="s">
        <v>217</v>
      </c>
      <c r="P44" s="319" t="s">
        <v>218</v>
      </c>
      <c r="Q44" s="319" t="s">
        <v>219</v>
      </c>
      <c r="R44" s="319" t="s">
        <v>220</v>
      </c>
      <c r="S44" s="275"/>
      <c r="T44" s="712"/>
    </row>
    <row r="45" spans="1:20" ht="17.25" customHeight="1">
      <c r="A45" s="214"/>
      <c r="B45" s="214"/>
      <c r="C45" s="319" t="s">
        <v>608</v>
      </c>
      <c r="D45" s="319" t="s">
        <v>609</v>
      </c>
      <c r="E45" s="319" t="s">
        <v>610</v>
      </c>
      <c r="F45" s="319" t="s">
        <v>611</v>
      </c>
      <c r="G45" s="319" t="s">
        <v>608</v>
      </c>
      <c r="H45" s="319" t="s">
        <v>609</v>
      </c>
      <c r="I45" s="319" t="s">
        <v>610</v>
      </c>
      <c r="J45" s="319" t="s">
        <v>611</v>
      </c>
      <c r="K45" s="698"/>
      <c r="L45" s="699"/>
      <c r="M45" s="699"/>
      <c r="N45" s="699"/>
      <c r="O45" s="699"/>
      <c r="P45" s="699"/>
      <c r="Q45" s="699"/>
      <c r="R45" s="700"/>
      <c r="S45" s="275"/>
      <c r="T45" s="712"/>
    </row>
    <row r="46" spans="1:20" ht="17.25" customHeight="1">
      <c r="A46" s="479" t="str">
        <f>'Key Assumptions'!B50</f>
        <v>(d) 75 days Mobile Repairing Course</v>
      </c>
      <c r="B46" s="330"/>
      <c r="C46" s="275"/>
      <c r="D46" s="275"/>
      <c r="E46" s="275"/>
      <c r="F46" s="275"/>
      <c r="G46" s="489"/>
      <c r="H46" s="489"/>
      <c r="I46" s="489"/>
      <c r="J46" s="489"/>
      <c r="K46" s="489"/>
      <c r="L46" s="489"/>
      <c r="M46" s="489"/>
      <c r="N46" s="489"/>
      <c r="O46" s="489"/>
      <c r="P46" s="489"/>
      <c r="Q46" s="489"/>
      <c r="R46" s="489"/>
      <c r="S46" s="275"/>
      <c r="T46" s="712"/>
    </row>
    <row r="47" spans="1:20" ht="17.25" customHeight="1">
      <c r="A47" s="520" t="s">
        <v>508</v>
      </c>
      <c r="B47" s="521"/>
      <c r="C47" s="515">
        <f>'Key Assumptions'!K50</f>
        <v>1</v>
      </c>
      <c r="D47" s="515">
        <f>'Key Assumptions'!L50</f>
        <v>1</v>
      </c>
      <c r="E47" s="515">
        <f>'Key Assumptions'!M50</f>
        <v>1</v>
      </c>
      <c r="F47" s="515">
        <f>'Key Assumptions'!N50</f>
        <v>1</v>
      </c>
      <c r="G47" s="515">
        <f>'Key Assumptions'!O50</f>
        <v>1</v>
      </c>
      <c r="H47" s="515">
        <f>'Key Assumptions'!P50</f>
        <v>1</v>
      </c>
      <c r="I47" s="515">
        <f>'Key Assumptions'!Q50</f>
        <v>1</v>
      </c>
      <c r="J47" s="515">
        <f>'Key Assumptions'!R50</f>
        <v>1</v>
      </c>
      <c r="K47" s="515">
        <f>'Key Assumptions'!S50</f>
        <v>1</v>
      </c>
      <c r="L47" s="515">
        <f>'Key Assumptions'!T50</f>
        <v>1</v>
      </c>
      <c r="M47" s="515">
        <f>'Key Assumptions'!U50</f>
        <v>1</v>
      </c>
      <c r="N47" s="515">
        <f>'Key Assumptions'!V50</f>
        <v>1</v>
      </c>
      <c r="O47" s="515">
        <f>'Key Assumptions'!W50</f>
        <v>1</v>
      </c>
      <c r="P47" s="515">
        <f>'Key Assumptions'!X50</f>
        <v>1</v>
      </c>
      <c r="Q47" s="515">
        <f>'Key Assumptions'!Y50</f>
        <v>1</v>
      </c>
      <c r="R47" s="515">
        <f>'Key Assumptions'!Z50</f>
        <v>1</v>
      </c>
      <c r="S47" s="275"/>
      <c r="T47" s="712"/>
    </row>
    <row r="48" spans="1:20" ht="17.25" customHeight="1">
      <c r="A48" s="522" t="s">
        <v>742</v>
      </c>
      <c r="B48" s="523"/>
      <c r="C48" s="517">
        <f>C42</f>
        <v>2</v>
      </c>
      <c r="D48" s="517">
        <f t="shared" ref="D48:R48" si="18">D42</f>
        <v>5</v>
      </c>
      <c r="E48" s="517">
        <f t="shared" si="18"/>
        <v>7</v>
      </c>
      <c r="F48" s="517">
        <f t="shared" si="18"/>
        <v>9</v>
      </c>
      <c r="G48" s="517">
        <f t="shared" si="18"/>
        <v>14</v>
      </c>
      <c r="H48" s="517">
        <f t="shared" si="18"/>
        <v>16</v>
      </c>
      <c r="I48" s="517">
        <f t="shared" si="18"/>
        <v>19</v>
      </c>
      <c r="J48" s="517">
        <f t="shared" si="18"/>
        <v>21</v>
      </c>
      <c r="K48" s="517">
        <f t="shared" si="18"/>
        <v>33</v>
      </c>
      <c r="L48" s="517">
        <f t="shared" si="18"/>
        <v>38</v>
      </c>
      <c r="M48" s="517">
        <f t="shared" si="18"/>
        <v>42</v>
      </c>
      <c r="N48" s="517">
        <f t="shared" si="18"/>
        <v>47</v>
      </c>
      <c r="O48" s="517">
        <f t="shared" si="18"/>
        <v>48</v>
      </c>
      <c r="P48" s="517">
        <f t="shared" si="18"/>
        <v>53</v>
      </c>
      <c r="Q48" s="517">
        <f t="shared" si="18"/>
        <v>58</v>
      </c>
      <c r="R48" s="517">
        <f t="shared" si="18"/>
        <v>62</v>
      </c>
      <c r="S48" s="275"/>
      <c r="T48" s="712"/>
    </row>
    <row r="49" spans="1:20" ht="17.25" customHeight="1">
      <c r="A49" s="522" t="s">
        <v>625</v>
      </c>
      <c r="B49" s="524"/>
      <c r="C49" s="511">
        <f>'Key Assumptions'!K61</f>
        <v>1</v>
      </c>
      <c r="D49" s="511">
        <f>'Key Assumptions'!L61</f>
        <v>1</v>
      </c>
      <c r="E49" s="511">
        <f>'Key Assumptions'!M61</f>
        <v>1</v>
      </c>
      <c r="F49" s="511">
        <f>'Key Assumptions'!N61</f>
        <v>1</v>
      </c>
      <c r="G49" s="511">
        <f>'Key Assumptions'!O61</f>
        <v>1</v>
      </c>
      <c r="H49" s="511">
        <f>'Key Assumptions'!P61</f>
        <v>1</v>
      </c>
      <c r="I49" s="511">
        <f>'Key Assumptions'!Q61</f>
        <v>1</v>
      </c>
      <c r="J49" s="511">
        <f>'Key Assumptions'!R61</f>
        <v>1</v>
      </c>
      <c r="K49" s="511">
        <f>'Key Assumptions'!S61</f>
        <v>4</v>
      </c>
      <c r="L49" s="511">
        <f>'Key Assumptions'!T61</f>
        <v>4</v>
      </c>
      <c r="M49" s="511">
        <f>'Key Assumptions'!U61</f>
        <v>4</v>
      </c>
      <c r="N49" s="511">
        <f>'Key Assumptions'!V61</f>
        <v>4</v>
      </c>
      <c r="O49" s="511">
        <f>'Key Assumptions'!W61</f>
        <v>4</v>
      </c>
      <c r="P49" s="511">
        <f>'Key Assumptions'!X61</f>
        <v>4</v>
      </c>
      <c r="Q49" s="511">
        <f>'Key Assumptions'!Y61</f>
        <v>4</v>
      </c>
      <c r="R49" s="511">
        <f>'Key Assumptions'!Z61</f>
        <v>4</v>
      </c>
      <c r="S49" s="275"/>
      <c r="T49" s="712"/>
    </row>
    <row r="50" spans="1:20" ht="17.25" customHeight="1">
      <c r="A50" s="522" t="s">
        <v>344</v>
      </c>
      <c r="B50" s="524"/>
      <c r="C50" s="511">
        <f>'Key Assumptions'!K62</f>
        <v>1</v>
      </c>
      <c r="D50" s="511">
        <f>'Key Assumptions'!L62</f>
        <v>1</v>
      </c>
      <c r="E50" s="511">
        <f>'Key Assumptions'!M62</f>
        <v>1</v>
      </c>
      <c r="F50" s="511">
        <f>'Key Assumptions'!N62</f>
        <v>1</v>
      </c>
      <c r="G50" s="511">
        <f>'Key Assumptions'!O62</f>
        <v>1</v>
      </c>
      <c r="H50" s="511">
        <f>'Key Assumptions'!P62</f>
        <v>1</v>
      </c>
      <c r="I50" s="511">
        <f>'Key Assumptions'!Q62</f>
        <v>1</v>
      </c>
      <c r="J50" s="511">
        <f>'Key Assumptions'!R62</f>
        <v>1</v>
      </c>
      <c r="K50" s="511">
        <f>'Key Assumptions'!S62</f>
        <v>1</v>
      </c>
      <c r="L50" s="511">
        <f>'Key Assumptions'!T62</f>
        <v>1</v>
      </c>
      <c r="M50" s="511">
        <f>'Key Assumptions'!U62</f>
        <v>1</v>
      </c>
      <c r="N50" s="511">
        <f>'Key Assumptions'!V62</f>
        <v>1</v>
      </c>
      <c r="O50" s="511">
        <f>'Key Assumptions'!W62</f>
        <v>1</v>
      </c>
      <c r="P50" s="511">
        <f>'Key Assumptions'!X62</f>
        <v>1</v>
      </c>
      <c r="Q50" s="511">
        <f>'Key Assumptions'!Y62</f>
        <v>1</v>
      </c>
      <c r="R50" s="511">
        <f>'Key Assumptions'!Z62</f>
        <v>1</v>
      </c>
      <c r="S50" s="275"/>
      <c r="T50" s="712"/>
    </row>
    <row r="51" spans="1:20" ht="17.25" customHeight="1">
      <c r="A51" s="522" t="s">
        <v>627</v>
      </c>
      <c r="B51" s="524"/>
      <c r="C51" s="493">
        <f t="shared" ref="C51:R51" si="19">C49*C50</f>
        <v>1</v>
      </c>
      <c r="D51" s="493">
        <f t="shared" si="19"/>
        <v>1</v>
      </c>
      <c r="E51" s="493">
        <f t="shared" si="19"/>
        <v>1</v>
      </c>
      <c r="F51" s="493">
        <f t="shared" si="19"/>
        <v>1</v>
      </c>
      <c r="G51" s="493">
        <f t="shared" si="19"/>
        <v>1</v>
      </c>
      <c r="H51" s="493">
        <f t="shared" si="19"/>
        <v>1</v>
      </c>
      <c r="I51" s="493">
        <f t="shared" si="19"/>
        <v>1</v>
      </c>
      <c r="J51" s="493">
        <f t="shared" si="19"/>
        <v>1</v>
      </c>
      <c r="K51" s="493">
        <f t="shared" si="19"/>
        <v>4</v>
      </c>
      <c r="L51" s="493">
        <f t="shared" si="19"/>
        <v>4</v>
      </c>
      <c r="M51" s="493">
        <f t="shared" si="19"/>
        <v>4</v>
      </c>
      <c r="N51" s="493">
        <f t="shared" si="19"/>
        <v>4</v>
      </c>
      <c r="O51" s="493">
        <f t="shared" si="19"/>
        <v>4</v>
      </c>
      <c r="P51" s="493">
        <f t="shared" si="19"/>
        <v>4</v>
      </c>
      <c r="Q51" s="493">
        <f t="shared" si="19"/>
        <v>4</v>
      </c>
      <c r="R51" s="493">
        <f t="shared" si="19"/>
        <v>4</v>
      </c>
      <c r="S51" s="275"/>
      <c r="T51" s="712"/>
    </row>
    <row r="52" spans="1:20" ht="17.25" customHeight="1">
      <c r="A52" s="522" t="s">
        <v>345</v>
      </c>
      <c r="B52" s="524"/>
      <c r="C52" s="493">
        <f>'Key Assumptions'!K60</f>
        <v>25</v>
      </c>
      <c r="D52" s="493">
        <f>'Key Assumptions'!L60</f>
        <v>25</v>
      </c>
      <c r="E52" s="493">
        <f>'Key Assumptions'!M60</f>
        <v>25</v>
      </c>
      <c r="F52" s="493">
        <f>'Key Assumptions'!N60</f>
        <v>25</v>
      </c>
      <c r="G52" s="493">
        <f>'Key Assumptions'!O60</f>
        <v>25</v>
      </c>
      <c r="H52" s="493">
        <f>'Key Assumptions'!P60</f>
        <v>25</v>
      </c>
      <c r="I52" s="493">
        <f>'Key Assumptions'!Q60</f>
        <v>25</v>
      </c>
      <c r="J52" s="493">
        <f>'Key Assumptions'!R60</f>
        <v>25</v>
      </c>
      <c r="K52" s="493">
        <f>'Key Assumptions'!S60</f>
        <v>25</v>
      </c>
      <c r="L52" s="493">
        <f>'Key Assumptions'!T60</f>
        <v>30</v>
      </c>
      <c r="M52" s="493">
        <f>'Key Assumptions'!U60</f>
        <v>30</v>
      </c>
      <c r="N52" s="493">
        <f>'Key Assumptions'!V60</f>
        <v>30</v>
      </c>
      <c r="O52" s="493">
        <f>'Key Assumptions'!W60</f>
        <v>30</v>
      </c>
      <c r="P52" s="493">
        <f>'Key Assumptions'!X60</f>
        <v>30</v>
      </c>
      <c r="Q52" s="493">
        <f>'Key Assumptions'!Y60</f>
        <v>30</v>
      </c>
      <c r="R52" s="493">
        <f>'Key Assumptions'!Z60</f>
        <v>30</v>
      </c>
      <c r="S52" s="275"/>
      <c r="T52" s="712"/>
    </row>
    <row r="53" spans="1:20" ht="17.25" customHeight="1">
      <c r="A53" s="527" t="s">
        <v>525</v>
      </c>
      <c r="B53" s="528"/>
      <c r="C53" s="529">
        <f t="shared" ref="C53:R53" si="20">C48*C51*C52*C47</f>
        <v>50</v>
      </c>
      <c r="D53" s="529">
        <f t="shared" si="20"/>
        <v>125</v>
      </c>
      <c r="E53" s="529">
        <f t="shared" si="20"/>
        <v>175</v>
      </c>
      <c r="F53" s="529">
        <f t="shared" si="20"/>
        <v>225</v>
      </c>
      <c r="G53" s="529">
        <f t="shared" si="20"/>
        <v>350</v>
      </c>
      <c r="H53" s="529">
        <f t="shared" si="20"/>
        <v>400</v>
      </c>
      <c r="I53" s="529">
        <f t="shared" si="20"/>
        <v>475</v>
      </c>
      <c r="J53" s="529">
        <f t="shared" si="20"/>
        <v>525</v>
      </c>
      <c r="K53" s="529">
        <f t="shared" si="20"/>
        <v>3300</v>
      </c>
      <c r="L53" s="529">
        <f t="shared" si="20"/>
        <v>4560</v>
      </c>
      <c r="M53" s="529">
        <f t="shared" si="20"/>
        <v>5040</v>
      </c>
      <c r="N53" s="529">
        <f t="shared" si="20"/>
        <v>5640</v>
      </c>
      <c r="O53" s="529">
        <f t="shared" si="20"/>
        <v>5760</v>
      </c>
      <c r="P53" s="529">
        <f t="shared" si="20"/>
        <v>6360</v>
      </c>
      <c r="Q53" s="529">
        <f t="shared" si="20"/>
        <v>6960</v>
      </c>
      <c r="R53" s="529">
        <f t="shared" si="20"/>
        <v>7440</v>
      </c>
      <c r="S53" s="492">
        <f>C53+D53+E53+F53+G53+H53+I53+J53+K53+L53+M53+N53+O53+P53+Q53+R53</f>
        <v>47385</v>
      </c>
      <c r="T53" s="712"/>
    </row>
    <row r="54" spans="1:20" ht="17.25" customHeight="1">
      <c r="A54" s="275" t="s">
        <v>509</v>
      </c>
      <c r="B54" s="275"/>
      <c r="C54" s="489">
        <f t="shared" ref="C54:R54" si="21">C53/C48</f>
        <v>25</v>
      </c>
      <c r="D54" s="489">
        <f t="shared" si="21"/>
        <v>25</v>
      </c>
      <c r="E54" s="489">
        <f t="shared" si="21"/>
        <v>25</v>
      </c>
      <c r="F54" s="489">
        <f t="shared" si="21"/>
        <v>25</v>
      </c>
      <c r="G54" s="489">
        <f t="shared" si="21"/>
        <v>25</v>
      </c>
      <c r="H54" s="489">
        <f t="shared" si="21"/>
        <v>25</v>
      </c>
      <c r="I54" s="489">
        <f t="shared" si="21"/>
        <v>25</v>
      </c>
      <c r="J54" s="489">
        <f t="shared" si="21"/>
        <v>25</v>
      </c>
      <c r="K54" s="489">
        <f t="shared" si="21"/>
        <v>100</v>
      </c>
      <c r="L54" s="489">
        <f t="shared" si="21"/>
        <v>120</v>
      </c>
      <c r="M54" s="489">
        <f t="shared" si="21"/>
        <v>120</v>
      </c>
      <c r="N54" s="489">
        <f t="shared" si="21"/>
        <v>120</v>
      </c>
      <c r="O54" s="489">
        <f t="shared" si="21"/>
        <v>120</v>
      </c>
      <c r="P54" s="489">
        <f t="shared" si="21"/>
        <v>120</v>
      </c>
      <c r="Q54" s="489">
        <f t="shared" si="21"/>
        <v>120</v>
      </c>
      <c r="R54" s="489">
        <f t="shared" si="21"/>
        <v>120</v>
      </c>
      <c r="S54" s="275"/>
      <c r="T54" s="712"/>
    </row>
    <row r="55" spans="1:20" ht="17.25" customHeight="1">
      <c r="A55" s="214"/>
      <c r="B55" s="214"/>
      <c r="C55" s="532"/>
      <c r="D55" s="532"/>
      <c r="E55" s="532"/>
      <c r="F55" s="532"/>
      <c r="G55" s="532"/>
      <c r="H55" s="532"/>
      <c r="I55" s="532"/>
      <c r="J55" s="532"/>
      <c r="K55" s="532"/>
      <c r="L55" s="532"/>
      <c r="M55" s="532"/>
      <c r="N55" s="532"/>
      <c r="O55" s="532"/>
      <c r="P55" s="532"/>
      <c r="Q55" s="532"/>
      <c r="R55" s="532"/>
      <c r="S55" s="275"/>
      <c r="T55" s="712"/>
    </row>
    <row r="56" spans="1:20" ht="17.25" customHeight="1">
      <c r="A56" s="530"/>
      <c r="B56" s="531"/>
      <c r="C56" s="1333" t="s">
        <v>210</v>
      </c>
      <c r="D56" s="1334"/>
      <c r="E56" s="1334"/>
      <c r="F56" s="1335"/>
      <c r="G56" s="1333" t="s">
        <v>211</v>
      </c>
      <c r="H56" s="1334"/>
      <c r="I56" s="1334"/>
      <c r="J56" s="1335"/>
      <c r="K56" s="319" t="s">
        <v>213</v>
      </c>
      <c r="L56" s="319" t="s">
        <v>214</v>
      </c>
      <c r="M56" s="319" t="s">
        <v>215</v>
      </c>
      <c r="N56" s="319" t="s">
        <v>216</v>
      </c>
      <c r="O56" s="319" t="s">
        <v>217</v>
      </c>
      <c r="P56" s="319" t="s">
        <v>218</v>
      </c>
      <c r="Q56" s="319" t="s">
        <v>219</v>
      </c>
      <c r="R56" s="319" t="s">
        <v>220</v>
      </c>
      <c r="S56" s="275"/>
      <c r="T56" s="712"/>
    </row>
    <row r="57" spans="1:20" ht="17.25" customHeight="1">
      <c r="A57" s="214"/>
      <c r="B57" s="214"/>
      <c r="C57" s="319" t="s">
        <v>608</v>
      </c>
      <c r="D57" s="319" t="s">
        <v>609</v>
      </c>
      <c r="E57" s="319" t="s">
        <v>610</v>
      </c>
      <c r="F57" s="319" t="s">
        <v>611</v>
      </c>
      <c r="G57" s="319" t="s">
        <v>608</v>
      </c>
      <c r="H57" s="319" t="s">
        <v>609</v>
      </c>
      <c r="I57" s="319" t="s">
        <v>610</v>
      </c>
      <c r="J57" s="319" t="s">
        <v>611</v>
      </c>
      <c r="K57" s="698"/>
      <c r="L57" s="699"/>
      <c r="M57" s="699"/>
      <c r="N57" s="699"/>
      <c r="O57" s="699"/>
      <c r="P57" s="699"/>
      <c r="Q57" s="699"/>
      <c r="R57" s="700"/>
      <c r="S57" s="275"/>
      <c r="T57" s="712"/>
    </row>
    <row r="58" spans="1:20" ht="17.25" customHeight="1">
      <c r="A58" s="479" t="str">
        <f>'Key Assumptions'!B51</f>
        <v>(e) 50 days Hospitality Assistant Course</v>
      </c>
      <c r="B58" s="330"/>
      <c r="C58" s="275"/>
      <c r="D58" s="275"/>
      <c r="E58" s="275"/>
      <c r="F58" s="275"/>
      <c r="G58" s="489"/>
      <c r="H58" s="489"/>
      <c r="I58" s="489"/>
      <c r="J58" s="489"/>
      <c r="K58" s="489"/>
      <c r="L58" s="489"/>
      <c r="M58" s="489"/>
      <c r="N58" s="489"/>
      <c r="O58" s="489"/>
      <c r="P58" s="489"/>
      <c r="Q58" s="489"/>
      <c r="R58" s="489"/>
      <c r="S58" s="275"/>
      <c r="T58" s="712"/>
    </row>
    <row r="59" spans="1:20" ht="17.25" customHeight="1">
      <c r="A59" s="520" t="s">
        <v>508</v>
      </c>
      <c r="B59" s="521"/>
      <c r="C59" s="515">
        <f>'Key Assumptions'!K51</f>
        <v>1</v>
      </c>
      <c r="D59" s="515">
        <f>'Key Assumptions'!L51</f>
        <v>1</v>
      </c>
      <c r="E59" s="515">
        <f>'Key Assumptions'!M51</f>
        <v>1</v>
      </c>
      <c r="F59" s="515">
        <f>'Key Assumptions'!N51</f>
        <v>1</v>
      </c>
      <c r="G59" s="515">
        <f>'Key Assumptions'!O51</f>
        <v>1</v>
      </c>
      <c r="H59" s="515">
        <f>'Key Assumptions'!P51</f>
        <v>1</v>
      </c>
      <c r="I59" s="515">
        <f>'Key Assumptions'!Q51</f>
        <v>1</v>
      </c>
      <c r="J59" s="515">
        <f>'Key Assumptions'!R51</f>
        <v>1</v>
      </c>
      <c r="K59" s="515">
        <f>'Key Assumptions'!S51</f>
        <v>1</v>
      </c>
      <c r="L59" s="515">
        <f>'Key Assumptions'!T51</f>
        <v>1</v>
      </c>
      <c r="M59" s="515">
        <f>'Key Assumptions'!U51</f>
        <v>1</v>
      </c>
      <c r="N59" s="515">
        <f>'Key Assumptions'!V51</f>
        <v>1</v>
      </c>
      <c r="O59" s="515">
        <f>'Key Assumptions'!W51</f>
        <v>1</v>
      </c>
      <c r="P59" s="515">
        <f>'Key Assumptions'!X51</f>
        <v>1</v>
      </c>
      <c r="Q59" s="515">
        <f>'Key Assumptions'!Y51</f>
        <v>1</v>
      </c>
      <c r="R59" s="515">
        <f>'Key Assumptions'!Z51</f>
        <v>1</v>
      </c>
      <c r="S59" s="275"/>
      <c r="T59" s="712"/>
    </row>
    <row r="60" spans="1:20" ht="17.25" customHeight="1">
      <c r="A60" s="522" t="s">
        <v>742</v>
      </c>
      <c r="B60" s="523"/>
      <c r="C60" s="517">
        <f>C42</f>
        <v>2</v>
      </c>
      <c r="D60" s="517">
        <f t="shared" ref="D60:R60" si="22">D42</f>
        <v>5</v>
      </c>
      <c r="E60" s="517">
        <f t="shared" si="22"/>
        <v>7</v>
      </c>
      <c r="F60" s="517">
        <f t="shared" si="22"/>
        <v>9</v>
      </c>
      <c r="G60" s="517">
        <f t="shared" si="22"/>
        <v>14</v>
      </c>
      <c r="H60" s="517">
        <f t="shared" si="22"/>
        <v>16</v>
      </c>
      <c r="I60" s="517">
        <f t="shared" si="22"/>
        <v>19</v>
      </c>
      <c r="J60" s="517">
        <f t="shared" si="22"/>
        <v>21</v>
      </c>
      <c r="K60" s="517">
        <f t="shared" si="22"/>
        <v>33</v>
      </c>
      <c r="L60" s="517">
        <f t="shared" si="22"/>
        <v>38</v>
      </c>
      <c r="M60" s="517">
        <f t="shared" si="22"/>
        <v>42</v>
      </c>
      <c r="N60" s="517">
        <f t="shared" si="22"/>
        <v>47</v>
      </c>
      <c r="O60" s="517">
        <f t="shared" si="22"/>
        <v>48</v>
      </c>
      <c r="P60" s="517">
        <f t="shared" si="22"/>
        <v>53</v>
      </c>
      <c r="Q60" s="517">
        <f t="shared" si="22"/>
        <v>58</v>
      </c>
      <c r="R60" s="517">
        <f t="shared" si="22"/>
        <v>62</v>
      </c>
      <c r="S60" s="275"/>
      <c r="T60" s="712"/>
    </row>
    <row r="61" spans="1:20" ht="17.25" customHeight="1">
      <c r="A61" s="522" t="s">
        <v>625</v>
      </c>
      <c r="B61" s="524"/>
      <c r="C61" s="511">
        <f>'Key Assumptions'!K66</f>
        <v>1.25</v>
      </c>
      <c r="D61" s="511">
        <f>'Key Assumptions'!L66</f>
        <v>1.25</v>
      </c>
      <c r="E61" s="511">
        <f>'Key Assumptions'!M66</f>
        <v>1.25</v>
      </c>
      <c r="F61" s="511">
        <f>'Key Assumptions'!N66</f>
        <v>1.25</v>
      </c>
      <c r="G61" s="511">
        <f>'Key Assumptions'!O66</f>
        <v>1.25</v>
      </c>
      <c r="H61" s="511">
        <f>'Key Assumptions'!P66</f>
        <v>1.25</v>
      </c>
      <c r="I61" s="511">
        <f>'Key Assumptions'!Q66</f>
        <v>1.25</v>
      </c>
      <c r="J61" s="511">
        <f>'Key Assumptions'!R66</f>
        <v>1.25</v>
      </c>
      <c r="K61" s="511">
        <f>'Key Assumptions'!S66</f>
        <v>6</v>
      </c>
      <c r="L61" s="511">
        <f>'Key Assumptions'!T66</f>
        <v>6</v>
      </c>
      <c r="M61" s="511">
        <f>'Key Assumptions'!U66</f>
        <v>6</v>
      </c>
      <c r="N61" s="511">
        <f>'Key Assumptions'!V66</f>
        <v>6</v>
      </c>
      <c r="O61" s="511">
        <f>'Key Assumptions'!W66</f>
        <v>6</v>
      </c>
      <c r="P61" s="511">
        <f>'Key Assumptions'!X66</f>
        <v>6</v>
      </c>
      <c r="Q61" s="511">
        <f>'Key Assumptions'!Y66</f>
        <v>6</v>
      </c>
      <c r="R61" s="511">
        <f>'Key Assumptions'!Z66</f>
        <v>6</v>
      </c>
      <c r="S61" s="275"/>
      <c r="T61" s="712"/>
    </row>
    <row r="62" spans="1:20" ht="17.25" customHeight="1">
      <c r="A62" s="522" t="s">
        <v>344</v>
      </c>
      <c r="B62" s="524"/>
      <c r="C62" s="511">
        <f>'Key Assumptions'!K67</f>
        <v>1</v>
      </c>
      <c r="D62" s="511">
        <f>'Key Assumptions'!L67</f>
        <v>1</v>
      </c>
      <c r="E62" s="511">
        <f>'Key Assumptions'!M67</f>
        <v>1</v>
      </c>
      <c r="F62" s="511">
        <f>'Key Assumptions'!N67</f>
        <v>1</v>
      </c>
      <c r="G62" s="511">
        <f>'Key Assumptions'!O67</f>
        <v>1</v>
      </c>
      <c r="H62" s="511">
        <f>'Key Assumptions'!P67</f>
        <v>1</v>
      </c>
      <c r="I62" s="511">
        <f>'Key Assumptions'!Q67</f>
        <v>1</v>
      </c>
      <c r="J62" s="511">
        <f>'Key Assumptions'!R67</f>
        <v>1</v>
      </c>
      <c r="K62" s="511">
        <f>'Key Assumptions'!S67</f>
        <v>1</v>
      </c>
      <c r="L62" s="511">
        <f>'Key Assumptions'!T67</f>
        <v>1</v>
      </c>
      <c r="M62" s="511">
        <f>'Key Assumptions'!U67</f>
        <v>1</v>
      </c>
      <c r="N62" s="511">
        <f>'Key Assumptions'!V67</f>
        <v>1</v>
      </c>
      <c r="O62" s="511">
        <f>'Key Assumptions'!W67</f>
        <v>1</v>
      </c>
      <c r="P62" s="511">
        <f>'Key Assumptions'!X67</f>
        <v>1</v>
      </c>
      <c r="Q62" s="511">
        <f>'Key Assumptions'!Y67</f>
        <v>1</v>
      </c>
      <c r="R62" s="511">
        <f>'Key Assumptions'!Z67</f>
        <v>1</v>
      </c>
      <c r="S62" s="275"/>
      <c r="T62" s="712"/>
    </row>
    <row r="63" spans="1:20" ht="17.25" customHeight="1">
      <c r="A63" s="522" t="s">
        <v>627</v>
      </c>
      <c r="B63" s="524"/>
      <c r="C63" s="493">
        <f t="shared" ref="C63:R63" si="23">C61*C62</f>
        <v>1.25</v>
      </c>
      <c r="D63" s="493">
        <f t="shared" si="23"/>
        <v>1.25</v>
      </c>
      <c r="E63" s="493">
        <f t="shared" si="23"/>
        <v>1.25</v>
      </c>
      <c r="F63" s="493">
        <f t="shared" si="23"/>
        <v>1.25</v>
      </c>
      <c r="G63" s="493">
        <f t="shared" si="23"/>
        <v>1.25</v>
      </c>
      <c r="H63" s="493">
        <f t="shared" si="23"/>
        <v>1.25</v>
      </c>
      <c r="I63" s="493">
        <f t="shared" si="23"/>
        <v>1.25</v>
      </c>
      <c r="J63" s="493">
        <f t="shared" si="23"/>
        <v>1.25</v>
      </c>
      <c r="K63" s="493">
        <f t="shared" si="23"/>
        <v>6</v>
      </c>
      <c r="L63" s="493">
        <f t="shared" si="23"/>
        <v>6</v>
      </c>
      <c r="M63" s="493">
        <f t="shared" si="23"/>
        <v>6</v>
      </c>
      <c r="N63" s="493">
        <f t="shared" si="23"/>
        <v>6</v>
      </c>
      <c r="O63" s="493">
        <f t="shared" si="23"/>
        <v>6</v>
      </c>
      <c r="P63" s="493">
        <f t="shared" si="23"/>
        <v>6</v>
      </c>
      <c r="Q63" s="493">
        <f t="shared" si="23"/>
        <v>6</v>
      </c>
      <c r="R63" s="493">
        <f t="shared" si="23"/>
        <v>6</v>
      </c>
      <c r="S63" s="275"/>
      <c r="T63" s="712"/>
    </row>
    <row r="64" spans="1:20" ht="17.25" customHeight="1">
      <c r="A64" s="522" t="s">
        <v>345</v>
      </c>
      <c r="B64" s="524"/>
      <c r="C64" s="493">
        <f>'Key Assumptions'!K65</f>
        <v>25</v>
      </c>
      <c r="D64" s="493">
        <f>'Key Assumptions'!L65</f>
        <v>25</v>
      </c>
      <c r="E64" s="493">
        <f>'Key Assumptions'!M65</f>
        <v>25</v>
      </c>
      <c r="F64" s="493">
        <f>'Key Assumptions'!N65</f>
        <v>25</v>
      </c>
      <c r="G64" s="493">
        <f>'Key Assumptions'!O65</f>
        <v>25</v>
      </c>
      <c r="H64" s="493">
        <f>'Key Assumptions'!P65</f>
        <v>25</v>
      </c>
      <c r="I64" s="493">
        <f>'Key Assumptions'!Q65</f>
        <v>25</v>
      </c>
      <c r="J64" s="493">
        <f>'Key Assumptions'!R65</f>
        <v>25</v>
      </c>
      <c r="K64" s="493">
        <f>'Key Assumptions'!S65</f>
        <v>25</v>
      </c>
      <c r="L64" s="493">
        <f>'Key Assumptions'!T65</f>
        <v>30</v>
      </c>
      <c r="M64" s="493">
        <f>'Key Assumptions'!U65</f>
        <v>30</v>
      </c>
      <c r="N64" s="493">
        <f>'Key Assumptions'!V65</f>
        <v>30</v>
      </c>
      <c r="O64" s="493">
        <f>'Key Assumptions'!W65</f>
        <v>30</v>
      </c>
      <c r="P64" s="493">
        <f>'Key Assumptions'!X65</f>
        <v>30</v>
      </c>
      <c r="Q64" s="493">
        <f>'Key Assumptions'!Y65</f>
        <v>30</v>
      </c>
      <c r="R64" s="493">
        <f>'Key Assumptions'!Z65</f>
        <v>30</v>
      </c>
      <c r="S64" s="275"/>
      <c r="T64" s="712"/>
    </row>
    <row r="65" spans="1:20" ht="17.25" customHeight="1">
      <c r="A65" s="527" t="s">
        <v>525</v>
      </c>
      <c r="B65" s="528"/>
      <c r="C65" s="529">
        <f t="shared" ref="C65:R65" si="24">C60*C63*C64*C59</f>
        <v>62.5</v>
      </c>
      <c r="D65" s="529">
        <f t="shared" si="24"/>
        <v>156.25</v>
      </c>
      <c r="E65" s="529">
        <f t="shared" si="24"/>
        <v>218.75</v>
      </c>
      <c r="F65" s="529">
        <f t="shared" si="24"/>
        <v>281.25</v>
      </c>
      <c r="G65" s="529">
        <f t="shared" si="24"/>
        <v>437.5</v>
      </c>
      <c r="H65" s="529">
        <f t="shared" si="24"/>
        <v>500</v>
      </c>
      <c r="I65" s="529">
        <f t="shared" si="24"/>
        <v>593.75</v>
      </c>
      <c r="J65" s="529">
        <f t="shared" si="24"/>
        <v>656.25</v>
      </c>
      <c r="K65" s="529">
        <f t="shared" si="24"/>
        <v>4950</v>
      </c>
      <c r="L65" s="529">
        <f t="shared" si="24"/>
        <v>6840</v>
      </c>
      <c r="M65" s="529">
        <f t="shared" si="24"/>
        <v>7560</v>
      </c>
      <c r="N65" s="529">
        <f t="shared" si="24"/>
        <v>8460</v>
      </c>
      <c r="O65" s="529">
        <f t="shared" si="24"/>
        <v>8640</v>
      </c>
      <c r="P65" s="529">
        <f t="shared" si="24"/>
        <v>9540</v>
      </c>
      <c r="Q65" s="529">
        <f t="shared" si="24"/>
        <v>10440</v>
      </c>
      <c r="R65" s="529">
        <f t="shared" si="24"/>
        <v>11160</v>
      </c>
      <c r="S65" s="492">
        <f>C65+D65+E65+F65+G65+H65+I65+J65+K65+L65+M65+N65+O65+P65+Q65+R65</f>
        <v>70496.25</v>
      </c>
      <c r="T65" s="712"/>
    </row>
    <row r="66" spans="1:20" ht="17.25" customHeight="1">
      <c r="A66" s="275" t="s">
        <v>509</v>
      </c>
      <c r="B66" s="275"/>
      <c r="C66" s="489">
        <f t="shared" ref="C66:R66" si="25">C65/C60</f>
        <v>31.25</v>
      </c>
      <c r="D66" s="489">
        <f t="shared" si="25"/>
        <v>31.25</v>
      </c>
      <c r="E66" s="489">
        <f t="shared" si="25"/>
        <v>31.25</v>
      </c>
      <c r="F66" s="489">
        <f t="shared" si="25"/>
        <v>31.25</v>
      </c>
      <c r="G66" s="489">
        <f t="shared" si="25"/>
        <v>31.25</v>
      </c>
      <c r="H66" s="489">
        <f t="shared" si="25"/>
        <v>31.25</v>
      </c>
      <c r="I66" s="489">
        <f t="shared" si="25"/>
        <v>31.25</v>
      </c>
      <c r="J66" s="489">
        <f t="shared" si="25"/>
        <v>31.25</v>
      </c>
      <c r="K66" s="489">
        <f t="shared" si="25"/>
        <v>150</v>
      </c>
      <c r="L66" s="489">
        <f t="shared" si="25"/>
        <v>180</v>
      </c>
      <c r="M66" s="489">
        <f t="shared" si="25"/>
        <v>180</v>
      </c>
      <c r="N66" s="489">
        <f t="shared" si="25"/>
        <v>180</v>
      </c>
      <c r="O66" s="489">
        <f t="shared" si="25"/>
        <v>180</v>
      </c>
      <c r="P66" s="489">
        <f t="shared" si="25"/>
        <v>180</v>
      </c>
      <c r="Q66" s="489">
        <f t="shared" si="25"/>
        <v>180</v>
      </c>
      <c r="R66" s="489">
        <f t="shared" si="25"/>
        <v>180</v>
      </c>
      <c r="S66" s="275"/>
      <c r="T66" s="712"/>
    </row>
    <row r="67" spans="1:20" ht="17.25" customHeight="1">
      <c r="A67" s="214"/>
      <c r="B67" s="214"/>
      <c r="C67" s="532"/>
      <c r="D67" s="532"/>
      <c r="E67" s="532"/>
      <c r="F67" s="532"/>
      <c r="G67" s="532"/>
      <c r="H67" s="532"/>
      <c r="I67" s="532"/>
      <c r="J67" s="532"/>
      <c r="K67" s="532"/>
      <c r="L67" s="532"/>
      <c r="M67" s="532"/>
      <c r="N67" s="532"/>
      <c r="O67" s="532"/>
      <c r="P67" s="532"/>
      <c r="Q67" s="532"/>
      <c r="R67" s="532"/>
      <c r="S67" s="275"/>
      <c r="T67" s="712"/>
    </row>
    <row r="68" spans="1:20" ht="17.25" customHeight="1">
      <c r="A68" s="530"/>
      <c r="B68" s="531"/>
      <c r="C68" s="1333" t="s">
        <v>210</v>
      </c>
      <c r="D68" s="1334"/>
      <c r="E68" s="1334"/>
      <c r="F68" s="1335"/>
      <c r="G68" s="1333" t="s">
        <v>211</v>
      </c>
      <c r="H68" s="1334"/>
      <c r="I68" s="1334"/>
      <c r="J68" s="1335"/>
      <c r="K68" s="319" t="s">
        <v>213</v>
      </c>
      <c r="L68" s="319" t="s">
        <v>214</v>
      </c>
      <c r="M68" s="319" t="s">
        <v>215</v>
      </c>
      <c r="N68" s="319" t="s">
        <v>216</v>
      </c>
      <c r="O68" s="319" t="s">
        <v>217</v>
      </c>
      <c r="P68" s="319" t="s">
        <v>218</v>
      </c>
      <c r="Q68" s="319" t="s">
        <v>219</v>
      </c>
      <c r="R68" s="319" t="s">
        <v>220</v>
      </c>
      <c r="S68" s="275"/>
      <c r="T68" s="712"/>
    </row>
    <row r="69" spans="1:20" ht="17.25" customHeight="1">
      <c r="A69" s="214"/>
      <c r="B69" s="214"/>
      <c r="C69" s="319" t="s">
        <v>608</v>
      </c>
      <c r="D69" s="319" t="s">
        <v>609</v>
      </c>
      <c r="E69" s="319" t="s">
        <v>610</v>
      </c>
      <c r="F69" s="319" t="s">
        <v>611</v>
      </c>
      <c r="G69" s="319" t="s">
        <v>608</v>
      </c>
      <c r="H69" s="319" t="s">
        <v>609</v>
      </c>
      <c r="I69" s="319" t="s">
        <v>610</v>
      </c>
      <c r="J69" s="319" t="s">
        <v>611</v>
      </c>
      <c r="K69" s="698"/>
      <c r="L69" s="699"/>
      <c r="M69" s="699"/>
      <c r="N69" s="699"/>
      <c r="O69" s="699"/>
      <c r="P69" s="699"/>
      <c r="Q69" s="699"/>
      <c r="R69" s="700"/>
      <c r="S69" s="275"/>
      <c r="T69" s="712"/>
    </row>
    <row r="70" spans="1:20" ht="17.25" customHeight="1">
      <c r="A70" s="479" t="str">
        <f>'Key Assumptions'!B52</f>
        <v>(f) 50 days Sales Associate Course</v>
      </c>
      <c r="B70" s="330"/>
      <c r="C70" s="275"/>
      <c r="D70" s="275"/>
      <c r="E70" s="275"/>
      <c r="F70" s="275"/>
      <c r="G70" s="489"/>
      <c r="H70" s="489"/>
      <c r="I70" s="489"/>
      <c r="J70" s="489"/>
      <c r="K70" s="489"/>
      <c r="L70" s="489"/>
      <c r="M70" s="489"/>
      <c r="N70" s="489"/>
      <c r="O70" s="489"/>
      <c r="P70" s="489"/>
      <c r="Q70" s="489"/>
      <c r="R70" s="489"/>
      <c r="S70" s="275"/>
      <c r="T70" s="712"/>
    </row>
    <row r="71" spans="1:20" ht="17.25" customHeight="1">
      <c r="A71" s="520" t="s">
        <v>508</v>
      </c>
      <c r="B71" s="521"/>
      <c r="C71" s="515">
        <f>'Key Assumptions'!K52</f>
        <v>1</v>
      </c>
      <c r="D71" s="515">
        <f>'Key Assumptions'!L52</f>
        <v>1</v>
      </c>
      <c r="E71" s="515">
        <f>'Key Assumptions'!M52</f>
        <v>1</v>
      </c>
      <c r="F71" s="515">
        <f>'Key Assumptions'!N52</f>
        <v>1</v>
      </c>
      <c r="G71" s="515">
        <f>'Key Assumptions'!O52</f>
        <v>1</v>
      </c>
      <c r="H71" s="515">
        <f>'Key Assumptions'!P52</f>
        <v>1</v>
      </c>
      <c r="I71" s="515">
        <f>'Key Assumptions'!Q52</f>
        <v>1</v>
      </c>
      <c r="J71" s="515">
        <f>'Key Assumptions'!R52</f>
        <v>1</v>
      </c>
      <c r="K71" s="515">
        <f>'Key Assumptions'!S52</f>
        <v>1</v>
      </c>
      <c r="L71" s="515">
        <f>'Key Assumptions'!T52</f>
        <v>1</v>
      </c>
      <c r="M71" s="515">
        <f>'Key Assumptions'!U52</f>
        <v>1</v>
      </c>
      <c r="N71" s="515">
        <f>'Key Assumptions'!V52</f>
        <v>1</v>
      </c>
      <c r="O71" s="515">
        <f>'Key Assumptions'!W52</f>
        <v>1</v>
      </c>
      <c r="P71" s="515">
        <f>'Key Assumptions'!X52</f>
        <v>1</v>
      </c>
      <c r="Q71" s="515">
        <f>'Key Assumptions'!Y52</f>
        <v>1</v>
      </c>
      <c r="R71" s="515">
        <f>'Key Assumptions'!Z52</f>
        <v>1</v>
      </c>
      <c r="S71" s="275"/>
      <c r="T71" s="712"/>
    </row>
    <row r="72" spans="1:20" ht="17.25" customHeight="1">
      <c r="A72" s="522" t="s">
        <v>742</v>
      </c>
      <c r="B72" s="523"/>
      <c r="C72" s="515">
        <f>C42</f>
        <v>2</v>
      </c>
      <c r="D72" s="515">
        <f t="shared" ref="D72:R72" si="26">D42</f>
        <v>5</v>
      </c>
      <c r="E72" s="515">
        <f t="shared" si="26"/>
        <v>7</v>
      </c>
      <c r="F72" s="515">
        <f t="shared" si="26"/>
        <v>9</v>
      </c>
      <c r="G72" s="515">
        <f t="shared" si="26"/>
        <v>14</v>
      </c>
      <c r="H72" s="515">
        <f t="shared" si="26"/>
        <v>16</v>
      </c>
      <c r="I72" s="515">
        <f t="shared" si="26"/>
        <v>19</v>
      </c>
      <c r="J72" s="515">
        <f t="shared" si="26"/>
        <v>21</v>
      </c>
      <c r="K72" s="515">
        <f t="shared" si="26"/>
        <v>33</v>
      </c>
      <c r="L72" s="515">
        <f t="shared" si="26"/>
        <v>38</v>
      </c>
      <c r="M72" s="515">
        <f t="shared" si="26"/>
        <v>42</v>
      </c>
      <c r="N72" s="515">
        <f t="shared" si="26"/>
        <v>47</v>
      </c>
      <c r="O72" s="515">
        <f t="shared" si="26"/>
        <v>48</v>
      </c>
      <c r="P72" s="515">
        <f t="shared" si="26"/>
        <v>53</v>
      </c>
      <c r="Q72" s="515">
        <f t="shared" si="26"/>
        <v>58</v>
      </c>
      <c r="R72" s="515">
        <f t="shared" si="26"/>
        <v>62</v>
      </c>
      <c r="S72" s="275"/>
      <c r="T72" s="712"/>
    </row>
    <row r="73" spans="1:20" ht="17.25" customHeight="1">
      <c r="A73" s="522" t="s">
        <v>625</v>
      </c>
      <c r="B73" s="524"/>
      <c r="C73" s="511">
        <f>'Key Assumptions'!K71</f>
        <v>1.25</v>
      </c>
      <c r="D73" s="511">
        <f>'Key Assumptions'!L71</f>
        <v>1.25</v>
      </c>
      <c r="E73" s="511">
        <f>'Key Assumptions'!M71</f>
        <v>1.25</v>
      </c>
      <c r="F73" s="511">
        <f>'Key Assumptions'!N71</f>
        <v>1.25</v>
      </c>
      <c r="G73" s="511">
        <f>'Key Assumptions'!O71</f>
        <v>1.25</v>
      </c>
      <c r="H73" s="511">
        <f>'Key Assumptions'!P71</f>
        <v>1.25</v>
      </c>
      <c r="I73" s="511">
        <f>'Key Assumptions'!Q71</f>
        <v>1.25</v>
      </c>
      <c r="J73" s="511">
        <f>'Key Assumptions'!R71</f>
        <v>1.25</v>
      </c>
      <c r="K73" s="511">
        <f>'Key Assumptions'!S71</f>
        <v>6</v>
      </c>
      <c r="L73" s="511">
        <f>'Key Assumptions'!T71</f>
        <v>6</v>
      </c>
      <c r="M73" s="511">
        <f>'Key Assumptions'!U71</f>
        <v>6</v>
      </c>
      <c r="N73" s="511">
        <f>'Key Assumptions'!V71</f>
        <v>6</v>
      </c>
      <c r="O73" s="511">
        <f>'Key Assumptions'!W71</f>
        <v>6</v>
      </c>
      <c r="P73" s="511">
        <f>'Key Assumptions'!X71</f>
        <v>6</v>
      </c>
      <c r="Q73" s="511">
        <f>'Key Assumptions'!Y71</f>
        <v>6</v>
      </c>
      <c r="R73" s="511">
        <f>'Key Assumptions'!Z71</f>
        <v>6</v>
      </c>
      <c r="S73" s="275"/>
      <c r="T73" s="712"/>
    </row>
    <row r="74" spans="1:20" ht="17.25" customHeight="1">
      <c r="A74" s="522" t="s">
        <v>344</v>
      </c>
      <c r="B74" s="524"/>
      <c r="C74" s="511">
        <f>'Key Assumptions'!K72</f>
        <v>1</v>
      </c>
      <c r="D74" s="511">
        <f>'Key Assumptions'!L72</f>
        <v>1</v>
      </c>
      <c r="E74" s="511">
        <f>'Key Assumptions'!M72</f>
        <v>1</v>
      </c>
      <c r="F74" s="511">
        <f>'Key Assumptions'!N72</f>
        <v>1</v>
      </c>
      <c r="G74" s="511">
        <f>'Key Assumptions'!O72</f>
        <v>1</v>
      </c>
      <c r="H74" s="511">
        <f>'Key Assumptions'!P72</f>
        <v>1</v>
      </c>
      <c r="I74" s="511">
        <f>'Key Assumptions'!Q72</f>
        <v>1</v>
      </c>
      <c r="J74" s="511">
        <f>'Key Assumptions'!R72</f>
        <v>1</v>
      </c>
      <c r="K74" s="511">
        <f>'Key Assumptions'!S72</f>
        <v>1</v>
      </c>
      <c r="L74" s="511">
        <f>'Key Assumptions'!T72</f>
        <v>1</v>
      </c>
      <c r="M74" s="511">
        <f>'Key Assumptions'!U72</f>
        <v>1</v>
      </c>
      <c r="N74" s="511">
        <f>'Key Assumptions'!V72</f>
        <v>1</v>
      </c>
      <c r="O74" s="511">
        <f>'Key Assumptions'!W72</f>
        <v>1</v>
      </c>
      <c r="P74" s="511">
        <f>'Key Assumptions'!X72</f>
        <v>1</v>
      </c>
      <c r="Q74" s="511">
        <f>'Key Assumptions'!Y72</f>
        <v>1</v>
      </c>
      <c r="R74" s="511">
        <f>'Key Assumptions'!Z72</f>
        <v>1</v>
      </c>
      <c r="S74" s="275"/>
      <c r="T74" s="712"/>
    </row>
    <row r="75" spans="1:20" ht="17.25" customHeight="1">
      <c r="A75" s="522" t="s">
        <v>627</v>
      </c>
      <c r="B75" s="524"/>
      <c r="C75" s="493">
        <f t="shared" ref="C75:R75" si="27">C73*C74</f>
        <v>1.25</v>
      </c>
      <c r="D75" s="493">
        <f t="shared" si="27"/>
        <v>1.25</v>
      </c>
      <c r="E75" s="493">
        <f t="shared" si="27"/>
        <v>1.25</v>
      </c>
      <c r="F75" s="493">
        <f t="shared" si="27"/>
        <v>1.25</v>
      </c>
      <c r="G75" s="493">
        <f t="shared" si="27"/>
        <v>1.25</v>
      </c>
      <c r="H75" s="493">
        <f t="shared" si="27"/>
        <v>1.25</v>
      </c>
      <c r="I75" s="493">
        <f t="shared" si="27"/>
        <v>1.25</v>
      </c>
      <c r="J75" s="493">
        <f t="shared" si="27"/>
        <v>1.25</v>
      </c>
      <c r="K75" s="493">
        <f t="shared" si="27"/>
        <v>6</v>
      </c>
      <c r="L75" s="493">
        <f t="shared" si="27"/>
        <v>6</v>
      </c>
      <c r="M75" s="493">
        <f t="shared" si="27"/>
        <v>6</v>
      </c>
      <c r="N75" s="493">
        <f t="shared" si="27"/>
        <v>6</v>
      </c>
      <c r="O75" s="493">
        <f t="shared" si="27"/>
        <v>6</v>
      </c>
      <c r="P75" s="493">
        <f t="shared" si="27"/>
        <v>6</v>
      </c>
      <c r="Q75" s="493">
        <f t="shared" si="27"/>
        <v>6</v>
      </c>
      <c r="R75" s="493">
        <f t="shared" si="27"/>
        <v>6</v>
      </c>
      <c r="S75" s="275"/>
      <c r="T75" s="712"/>
    </row>
    <row r="76" spans="1:20" ht="17.25" customHeight="1">
      <c r="A76" s="522" t="s">
        <v>345</v>
      </c>
      <c r="B76" s="524"/>
      <c r="C76" s="493">
        <f>'Key Assumptions'!K70</f>
        <v>25</v>
      </c>
      <c r="D76" s="493">
        <f>'Key Assumptions'!L70</f>
        <v>25</v>
      </c>
      <c r="E76" s="493">
        <f>'Key Assumptions'!M70</f>
        <v>25</v>
      </c>
      <c r="F76" s="493">
        <f>'Key Assumptions'!N70</f>
        <v>25</v>
      </c>
      <c r="G76" s="493">
        <f>'Key Assumptions'!O70</f>
        <v>25</v>
      </c>
      <c r="H76" s="493">
        <f>'Key Assumptions'!P70</f>
        <v>25</v>
      </c>
      <c r="I76" s="493">
        <f>'Key Assumptions'!Q70</f>
        <v>25</v>
      </c>
      <c r="J76" s="493">
        <f>'Key Assumptions'!R70</f>
        <v>25</v>
      </c>
      <c r="K76" s="493">
        <f>'Key Assumptions'!S70</f>
        <v>25</v>
      </c>
      <c r="L76" s="493">
        <f>'Key Assumptions'!T70</f>
        <v>30</v>
      </c>
      <c r="M76" s="493">
        <f>'Key Assumptions'!U70</f>
        <v>30</v>
      </c>
      <c r="N76" s="493">
        <f>'Key Assumptions'!V70</f>
        <v>30</v>
      </c>
      <c r="O76" s="493">
        <f>'Key Assumptions'!W70</f>
        <v>30</v>
      </c>
      <c r="P76" s="493">
        <f>'Key Assumptions'!X70</f>
        <v>30</v>
      </c>
      <c r="Q76" s="493">
        <f>'Key Assumptions'!Y70</f>
        <v>30</v>
      </c>
      <c r="R76" s="493">
        <f>'Key Assumptions'!Z70</f>
        <v>30</v>
      </c>
      <c r="S76" s="275"/>
      <c r="T76" s="712"/>
    </row>
    <row r="77" spans="1:20" ht="17.25" customHeight="1">
      <c r="A77" s="527" t="s">
        <v>525</v>
      </c>
      <c r="B77" s="528"/>
      <c r="C77" s="529">
        <f t="shared" ref="C77:R77" si="28">C72*C75*C76*C71</f>
        <v>62.5</v>
      </c>
      <c r="D77" s="529">
        <f t="shared" si="28"/>
        <v>156.25</v>
      </c>
      <c r="E77" s="529">
        <f t="shared" si="28"/>
        <v>218.75</v>
      </c>
      <c r="F77" s="529">
        <f t="shared" si="28"/>
        <v>281.25</v>
      </c>
      <c r="G77" s="529">
        <f t="shared" si="28"/>
        <v>437.5</v>
      </c>
      <c r="H77" s="529">
        <f t="shared" si="28"/>
        <v>500</v>
      </c>
      <c r="I77" s="529">
        <f t="shared" si="28"/>
        <v>593.75</v>
      </c>
      <c r="J77" s="529">
        <f t="shared" si="28"/>
        <v>656.25</v>
      </c>
      <c r="K77" s="529">
        <f t="shared" si="28"/>
        <v>4950</v>
      </c>
      <c r="L77" s="529">
        <f t="shared" si="28"/>
        <v>6840</v>
      </c>
      <c r="M77" s="529">
        <f t="shared" si="28"/>
        <v>7560</v>
      </c>
      <c r="N77" s="529">
        <f t="shared" si="28"/>
        <v>8460</v>
      </c>
      <c r="O77" s="529">
        <f t="shared" si="28"/>
        <v>8640</v>
      </c>
      <c r="P77" s="529">
        <f t="shared" si="28"/>
        <v>9540</v>
      </c>
      <c r="Q77" s="529">
        <f t="shared" si="28"/>
        <v>10440</v>
      </c>
      <c r="R77" s="529">
        <f t="shared" si="28"/>
        <v>11160</v>
      </c>
      <c r="S77" s="492">
        <f>C77+D77+E77+F77+G77+H77+I77+J77+K77+L77+M77+N77+O77+P77+Q77+R77</f>
        <v>70496.25</v>
      </c>
      <c r="T77" s="712"/>
    </row>
    <row r="78" spans="1:20" ht="17.25" customHeight="1">
      <c r="A78" s="275" t="s">
        <v>509</v>
      </c>
      <c r="B78" s="275"/>
      <c r="C78" s="489">
        <f t="shared" ref="C78:R78" si="29">C77/C72</f>
        <v>31.25</v>
      </c>
      <c r="D78" s="489">
        <f t="shared" si="29"/>
        <v>31.25</v>
      </c>
      <c r="E78" s="489">
        <f t="shared" si="29"/>
        <v>31.25</v>
      </c>
      <c r="F78" s="489">
        <f t="shared" si="29"/>
        <v>31.25</v>
      </c>
      <c r="G78" s="489">
        <f t="shared" si="29"/>
        <v>31.25</v>
      </c>
      <c r="H78" s="489">
        <f t="shared" si="29"/>
        <v>31.25</v>
      </c>
      <c r="I78" s="489">
        <f t="shared" si="29"/>
        <v>31.25</v>
      </c>
      <c r="J78" s="489">
        <f t="shared" si="29"/>
        <v>31.25</v>
      </c>
      <c r="K78" s="489">
        <f t="shared" si="29"/>
        <v>150</v>
      </c>
      <c r="L78" s="489">
        <f t="shared" si="29"/>
        <v>180</v>
      </c>
      <c r="M78" s="489">
        <f t="shared" si="29"/>
        <v>180</v>
      </c>
      <c r="N78" s="489">
        <f t="shared" si="29"/>
        <v>180</v>
      </c>
      <c r="O78" s="489">
        <f t="shared" si="29"/>
        <v>180</v>
      </c>
      <c r="P78" s="489">
        <f t="shared" si="29"/>
        <v>180</v>
      </c>
      <c r="Q78" s="489">
        <f t="shared" si="29"/>
        <v>180</v>
      </c>
      <c r="R78" s="489">
        <f t="shared" si="29"/>
        <v>180</v>
      </c>
      <c r="S78" s="275"/>
      <c r="T78" s="712"/>
    </row>
    <row r="79" spans="1:20" ht="17.25" customHeight="1">
      <c r="A79" s="214"/>
      <c r="B79" s="214"/>
      <c r="C79" s="532"/>
      <c r="D79" s="532"/>
      <c r="E79" s="532"/>
      <c r="F79" s="532"/>
      <c r="G79" s="532"/>
      <c r="H79" s="532"/>
      <c r="I79" s="532"/>
      <c r="J79" s="532"/>
      <c r="K79" s="532"/>
      <c r="L79" s="532"/>
      <c r="M79" s="532"/>
      <c r="N79" s="532"/>
      <c r="O79" s="532"/>
      <c r="P79" s="532"/>
      <c r="Q79" s="532"/>
      <c r="R79" s="532"/>
      <c r="S79" s="275"/>
      <c r="T79" s="712"/>
    </row>
    <row r="80" spans="1:20" ht="17.25" customHeight="1">
      <c r="A80" s="214"/>
      <c r="B80" s="214"/>
      <c r="C80" s="532"/>
      <c r="D80" s="532"/>
      <c r="E80" s="532"/>
      <c r="F80" s="532"/>
      <c r="G80" s="532"/>
      <c r="H80" s="532"/>
      <c r="I80" s="532"/>
      <c r="J80" s="532"/>
      <c r="K80" s="532"/>
      <c r="L80" s="532"/>
      <c r="M80" s="532"/>
      <c r="N80" s="532"/>
      <c r="O80" s="532"/>
      <c r="P80" s="532"/>
      <c r="Q80" s="532"/>
      <c r="R80" s="532"/>
      <c r="S80" s="275"/>
      <c r="T80" s="712"/>
    </row>
    <row r="81" spans="1:21" ht="17.25" customHeight="1">
      <c r="A81" s="183" t="s">
        <v>815</v>
      </c>
      <c r="B81" s="183"/>
      <c r="C81" s="363">
        <f>C15+C27+C39</f>
        <v>375</v>
      </c>
      <c r="D81" s="363">
        <f t="shared" ref="D81:R81" si="30">D15+D27+D39</f>
        <v>750</v>
      </c>
      <c r="E81" s="363">
        <f t="shared" si="30"/>
        <v>1125</v>
      </c>
      <c r="F81" s="363">
        <f t="shared" si="30"/>
        <v>1500</v>
      </c>
      <c r="G81" s="363">
        <f t="shared" si="30"/>
        <v>1875</v>
      </c>
      <c r="H81" s="363">
        <f t="shared" si="30"/>
        <v>2250</v>
      </c>
      <c r="I81" s="363">
        <f t="shared" si="30"/>
        <v>2625</v>
      </c>
      <c r="J81" s="363">
        <f t="shared" si="30"/>
        <v>3000</v>
      </c>
      <c r="K81" s="363">
        <f t="shared" si="30"/>
        <v>36000</v>
      </c>
      <c r="L81" s="363">
        <f t="shared" si="30"/>
        <v>48000</v>
      </c>
      <c r="M81" s="363">
        <f t="shared" si="30"/>
        <v>60000</v>
      </c>
      <c r="N81" s="363">
        <f t="shared" si="30"/>
        <v>72000</v>
      </c>
      <c r="O81" s="363">
        <f t="shared" si="30"/>
        <v>84000</v>
      </c>
      <c r="P81" s="363">
        <f t="shared" si="30"/>
        <v>96000</v>
      </c>
      <c r="Q81" s="363">
        <f t="shared" si="30"/>
        <v>108000</v>
      </c>
      <c r="R81" s="363">
        <f t="shared" si="30"/>
        <v>120000</v>
      </c>
      <c r="S81" s="492">
        <f>C81+D81+E81+F81+G81+H81+I81+J81+K81+L81+M81+N81+O81+P81+Q81+R81</f>
        <v>637500</v>
      </c>
      <c r="T81" s="712"/>
    </row>
    <row r="82" spans="1:21" ht="17.25" customHeight="1">
      <c r="A82" s="183" t="s">
        <v>638</v>
      </c>
      <c r="B82" s="183"/>
      <c r="C82" s="363"/>
      <c r="D82" s="363">
        <f>D81+C81</f>
        <v>1125</v>
      </c>
      <c r="E82" s="363">
        <f t="shared" ref="E82:R82" si="31">D82+E81</f>
        <v>2250</v>
      </c>
      <c r="F82" s="363">
        <f t="shared" si="31"/>
        <v>3750</v>
      </c>
      <c r="G82" s="363">
        <f t="shared" si="31"/>
        <v>5625</v>
      </c>
      <c r="H82" s="363">
        <f t="shared" si="31"/>
        <v>7875</v>
      </c>
      <c r="I82" s="363">
        <f t="shared" si="31"/>
        <v>10500</v>
      </c>
      <c r="J82" s="363">
        <f t="shared" si="31"/>
        <v>13500</v>
      </c>
      <c r="K82" s="363">
        <f t="shared" si="31"/>
        <v>49500</v>
      </c>
      <c r="L82" s="363">
        <f t="shared" si="31"/>
        <v>97500</v>
      </c>
      <c r="M82" s="363">
        <f t="shared" si="31"/>
        <v>157500</v>
      </c>
      <c r="N82" s="363">
        <f t="shared" si="31"/>
        <v>229500</v>
      </c>
      <c r="O82" s="363">
        <f t="shared" si="31"/>
        <v>313500</v>
      </c>
      <c r="P82" s="363">
        <f t="shared" si="31"/>
        <v>409500</v>
      </c>
      <c r="Q82" s="363">
        <f t="shared" si="31"/>
        <v>517500</v>
      </c>
      <c r="R82" s="363">
        <f t="shared" si="31"/>
        <v>637500</v>
      </c>
      <c r="S82" s="492"/>
      <c r="T82" s="712"/>
    </row>
    <row r="83" spans="1:21" ht="17.25" customHeight="1">
      <c r="A83" s="214"/>
      <c r="B83" s="214"/>
      <c r="C83" s="532"/>
      <c r="D83" s="532"/>
      <c r="E83" s="532"/>
      <c r="F83" s="532"/>
      <c r="G83" s="532"/>
      <c r="H83" s="532"/>
      <c r="I83" s="532"/>
      <c r="J83" s="532"/>
      <c r="K83" s="532"/>
      <c r="L83" s="532"/>
      <c r="M83" s="532"/>
      <c r="N83" s="532"/>
      <c r="O83" s="532"/>
      <c r="P83" s="532"/>
      <c r="Q83" s="532"/>
      <c r="R83" s="532"/>
      <c r="S83" s="275"/>
      <c r="T83" s="712"/>
    </row>
    <row r="84" spans="1:21" ht="17.25" customHeight="1">
      <c r="A84" s="183" t="s">
        <v>816</v>
      </c>
      <c r="B84" s="183"/>
      <c r="C84" s="363">
        <f>C53+C65+C77</f>
        <v>175</v>
      </c>
      <c r="D84" s="363">
        <f t="shared" ref="D84:R84" si="32">D53+D65+D77</f>
        <v>437.5</v>
      </c>
      <c r="E84" s="363">
        <f t="shared" si="32"/>
        <v>612.5</v>
      </c>
      <c r="F84" s="363">
        <f t="shared" si="32"/>
        <v>787.5</v>
      </c>
      <c r="G84" s="363">
        <f t="shared" si="32"/>
        <v>1225</v>
      </c>
      <c r="H84" s="363">
        <f t="shared" si="32"/>
        <v>1400</v>
      </c>
      <c r="I84" s="363">
        <f t="shared" si="32"/>
        <v>1662.5</v>
      </c>
      <c r="J84" s="363">
        <f t="shared" si="32"/>
        <v>1837.5</v>
      </c>
      <c r="K84" s="363">
        <f t="shared" si="32"/>
        <v>13200</v>
      </c>
      <c r="L84" s="363">
        <f t="shared" si="32"/>
        <v>18240</v>
      </c>
      <c r="M84" s="363">
        <f t="shared" si="32"/>
        <v>20160</v>
      </c>
      <c r="N84" s="363">
        <f t="shared" si="32"/>
        <v>22560</v>
      </c>
      <c r="O84" s="363">
        <f t="shared" si="32"/>
        <v>23040</v>
      </c>
      <c r="P84" s="363">
        <f t="shared" si="32"/>
        <v>25440</v>
      </c>
      <c r="Q84" s="363">
        <f t="shared" si="32"/>
        <v>27840</v>
      </c>
      <c r="R84" s="363">
        <f t="shared" si="32"/>
        <v>29760</v>
      </c>
      <c r="S84" s="492">
        <f>C84+D84+E84+F84+G84+H84+I84+J84+K84+L84+M84+N84+O84+P84+Q84+R84</f>
        <v>188377.5</v>
      </c>
      <c r="T84" s="712"/>
    </row>
    <row r="85" spans="1:21" ht="17.25" customHeight="1">
      <c r="A85" s="183" t="s">
        <v>638</v>
      </c>
      <c r="B85" s="183"/>
      <c r="C85" s="363"/>
      <c r="D85" s="363">
        <f>D84+C84</f>
        <v>612.5</v>
      </c>
      <c r="E85" s="363">
        <f t="shared" ref="E85:R85" si="33">D85+E84</f>
        <v>1225</v>
      </c>
      <c r="F85" s="363">
        <f t="shared" si="33"/>
        <v>2012.5</v>
      </c>
      <c r="G85" s="363">
        <f t="shared" si="33"/>
        <v>3237.5</v>
      </c>
      <c r="H85" s="363">
        <f t="shared" si="33"/>
        <v>4637.5</v>
      </c>
      <c r="I85" s="363">
        <f t="shared" si="33"/>
        <v>6300</v>
      </c>
      <c r="J85" s="363">
        <f t="shared" si="33"/>
        <v>8137.5</v>
      </c>
      <c r="K85" s="363">
        <f t="shared" si="33"/>
        <v>21337.5</v>
      </c>
      <c r="L85" s="363">
        <f t="shared" si="33"/>
        <v>39577.5</v>
      </c>
      <c r="M85" s="363">
        <f t="shared" si="33"/>
        <v>59737.5</v>
      </c>
      <c r="N85" s="363">
        <f t="shared" si="33"/>
        <v>82297.5</v>
      </c>
      <c r="O85" s="363">
        <f t="shared" si="33"/>
        <v>105337.5</v>
      </c>
      <c r="P85" s="363">
        <f t="shared" si="33"/>
        <v>130777.5</v>
      </c>
      <c r="Q85" s="363">
        <f t="shared" si="33"/>
        <v>158617.5</v>
      </c>
      <c r="R85" s="363">
        <f t="shared" si="33"/>
        <v>188377.5</v>
      </c>
      <c r="S85" s="492"/>
      <c r="T85" s="712"/>
    </row>
    <row r="86" spans="1:21" ht="17.25" customHeight="1">
      <c r="A86" s="214"/>
      <c r="B86" s="214"/>
      <c r="C86" s="532"/>
      <c r="D86" s="532"/>
      <c r="E86" s="532"/>
      <c r="F86" s="532"/>
      <c r="G86" s="532"/>
      <c r="H86" s="532"/>
      <c r="I86" s="532"/>
      <c r="J86" s="532"/>
      <c r="K86" s="532"/>
      <c r="L86" s="532"/>
      <c r="M86" s="532"/>
      <c r="N86" s="532"/>
      <c r="O86" s="532"/>
      <c r="P86" s="532"/>
      <c r="Q86" s="532"/>
      <c r="R86" s="532"/>
      <c r="S86" s="275"/>
      <c r="T86" s="712"/>
    </row>
    <row r="87" spans="1:21" ht="17.25" customHeight="1">
      <c r="A87" s="386"/>
      <c r="C87" s="155"/>
      <c r="D87" s="155"/>
      <c r="E87" s="155"/>
      <c r="F87" s="155"/>
      <c r="G87" s="155"/>
      <c r="H87" s="155"/>
      <c r="I87" s="155"/>
      <c r="J87" s="155"/>
      <c r="K87" s="155"/>
      <c r="L87" s="155"/>
      <c r="M87" s="155"/>
      <c r="N87" s="155"/>
      <c r="O87" s="155"/>
      <c r="P87" s="155"/>
      <c r="Q87" s="155"/>
      <c r="R87" s="155"/>
      <c r="S87" s="159"/>
    </row>
    <row r="88" spans="1:21" ht="17.25" customHeight="1">
      <c r="A88" s="183" t="s">
        <v>814</v>
      </c>
      <c r="B88" s="183"/>
      <c r="C88" s="363">
        <f>C39+C15+C27+C53+C65+C77</f>
        <v>550</v>
      </c>
      <c r="D88" s="363">
        <f t="shared" ref="D88:R88" si="34">D39+D15+D27+D53+D65+D77</f>
        <v>1187.5</v>
      </c>
      <c r="E88" s="363">
        <f t="shared" si="34"/>
        <v>1737.5</v>
      </c>
      <c r="F88" s="363">
        <f t="shared" si="34"/>
        <v>2287.5</v>
      </c>
      <c r="G88" s="363">
        <f t="shared" si="34"/>
        <v>3100</v>
      </c>
      <c r="H88" s="363">
        <f t="shared" si="34"/>
        <v>3650</v>
      </c>
      <c r="I88" s="363">
        <f t="shared" si="34"/>
        <v>4287.5</v>
      </c>
      <c r="J88" s="363">
        <f t="shared" si="34"/>
        <v>4837.5</v>
      </c>
      <c r="K88" s="363">
        <f t="shared" si="34"/>
        <v>49200</v>
      </c>
      <c r="L88" s="363">
        <f t="shared" si="34"/>
        <v>66240</v>
      </c>
      <c r="M88" s="363">
        <f t="shared" si="34"/>
        <v>80160</v>
      </c>
      <c r="N88" s="363">
        <f t="shared" si="34"/>
        <v>94560</v>
      </c>
      <c r="O88" s="363">
        <f t="shared" si="34"/>
        <v>107040</v>
      </c>
      <c r="P88" s="363">
        <f t="shared" si="34"/>
        <v>121440</v>
      </c>
      <c r="Q88" s="363">
        <f t="shared" si="34"/>
        <v>135840</v>
      </c>
      <c r="R88" s="363">
        <f t="shared" si="34"/>
        <v>149760</v>
      </c>
      <c r="S88" s="492">
        <f>C88+D88+E88+F88+G88+H88+I88+J88+K88+L88+M88+N88+O88+P88+Q88+R88</f>
        <v>825877.5</v>
      </c>
      <c r="T88" s="709"/>
    </row>
    <row r="89" spans="1:21" ht="17.25" customHeight="1">
      <c r="A89" s="183" t="s">
        <v>638</v>
      </c>
      <c r="B89" s="183"/>
      <c r="C89" s="363"/>
      <c r="D89" s="363">
        <f>D88+C88</f>
        <v>1737.5</v>
      </c>
      <c r="E89" s="363">
        <f>D89+E88</f>
        <v>3475</v>
      </c>
      <c r="F89" s="363">
        <f t="shared" ref="F89:R89" si="35">E89+F88</f>
        <v>5762.5</v>
      </c>
      <c r="G89" s="363">
        <f t="shared" si="35"/>
        <v>8862.5</v>
      </c>
      <c r="H89" s="363">
        <f t="shared" si="35"/>
        <v>12512.5</v>
      </c>
      <c r="I89" s="363">
        <f t="shared" si="35"/>
        <v>16800</v>
      </c>
      <c r="J89" s="363">
        <f t="shared" si="35"/>
        <v>21637.5</v>
      </c>
      <c r="K89" s="363">
        <f t="shared" si="35"/>
        <v>70837.5</v>
      </c>
      <c r="L89" s="363">
        <f t="shared" si="35"/>
        <v>137077.5</v>
      </c>
      <c r="M89" s="363">
        <f t="shared" si="35"/>
        <v>217237.5</v>
      </c>
      <c r="N89" s="363">
        <f t="shared" si="35"/>
        <v>311797.5</v>
      </c>
      <c r="O89" s="363">
        <f t="shared" si="35"/>
        <v>418837.5</v>
      </c>
      <c r="P89" s="363">
        <f t="shared" si="35"/>
        <v>540277.5</v>
      </c>
      <c r="Q89" s="363">
        <f t="shared" si="35"/>
        <v>676117.5</v>
      </c>
      <c r="R89" s="363">
        <f t="shared" si="35"/>
        <v>825877.5</v>
      </c>
      <c r="S89" s="492"/>
      <c r="T89" s="709"/>
      <c r="U89" s="715"/>
    </row>
    <row r="91" spans="1:21" ht="38.25">
      <c r="A91" s="163"/>
      <c r="B91" s="388" t="s">
        <v>527</v>
      </c>
      <c r="C91" s="1333" t="s">
        <v>210</v>
      </c>
      <c r="D91" s="1334"/>
      <c r="E91" s="1334"/>
      <c r="F91" s="1335"/>
      <c r="G91" s="1333" t="s">
        <v>211</v>
      </c>
      <c r="H91" s="1334"/>
      <c r="I91" s="1334"/>
      <c r="J91" s="1335"/>
      <c r="K91" s="389" t="str">
        <f t="shared" ref="K91:R91" si="36">K6</f>
        <v>YEAR 3</v>
      </c>
      <c r="L91" s="389" t="str">
        <f t="shared" si="36"/>
        <v>YEAR 4</v>
      </c>
      <c r="M91" s="389" t="str">
        <f t="shared" si="36"/>
        <v>YEAR 5</v>
      </c>
      <c r="N91" s="389" t="str">
        <f t="shared" si="36"/>
        <v>YEAR 6</v>
      </c>
      <c r="O91" s="389" t="str">
        <f t="shared" si="36"/>
        <v>YEAR 7</v>
      </c>
      <c r="P91" s="389" t="str">
        <f t="shared" si="36"/>
        <v>YEAR 8</v>
      </c>
      <c r="Q91" s="389" t="str">
        <f t="shared" si="36"/>
        <v>YEAR 9</v>
      </c>
      <c r="R91" s="389" t="str">
        <f t="shared" si="36"/>
        <v>YEAR 10</v>
      </c>
      <c r="S91" s="389"/>
    </row>
    <row r="92" spans="1:21">
      <c r="A92" s="163"/>
      <c r="B92" s="388"/>
      <c r="C92" s="319" t="s">
        <v>608</v>
      </c>
      <c r="D92" s="319" t="s">
        <v>609</v>
      </c>
      <c r="E92" s="319" t="s">
        <v>610</v>
      </c>
      <c r="F92" s="319" t="s">
        <v>611</v>
      </c>
      <c r="G92" s="319" t="s">
        <v>608</v>
      </c>
      <c r="H92" s="319" t="s">
        <v>609</v>
      </c>
      <c r="I92" s="319" t="s">
        <v>610</v>
      </c>
      <c r="J92" s="319" t="s">
        <v>611</v>
      </c>
      <c r="K92" s="389"/>
      <c r="L92" s="389"/>
      <c r="M92" s="389"/>
      <c r="N92" s="389"/>
      <c r="O92" s="389"/>
      <c r="P92" s="389"/>
      <c r="Q92" s="389"/>
      <c r="R92" s="389"/>
      <c r="S92" s="389"/>
    </row>
    <row r="93" spans="1:21" ht="16.5" customHeight="1">
      <c r="A93" s="729" t="str">
        <f>A8</f>
        <v>(a) 76 Days Re-Skilling course</v>
      </c>
      <c r="B93" s="162"/>
      <c r="C93" s="320">
        <f>'Key Assumptions'!K77</f>
        <v>2500</v>
      </c>
      <c r="D93" s="320">
        <f>'Key Assumptions'!L77</f>
        <v>2500</v>
      </c>
      <c r="E93" s="320">
        <f>'Key Assumptions'!M77</f>
        <v>2500</v>
      </c>
      <c r="F93" s="320">
        <f>'Key Assumptions'!N77</f>
        <v>2500</v>
      </c>
      <c r="G93" s="320">
        <f>'Key Assumptions'!O77</f>
        <v>2750</v>
      </c>
      <c r="H93" s="320">
        <f>'Key Assumptions'!P77</f>
        <v>2750</v>
      </c>
      <c r="I93" s="320">
        <f>'Key Assumptions'!Q77</f>
        <v>2750</v>
      </c>
      <c r="J93" s="320">
        <f>'Key Assumptions'!R77</f>
        <v>2750</v>
      </c>
      <c r="K93" s="320">
        <f>'Key Assumptions'!S77</f>
        <v>3025.0000000000005</v>
      </c>
      <c r="L93" s="320">
        <f>'Key Assumptions'!T77</f>
        <v>3327.5000000000009</v>
      </c>
      <c r="M93" s="320">
        <f>'Key Assumptions'!U77</f>
        <v>3660.2500000000014</v>
      </c>
      <c r="N93" s="320">
        <f>'Key Assumptions'!V77</f>
        <v>4026.2750000000019</v>
      </c>
      <c r="O93" s="320">
        <f>'Key Assumptions'!W77</f>
        <v>4428.9025000000029</v>
      </c>
      <c r="P93" s="320">
        <f>'Key Assumptions'!X77</f>
        <v>4871.7927500000033</v>
      </c>
      <c r="Q93" s="320">
        <f>'Key Assumptions'!Y77</f>
        <v>5358.9720250000037</v>
      </c>
      <c r="R93" s="320">
        <f>'Key Assumptions'!Z77</f>
        <v>5894.8692275000049</v>
      </c>
      <c r="S93" s="390"/>
      <c r="T93" s="709"/>
    </row>
    <row r="94" spans="1:21" ht="16.5" customHeight="1">
      <c r="A94" s="162" t="s">
        <v>526</v>
      </c>
      <c r="B94" s="511">
        <f>'Key Assumptions'!G77</f>
        <v>2500</v>
      </c>
      <c r="C94" s="320">
        <f t="shared" ref="C94:R94" si="37">C15*C93/10^5</f>
        <v>2.8125</v>
      </c>
      <c r="D94" s="320">
        <f t="shared" si="37"/>
        <v>5.625</v>
      </c>
      <c r="E94" s="320">
        <f t="shared" si="37"/>
        <v>8.4375</v>
      </c>
      <c r="F94" s="320">
        <f t="shared" si="37"/>
        <v>11.25</v>
      </c>
      <c r="G94" s="320">
        <f t="shared" si="37"/>
        <v>15.46875</v>
      </c>
      <c r="H94" s="320">
        <f t="shared" si="37"/>
        <v>18.5625</v>
      </c>
      <c r="I94" s="320">
        <f t="shared" si="37"/>
        <v>21.65625</v>
      </c>
      <c r="J94" s="320">
        <f t="shared" si="37"/>
        <v>24.75</v>
      </c>
      <c r="K94" s="320">
        <f t="shared" si="37"/>
        <v>217.80000000000004</v>
      </c>
      <c r="L94" s="320">
        <f t="shared" si="37"/>
        <v>319.44000000000005</v>
      </c>
      <c r="M94" s="320">
        <f t="shared" si="37"/>
        <v>439.23000000000013</v>
      </c>
      <c r="N94" s="320">
        <f t="shared" si="37"/>
        <v>579.78360000000032</v>
      </c>
      <c r="O94" s="320">
        <f t="shared" si="37"/>
        <v>744.05562000000043</v>
      </c>
      <c r="P94" s="320">
        <f t="shared" si="37"/>
        <v>935.38420800000051</v>
      </c>
      <c r="Q94" s="320">
        <f t="shared" si="37"/>
        <v>1157.5379574000008</v>
      </c>
      <c r="R94" s="320">
        <f t="shared" si="37"/>
        <v>1414.7686146000012</v>
      </c>
      <c r="S94" s="529">
        <f>SUM(C94:R94)</f>
        <v>5916.5625000000036</v>
      </c>
    </row>
    <row r="95" spans="1:21" ht="16.5" customHeight="1">
      <c r="A95" s="391"/>
      <c r="B95" s="511"/>
      <c r="C95" s="162"/>
      <c r="D95" s="162"/>
      <c r="E95" s="162"/>
      <c r="F95" s="162"/>
      <c r="G95" s="320"/>
      <c r="H95" s="320"/>
      <c r="I95" s="320"/>
      <c r="J95" s="320"/>
      <c r="K95" s="320"/>
      <c r="L95" s="320"/>
      <c r="M95" s="320"/>
      <c r="N95" s="320"/>
      <c r="O95" s="320"/>
      <c r="P95" s="320"/>
      <c r="Q95" s="320"/>
      <c r="R95" s="320"/>
      <c r="S95" s="390"/>
    </row>
    <row r="96" spans="1:21" ht="16.5" customHeight="1">
      <c r="A96" s="391" t="str">
        <f>A20</f>
        <v>(b) 30 Days Re-Skilling course</v>
      </c>
      <c r="B96" s="511"/>
      <c r="C96" s="320">
        <f>'Key Assumptions'!K78</f>
        <v>1500</v>
      </c>
      <c r="D96" s="708">
        <f>'Key Assumptions'!L78</f>
        <v>1500</v>
      </c>
      <c r="E96" s="708">
        <f>'Key Assumptions'!M78</f>
        <v>1500</v>
      </c>
      <c r="F96" s="708">
        <f>'Key Assumptions'!N78</f>
        <v>1500</v>
      </c>
      <c r="G96" s="320">
        <f>'Key Assumptions'!O78</f>
        <v>1650</v>
      </c>
      <c r="H96" s="320">
        <f>'Key Assumptions'!P78</f>
        <v>1650</v>
      </c>
      <c r="I96" s="320">
        <f>'Key Assumptions'!Q78</f>
        <v>1650</v>
      </c>
      <c r="J96" s="320">
        <f>'Key Assumptions'!R78</f>
        <v>1650</v>
      </c>
      <c r="K96" s="320">
        <f>'Key Assumptions'!S78</f>
        <v>1815.0000000000002</v>
      </c>
      <c r="L96" s="320">
        <f>'Key Assumptions'!T78</f>
        <v>1996.5000000000005</v>
      </c>
      <c r="M96" s="320">
        <f>'Key Assumptions'!U78</f>
        <v>2196.1500000000005</v>
      </c>
      <c r="N96" s="320">
        <f>'Key Assumptions'!V78</f>
        <v>2415.7650000000008</v>
      </c>
      <c r="O96" s="320">
        <f>'Key Assumptions'!W78</f>
        <v>2657.3415000000009</v>
      </c>
      <c r="P96" s="320">
        <f>'Key Assumptions'!X78</f>
        <v>2923.0756500000011</v>
      </c>
      <c r="Q96" s="320">
        <f>'Key Assumptions'!Y78</f>
        <v>3215.3832150000017</v>
      </c>
      <c r="R96" s="320">
        <f>'Key Assumptions'!Z78</f>
        <v>3536.9215365000023</v>
      </c>
      <c r="S96" s="390"/>
    </row>
    <row r="97" spans="1:19" ht="16.5" customHeight="1">
      <c r="A97" s="162" t="s">
        <v>526</v>
      </c>
      <c r="B97" s="511">
        <f>'Key Assumptions'!G78</f>
        <v>1500</v>
      </c>
      <c r="C97" s="320">
        <f t="shared" ref="C97:R97" si="38">C27*C96/10^5</f>
        <v>1.6875</v>
      </c>
      <c r="D97" s="320">
        <f t="shared" si="38"/>
        <v>3.375</v>
      </c>
      <c r="E97" s="320">
        <f t="shared" si="38"/>
        <v>5.0625</v>
      </c>
      <c r="F97" s="320">
        <f t="shared" si="38"/>
        <v>6.75</v>
      </c>
      <c r="G97" s="320">
        <f t="shared" si="38"/>
        <v>9.28125</v>
      </c>
      <c r="H97" s="320">
        <f t="shared" si="38"/>
        <v>11.137499999999999</v>
      </c>
      <c r="I97" s="320">
        <f t="shared" si="38"/>
        <v>12.99375</v>
      </c>
      <c r="J97" s="320">
        <f t="shared" si="38"/>
        <v>14.85</v>
      </c>
      <c r="K97" s="320">
        <f t="shared" si="38"/>
        <v>130.68</v>
      </c>
      <c r="L97" s="320">
        <f t="shared" si="38"/>
        <v>191.66400000000004</v>
      </c>
      <c r="M97" s="320">
        <f t="shared" si="38"/>
        <v>263.53800000000007</v>
      </c>
      <c r="N97" s="320">
        <f t="shared" si="38"/>
        <v>347.87016000000017</v>
      </c>
      <c r="O97" s="320">
        <f t="shared" si="38"/>
        <v>446.43337200000019</v>
      </c>
      <c r="P97" s="320">
        <f t="shared" si="38"/>
        <v>561.23052480000024</v>
      </c>
      <c r="Q97" s="320">
        <f t="shared" si="38"/>
        <v>694.52277444000038</v>
      </c>
      <c r="R97" s="320">
        <f t="shared" si="38"/>
        <v>848.86116876000062</v>
      </c>
      <c r="S97" s="529">
        <f>SUM(C97:R97)</f>
        <v>3549.9375000000018</v>
      </c>
    </row>
    <row r="98" spans="1:19" ht="16.5" customHeight="1">
      <c r="A98" s="391"/>
      <c r="B98" s="511"/>
      <c r="C98" s="162"/>
      <c r="D98" s="162"/>
      <c r="E98" s="162"/>
      <c r="F98" s="162"/>
      <c r="G98" s="320"/>
      <c r="H98" s="320"/>
      <c r="I98" s="320"/>
      <c r="J98" s="320"/>
      <c r="K98" s="320"/>
      <c r="L98" s="320"/>
      <c r="M98" s="320"/>
      <c r="N98" s="320"/>
      <c r="O98" s="320"/>
      <c r="P98" s="320"/>
      <c r="Q98" s="320"/>
      <c r="R98" s="320"/>
      <c r="S98" s="390"/>
    </row>
    <row r="99" spans="1:19" ht="16.5" customHeight="1">
      <c r="A99" s="730" t="str">
        <f>A32</f>
        <v>(c) 7 Days Re-Skilling course</v>
      </c>
      <c r="B99" s="511"/>
      <c r="C99" s="728">
        <f>'Key Assumptions'!K79</f>
        <v>500</v>
      </c>
      <c r="D99" s="728">
        <f>'Key Assumptions'!L79</f>
        <v>500</v>
      </c>
      <c r="E99" s="728">
        <f>'Key Assumptions'!M79</f>
        <v>500</v>
      </c>
      <c r="F99" s="728">
        <f>'Key Assumptions'!N79</f>
        <v>500</v>
      </c>
      <c r="G99" s="728">
        <f>'Key Assumptions'!O79</f>
        <v>550</v>
      </c>
      <c r="H99" s="728">
        <f>'Key Assumptions'!P79</f>
        <v>550</v>
      </c>
      <c r="I99" s="728">
        <f>'Key Assumptions'!Q79</f>
        <v>550</v>
      </c>
      <c r="J99" s="728">
        <f>'Key Assumptions'!R79</f>
        <v>550</v>
      </c>
      <c r="K99" s="728">
        <f>'Key Assumptions'!S79</f>
        <v>605</v>
      </c>
      <c r="L99" s="728">
        <f>'Key Assumptions'!T79</f>
        <v>665.5</v>
      </c>
      <c r="M99" s="728">
        <f>'Key Assumptions'!U79</f>
        <v>732.05000000000007</v>
      </c>
      <c r="N99" s="728">
        <f>'Key Assumptions'!V79</f>
        <v>805.25500000000011</v>
      </c>
      <c r="O99" s="728">
        <f>'Key Assumptions'!W79</f>
        <v>885.78050000000019</v>
      </c>
      <c r="P99" s="728">
        <f>'Key Assumptions'!X79</f>
        <v>974.35855000000026</v>
      </c>
      <c r="Q99" s="728">
        <f>'Key Assumptions'!Y79</f>
        <v>1071.7944050000003</v>
      </c>
      <c r="R99" s="728">
        <f>'Key Assumptions'!Z79</f>
        <v>1178.9738455000004</v>
      </c>
      <c r="S99" s="390"/>
    </row>
    <row r="100" spans="1:19" ht="16.5" customHeight="1">
      <c r="A100" s="391" t="str">
        <f>A94</f>
        <v xml:space="preserve">Training fee </v>
      </c>
      <c r="B100" s="511">
        <f>'Key Assumptions'!G79</f>
        <v>500</v>
      </c>
      <c r="C100" s="320">
        <f t="shared" ref="C100:R100" si="39">C39*C99/10^5</f>
        <v>0.75</v>
      </c>
      <c r="D100" s="320">
        <f t="shared" si="39"/>
        <v>1.5</v>
      </c>
      <c r="E100" s="320">
        <f t="shared" si="39"/>
        <v>2.25</v>
      </c>
      <c r="F100" s="320">
        <f t="shared" si="39"/>
        <v>3</v>
      </c>
      <c r="G100" s="320">
        <f t="shared" si="39"/>
        <v>4.125</v>
      </c>
      <c r="H100" s="320">
        <f t="shared" si="39"/>
        <v>4.95</v>
      </c>
      <c r="I100" s="320">
        <f t="shared" si="39"/>
        <v>5.7750000000000004</v>
      </c>
      <c r="J100" s="320">
        <f t="shared" si="39"/>
        <v>6.6</v>
      </c>
      <c r="K100" s="320">
        <f t="shared" si="39"/>
        <v>130.68</v>
      </c>
      <c r="L100" s="320">
        <f t="shared" si="39"/>
        <v>191.66399999999999</v>
      </c>
      <c r="M100" s="320">
        <f t="shared" si="39"/>
        <v>263.53800000000001</v>
      </c>
      <c r="N100" s="320">
        <f t="shared" si="39"/>
        <v>347.87016000000006</v>
      </c>
      <c r="O100" s="320">
        <f t="shared" si="39"/>
        <v>446.43337200000008</v>
      </c>
      <c r="P100" s="320">
        <f t="shared" si="39"/>
        <v>561.23052480000013</v>
      </c>
      <c r="Q100" s="320">
        <f t="shared" si="39"/>
        <v>694.52277444000026</v>
      </c>
      <c r="R100" s="320">
        <f t="shared" si="39"/>
        <v>848.86116876000028</v>
      </c>
      <c r="S100" s="529">
        <f>SUM(C100:R100)</f>
        <v>3513.7500000000009</v>
      </c>
    </row>
    <row r="101" spans="1:19" ht="16.5" customHeight="1">
      <c r="A101" s="391"/>
      <c r="B101" s="511"/>
      <c r="C101" s="320"/>
      <c r="D101" s="320"/>
      <c r="E101" s="320"/>
      <c r="F101" s="320"/>
      <c r="G101" s="320"/>
      <c r="H101" s="320"/>
      <c r="I101" s="320"/>
      <c r="J101" s="320"/>
      <c r="K101" s="320"/>
      <c r="L101" s="320"/>
      <c r="M101" s="320"/>
      <c r="N101" s="320"/>
      <c r="O101" s="320"/>
      <c r="P101" s="320"/>
      <c r="Q101" s="320"/>
      <c r="R101" s="320"/>
      <c r="S101" s="731"/>
    </row>
    <row r="102" spans="1:19" ht="16.5" customHeight="1">
      <c r="A102" s="391" t="str">
        <f>A46</f>
        <v>(d) 75 days Mobile Repairing Course</v>
      </c>
      <c r="B102" s="511"/>
      <c r="C102" s="728">
        <f>'Key Assumptions'!K80</f>
        <v>6200</v>
      </c>
      <c r="D102" s="728">
        <f>'Key Assumptions'!L80</f>
        <v>6200</v>
      </c>
      <c r="E102" s="728">
        <f>'Key Assumptions'!M80</f>
        <v>6200</v>
      </c>
      <c r="F102" s="728">
        <f>'Key Assumptions'!N80</f>
        <v>6200</v>
      </c>
      <c r="G102" s="728">
        <f>'Key Assumptions'!O80</f>
        <v>6820</v>
      </c>
      <c r="H102" s="728">
        <f>'Key Assumptions'!P80</f>
        <v>6820</v>
      </c>
      <c r="I102" s="728">
        <f>'Key Assumptions'!Q80</f>
        <v>6820</v>
      </c>
      <c r="J102" s="728">
        <f>'Key Assumptions'!R80</f>
        <v>6820</v>
      </c>
      <c r="K102" s="728">
        <f>'Key Assumptions'!S80</f>
        <v>7502.0000000000009</v>
      </c>
      <c r="L102" s="728">
        <f>'Key Assumptions'!T80</f>
        <v>8252.2000000000025</v>
      </c>
      <c r="M102" s="728">
        <f>'Key Assumptions'!U80</f>
        <v>9077.4200000000037</v>
      </c>
      <c r="N102" s="728">
        <f>'Key Assumptions'!V80</f>
        <v>9985.1620000000057</v>
      </c>
      <c r="O102" s="728">
        <f>'Key Assumptions'!W80</f>
        <v>10983.678200000008</v>
      </c>
      <c r="P102" s="728">
        <f>'Key Assumptions'!X80</f>
        <v>12082.046020000009</v>
      </c>
      <c r="Q102" s="728">
        <f>'Key Assumptions'!Y80</f>
        <v>13290.25062200001</v>
      </c>
      <c r="R102" s="728">
        <f>'Key Assumptions'!Z80</f>
        <v>14619.275684200013</v>
      </c>
      <c r="S102" s="731"/>
    </row>
    <row r="103" spans="1:19" ht="16.5" customHeight="1">
      <c r="A103" s="162" t="s">
        <v>526</v>
      </c>
      <c r="B103" s="511">
        <f>'Key Assumptions'!G80</f>
        <v>6200</v>
      </c>
      <c r="C103" s="320">
        <f t="shared" ref="C103:R103" si="40">C53*C102/10^5</f>
        <v>3.1</v>
      </c>
      <c r="D103" s="320">
        <f t="shared" si="40"/>
        <v>7.75</v>
      </c>
      <c r="E103" s="320">
        <f t="shared" si="40"/>
        <v>10.85</v>
      </c>
      <c r="F103" s="320">
        <f t="shared" si="40"/>
        <v>13.95</v>
      </c>
      <c r="G103" s="320">
        <f t="shared" si="40"/>
        <v>23.87</v>
      </c>
      <c r="H103" s="320">
        <f t="shared" si="40"/>
        <v>27.28</v>
      </c>
      <c r="I103" s="320">
        <f t="shared" si="40"/>
        <v>32.395000000000003</v>
      </c>
      <c r="J103" s="320">
        <f t="shared" si="40"/>
        <v>35.805</v>
      </c>
      <c r="K103" s="320">
        <f t="shared" si="40"/>
        <v>247.56600000000003</v>
      </c>
      <c r="L103" s="320">
        <f t="shared" si="40"/>
        <v>376.30032000000017</v>
      </c>
      <c r="M103" s="320">
        <f t="shared" si="40"/>
        <v>457.5019680000002</v>
      </c>
      <c r="N103" s="320">
        <f t="shared" si="40"/>
        <v>563.1631368000003</v>
      </c>
      <c r="O103" s="320">
        <f t="shared" si="40"/>
        <v>632.65986432000045</v>
      </c>
      <c r="P103" s="320">
        <f t="shared" si="40"/>
        <v>768.41812687200058</v>
      </c>
      <c r="Q103" s="320">
        <f t="shared" si="40"/>
        <v>925.00144329120064</v>
      </c>
      <c r="R103" s="320">
        <f t="shared" si="40"/>
        <v>1087.674110904481</v>
      </c>
      <c r="S103" s="529">
        <f>SUM(C103:R103)</f>
        <v>5213.2849701876821</v>
      </c>
    </row>
    <row r="104" spans="1:19" ht="16.5" customHeight="1">
      <c r="A104" s="391"/>
      <c r="B104" s="511"/>
      <c r="C104" s="320"/>
      <c r="D104" s="320"/>
      <c r="E104" s="320"/>
      <c r="F104" s="320"/>
      <c r="G104" s="320"/>
      <c r="H104" s="320"/>
      <c r="I104" s="320"/>
      <c r="J104" s="320"/>
      <c r="K104" s="320"/>
      <c r="L104" s="320"/>
      <c r="M104" s="320"/>
      <c r="N104" s="320"/>
      <c r="O104" s="320"/>
      <c r="P104" s="320"/>
      <c r="Q104" s="320"/>
      <c r="R104" s="320"/>
      <c r="S104" s="731"/>
    </row>
    <row r="105" spans="1:19" ht="16.5" customHeight="1">
      <c r="A105" s="391" t="str">
        <f>A58</f>
        <v>(e) 50 days Hospitality Assistant Course</v>
      </c>
      <c r="B105" s="511"/>
      <c r="C105" s="320">
        <f>'Key Assumptions'!K81</f>
        <v>5200</v>
      </c>
      <c r="D105" s="320">
        <f>'Key Assumptions'!L81</f>
        <v>5200</v>
      </c>
      <c r="E105" s="320">
        <f>'Key Assumptions'!M81</f>
        <v>5200</v>
      </c>
      <c r="F105" s="320">
        <f>'Key Assumptions'!N81</f>
        <v>5200</v>
      </c>
      <c r="G105" s="320">
        <f>'Key Assumptions'!O81</f>
        <v>5720</v>
      </c>
      <c r="H105" s="320">
        <f>'Key Assumptions'!P81</f>
        <v>5720</v>
      </c>
      <c r="I105" s="320">
        <f>'Key Assumptions'!Q81</f>
        <v>5720</v>
      </c>
      <c r="J105" s="320">
        <f>'Key Assumptions'!R81</f>
        <v>5720</v>
      </c>
      <c r="K105" s="320">
        <f>'Key Assumptions'!S81</f>
        <v>6292.0000000000009</v>
      </c>
      <c r="L105" s="320">
        <f>'Key Assumptions'!T81</f>
        <v>6921.2000000000016</v>
      </c>
      <c r="M105" s="320">
        <f>'Key Assumptions'!U81</f>
        <v>7613.3200000000024</v>
      </c>
      <c r="N105" s="320">
        <f>'Key Assumptions'!V81</f>
        <v>8374.6520000000037</v>
      </c>
      <c r="O105" s="320">
        <f>'Key Assumptions'!W81</f>
        <v>9212.1172000000042</v>
      </c>
      <c r="P105" s="320">
        <f>'Key Assumptions'!X81</f>
        <v>10133.328920000005</v>
      </c>
      <c r="Q105" s="320">
        <f>'Key Assumptions'!Y81</f>
        <v>11146.661812000008</v>
      </c>
      <c r="R105" s="320">
        <f>'Key Assumptions'!Z81</f>
        <v>12261.32799320001</v>
      </c>
      <c r="S105" s="731"/>
    </row>
    <row r="106" spans="1:19" ht="16.5" customHeight="1">
      <c r="A106" s="162" t="s">
        <v>526</v>
      </c>
      <c r="B106" s="511">
        <f>'Key Assumptions'!G81</f>
        <v>5200</v>
      </c>
      <c r="C106" s="320">
        <f t="shared" ref="C106:R106" si="41">C65*C105/10^5</f>
        <v>3.25</v>
      </c>
      <c r="D106" s="320">
        <f t="shared" si="41"/>
        <v>8.125</v>
      </c>
      <c r="E106" s="320">
        <f t="shared" si="41"/>
        <v>11.375</v>
      </c>
      <c r="F106" s="320">
        <f t="shared" si="41"/>
        <v>14.625</v>
      </c>
      <c r="G106" s="320">
        <f t="shared" si="41"/>
        <v>25.024999999999999</v>
      </c>
      <c r="H106" s="320">
        <f t="shared" si="41"/>
        <v>28.6</v>
      </c>
      <c r="I106" s="320">
        <f t="shared" si="41"/>
        <v>33.962499999999999</v>
      </c>
      <c r="J106" s="320">
        <f t="shared" si="41"/>
        <v>37.537500000000001</v>
      </c>
      <c r="K106" s="320">
        <f t="shared" si="41"/>
        <v>311.45400000000006</v>
      </c>
      <c r="L106" s="320">
        <f t="shared" si="41"/>
        <v>473.41008000000016</v>
      </c>
      <c r="M106" s="320">
        <f t="shared" si="41"/>
        <v>575.56699200000014</v>
      </c>
      <c r="N106" s="320">
        <f t="shared" si="41"/>
        <v>708.49555920000034</v>
      </c>
      <c r="O106" s="320">
        <f t="shared" si="41"/>
        <v>795.92692608000038</v>
      </c>
      <c r="P106" s="320">
        <f t="shared" si="41"/>
        <v>966.71957896800052</v>
      </c>
      <c r="Q106" s="320">
        <f t="shared" si="41"/>
        <v>1163.7114931728008</v>
      </c>
      <c r="R106" s="320">
        <f t="shared" si="41"/>
        <v>1368.364204041121</v>
      </c>
      <c r="S106" s="529">
        <f>SUM(C106:R106)</f>
        <v>6526.1488334619225</v>
      </c>
    </row>
    <row r="107" spans="1:19" ht="16.5" customHeight="1">
      <c r="A107" s="391"/>
      <c r="B107" s="511"/>
      <c r="C107" s="320"/>
      <c r="D107" s="320"/>
      <c r="E107" s="320"/>
      <c r="F107" s="320"/>
      <c r="G107" s="320"/>
      <c r="H107" s="320"/>
      <c r="I107" s="320"/>
      <c r="J107" s="320"/>
      <c r="K107" s="320"/>
      <c r="L107" s="320"/>
      <c r="M107" s="320"/>
      <c r="N107" s="320"/>
      <c r="O107" s="320"/>
      <c r="P107" s="320"/>
      <c r="Q107" s="320"/>
      <c r="R107" s="320"/>
      <c r="S107" s="731"/>
    </row>
    <row r="108" spans="1:19" ht="16.5" customHeight="1">
      <c r="A108" s="391" t="str">
        <f>A70</f>
        <v>(f) 50 days Sales Associate Course</v>
      </c>
      <c r="B108" s="511"/>
      <c r="C108" s="320">
        <f>'Key Assumptions'!K82</f>
        <v>5200</v>
      </c>
      <c r="D108" s="320">
        <f>'Key Assumptions'!L82</f>
        <v>5200</v>
      </c>
      <c r="E108" s="320">
        <f>'Key Assumptions'!M82</f>
        <v>5200</v>
      </c>
      <c r="F108" s="320">
        <f>'Key Assumptions'!N82</f>
        <v>5200</v>
      </c>
      <c r="G108" s="320">
        <f>'Key Assumptions'!O82</f>
        <v>5720</v>
      </c>
      <c r="H108" s="320">
        <f>'Key Assumptions'!P82</f>
        <v>5720</v>
      </c>
      <c r="I108" s="320">
        <f>'Key Assumptions'!Q82</f>
        <v>5720</v>
      </c>
      <c r="J108" s="320">
        <f>'Key Assumptions'!R82</f>
        <v>5720</v>
      </c>
      <c r="K108" s="320">
        <f>'Key Assumptions'!S82</f>
        <v>6292.0000000000009</v>
      </c>
      <c r="L108" s="320">
        <f>'Key Assumptions'!T82</f>
        <v>6921.2000000000016</v>
      </c>
      <c r="M108" s="320">
        <f>'Key Assumptions'!U82</f>
        <v>7613.3200000000024</v>
      </c>
      <c r="N108" s="320">
        <f>'Key Assumptions'!V82</f>
        <v>8374.6520000000037</v>
      </c>
      <c r="O108" s="320">
        <f>'Key Assumptions'!W82</f>
        <v>9212.1172000000042</v>
      </c>
      <c r="P108" s="320">
        <f>'Key Assumptions'!X82</f>
        <v>10133.328920000005</v>
      </c>
      <c r="Q108" s="320">
        <f>'Key Assumptions'!Y82</f>
        <v>11146.661812000008</v>
      </c>
      <c r="R108" s="320">
        <f>'Key Assumptions'!Z82</f>
        <v>12261.32799320001</v>
      </c>
      <c r="S108" s="731"/>
    </row>
    <row r="109" spans="1:19" ht="16.5" customHeight="1">
      <c r="A109" s="162" t="s">
        <v>526</v>
      </c>
      <c r="B109" s="511">
        <f>'Key Assumptions'!G82</f>
        <v>5200</v>
      </c>
      <c r="C109" s="320">
        <f t="shared" ref="C109:R109" si="42">C77*C108/10^5</f>
        <v>3.25</v>
      </c>
      <c r="D109" s="320">
        <f t="shared" si="42"/>
        <v>8.125</v>
      </c>
      <c r="E109" s="320">
        <f t="shared" si="42"/>
        <v>11.375</v>
      </c>
      <c r="F109" s="320">
        <f t="shared" si="42"/>
        <v>14.625</v>
      </c>
      <c r="G109" s="320">
        <f t="shared" si="42"/>
        <v>25.024999999999999</v>
      </c>
      <c r="H109" s="320">
        <f t="shared" si="42"/>
        <v>28.6</v>
      </c>
      <c r="I109" s="320">
        <f t="shared" si="42"/>
        <v>33.962499999999999</v>
      </c>
      <c r="J109" s="320">
        <f t="shared" si="42"/>
        <v>37.537500000000001</v>
      </c>
      <c r="K109" s="320">
        <f t="shared" si="42"/>
        <v>311.45400000000006</v>
      </c>
      <c r="L109" s="320">
        <f t="shared" si="42"/>
        <v>473.41008000000016</v>
      </c>
      <c r="M109" s="320">
        <f t="shared" si="42"/>
        <v>575.56699200000014</v>
      </c>
      <c r="N109" s="320">
        <f t="shared" si="42"/>
        <v>708.49555920000034</v>
      </c>
      <c r="O109" s="320">
        <f t="shared" si="42"/>
        <v>795.92692608000038</v>
      </c>
      <c r="P109" s="320">
        <f t="shared" si="42"/>
        <v>966.71957896800052</v>
      </c>
      <c r="Q109" s="320">
        <f t="shared" si="42"/>
        <v>1163.7114931728008</v>
      </c>
      <c r="R109" s="320">
        <f t="shared" si="42"/>
        <v>1368.364204041121</v>
      </c>
      <c r="S109" s="529">
        <f>SUM(C109:R109)</f>
        <v>6526.1488334619225</v>
      </c>
    </row>
    <row r="110" spans="1:19" ht="16.5" customHeight="1">
      <c r="A110" s="391"/>
      <c r="B110" s="511"/>
      <c r="C110" s="320"/>
      <c r="D110" s="320"/>
      <c r="E110" s="320"/>
      <c r="F110" s="320"/>
      <c r="G110" s="320"/>
      <c r="H110" s="320"/>
      <c r="I110" s="320"/>
      <c r="J110" s="320"/>
      <c r="K110" s="320"/>
      <c r="L110" s="320"/>
      <c r="M110" s="320"/>
      <c r="N110" s="320"/>
      <c r="O110" s="320"/>
      <c r="P110" s="320"/>
      <c r="Q110" s="320"/>
      <c r="R110" s="320"/>
      <c r="S110" s="731"/>
    </row>
    <row r="111" spans="1:19" ht="16.5" customHeight="1">
      <c r="B111" s="493"/>
      <c r="C111" s="162"/>
      <c r="D111" s="162"/>
      <c r="E111" s="162"/>
      <c r="F111" s="162"/>
      <c r="G111" s="320"/>
      <c r="H111" s="320"/>
      <c r="I111" s="320"/>
      <c r="J111" s="320"/>
      <c r="K111" s="320"/>
      <c r="L111" s="320"/>
      <c r="M111" s="320"/>
      <c r="N111" s="320"/>
      <c r="O111" s="320"/>
      <c r="P111" s="320"/>
      <c r="Q111" s="320"/>
      <c r="R111" s="320"/>
      <c r="S111" s="390"/>
    </row>
    <row r="112" spans="1:19" ht="16.5" customHeight="1">
      <c r="A112" s="494" t="s">
        <v>528</v>
      </c>
      <c r="B112" s="494"/>
      <c r="C112" s="495">
        <f>C94+C100+C97+C103+C106+C109</f>
        <v>14.85</v>
      </c>
      <c r="D112" s="495">
        <f t="shared" ref="D112:R112" si="43">D94+D100+D97+D103+D106+D109</f>
        <v>34.5</v>
      </c>
      <c r="E112" s="495">
        <f t="shared" si="43"/>
        <v>49.35</v>
      </c>
      <c r="F112" s="495">
        <f t="shared" si="43"/>
        <v>64.2</v>
      </c>
      <c r="G112" s="495">
        <f t="shared" si="43"/>
        <v>102.79500000000002</v>
      </c>
      <c r="H112" s="495">
        <f t="shared" si="43"/>
        <v>119.13</v>
      </c>
      <c r="I112" s="495">
        <f t="shared" si="43"/>
        <v>140.745</v>
      </c>
      <c r="J112" s="495">
        <f t="shared" si="43"/>
        <v>157.07999999999998</v>
      </c>
      <c r="K112" s="495">
        <f t="shared" si="43"/>
        <v>1349.6340000000005</v>
      </c>
      <c r="L112" s="495">
        <f t="shared" si="43"/>
        <v>2025.8884800000005</v>
      </c>
      <c r="M112" s="495">
        <f t="shared" si="43"/>
        <v>2574.9419520000006</v>
      </c>
      <c r="N112" s="495">
        <f t="shared" si="43"/>
        <v>3255.6781752000015</v>
      </c>
      <c r="O112" s="495">
        <f t="shared" si="43"/>
        <v>3861.4360804800017</v>
      </c>
      <c r="P112" s="495">
        <f t="shared" si="43"/>
        <v>4759.702542408002</v>
      </c>
      <c r="Q112" s="495">
        <f t="shared" si="43"/>
        <v>5799.0079359168039</v>
      </c>
      <c r="R112" s="495">
        <f t="shared" si="43"/>
        <v>6936.893471106725</v>
      </c>
      <c r="S112" s="495">
        <f>SUM(C112:R112)</f>
        <v>31245.83263711154</v>
      </c>
    </row>
    <row r="113" spans="1:35">
      <c r="T113" s="392"/>
    </row>
    <row r="114" spans="1:35">
      <c r="A114" s="113" t="s">
        <v>743</v>
      </c>
      <c r="C114" s="1080">
        <f>'Key Assumptions'!K10</f>
        <v>1</v>
      </c>
      <c r="D114" s="1080">
        <f>'Key Assumptions'!L10</f>
        <v>1</v>
      </c>
      <c r="E114" s="1080">
        <f>'Key Assumptions'!M10</f>
        <v>1</v>
      </c>
      <c r="F114" s="1080">
        <f>'Key Assumptions'!N10</f>
        <v>1</v>
      </c>
      <c r="G114" s="1080">
        <f>'Key Assumptions'!O10</f>
        <v>1.1000000000000001</v>
      </c>
      <c r="H114" s="1080">
        <f>'Key Assumptions'!P10</f>
        <v>1.1000000000000001</v>
      </c>
      <c r="I114" s="1080">
        <f>'Key Assumptions'!Q10</f>
        <v>1.1000000000000001</v>
      </c>
      <c r="J114" s="1080">
        <f>'Key Assumptions'!R10</f>
        <v>1.1000000000000001</v>
      </c>
      <c r="K114" s="1080">
        <f>'Key Assumptions'!S10</f>
        <v>1.2100000000000002</v>
      </c>
      <c r="L114" s="1080">
        <f>'Key Assumptions'!T10</f>
        <v>1.3310000000000002</v>
      </c>
      <c r="M114" s="1080">
        <f>'Key Assumptions'!U10</f>
        <v>1.4641000000000002</v>
      </c>
      <c r="N114" s="1080">
        <f>'Key Assumptions'!V10</f>
        <v>1.6105100000000001</v>
      </c>
      <c r="O114" s="1080">
        <f>'Key Assumptions'!W10</f>
        <v>1.7715610000000002</v>
      </c>
      <c r="P114" s="1080">
        <f>'Key Assumptions'!X10</f>
        <v>1.9487171000000001</v>
      </c>
      <c r="Q114" s="1080">
        <f>'Key Assumptions'!Y10</f>
        <v>2.1435888100000002</v>
      </c>
      <c r="R114" s="1080">
        <f>'Key Assumptions'!Z10</f>
        <v>2.3579476910000001</v>
      </c>
      <c r="T114" s="392"/>
    </row>
    <row r="115" spans="1:35">
      <c r="T115" s="392"/>
    </row>
    <row r="116" spans="1:35" ht="31.5" customHeight="1">
      <c r="A116" s="394" t="str">
        <f>'Key Assumptions'!B83</f>
        <v>(II) Registration charges of Re-Skilled worker</v>
      </c>
      <c r="T116" s="392"/>
    </row>
    <row r="117" spans="1:35" ht="26.25" customHeight="1">
      <c r="A117" s="395" t="s">
        <v>355</v>
      </c>
      <c r="B117" s="512">
        <f>'Key Assumptions'!I83</f>
        <v>0.25</v>
      </c>
      <c r="C117" s="320">
        <f>(C15+C27)*$B$117</f>
        <v>56.25</v>
      </c>
      <c r="D117" s="320">
        <f t="shared" ref="D117:R117" si="44">(D15+D27)*$B$117</f>
        <v>112.5</v>
      </c>
      <c r="E117" s="320">
        <f t="shared" si="44"/>
        <v>168.75</v>
      </c>
      <c r="F117" s="320">
        <f t="shared" si="44"/>
        <v>225</v>
      </c>
      <c r="G117" s="320">
        <f t="shared" si="44"/>
        <v>281.25</v>
      </c>
      <c r="H117" s="320">
        <f t="shared" si="44"/>
        <v>337.5</v>
      </c>
      <c r="I117" s="320">
        <f t="shared" si="44"/>
        <v>393.75</v>
      </c>
      <c r="J117" s="320">
        <f t="shared" si="44"/>
        <v>450</v>
      </c>
      <c r="K117" s="320">
        <f t="shared" si="44"/>
        <v>3600</v>
      </c>
      <c r="L117" s="320">
        <f t="shared" si="44"/>
        <v>4800</v>
      </c>
      <c r="M117" s="320">
        <f t="shared" si="44"/>
        <v>6000</v>
      </c>
      <c r="N117" s="320">
        <f t="shared" si="44"/>
        <v>7200</v>
      </c>
      <c r="O117" s="320">
        <f t="shared" si="44"/>
        <v>8400</v>
      </c>
      <c r="P117" s="320">
        <f t="shared" si="44"/>
        <v>9600</v>
      </c>
      <c r="Q117" s="320">
        <f t="shared" si="44"/>
        <v>10800</v>
      </c>
      <c r="R117" s="320">
        <f t="shared" si="44"/>
        <v>12000</v>
      </c>
      <c r="S117" s="492">
        <f>C117+D117+E117+F117+G117+H117+I117+J117+K117+L117+M117+N117+O117+P117+Q117+R117</f>
        <v>64425</v>
      </c>
      <c r="T117" s="392"/>
    </row>
    <row r="118" spans="1:35" ht="28.5" customHeight="1">
      <c r="A118" s="494" t="s">
        <v>356</v>
      </c>
      <c r="B118" s="495">
        <f>'Key Assumptions'!G83</f>
        <v>125</v>
      </c>
      <c r="C118" s="617">
        <f>C117*$B$118*C114/10^5</f>
        <v>7.03125E-2</v>
      </c>
      <c r="D118" s="617">
        <f t="shared" ref="D118:R118" si="45">D117*$B$118*D114/10^5</f>
        <v>0.140625</v>
      </c>
      <c r="E118" s="617">
        <f t="shared" si="45"/>
        <v>0.2109375</v>
      </c>
      <c r="F118" s="617">
        <f t="shared" si="45"/>
        <v>0.28125</v>
      </c>
      <c r="G118" s="617">
        <f t="shared" si="45"/>
        <v>0.38671875</v>
      </c>
      <c r="H118" s="617">
        <f t="shared" si="45"/>
        <v>0.4640625000000001</v>
      </c>
      <c r="I118" s="617">
        <f t="shared" si="45"/>
        <v>0.54140625000000009</v>
      </c>
      <c r="J118" s="617">
        <f t="shared" si="45"/>
        <v>0.61875000000000002</v>
      </c>
      <c r="K118" s="617">
        <f t="shared" si="45"/>
        <v>5.4450000000000012</v>
      </c>
      <c r="L118" s="617">
        <f t="shared" si="45"/>
        <v>7.9860000000000015</v>
      </c>
      <c r="M118" s="617">
        <f t="shared" si="45"/>
        <v>10.980750000000002</v>
      </c>
      <c r="N118" s="617">
        <f t="shared" si="45"/>
        <v>14.494590000000001</v>
      </c>
      <c r="O118" s="617">
        <f t="shared" si="45"/>
        <v>18.601390500000004</v>
      </c>
      <c r="P118" s="617">
        <f t="shared" si="45"/>
        <v>23.384605199999999</v>
      </c>
      <c r="Q118" s="617">
        <f t="shared" si="45"/>
        <v>28.938448935000004</v>
      </c>
      <c r="R118" s="617">
        <f t="shared" si="45"/>
        <v>35.369215365000002</v>
      </c>
      <c r="S118" s="492">
        <f>C118+D118+E118+F118+G118+H118+I118+J118+K118+L118+M118+N118+O118+P118+Q118+R118</f>
        <v>147.9140625</v>
      </c>
      <c r="T118" s="392"/>
    </row>
    <row r="119" spans="1:35" ht="27.75" customHeight="1">
      <c r="A119" s="114" t="str">
        <f>'Key Assumptions'!B85</f>
        <v>( III) Placement charges of Re-Skilled worker</v>
      </c>
      <c r="B119" s="387"/>
      <c r="T119" s="392"/>
    </row>
    <row r="120" spans="1:35" ht="23.25" customHeight="1">
      <c r="A120" s="163" t="s">
        <v>492</v>
      </c>
      <c r="B120" s="512">
        <f>'Key Assumptions'!I85</f>
        <v>0.15</v>
      </c>
      <c r="C120" s="320"/>
      <c r="D120" s="320"/>
      <c r="E120" s="320"/>
      <c r="F120" s="320"/>
      <c r="G120" s="320"/>
      <c r="H120" s="320"/>
      <c r="I120" s="320"/>
      <c r="J120" s="320"/>
      <c r="K120" s="320"/>
      <c r="L120" s="320">
        <f t="shared" ref="L120:R120" si="46">(L15+L27)*$B$120</f>
        <v>2880</v>
      </c>
      <c r="M120" s="320">
        <f t="shared" si="46"/>
        <v>3600</v>
      </c>
      <c r="N120" s="320">
        <f t="shared" si="46"/>
        <v>4320</v>
      </c>
      <c r="O120" s="320">
        <f t="shared" si="46"/>
        <v>5040</v>
      </c>
      <c r="P120" s="320">
        <f t="shared" si="46"/>
        <v>5760</v>
      </c>
      <c r="Q120" s="320">
        <f t="shared" si="46"/>
        <v>6480</v>
      </c>
      <c r="R120" s="320">
        <f t="shared" si="46"/>
        <v>7200</v>
      </c>
      <c r="S120" s="492">
        <f>C120+D120+E120+F120+G120+H120+I120+J120+K120+L120+M120+N120+O120+P120+Q120+R120</f>
        <v>35280</v>
      </c>
      <c r="T120" s="392"/>
    </row>
    <row r="121" spans="1:35" ht="19.5" customHeight="1">
      <c r="A121" s="162" t="s">
        <v>357</v>
      </c>
      <c r="B121" s="513">
        <f>'Key Assumptions'!G88</f>
        <v>7500</v>
      </c>
      <c r="C121" s="396"/>
      <c r="D121" s="396"/>
      <c r="E121" s="396"/>
      <c r="F121" s="396"/>
      <c r="G121" s="320"/>
      <c r="H121" s="320"/>
      <c r="I121" s="320"/>
      <c r="J121" s="320"/>
      <c r="K121" s="320"/>
      <c r="L121" s="320">
        <f>'Key Assumptions'!T88</f>
        <v>9982.5</v>
      </c>
      <c r="M121" s="320">
        <f>'Key Assumptions'!U88</f>
        <v>10980.75</v>
      </c>
      <c r="N121" s="320">
        <f>'Key Assumptions'!V88</f>
        <v>12078.825000000001</v>
      </c>
      <c r="O121" s="320">
        <f>'Key Assumptions'!W88</f>
        <v>13286.7075</v>
      </c>
      <c r="P121" s="320">
        <f>'Key Assumptions'!X88</f>
        <v>14615.378250000002</v>
      </c>
      <c r="Q121" s="320">
        <f>'Key Assumptions'!Y88</f>
        <v>16076.916075000001</v>
      </c>
      <c r="R121" s="320">
        <f>'Key Assumptions'!Z88</f>
        <v>17684.607682500002</v>
      </c>
      <c r="S121" s="162"/>
      <c r="T121" s="392"/>
    </row>
    <row r="122" spans="1:35" ht="18.75" customHeight="1">
      <c r="A122" s="397" t="s">
        <v>358</v>
      </c>
      <c r="B122" s="514">
        <f>'Key Assumptions'!H88</f>
        <v>0.1</v>
      </c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392"/>
    </row>
    <row r="123" spans="1:35" ht="21.75" customHeight="1">
      <c r="A123" s="494" t="s">
        <v>768</v>
      </c>
      <c r="B123" s="496">
        <f>'Key Assumptions'!G85</f>
        <v>0.2</v>
      </c>
      <c r="C123" s="495"/>
      <c r="D123" s="495"/>
      <c r="E123" s="495"/>
      <c r="F123" s="495"/>
      <c r="G123" s="495"/>
      <c r="H123" s="495"/>
      <c r="I123" s="495"/>
      <c r="J123" s="495"/>
      <c r="K123" s="495"/>
      <c r="L123" s="495">
        <v>0</v>
      </c>
      <c r="M123" s="495">
        <v>0</v>
      </c>
      <c r="N123" s="495">
        <v>0</v>
      </c>
      <c r="O123" s="495">
        <v>0</v>
      </c>
      <c r="P123" s="495">
        <v>0</v>
      </c>
      <c r="Q123" s="495">
        <v>0</v>
      </c>
      <c r="R123" s="495">
        <v>0</v>
      </c>
      <c r="S123" s="492">
        <f>C123+D123+E123+F123+G123+H123+I123+J123+K123+L123+M123+N123+O123+P123+Q123+R123</f>
        <v>0</v>
      </c>
      <c r="T123" s="392"/>
    </row>
    <row r="124" spans="1:35" s="813" customFormat="1" ht="21.75" customHeight="1">
      <c r="A124" s="243"/>
      <c r="B124" s="807"/>
      <c r="C124" s="808"/>
      <c r="D124" s="808"/>
      <c r="E124" s="808"/>
      <c r="F124" s="808"/>
      <c r="G124" s="808"/>
      <c r="H124" s="808"/>
      <c r="I124" s="808"/>
      <c r="J124" s="808"/>
      <c r="K124" s="808"/>
      <c r="L124" s="808"/>
      <c r="M124" s="808"/>
      <c r="N124" s="808"/>
      <c r="O124" s="808"/>
      <c r="P124" s="808"/>
      <c r="Q124" s="808"/>
      <c r="R124" s="808"/>
      <c r="S124" s="809"/>
      <c r="T124" s="810"/>
      <c r="U124" s="811"/>
      <c r="V124" s="812"/>
      <c r="W124" s="812"/>
      <c r="X124" s="812"/>
      <c r="Y124" s="812"/>
      <c r="Z124" s="812"/>
      <c r="AA124" s="812"/>
      <c r="AB124" s="812"/>
      <c r="AC124" s="812"/>
      <c r="AD124" s="812"/>
      <c r="AE124" s="812"/>
      <c r="AF124" s="812"/>
      <c r="AG124" s="812"/>
      <c r="AH124" s="812"/>
      <c r="AI124" s="812"/>
    </row>
    <row r="125" spans="1:35" s="813" customFormat="1" ht="21.75" customHeight="1">
      <c r="A125" s="1152" t="s">
        <v>817</v>
      </c>
      <c r="C125" s="1154">
        <f>C94+C97+C100+C118+C123</f>
        <v>5.3203125</v>
      </c>
      <c r="D125" s="1154">
        <f t="shared" ref="D125:R125" si="47">D94+D97+D100+D118+D123</f>
        <v>10.640625</v>
      </c>
      <c r="E125" s="1154">
        <f t="shared" si="47"/>
        <v>15.9609375</v>
      </c>
      <c r="F125" s="1154">
        <f t="shared" si="47"/>
        <v>21.28125</v>
      </c>
      <c r="G125" s="1154">
        <f t="shared" si="47"/>
        <v>29.26171875</v>
      </c>
      <c r="H125" s="1154">
        <f t="shared" si="47"/>
        <v>35.114062499999996</v>
      </c>
      <c r="I125" s="1154">
        <f t="shared" si="47"/>
        <v>40.966406249999999</v>
      </c>
      <c r="J125" s="1154">
        <f t="shared" si="47"/>
        <v>46.818750000000001</v>
      </c>
      <c r="K125" s="1154">
        <f t="shared" si="47"/>
        <v>484.60500000000002</v>
      </c>
      <c r="L125" s="1154">
        <f t="shared" si="47"/>
        <v>710.75400000000002</v>
      </c>
      <c r="M125" s="1154">
        <f t="shared" si="47"/>
        <v>977.28675000000032</v>
      </c>
      <c r="N125" s="1154">
        <f t="shared" si="47"/>
        <v>1290.0185100000006</v>
      </c>
      <c r="O125" s="1154">
        <f t="shared" si="47"/>
        <v>1655.5237545000005</v>
      </c>
      <c r="P125" s="1154">
        <f t="shared" si="47"/>
        <v>2081.2298628000008</v>
      </c>
      <c r="Q125" s="1154">
        <f t="shared" si="47"/>
        <v>2575.5219552150015</v>
      </c>
      <c r="R125" s="1154">
        <f t="shared" si="47"/>
        <v>3147.8601674850024</v>
      </c>
      <c r="S125" s="1154">
        <f>SUM(C125:R125)</f>
        <v>13128.164062500007</v>
      </c>
      <c r="T125" s="810"/>
      <c r="U125" s="811"/>
      <c r="V125" s="812"/>
      <c r="W125" s="812"/>
      <c r="X125" s="812"/>
      <c r="Y125" s="812"/>
      <c r="Z125" s="812"/>
      <c r="AA125" s="812"/>
      <c r="AB125" s="812"/>
      <c r="AC125" s="812"/>
      <c r="AD125" s="812"/>
      <c r="AE125" s="812"/>
      <c r="AF125" s="812"/>
      <c r="AG125" s="812"/>
      <c r="AH125" s="812"/>
      <c r="AI125" s="812"/>
    </row>
    <row r="126" spans="1:35" s="813" customFormat="1" ht="21.75" customHeight="1">
      <c r="A126" s="243"/>
      <c r="B126" s="807"/>
      <c r="C126" s="808"/>
      <c r="D126" s="808"/>
      <c r="E126" s="808"/>
      <c r="F126" s="808"/>
      <c r="G126" s="808"/>
      <c r="H126" s="808"/>
      <c r="I126" s="808"/>
      <c r="J126" s="808"/>
      <c r="K126" s="808"/>
      <c r="L126" s="808"/>
      <c r="M126" s="808"/>
      <c r="N126" s="808"/>
      <c r="O126" s="808"/>
      <c r="P126" s="808"/>
      <c r="Q126" s="808"/>
      <c r="R126" s="808"/>
      <c r="S126" s="809"/>
      <c r="T126" s="810"/>
      <c r="U126" s="811"/>
      <c r="V126" s="812"/>
      <c r="W126" s="812"/>
      <c r="X126" s="812"/>
      <c r="Y126" s="812"/>
      <c r="Z126" s="812"/>
      <c r="AA126" s="812"/>
      <c r="AB126" s="812"/>
      <c r="AC126" s="812"/>
      <c r="AD126" s="812"/>
      <c r="AE126" s="812"/>
      <c r="AF126" s="812"/>
      <c r="AG126" s="812"/>
      <c r="AH126" s="812"/>
      <c r="AI126" s="812"/>
    </row>
    <row r="127" spans="1:35" s="813" customFormat="1" ht="21.75" customHeight="1">
      <c r="A127" s="1152" t="s">
        <v>818</v>
      </c>
      <c r="C127" s="1155">
        <f>C103+C106+C109</f>
        <v>9.6</v>
      </c>
      <c r="D127" s="1155">
        <f t="shared" ref="D127:R127" si="48">D103+D106+D109</f>
        <v>24</v>
      </c>
      <c r="E127" s="1155">
        <f t="shared" si="48"/>
        <v>33.6</v>
      </c>
      <c r="F127" s="1155">
        <f t="shared" si="48"/>
        <v>43.2</v>
      </c>
      <c r="G127" s="1155">
        <f t="shared" si="48"/>
        <v>73.919999999999987</v>
      </c>
      <c r="H127" s="1155">
        <f t="shared" si="48"/>
        <v>84.48</v>
      </c>
      <c r="I127" s="1155">
        <f t="shared" si="48"/>
        <v>100.32</v>
      </c>
      <c r="J127" s="1155">
        <f t="shared" si="48"/>
        <v>110.88</v>
      </c>
      <c r="K127" s="1155">
        <f t="shared" si="48"/>
        <v>870.47400000000016</v>
      </c>
      <c r="L127" s="1155">
        <f t="shared" si="48"/>
        <v>1323.1204800000005</v>
      </c>
      <c r="M127" s="1155">
        <f t="shared" si="48"/>
        <v>1608.6359520000005</v>
      </c>
      <c r="N127" s="1155">
        <f t="shared" si="48"/>
        <v>1980.154255200001</v>
      </c>
      <c r="O127" s="1155">
        <f t="shared" si="48"/>
        <v>2224.5137164800012</v>
      </c>
      <c r="P127" s="1155">
        <f t="shared" si="48"/>
        <v>2701.8572848080016</v>
      </c>
      <c r="Q127" s="1155">
        <f t="shared" si="48"/>
        <v>3252.4244296368024</v>
      </c>
      <c r="R127" s="1155">
        <f t="shared" si="48"/>
        <v>3824.402518986723</v>
      </c>
      <c r="S127" s="1153">
        <f>SUM(C127:R127)</f>
        <v>18265.582637111533</v>
      </c>
      <c r="T127" s="810"/>
      <c r="U127" s="811"/>
      <c r="V127" s="812"/>
      <c r="W127" s="812"/>
      <c r="X127" s="812"/>
      <c r="Y127" s="812"/>
      <c r="Z127" s="812"/>
      <c r="AA127" s="812"/>
      <c r="AB127" s="812"/>
      <c r="AC127" s="812"/>
      <c r="AD127" s="812"/>
      <c r="AE127" s="812"/>
      <c r="AF127" s="812"/>
      <c r="AG127" s="812"/>
      <c r="AH127" s="812"/>
      <c r="AI127" s="812"/>
    </row>
    <row r="128" spans="1:35" s="813" customFormat="1" ht="21.75" customHeight="1">
      <c r="A128" s="243"/>
      <c r="B128" s="807"/>
      <c r="C128" s="808"/>
      <c r="D128" s="808"/>
      <c r="E128" s="808"/>
      <c r="F128" s="808"/>
      <c r="G128" s="808"/>
      <c r="H128" s="808"/>
      <c r="I128" s="808"/>
      <c r="J128" s="808"/>
      <c r="K128" s="808"/>
      <c r="L128" s="808"/>
      <c r="M128" s="808"/>
      <c r="N128" s="808"/>
      <c r="O128" s="808"/>
      <c r="P128" s="808"/>
      <c r="Q128" s="808"/>
      <c r="R128" s="808"/>
      <c r="S128" s="809"/>
      <c r="T128" s="810"/>
      <c r="U128" s="811"/>
      <c r="V128" s="812"/>
      <c r="W128" s="812"/>
      <c r="X128" s="812"/>
      <c r="Y128" s="812"/>
      <c r="Z128" s="812"/>
      <c r="AA128" s="812"/>
      <c r="AB128" s="812"/>
      <c r="AC128" s="812"/>
      <c r="AD128" s="812"/>
      <c r="AE128" s="812"/>
      <c r="AF128" s="812"/>
      <c r="AG128" s="812"/>
      <c r="AH128" s="812"/>
      <c r="AI128" s="812"/>
    </row>
    <row r="129" spans="1:20" ht="20.25" customHeight="1">
      <c r="T129" s="392"/>
    </row>
    <row r="130" spans="1:20" ht="30" customHeight="1">
      <c r="A130" s="494" t="s">
        <v>360</v>
      </c>
      <c r="B130" s="494"/>
      <c r="C130" s="495">
        <f t="shared" ref="C130:S130" si="49">C112+C118+C123</f>
        <v>14.9203125</v>
      </c>
      <c r="D130" s="495">
        <f t="shared" si="49"/>
        <v>34.640625</v>
      </c>
      <c r="E130" s="495">
        <f t="shared" si="49"/>
        <v>49.560937500000001</v>
      </c>
      <c r="F130" s="495">
        <f t="shared" si="49"/>
        <v>64.481250000000003</v>
      </c>
      <c r="G130" s="495">
        <f t="shared" si="49"/>
        <v>103.18171875000002</v>
      </c>
      <c r="H130" s="495">
        <f t="shared" si="49"/>
        <v>119.59406249999999</v>
      </c>
      <c r="I130" s="495">
        <f t="shared" si="49"/>
        <v>141.28640625</v>
      </c>
      <c r="J130" s="495">
        <f t="shared" si="49"/>
        <v>157.69874999999999</v>
      </c>
      <c r="K130" s="495">
        <f t="shared" si="49"/>
        <v>1355.0790000000004</v>
      </c>
      <c r="L130" s="495">
        <f t="shared" si="49"/>
        <v>2033.8744800000006</v>
      </c>
      <c r="M130" s="495">
        <f t="shared" si="49"/>
        <v>2585.9227020000008</v>
      </c>
      <c r="N130" s="495">
        <f t="shared" si="49"/>
        <v>3270.1727652000013</v>
      </c>
      <c r="O130" s="495">
        <f t="shared" si="49"/>
        <v>3880.0374709800017</v>
      </c>
      <c r="P130" s="495">
        <f t="shared" si="49"/>
        <v>4783.0871476080019</v>
      </c>
      <c r="Q130" s="495">
        <f t="shared" si="49"/>
        <v>5827.9463848518044</v>
      </c>
      <c r="R130" s="495">
        <f t="shared" si="49"/>
        <v>6972.2626864717249</v>
      </c>
      <c r="S130" s="495">
        <f t="shared" si="49"/>
        <v>31393.74669961154</v>
      </c>
      <c r="T130" s="713">
        <f>S112+S118+S123</f>
        <v>31393.74669961154</v>
      </c>
    </row>
    <row r="131" spans="1:20" ht="18" customHeight="1">
      <c r="T131" s="392"/>
    </row>
    <row r="132" spans="1:20" ht="20.25" customHeight="1">
      <c r="A132" s="532" t="s">
        <v>347</v>
      </c>
    </row>
    <row r="133" spans="1:20" ht="18" customHeight="1">
      <c r="A133" s="319" t="s">
        <v>348</v>
      </c>
      <c r="B133" s="393"/>
      <c r="C133" s="1333" t="s">
        <v>210</v>
      </c>
      <c r="D133" s="1334"/>
      <c r="E133" s="1334"/>
      <c r="F133" s="1335"/>
      <c r="G133" s="1333" t="s">
        <v>211</v>
      </c>
      <c r="H133" s="1334"/>
      <c r="I133" s="1334"/>
      <c r="J133" s="1335"/>
      <c r="K133" s="393" t="str">
        <f t="shared" ref="K133:R133" si="50">K91</f>
        <v>YEAR 3</v>
      </c>
      <c r="L133" s="393" t="str">
        <f t="shared" si="50"/>
        <v>YEAR 4</v>
      </c>
      <c r="M133" s="393" t="str">
        <f t="shared" si="50"/>
        <v>YEAR 5</v>
      </c>
      <c r="N133" s="393" t="str">
        <f t="shared" si="50"/>
        <v>YEAR 6</v>
      </c>
      <c r="O133" s="393" t="str">
        <f t="shared" si="50"/>
        <v>YEAR 7</v>
      </c>
      <c r="P133" s="393" t="str">
        <f t="shared" si="50"/>
        <v>YEAR 8</v>
      </c>
      <c r="Q133" s="393" t="str">
        <f t="shared" si="50"/>
        <v>YEAR 9</v>
      </c>
      <c r="R133" s="393" t="str">
        <f t="shared" si="50"/>
        <v>YEAR 10</v>
      </c>
      <c r="S133" s="319" t="s">
        <v>349</v>
      </c>
    </row>
    <row r="134" spans="1:20" ht="18" customHeight="1">
      <c r="A134" s="319"/>
      <c r="B134" s="393"/>
      <c r="C134" s="319" t="s">
        <v>608</v>
      </c>
      <c r="D134" s="319" t="s">
        <v>609</v>
      </c>
      <c r="E134" s="319" t="s">
        <v>610</v>
      </c>
      <c r="F134" s="319" t="s">
        <v>611</v>
      </c>
      <c r="G134" s="319" t="s">
        <v>608</v>
      </c>
      <c r="H134" s="319" t="s">
        <v>609</v>
      </c>
      <c r="I134" s="319" t="s">
        <v>610</v>
      </c>
      <c r="J134" s="319" t="s">
        <v>611</v>
      </c>
      <c r="K134" s="393"/>
      <c r="L134" s="393"/>
      <c r="M134" s="393"/>
      <c r="N134" s="393"/>
      <c r="O134" s="393"/>
      <c r="P134" s="393"/>
      <c r="Q134" s="393"/>
      <c r="R134" s="393"/>
      <c r="S134" s="319"/>
    </row>
    <row r="135" spans="1:20" ht="18" customHeight="1">
      <c r="A135" s="162" t="str">
        <f>A93</f>
        <v>(a) 76 Days Re-Skilling course</v>
      </c>
      <c r="B135" s="162"/>
      <c r="C135" s="320">
        <f t="shared" ref="C135:J135" si="51">C15/C14</f>
        <v>4.5</v>
      </c>
      <c r="D135" s="320">
        <f t="shared" si="51"/>
        <v>9</v>
      </c>
      <c r="E135" s="320">
        <f t="shared" si="51"/>
        <v>13.5</v>
      </c>
      <c r="F135" s="320">
        <f t="shared" si="51"/>
        <v>18</v>
      </c>
      <c r="G135" s="320">
        <f t="shared" si="51"/>
        <v>22.5</v>
      </c>
      <c r="H135" s="320">
        <f t="shared" si="51"/>
        <v>27</v>
      </c>
      <c r="I135" s="320">
        <f t="shared" si="51"/>
        <v>31.5</v>
      </c>
      <c r="J135" s="320">
        <f t="shared" si="51"/>
        <v>36</v>
      </c>
      <c r="K135" s="320">
        <f t="shared" ref="K135:R135" si="52">K15/K14</f>
        <v>288</v>
      </c>
      <c r="L135" s="320">
        <f t="shared" si="52"/>
        <v>384</v>
      </c>
      <c r="M135" s="320">
        <f t="shared" si="52"/>
        <v>480</v>
      </c>
      <c r="N135" s="320">
        <f t="shared" si="52"/>
        <v>576</v>
      </c>
      <c r="O135" s="320">
        <f t="shared" si="52"/>
        <v>672</v>
      </c>
      <c r="P135" s="320">
        <f t="shared" si="52"/>
        <v>768</v>
      </c>
      <c r="Q135" s="320">
        <f t="shared" si="52"/>
        <v>864</v>
      </c>
      <c r="R135" s="320">
        <f t="shared" si="52"/>
        <v>960</v>
      </c>
      <c r="S135" s="390">
        <f t="shared" ref="S135:S140" si="53">SUM(C135:R135)</f>
        <v>5154</v>
      </c>
    </row>
    <row r="136" spans="1:20" ht="18" customHeight="1">
      <c r="A136" s="162" t="str">
        <f>A96</f>
        <v>(b) 30 Days Re-Skilling course</v>
      </c>
      <c r="B136" s="162"/>
      <c r="C136" s="320">
        <f>C27/C26</f>
        <v>4.5</v>
      </c>
      <c r="D136" s="320">
        <f t="shared" ref="D136:R136" si="54">D27/D26</f>
        <v>9</v>
      </c>
      <c r="E136" s="320">
        <f t="shared" si="54"/>
        <v>13.5</v>
      </c>
      <c r="F136" s="320">
        <f t="shared" si="54"/>
        <v>18</v>
      </c>
      <c r="G136" s="320">
        <f t="shared" si="54"/>
        <v>22.5</v>
      </c>
      <c r="H136" s="320">
        <f t="shared" si="54"/>
        <v>27</v>
      </c>
      <c r="I136" s="320">
        <f t="shared" si="54"/>
        <v>31.5</v>
      </c>
      <c r="J136" s="320">
        <f t="shared" si="54"/>
        <v>36</v>
      </c>
      <c r="K136" s="320">
        <f t="shared" si="54"/>
        <v>288</v>
      </c>
      <c r="L136" s="320">
        <f t="shared" si="54"/>
        <v>384</v>
      </c>
      <c r="M136" s="320">
        <f t="shared" si="54"/>
        <v>480</v>
      </c>
      <c r="N136" s="320">
        <f t="shared" si="54"/>
        <v>576</v>
      </c>
      <c r="O136" s="320">
        <f t="shared" si="54"/>
        <v>672</v>
      </c>
      <c r="P136" s="320">
        <f t="shared" si="54"/>
        <v>768</v>
      </c>
      <c r="Q136" s="320">
        <f t="shared" si="54"/>
        <v>864</v>
      </c>
      <c r="R136" s="320">
        <f t="shared" si="54"/>
        <v>960</v>
      </c>
      <c r="S136" s="390">
        <f t="shared" si="53"/>
        <v>5154</v>
      </c>
    </row>
    <row r="137" spans="1:20" ht="18" customHeight="1">
      <c r="A137" s="162" t="str">
        <f>A99</f>
        <v>(c) 7 Days Re-Skilling course</v>
      </c>
      <c r="B137" s="162"/>
      <c r="C137" s="320">
        <f t="shared" ref="C137:J137" si="55">C39/C38</f>
        <v>6</v>
      </c>
      <c r="D137" s="320">
        <f t="shared" si="55"/>
        <v>12</v>
      </c>
      <c r="E137" s="320">
        <f t="shared" si="55"/>
        <v>18</v>
      </c>
      <c r="F137" s="320">
        <f t="shared" si="55"/>
        <v>24</v>
      </c>
      <c r="G137" s="320">
        <f t="shared" si="55"/>
        <v>30</v>
      </c>
      <c r="H137" s="320">
        <f t="shared" si="55"/>
        <v>36</v>
      </c>
      <c r="I137" s="320">
        <f t="shared" si="55"/>
        <v>42</v>
      </c>
      <c r="J137" s="320">
        <f t="shared" si="55"/>
        <v>48</v>
      </c>
      <c r="K137" s="320">
        <f t="shared" ref="K137:R137" si="56">K39/K38</f>
        <v>864</v>
      </c>
      <c r="L137" s="320">
        <f t="shared" si="56"/>
        <v>1152</v>
      </c>
      <c r="M137" s="320">
        <f t="shared" si="56"/>
        <v>1440</v>
      </c>
      <c r="N137" s="320">
        <f t="shared" si="56"/>
        <v>1728</v>
      </c>
      <c r="O137" s="320">
        <f t="shared" si="56"/>
        <v>2016</v>
      </c>
      <c r="P137" s="320">
        <f t="shared" si="56"/>
        <v>2304</v>
      </c>
      <c r="Q137" s="320">
        <f t="shared" si="56"/>
        <v>2592</v>
      </c>
      <c r="R137" s="320">
        <f t="shared" si="56"/>
        <v>2880</v>
      </c>
      <c r="S137" s="390">
        <f t="shared" si="53"/>
        <v>15192</v>
      </c>
    </row>
    <row r="138" spans="1:20" ht="18" customHeight="1">
      <c r="A138" s="162" t="str">
        <f>A102</f>
        <v>(d) 75 days Mobile Repairing Course</v>
      </c>
      <c r="B138" s="162"/>
      <c r="C138" s="320">
        <f>C53/C52</f>
        <v>2</v>
      </c>
      <c r="D138" s="320">
        <f t="shared" ref="D138:R138" si="57">D53/D52</f>
        <v>5</v>
      </c>
      <c r="E138" s="320">
        <f t="shared" si="57"/>
        <v>7</v>
      </c>
      <c r="F138" s="320">
        <f t="shared" si="57"/>
        <v>9</v>
      </c>
      <c r="G138" s="320">
        <f t="shared" si="57"/>
        <v>14</v>
      </c>
      <c r="H138" s="320">
        <f t="shared" si="57"/>
        <v>16</v>
      </c>
      <c r="I138" s="320">
        <f t="shared" si="57"/>
        <v>19</v>
      </c>
      <c r="J138" s="320">
        <f t="shared" si="57"/>
        <v>21</v>
      </c>
      <c r="K138" s="320">
        <f t="shared" si="57"/>
        <v>132</v>
      </c>
      <c r="L138" s="320">
        <f t="shared" si="57"/>
        <v>152</v>
      </c>
      <c r="M138" s="320">
        <f t="shared" si="57"/>
        <v>168</v>
      </c>
      <c r="N138" s="320">
        <f t="shared" si="57"/>
        <v>188</v>
      </c>
      <c r="O138" s="320">
        <f t="shared" si="57"/>
        <v>192</v>
      </c>
      <c r="P138" s="320">
        <f t="shared" si="57"/>
        <v>212</v>
      </c>
      <c r="Q138" s="320">
        <f t="shared" si="57"/>
        <v>232</v>
      </c>
      <c r="R138" s="320">
        <f t="shared" si="57"/>
        <v>248</v>
      </c>
      <c r="S138" s="390">
        <f t="shared" si="53"/>
        <v>1617</v>
      </c>
    </row>
    <row r="139" spans="1:20" ht="18" customHeight="1">
      <c r="A139" s="162" t="str">
        <f>A105</f>
        <v>(e) 50 days Hospitality Assistant Course</v>
      </c>
      <c r="B139" s="162"/>
      <c r="C139" s="320">
        <f>C65/C64</f>
        <v>2.5</v>
      </c>
      <c r="D139" s="320">
        <f t="shared" ref="D139:R139" si="58">D65/D64</f>
        <v>6.25</v>
      </c>
      <c r="E139" s="320">
        <f t="shared" si="58"/>
        <v>8.75</v>
      </c>
      <c r="F139" s="320">
        <f t="shared" si="58"/>
        <v>11.25</v>
      </c>
      <c r="G139" s="320">
        <f t="shared" si="58"/>
        <v>17.5</v>
      </c>
      <c r="H139" s="320">
        <f t="shared" si="58"/>
        <v>20</v>
      </c>
      <c r="I139" s="320">
        <f t="shared" si="58"/>
        <v>23.75</v>
      </c>
      <c r="J139" s="320">
        <f t="shared" si="58"/>
        <v>26.25</v>
      </c>
      <c r="K139" s="320">
        <f t="shared" si="58"/>
        <v>198</v>
      </c>
      <c r="L139" s="320">
        <f t="shared" si="58"/>
        <v>228</v>
      </c>
      <c r="M139" s="320">
        <f t="shared" si="58"/>
        <v>252</v>
      </c>
      <c r="N139" s="320">
        <f t="shared" si="58"/>
        <v>282</v>
      </c>
      <c r="O139" s="320">
        <f t="shared" si="58"/>
        <v>288</v>
      </c>
      <c r="P139" s="320">
        <f t="shared" si="58"/>
        <v>318</v>
      </c>
      <c r="Q139" s="320">
        <f t="shared" si="58"/>
        <v>348</v>
      </c>
      <c r="R139" s="320">
        <f t="shared" si="58"/>
        <v>372</v>
      </c>
      <c r="S139" s="390">
        <f t="shared" si="53"/>
        <v>2402.25</v>
      </c>
    </row>
    <row r="140" spans="1:20" ht="18" customHeight="1">
      <c r="A140" s="162" t="str">
        <f>A108</f>
        <v>(f) 50 days Sales Associate Course</v>
      </c>
      <c r="B140" s="162"/>
      <c r="C140" s="320">
        <f>C77/C76</f>
        <v>2.5</v>
      </c>
      <c r="D140" s="320">
        <f t="shared" ref="D140:R140" si="59">D53/D52</f>
        <v>5</v>
      </c>
      <c r="E140" s="320">
        <f t="shared" si="59"/>
        <v>7</v>
      </c>
      <c r="F140" s="320">
        <f t="shared" si="59"/>
        <v>9</v>
      </c>
      <c r="G140" s="320">
        <f t="shared" si="59"/>
        <v>14</v>
      </c>
      <c r="H140" s="320">
        <f t="shared" si="59"/>
        <v>16</v>
      </c>
      <c r="I140" s="320">
        <f t="shared" si="59"/>
        <v>19</v>
      </c>
      <c r="J140" s="320">
        <f t="shared" si="59"/>
        <v>21</v>
      </c>
      <c r="K140" s="320">
        <f t="shared" si="59"/>
        <v>132</v>
      </c>
      <c r="L140" s="320">
        <f t="shared" si="59"/>
        <v>152</v>
      </c>
      <c r="M140" s="320">
        <f t="shared" si="59"/>
        <v>168</v>
      </c>
      <c r="N140" s="320">
        <f t="shared" si="59"/>
        <v>188</v>
      </c>
      <c r="O140" s="320">
        <f t="shared" si="59"/>
        <v>192</v>
      </c>
      <c r="P140" s="320">
        <f t="shared" si="59"/>
        <v>212</v>
      </c>
      <c r="Q140" s="320">
        <f t="shared" si="59"/>
        <v>232</v>
      </c>
      <c r="R140" s="320">
        <f t="shared" si="59"/>
        <v>248</v>
      </c>
      <c r="S140" s="390">
        <f t="shared" si="53"/>
        <v>1617.5</v>
      </c>
    </row>
    <row r="141" spans="1:20" ht="18" customHeight="1">
      <c r="A141" s="163" t="s">
        <v>350</v>
      </c>
      <c r="B141" s="162"/>
      <c r="C141" s="390">
        <f t="shared" ref="C141:S141" si="60">SUM(C135:C140)</f>
        <v>22</v>
      </c>
      <c r="D141" s="390">
        <f t="shared" si="60"/>
        <v>46.25</v>
      </c>
      <c r="E141" s="390">
        <f t="shared" si="60"/>
        <v>67.75</v>
      </c>
      <c r="F141" s="390">
        <f t="shared" si="60"/>
        <v>89.25</v>
      </c>
      <c r="G141" s="390">
        <f t="shared" si="60"/>
        <v>120.5</v>
      </c>
      <c r="H141" s="390">
        <f t="shared" si="60"/>
        <v>142</v>
      </c>
      <c r="I141" s="390">
        <f t="shared" si="60"/>
        <v>166.75</v>
      </c>
      <c r="J141" s="390">
        <f t="shared" si="60"/>
        <v>188.25</v>
      </c>
      <c r="K141" s="390">
        <f t="shared" si="60"/>
        <v>1902</v>
      </c>
      <c r="L141" s="390">
        <f t="shared" si="60"/>
        <v>2452</v>
      </c>
      <c r="M141" s="390">
        <f t="shared" si="60"/>
        <v>2988</v>
      </c>
      <c r="N141" s="390">
        <f t="shared" si="60"/>
        <v>3538</v>
      </c>
      <c r="O141" s="390">
        <f t="shared" si="60"/>
        <v>4032</v>
      </c>
      <c r="P141" s="390">
        <f t="shared" si="60"/>
        <v>4582</v>
      </c>
      <c r="Q141" s="390">
        <f t="shared" si="60"/>
        <v>5132</v>
      </c>
      <c r="R141" s="390">
        <f t="shared" si="60"/>
        <v>5668</v>
      </c>
      <c r="S141" s="390">
        <f t="shared" si="60"/>
        <v>31136.75</v>
      </c>
    </row>
    <row r="142" spans="1:20">
      <c r="A142" s="114"/>
      <c r="K142" s="155"/>
      <c r="L142" s="155"/>
      <c r="M142" s="155"/>
      <c r="N142" s="155"/>
      <c r="O142" s="155"/>
      <c r="P142" s="155"/>
      <c r="Q142" s="155"/>
      <c r="R142" s="155"/>
      <c r="S142" s="155"/>
    </row>
    <row r="144" spans="1:20">
      <c r="A144" s="113" t="s">
        <v>402</v>
      </c>
      <c r="B144" s="155">
        <f>'Key Assumptions'!G91</f>
        <v>800</v>
      </c>
      <c r="C144" s="116"/>
      <c r="D144" s="116"/>
      <c r="E144" s="116"/>
      <c r="F144" s="116"/>
      <c r="G144" s="116"/>
      <c r="H144" s="116"/>
      <c r="I144" s="116"/>
      <c r="J144" s="116"/>
      <c r="K144" s="116">
        <f>$B$144*K88/10^5</f>
        <v>393.6</v>
      </c>
      <c r="L144" s="116">
        <f t="shared" ref="L144:R144" si="61">$B$144*L88/10^5</f>
        <v>529.91999999999996</v>
      </c>
      <c r="M144" s="116">
        <f t="shared" si="61"/>
        <v>641.28</v>
      </c>
      <c r="N144" s="116">
        <f t="shared" si="61"/>
        <v>756.48</v>
      </c>
      <c r="O144" s="116">
        <f t="shared" si="61"/>
        <v>856.32</v>
      </c>
      <c r="P144" s="116">
        <f t="shared" si="61"/>
        <v>971.52</v>
      </c>
      <c r="Q144" s="116">
        <f t="shared" si="61"/>
        <v>1086.72</v>
      </c>
      <c r="R144" s="116">
        <f t="shared" si="61"/>
        <v>1198.08</v>
      </c>
      <c r="S144" s="116">
        <f>SUM(C144:R144)</f>
        <v>6433.92</v>
      </c>
    </row>
    <row r="145" spans="2:19">
      <c r="G145" s="114"/>
      <c r="H145" s="114"/>
      <c r="I145" s="114"/>
      <c r="J145" s="114"/>
      <c r="K145" s="114"/>
      <c r="L145" s="114"/>
      <c r="M145" s="114"/>
      <c r="N145" s="114"/>
      <c r="O145" s="114"/>
      <c r="P145" s="114"/>
      <c r="Q145" s="114"/>
      <c r="R145" s="114"/>
      <c r="S145" s="114"/>
    </row>
    <row r="147" spans="2:19" ht="22.5" customHeight="1">
      <c r="B147" s="155"/>
      <c r="C147" s="155"/>
      <c r="D147" s="155"/>
      <c r="E147" s="155"/>
      <c r="F147" s="155"/>
      <c r="G147" s="155"/>
      <c r="H147" s="155"/>
      <c r="I147" s="155"/>
      <c r="J147" s="155"/>
      <c r="K147" s="155"/>
      <c r="L147" s="155"/>
      <c r="M147" s="155"/>
      <c r="N147" s="155"/>
      <c r="O147" s="155"/>
      <c r="P147" s="155"/>
      <c r="Q147" s="155"/>
      <c r="R147" s="155"/>
      <c r="S147" s="155"/>
    </row>
    <row r="148" spans="2:19">
      <c r="B148" s="155"/>
      <c r="C148" s="155"/>
      <c r="D148" s="155"/>
      <c r="E148" s="155"/>
      <c r="F148" s="155"/>
      <c r="G148" s="155"/>
      <c r="H148" s="155"/>
      <c r="I148" s="155"/>
      <c r="J148" s="155"/>
      <c r="K148" s="155"/>
      <c r="L148" s="155"/>
      <c r="M148" s="155"/>
      <c r="N148" s="155"/>
      <c r="O148" s="155"/>
      <c r="P148" s="155"/>
      <c r="Q148" s="155"/>
      <c r="R148" s="155"/>
      <c r="S148" s="155"/>
    </row>
    <row r="149" spans="2:19">
      <c r="B149" s="155"/>
      <c r="C149" s="155"/>
      <c r="D149" s="155"/>
      <c r="E149" s="155"/>
      <c r="F149" s="155"/>
      <c r="G149" s="155"/>
      <c r="H149" s="155"/>
      <c r="I149" s="155"/>
      <c r="J149" s="155"/>
      <c r="K149" s="155"/>
      <c r="L149" s="155"/>
      <c r="M149" s="155"/>
      <c r="N149" s="155"/>
      <c r="O149" s="155"/>
      <c r="P149" s="155"/>
      <c r="Q149" s="155"/>
      <c r="R149" s="155"/>
      <c r="S149" s="155"/>
    </row>
  </sheetData>
  <mergeCells count="17">
    <mergeCell ref="C56:F56"/>
    <mergeCell ref="G56:J56"/>
    <mergeCell ref="C68:F68"/>
    <mergeCell ref="G68:J68"/>
    <mergeCell ref="A1:S1"/>
    <mergeCell ref="C133:F133"/>
    <mergeCell ref="G133:J133"/>
    <mergeCell ref="C91:F91"/>
    <mergeCell ref="G91:J91"/>
    <mergeCell ref="C30:F30"/>
    <mergeCell ref="G30:J30"/>
    <mergeCell ref="C6:F6"/>
    <mergeCell ref="G6:J6"/>
    <mergeCell ref="C18:F18"/>
    <mergeCell ref="G18:J18"/>
    <mergeCell ref="C44:F44"/>
    <mergeCell ref="G44:J44"/>
  </mergeCells>
  <pageMargins left="0.39" right="0.37" top="0.56999999999999995" bottom="0.75" header="0.3" footer="0.3"/>
  <pageSetup scale="55" orientation="landscape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Z98"/>
  <sheetViews>
    <sheetView topLeftCell="A68" zoomScale="80" zoomScaleNormal="80" workbookViewId="0">
      <selection activeCell="N95" sqref="N95"/>
    </sheetView>
  </sheetViews>
  <sheetFormatPr defaultRowHeight="15"/>
  <cols>
    <col min="1" max="1" width="9.140625" style="1015"/>
    <col min="2" max="2" width="27.42578125" style="1015" bestFit="1" customWidth="1"/>
    <col min="3" max="3" width="12" style="1015" bestFit="1" customWidth="1"/>
    <col min="4" max="4" width="14.28515625" style="1015" customWidth="1"/>
    <col min="5" max="5" width="11.28515625" style="1015" bestFit="1" customWidth="1"/>
    <col min="6" max="6" width="12.28515625" style="1015" bestFit="1" customWidth="1"/>
    <col min="7" max="9" width="11.28515625" style="1015" customWidth="1"/>
    <col min="10" max="13" width="9.140625" style="1015" customWidth="1"/>
    <col min="14" max="14" width="10.28515625" style="1015" customWidth="1"/>
    <col min="15" max="15" width="10.140625" style="1015" customWidth="1"/>
    <col min="16" max="16" width="11" style="1015" customWidth="1"/>
    <col min="17" max="17" width="10.7109375" style="1015" customWidth="1"/>
    <col min="18" max="18" width="10" style="1015" customWidth="1"/>
    <col min="19" max="19" width="10.7109375" style="1015" customWidth="1"/>
    <col min="20" max="20" width="11" style="1015" customWidth="1"/>
    <col min="21" max="21" width="10.140625" style="1015" customWidth="1"/>
    <col min="22" max="22" width="10.140625" style="1015" bestFit="1" customWidth="1"/>
    <col min="23" max="23" width="9.140625" style="1015"/>
    <col min="24" max="24" width="27.42578125" style="1015" customWidth="1"/>
    <col min="25" max="25" width="30.5703125" style="1015" customWidth="1"/>
    <col min="26" max="26" width="37.42578125" style="1015" customWidth="1"/>
    <col min="27" max="27" width="9.140625" style="1015" customWidth="1"/>
    <col min="28" max="16384" width="9.140625" style="1015"/>
  </cols>
  <sheetData>
    <row r="1" spans="1:21">
      <c r="A1" s="1337" t="s">
        <v>471</v>
      </c>
      <c r="B1" s="1337"/>
      <c r="C1" s="1337"/>
      <c r="D1" s="1337"/>
      <c r="E1" s="1337"/>
      <c r="F1" s="1337"/>
      <c r="G1" s="1337"/>
      <c r="H1" s="1337"/>
      <c r="I1" s="1337"/>
      <c r="J1" s="1337"/>
      <c r="K1" s="1337"/>
      <c r="L1" s="1337"/>
      <c r="M1" s="1337"/>
      <c r="N1" s="1337"/>
      <c r="O1" s="1337"/>
      <c r="P1" s="1337"/>
      <c r="Q1" s="1337"/>
      <c r="R1" s="1337"/>
      <c r="S1" s="1337"/>
      <c r="T1" s="1337"/>
      <c r="U1" s="1337"/>
    </row>
    <row r="2" spans="1:21" ht="15.75">
      <c r="A2" s="1016" t="s">
        <v>430</v>
      </c>
      <c r="O2" s="1015" t="s">
        <v>431</v>
      </c>
    </row>
    <row r="3" spans="1:21">
      <c r="A3" s="1017" t="s">
        <v>472</v>
      </c>
      <c r="B3" s="1018"/>
    </row>
    <row r="4" spans="1:21">
      <c r="C4" s="1019" t="s">
        <v>432</v>
      </c>
      <c r="D4" s="1019" t="s">
        <v>433</v>
      </c>
      <c r="E4" s="1019" t="s">
        <v>542</v>
      </c>
      <c r="F4" s="1336" t="s">
        <v>156</v>
      </c>
      <c r="G4" s="1336"/>
      <c r="H4" s="1336"/>
      <c r="I4" s="1336" t="s">
        <v>157</v>
      </c>
      <c r="J4" s="1336"/>
      <c r="K4" s="1336"/>
      <c r="L4" s="1336"/>
      <c r="M4" s="1336"/>
      <c r="N4" s="1019" t="s">
        <v>162</v>
      </c>
      <c r="O4" s="1019" t="s">
        <v>163</v>
      </c>
      <c r="P4" s="1019" t="s">
        <v>164</v>
      </c>
      <c r="Q4" s="1019" t="s">
        <v>190</v>
      </c>
      <c r="R4" s="1019" t="s">
        <v>191</v>
      </c>
      <c r="S4" s="1019" t="s">
        <v>192</v>
      </c>
      <c r="T4" s="1019" t="s">
        <v>193</v>
      </c>
      <c r="U4" s="1019" t="s">
        <v>194</v>
      </c>
    </row>
    <row r="5" spans="1:21">
      <c r="C5" s="1019"/>
      <c r="D5" s="1019"/>
      <c r="E5" s="1019"/>
      <c r="F5" s="1019" t="s">
        <v>608</v>
      </c>
      <c r="G5" s="1019" t="s">
        <v>609</v>
      </c>
      <c r="H5" s="1019" t="s">
        <v>610</v>
      </c>
      <c r="I5" s="1019" t="s">
        <v>611</v>
      </c>
      <c r="J5" s="1019" t="s">
        <v>608</v>
      </c>
      <c r="K5" s="1019" t="s">
        <v>609</v>
      </c>
      <c r="L5" s="1019" t="s">
        <v>610</v>
      </c>
      <c r="M5" s="1019" t="s">
        <v>611</v>
      </c>
      <c r="N5" s="1019"/>
      <c r="O5" s="1019"/>
      <c r="P5" s="1019"/>
      <c r="Q5" s="1019"/>
      <c r="R5" s="1019"/>
      <c r="S5" s="1019"/>
      <c r="T5" s="1019"/>
      <c r="U5" s="1019"/>
    </row>
    <row r="6" spans="1:21">
      <c r="B6" s="1020" t="s">
        <v>707</v>
      </c>
      <c r="C6" s="1019"/>
      <c r="D6" s="1019"/>
      <c r="E6" s="1019"/>
      <c r="F6" s="1021">
        <f>'Key Assumptions'!K10</f>
        <v>1</v>
      </c>
      <c r="G6" s="1021">
        <f>'Key Assumptions'!L10</f>
        <v>1</v>
      </c>
      <c r="H6" s="1021">
        <f>'Key Assumptions'!M10</f>
        <v>1</v>
      </c>
      <c r="I6" s="1021">
        <f>'Key Assumptions'!N10</f>
        <v>1</v>
      </c>
      <c r="J6" s="1021">
        <f>'Key Assumptions'!O10</f>
        <v>1.1000000000000001</v>
      </c>
      <c r="K6" s="1021">
        <f>'Key Assumptions'!P10</f>
        <v>1.1000000000000001</v>
      </c>
      <c r="L6" s="1021">
        <f>'Key Assumptions'!Q10</f>
        <v>1.1000000000000001</v>
      </c>
      <c r="M6" s="1021">
        <f>'Key Assumptions'!R10</f>
        <v>1.1000000000000001</v>
      </c>
      <c r="N6" s="1021">
        <f>'Key Assumptions'!S10</f>
        <v>1.2100000000000002</v>
      </c>
      <c r="O6" s="1021">
        <f>'Key Assumptions'!T10</f>
        <v>1.3310000000000002</v>
      </c>
      <c r="P6" s="1021">
        <f>'Key Assumptions'!U10</f>
        <v>1.4641000000000002</v>
      </c>
      <c r="Q6" s="1021">
        <f>'Key Assumptions'!V10</f>
        <v>1.6105100000000001</v>
      </c>
      <c r="R6" s="1021">
        <f>'Key Assumptions'!W10</f>
        <v>1.7715610000000002</v>
      </c>
      <c r="S6" s="1021">
        <f>'Key Assumptions'!X10</f>
        <v>1.9487171000000001</v>
      </c>
      <c r="T6" s="1021">
        <f>'Key Assumptions'!Y10</f>
        <v>2.1435888100000002</v>
      </c>
      <c r="U6" s="1021">
        <f>'Key Assumptions'!Z10</f>
        <v>2.3579476910000001</v>
      </c>
    </row>
    <row r="7" spans="1:21">
      <c r="C7" s="1019"/>
      <c r="D7" s="1019"/>
      <c r="E7" s="1019"/>
      <c r="F7" s="1019"/>
      <c r="G7" s="1019"/>
      <c r="H7" s="1019"/>
      <c r="I7" s="1019"/>
      <c r="J7" s="1019"/>
      <c r="K7" s="1019"/>
      <c r="L7" s="1019"/>
      <c r="M7" s="1019"/>
      <c r="N7" s="1019"/>
      <c r="O7" s="1019"/>
      <c r="P7" s="1019"/>
      <c r="Q7" s="1019"/>
      <c r="R7" s="1019"/>
      <c r="S7" s="1019"/>
      <c r="T7" s="1019"/>
      <c r="U7" s="1019"/>
    </row>
    <row r="8" spans="1:21">
      <c r="D8" s="1022" t="s">
        <v>454</v>
      </c>
      <c r="E8" s="1023" t="s">
        <v>144</v>
      </c>
      <c r="F8" s="1023"/>
      <c r="G8" s="1023"/>
      <c r="H8" s="1023"/>
      <c r="I8" s="1023"/>
    </row>
    <row r="9" spans="1:21">
      <c r="B9" s="1338" t="str">
        <f>'Pre-operative cost'!B58:C58</f>
        <v>Development of IPR: 5yrs to be amortized from 14-15</v>
      </c>
      <c r="C9" s="1338"/>
      <c r="D9" s="1338"/>
      <c r="J9" s="982"/>
      <c r="K9" s="982"/>
      <c r="L9" s="982"/>
      <c r="M9" s="982"/>
      <c r="N9" s="982"/>
      <c r="O9" s="982"/>
      <c r="P9" s="982"/>
      <c r="Q9" s="982"/>
      <c r="R9" s="982"/>
      <c r="S9" s="982"/>
      <c r="T9" s="982"/>
      <c r="U9" s="982"/>
    </row>
    <row r="10" spans="1:21">
      <c r="B10" s="986" t="s">
        <v>460</v>
      </c>
      <c r="C10" s="1024" t="str">
        <f>'Pre-operative cost'!C59</f>
        <v>Amortized</v>
      </c>
      <c r="D10" s="993"/>
      <c r="E10" s="989"/>
      <c r="F10" s="989"/>
      <c r="G10" s="989"/>
      <c r="H10" s="989"/>
      <c r="I10" s="989"/>
      <c r="J10" s="982"/>
      <c r="K10" s="982"/>
      <c r="L10" s="982"/>
      <c r="M10" s="982"/>
      <c r="N10" s="982"/>
      <c r="O10" s="982"/>
      <c r="P10" s="982"/>
      <c r="Q10" s="982"/>
      <c r="R10" s="982"/>
      <c r="S10" s="982"/>
      <c r="T10" s="982"/>
      <c r="U10" s="982"/>
    </row>
    <row r="11" spans="1:21">
      <c r="B11" s="986"/>
      <c r="C11" s="1024">
        <v>0</v>
      </c>
      <c r="D11" s="1025">
        <f>'Key Assumptions'!D110</f>
        <v>0</v>
      </c>
      <c r="E11" s="1026">
        <f>D11</f>
        <v>0</v>
      </c>
      <c r="F11" s="1026"/>
      <c r="G11" s="989"/>
      <c r="H11" s="989"/>
      <c r="I11" s="989"/>
      <c r="J11" s="982"/>
      <c r="K11" s="982"/>
      <c r="L11" s="982"/>
      <c r="M11" s="982"/>
      <c r="N11" s="982"/>
      <c r="O11" s="982"/>
      <c r="P11" s="982"/>
      <c r="Q11" s="1027"/>
      <c r="R11" s="982"/>
      <c r="S11" s="982"/>
      <c r="T11" s="982"/>
      <c r="U11" s="982"/>
    </row>
    <row r="12" spans="1:21" s="982" customFormat="1">
      <c r="B12" s="1028" t="s">
        <v>6</v>
      </c>
      <c r="C12" s="1029"/>
      <c r="D12" s="1030">
        <f>D11</f>
        <v>0</v>
      </c>
      <c r="E12" s="1031">
        <f>E11</f>
        <v>0</v>
      </c>
      <c r="F12" s="1031"/>
      <c r="G12" s="1031"/>
      <c r="H12" s="1031"/>
      <c r="I12" s="1031"/>
      <c r="J12" s="1031"/>
      <c r="K12" s="1031"/>
      <c r="L12" s="1031"/>
      <c r="M12" s="1031"/>
      <c r="N12" s="1031"/>
      <c r="O12" s="1031"/>
      <c r="P12" s="1031"/>
      <c r="Q12" s="1031"/>
      <c r="R12" s="1031"/>
      <c r="S12" s="1031"/>
      <c r="T12" s="1031"/>
      <c r="U12" s="1031"/>
    </row>
    <row r="13" spans="1:21" s="982" customFormat="1">
      <c r="B13" s="1032" t="str">
        <f>'Pre-operative cost'!B62</f>
        <v>IT Equipments</v>
      </c>
      <c r="C13" s="990"/>
      <c r="D13" s="991"/>
      <c r="E13" s="989"/>
      <c r="F13" s="989"/>
      <c r="G13" s="989"/>
      <c r="H13" s="989"/>
      <c r="I13" s="989"/>
    </row>
    <row r="14" spans="1:21">
      <c r="B14" s="1028" t="s">
        <v>6</v>
      </c>
      <c r="C14" s="1033"/>
      <c r="D14" s="1034"/>
      <c r="E14" s="1034">
        <f>'Pre-operative cost'!G63</f>
        <v>1.955346</v>
      </c>
      <c r="F14" s="1034">
        <f>E14</f>
        <v>1.955346</v>
      </c>
      <c r="G14" s="1034"/>
      <c r="H14" s="1034"/>
      <c r="I14" s="1034"/>
      <c r="J14" s="1034"/>
      <c r="K14" s="1034"/>
      <c r="L14" s="1034"/>
      <c r="M14" s="1034"/>
      <c r="N14" s="1034"/>
      <c r="O14" s="1034"/>
      <c r="P14" s="1034"/>
      <c r="Q14" s="1034"/>
      <c r="R14" s="1034"/>
      <c r="S14" s="1034"/>
      <c r="T14" s="1034"/>
      <c r="U14" s="1034"/>
    </row>
    <row r="15" spans="1:21">
      <c r="B15" s="1032" t="str">
        <f>'Pre-operative cost'!B64</f>
        <v>IT Software</v>
      </c>
      <c r="C15" s="994"/>
      <c r="D15" s="991"/>
      <c r="E15" s="989"/>
      <c r="F15" s="989"/>
      <c r="G15" s="989"/>
      <c r="H15" s="989"/>
      <c r="I15" s="989"/>
      <c r="J15" s="982"/>
      <c r="K15" s="982"/>
      <c r="L15" s="982"/>
      <c r="M15" s="982"/>
      <c r="N15" s="982"/>
      <c r="O15" s="989"/>
      <c r="P15" s="982"/>
      <c r="Q15" s="982"/>
      <c r="R15" s="982"/>
      <c r="S15" s="989"/>
      <c r="T15" s="982"/>
      <c r="U15" s="982"/>
    </row>
    <row r="16" spans="1:21">
      <c r="B16" s="1028" t="s">
        <v>6</v>
      </c>
      <c r="C16" s="1033"/>
      <c r="D16" s="1034"/>
      <c r="E16" s="1034">
        <f>'Pre-operative cost'!G65</f>
        <v>0.11260273399999998</v>
      </c>
      <c r="F16" s="1034">
        <f>E16</f>
        <v>0.11260273399999998</v>
      </c>
      <c r="G16" s="1034"/>
      <c r="H16" s="1034"/>
      <c r="I16" s="1034"/>
      <c r="J16" s="1034"/>
      <c r="K16" s="1034"/>
      <c r="L16" s="1034"/>
      <c r="M16" s="1034"/>
      <c r="N16" s="1034"/>
      <c r="O16" s="1034"/>
      <c r="P16" s="1034"/>
      <c r="Q16" s="1034"/>
      <c r="R16" s="1034"/>
      <c r="S16" s="1034"/>
      <c r="T16" s="1034"/>
      <c r="U16" s="1034"/>
    </row>
    <row r="17" spans="1:26">
      <c r="B17" s="1032" t="str">
        <f>'Pre-operative cost'!B66</f>
        <v>Furniture &amp; Fixture</v>
      </c>
      <c r="C17" s="994"/>
      <c r="D17" s="991"/>
      <c r="E17" s="989"/>
      <c r="F17" s="989"/>
      <c r="G17" s="989"/>
      <c r="H17" s="989"/>
      <c r="I17" s="989"/>
      <c r="J17" s="982"/>
      <c r="K17" s="982"/>
      <c r="L17" s="982"/>
      <c r="M17" s="982"/>
      <c r="N17" s="989"/>
      <c r="O17" s="982"/>
      <c r="P17" s="982"/>
      <c r="Q17" s="989"/>
      <c r="R17" s="982"/>
      <c r="S17" s="982"/>
      <c r="T17" s="989"/>
      <c r="U17" s="982"/>
    </row>
    <row r="18" spans="1:26">
      <c r="B18" s="1028" t="s">
        <v>6</v>
      </c>
      <c r="C18" s="1033"/>
      <c r="D18" s="1034"/>
      <c r="E18" s="1034">
        <f>'Pre-operative cost'!G67</f>
        <v>11.874283784999999</v>
      </c>
      <c r="F18" s="1034">
        <f>E18</f>
        <v>11.874283784999999</v>
      </c>
      <c r="G18" s="1034"/>
      <c r="H18" s="1034"/>
      <c r="I18" s="1034"/>
      <c r="J18" s="1034"/>
      <c r="K18" s="1034"/>
      <c r="L18" s="1034"/>
      <c r="M18" s="1034"/>
      <c r="N18" s="1034"/>
      <c r="O18" s="1034"/>
      <c r="P18" s="1034"/>
      <c r="Q18" s="1034"/>
      <c r="R18" s="1034"/>
      <c r="S18" s="1034"/>
      <c r="T18" s="1034"/>
      <c r="U18" s="1034"/>
    </row>
    <row r="19" spans="1:26">
      <c r="B19" s="1032" t="str">
        <f>'Pre-operative cost'!B68</f>
        <v>Office Equipment</v>
      </c>
      <c r="C19" s="994"/>
      <c r="D19" s="991"/>
      <c r="E19" s="989"/>
      <c r="F19" s="989"/>
      <c r="G19" s="989"/>
      <c r="H19" s="989"/>
      <c r="I19" s="989"/>
      <c r="J19" s="982"/>
      <c r="K19" s="982"/>
      <c r="L19" s="982"/>
      <c r="M19" s="982"/>
      <c r="N19" s="982"/>
      <c r="O19" s="982"/>
      <c r="P19" s="982"/>
      <c r="Q19" s="982"/>
      <c r="R19" s="982"/>
      <c r="S19" s="982"/>
      <c r="T19" s="982"/>
      <c r="U19" s="982"/>
    </row>
    <row r="20" spans="1:26">
      <c r="B20" s="1028" t="s">
        <v>6</v>
      </c>
      <c r="C20" s="1033"/>
      <c r="D20" s="1034"/>
      <c r="E20" s="1034">
        <f>'Pre-operative cost'!G69</f>
        <v>5.6183410125000002</v>
      </c>
      <c r="F20" s="1034">
        <f>E20</f>
        <v>5.6183410125000002</v>
      </c>
      <c r="G20" s="1034"/>
      <c r="H20" s="1034"/>
      <c r="I20" s="1034"/>
      <c r="J20" s="1034"/>
      <c r="K20" s="1034"/>
      <c r="L20" s="1034"/>
      <c r="M20" s="1034"/>
      <c r="N20" s="1034"/>
      <c r="O20" s="1034"/>
      <c r="P20" s="1034"/>
      <c r="Q20" s="1034"/>
      <c r="R20" s="1034"/>
      <c r="S20" s="1034"/>
      <c r="T20" s="1034"/>
      <c r="U20" s="1034"/>
    </row>
    <row r="21" spans="1:26">
      <c r="B21" s="1032" t="str">
        <f>'Pre-operative cost'!B70</f>
        <v>Vehicles</v>
      </c>
      <c r="C21" s="994"/>
      <c r="D21" s="991"/>
      <c r="E21" s="989"/>
      <c r="F21" s="989"/>
      <c r="G21" s="989"/>
      <c r="H21" s="989"/>
      <c r="I21" s="989"/>
      <c r="J21" s="982"/>
      <c r="K21" s="982"/>
      <c r="L21" s="982"/>
      <c r="M21" s="982"/>
      <c r="N21" s="982"/>
      <c r="O21" s="982"/>
      <c r="P21" s="982"/>
      <c r="Q21" s="982"/>
      <c r="R21" s="989"/>
      <c r="S21" s="982"/>
      <c r="T21" s="982"/>
      <c r="U21" s="982"/>
    </row>
    <row r="22" spans="1:26" ht="23.25" customHeight="1">
      <c r="B22" s="1028" t="s">
        <v>6</v>
      </c>
      <c r="C22" s="1033"/>
      <c r="D22" s="1034"/>
      <c r="E22" s="1034">
        <f>'Pre-operative cost'!G71</f>
        <v>10.757155431999999</v>
      </c>
      <c r="F22" s="1034">
        <f>E22</f>
        <v>10.757155431999999</v>
      </c>
      <c r="G22" s="1034"/>
      <c r="H22" s="1034"/>
      <c r="I22" s="1034"/>
      <c r="J22" s="1034"/>
      <c r="K22" s="1034"/>
      <c r="L22" s="1034"/>
      <c r="M22" s="1034"/>
      <c r="N22" s="1034">
        <v>20</v>
      </c>
      <c r="O22" s="1034"/>
      <c r="P22" s="1034">
        <v>20</v>
      </c>
      <c r="Q22" s="1034"/>
      <c r="R22" s="1034"/>
      <c r="S22" s="1034"/>
      <c r="T22" s="1034"/>
      <c r="U22" s="1034"/>
    </row>
    <row r="23" spans="1:26" s="1035" customFormat="1" ht="23.25" customHeight="1">
      <c r="B23" s="1036"/>
      <c r="C23" s="1037"/>
      <c r="D23" s="1038"/>
      <c r="E23" s="1038"/>
      <c r="F23" s="1038"/>
      <c r="G23" s="1038"/>
      <c r="H23" s="1038"/>
      <c r="I23" s="1038"/>
      <c r="J23" s="1038"/>
      <c r="K23" s="1038"/>
      <c r="L23" s="1038"/>
      <c r="M23" s="1038"/>
      <c r="N23" s="1038"/>
      <c r="O23" s="1038"/>
      <c r="P23" s="1038"/>
      <c r="Q23" s="1038"/>
      <c r="R23" s="1038"/>
      <c r="S23" s="1038"/>
      <c r="T23" s="1038"/>
      <c r="U23" s="1038"/>
    </row>
    <row r="24" spans="1:26" ht="22.5" customHeight="1">
      <c r="B24" s="1039" t="s">
        <v>461</v>
      </c>
      <c r="C24" s="1039"/>
      <c r="D24" s="1040">
        <f t="shared" ref="D24:U24" si="0">D12+D14+D16+D18+D20+D22</f>
        <v>0</v>
      </c>
      <c r="E24" s="1040">
        <f t="shared" si="0"/>
        <v>30.317728963499995</v>
      </c>
      <c r="F24" s="1040">
        <f t="shared" si="0"/>
        <v>30.317728963499995</v>
      </c>
      <c r="G24" s="1040">
        <f t="shared" si="0"/>
        <v>0</v>
      </c>
      <c r="H24" s="1040">
        <f t="shared" si="0"/>
        <v>0</v>
      </c>
      <c r="I24" s="1040">
        <f t="shared" si="0"/>
        <v>0</v>
      </c>
      <c r="J24" s="1040">
        <f t="shared" si="0"/>
        <v>0</v>
      </c>
      <c r="K24" s="1040">
        <f t="shared" si="0"/>
        <v>0</v>
      </c>
      <c r="L24" s="1040">
        <f t="shared" si="0"/>
        <v>0</v>
      </c>
      <c r="M24" s="1040">
        <f t="shared" si="0"/>
        <v>0</v>
      </c>
      <c r="N24" s="1040">
        <f t="shared" si="0"/>
        <v>20</v>
      </c>
      <c r="O24" s="1040">
        <f t="shared" si="0"/>
        <v>0</v>
      </c>
      <c r="P24" s="1040">
        <f t="shared" si="0"/>
        <v>20</v>
      </c>
      <c r="Q24" s="1040">
        <f t="shared" si="0"/>
        <v>0</v>
      </c>
      <c r="R24" s="1040">
        <f t="shared" si="0"/>
        <v>0</v>
      </c>
      <c r="S24" s="1040">
        <f t="shared" si="0"/>
        <v>0</v>
      </c>
      <c r="T24" s="1040">
        <f t="shared" si="0"/>
        <v>0</v>
      </c>
      <c r="U24" s="1040">
        <f t="shared" si="0"/>
        <v>0</v>
      </c>
      <c r="V24" s="1041">
        <f>F24+G24+H24+I24+J24+K24+L24+M24+N24+O24+P24+Q24+R24+S24+T24+U24</f>
        <v>70.317728963500002</v>
      </c>
    </row>
    <row r="25" spans="1:26" s="1035" customFormat="1" ht="22.5" customHeight="1">
      <c r="B25" s="1042"/>
      <c r="C25" s="1042"/>
      <c r="D25" s="1043"/>
      <c r="E25" s="1043"/>
      <c r="F25" s="1043"/>
      <c r="G25" s="1043"/>
      <c r="H25" s="1043"/>
      <c r="I25" s="1043"/>
      <c r="J25" s="1043"/>
      <c r="K25" s="1043"/>
      <c r="L25" s="1043"/>
      <c r="M25" s="1043"/>
      <c r="N25" s="1043"/>
      <c r="O25" s="1043"/>
      <c r="P25" s="1043"/>
      <c r="Q25" s="1044"/>
      <c r="R25" s="1043"/>
      <c r="S25" s="1043"/>
      <c r="T25" s="1043"/>
      <c r="U25" s="1043"/>
      <c r="V25" s="1045"/>
    </row>
    <row r="26" spans="1:26" ht="23.25" customHeight="1">
      <c r="A26" s="1017" t="s">
        <v>437</v>
      </c>
      <c r="B26" s="1018"/>
      <c r="D26" s="1046"/>
      <c r="E26" s="1046"/>
      <c r="F26" s="1046"/>
      <c r="G26" s="1046"/>
      <c r="H26" s="1046"/>
      <c r="I26" s="1046"/>
      <c r="J26" s="1046"/>
      <c r="K26" s="1046"/>
      <c r="L26" s="1046"/>
      <c r="M26" s="1046"/>
      <c r="N26" s="1046"/>
      <c r="O26" s="1046"/>
      <c r="P26" s="1046"/>
      <c r="Q26" s="1046"/>
      <c r="R26" s="1046"/>
      <c r="S26" s="1046"/>
      <c r="T26" s="1046"/>
      <c r="U26" s="1046"/>
    </row>
    <row r="27" spans="1:26" ht="21.75" customHeight="1">
      <c r="B27" s="1015" t="s">
        <v>422</v>
      </c>
      <c r="D27" s="1022"/>
      <c r="F27" s="1047">
        <f>'Key Assumptions'!K32</f>
        <v>3</v>
      </c>
      <c r="G27" s="1047">
        <f>'Key Assumptions'!L32</f>
        <v>3</v>
      </c>
      <c r="H27" s="1047">
        <f>'Key Assumptions'!M32</f>
        <v>3</v>
      </c>
      <c r="I27" s="1047">
        <f>'Key Assumptions'!N32</f>
        <v>3</v>
      </c>
      <c r="J27" s="1048">
        <f>'Key Assumptions'!O32</f>
        <v>3</v>
      </c>
      <c r="K27" s="1048">
        <f>'Key Assumptions'!P32</f>
        <v>3</v>
      </c>
      <c r="L27" s="1048">
        <f>'Key Assumptions'!Q32</f>
        <v>3</v>
      </c>
      <c r="M27" s="1048">
        <f>'Key Assumptions'!R32</f>
        <v>3</v>
      </c>
      <c r="N27" s="1015">
        <f>'Key Assumptions'!S32</f>
        <v>12</v>
      </c>
      <c r="O27" s="1015">
        <f>'Key Assumptions'!T32</f>
        <v>12</v>
      </c>
      <c r="P27" s="1015">
        <f>'Key Assumptions'!U32</f>
        <v>12</v>
      </c>
      <c r="Q27" s="1015">
        <f>'Key Assumptions'!V32</f>
        <v>12</v>
      </c>
      <c r="R27" s="1015">
        <f>'Key Assumptions'!W32</f>
        <v>12</v>
      </c>
      <c r="S27" s="1015">
        <f>'Key Assumptions'!X32</f>
        <v>12</v>
      </c>
      <c r="T27" s="1015">
        <f>'Key Assumptions'!Y32</f>
        <v>12</v>
      </c>
      <c r="U27" s="1015">
        <f>'Key Assumptions'!Z32</f>
        <v>12</v>
      </c>
    </row>
    <row r="28" spans="1:26">
      <c r="B28" s="1017" t="s">
        <v>438</v>
      </c>
      <c r="C28" s="1022" t="s">
        <v>463</v>
      </c>
      <c r="D28" s="1022" t="s">
        <v>454</v>
      </c>
      <c r="X28" s="1049"/>
      <c r="Y28" s="1050"/>
      <c r="Z28" s="1051"/>
    </row>
    <row r="29" spans="1:26">
      <c r="B29" s="982" t="s">
        <v>439</v>
      </c>
      <c r="C29" s="1052">
        <v>4</v>
      </c>
      <c r="D29" s="1052">
        <v>0.03</v>
      </c>
      <c r="E29" s="982"/>
      <c r="F29" s="1053">
        <f t="shared" ref="F29:M29" si="1">$D$29*$C$29*F27*F6</f>
        <v>0.36</v>
      </c>
      <c r="G29" s="1053">
        <f t="shared" si="1"/>
        <v>0.36</v>
      </c>
      <c r="H29" s="1053">
        <f t="shared" si="1"/>
        <v>0.36</v>
      </c>
      <c r="I29" s="1053">
        <f t="shared" si="1"/>
        <v>0.36</v>
      </c>
      <c r="J29" s="1053">
        <f t="shared" si="1"/>
        <v>0.39600000000000002</v>
      </c>
      <c r="K29" s="1053">
        <f t="shared" si="1"/>
        <v>0.39600000000000002</v>
      </c>
      <c r="L29" s="1053">
        <f t="shared" si="1"/>
        <v>0.39600000000000002</v>
      </c>
      <c r="M29" s="1053">
        <f t="shared" si="1"/>
        <v>0.39600000000000002</v>
      </c>
      <c r="N29" s="1054">
        <f t="shared" ref="N29:U29" si="2">$D$29*$C$29*N27*N6</f>
        <v>1.7424000000000002</v>
      </c>
      <c r="O29" s="1054">
        <f t="shared" si="2"/>
        <v>1.9166400000000001</v>
      </c>
      <c r="P29" s="1054">
        <f t="shared" si="2"/>
        <v>2.1083040000000004</v>
      </c>
      <c r="Q29" s="1054">
        <f t="shared" si="2"/>
        <v>2.3191344000000003</v>
      </c>
      <c r="R29" s="1054">
        <f t="shared" si="2"/>
        <v>2.5510478400000003</v>
      </c>
      <c r="S29" s="1054">
        <f t="shared" si="2"/>
        <v>2.8061526240000001</v>
      </c>
      <c r="T29" s="1054">
        <f t="shared" si="2"/>
        <v>3.0867678864000001</v>
      </c>
      <c r="U29" s="1054">
        <f t="shared" si="2"/>
        <v>3.3954446750400002</v>
      </c>
      <c r="V29" s="982"/>
    </row>
    <row r="30" spans="1:26">
      <c r="B30" s="982" t="s">
        <v>440</v>
      </c>
      <c r="C30" s="1052">
        <v>6</v>
      </c>
      <c r="D30" s="1052">
        <v>1.7999999999999999E-2</v>
      </c>
      <c r="E30" s="982"/>
      <c r="F30" s="1053">
        <f>$C$30*$D$30*F27*$F$6</f>
        <v>0.32399999999999995</v>
      </c>
      <c r="G30" s="1053">
        <f>$C$30*$D$30*G27*$F$6</f>
        <v>0.32399999999999995</v>
      </c>
      <c r="H30" s="1053">
        <f>$C$30*$D$30*H27*$F$6</f>
        <v>0.32399999999999995</v>
      </c>
      <c r="I30" s="1053">
        <f>$C$30*$D$30*I27*$F$6</f>
        <v>0.32399999999999995</v>
      </c>
      <c r="J30" s="1053">
        <f>$C$30*$D$30*J27*$J$6</f>
        <v>0.35639999999999999</v>
      </c>
      <c r="K30" s="1053">
        <f>$C$30*$D$30*K27*$J$6</f>
        <v>0.35639999999999999</v>
      </c>
      <c r="L30" s="1053">
        <f>$C$30*$D$30*L27*$J$6</f>
        <v>0.35639999999999999</v>
      </c>
      <c r="M30" s="1053">
        <f>$C$30*$D$30*M27*$J$6</f>
        <v>0.35639999999999999</v>
      </c>
      <c r="N30" s="1053">
        <f t="shared" ref="N30:U30" si="3">$C$30*$D$30*N27*N6</f>
        <v>1.56816</v>
      </c>
      <c r="O30" s="1053">
        <f t="shared" si="3"/>
        <v>1.7249760000000001</v>
      </c>
      <c r="P30" s="1053">
        <f t="shared" si="3"/>
        <v>1.8974735999999999</v>
      </c>
      <c r="Q30" s="1053">
        <f t="shared" si="3"/>
        <v>2.0872209599999998</v>
      </c>
      <c r="R30" s="1053">
        <f t="shared" si="3"/>
        <v>2.295943056</v>
      </c>
      <c r="S30" s="1053">
        <f t="shared" si="3"/>
        <v>2.5255373615999996</v>
      </c>
      <c r="T30" s="1053">
        <f t="shared" si="3"/>
        <v>2.77809109776</v>
      </c>
      <c r="U30" s="1053">
        <f t="shared" si="3"/>
        <v>3.0559002075359998</v>
      </c>
      <c r="V30" s="982"/>
    </row>
    <row r="31" spans="1:26">
      <c r="B31" s="982" t="s">
        <v>441</v>
      </c>
      <c r="C31" s="1052">
        <v>2</v>
      </c>
      <c r="D31" s="1052">
        <v>8.0000000000000002E-3</v>
      </c>
      <c r="E31" s="982"/>
      <c r="F31" s="1053">
        <f>$D$31*$C$31*F27*$F$6</f>
        <v>4.8000000000000001E-2</v>
      </c>
      <c r="G31" s="1053">
        <f>$D$31*$C$31*G27*$F$6</f>
        <v>4.8000000000000001E-2</v>
      </c>
      <c r="H31" s="1053">
        <f>$D$31*$C$31*H27*$F$6</f>
        <v>4.8000000000000001E-2</v>
      </c>
      <c r="I31" s="1053">
        <f>$D$31*$C$31*I27*$F$6</f>
        <v>4.8000000000000001E-2</v>
      </c>
      <c r="J31" s="1053">
        <f>$D$31*$C$31*J27*$J$6</f>
        <v>5.2800000000000007E-2</v>
      </c>
      <c r="K31" s="1053">
        <f>$D$31*$C$31*K27*$J$6</f>
        <v>5.2800000000000007E-2</v>
      </c>
      <c r="L31" s="1053">
        <f>$D$31*$C$31*L27*$J$6</f>
        <v>5.2800000000000007E-2</v>
      </c>
      <c r="M31" s="1053">
        <f>$D$31*$C$31*M27*$J$6</f>
        <v>5.2800000000000007E-2</v>
      </c>
      <c r="N31" s="1053">
        <f t="shared" ref="N31:U31" si="4">$D$31*$C$31*N27*N6</f>
        <v>0.23232000000000005</v>
      </c>
      <c r="O31" s="1053">
        <f t="shared" si="4"/>
        <v>0.25555200000000006</v>
      </c>
      <c r="P31" s="1053">
        <f t="shared" si="4"/>
        <v>0.28110720000000006</v>
      </c>
      <c r="Q31" s="1053">
        <f t="shared" si="4"/>
        <v>0.30921792000000003</v>
      </c>
      <c r="R31" s="1053">
        <f t="shared" si="4"/>
        <v>0.34013971200000004</v>
      </c>
      <c r="S31" s="1053">
        <f t="shared" si="4"/>
        <v>0.37415368320000003</v>
      </c>
      <c r="T31" s="1053">
        <f t="shared" si="4"/>
        <v>0.41156905152000006</v>
      </c>
      <c r="U31" s="1053">
        <f t="shared" si="4"/>
        <v>0.45272595667200005</v>
      </c>
      <c r="V31" s="982"/>
    </row>
    <row r="32" spans="1:26">
      <c r="B32" s="982" t="s">
        <v>442</v>
      </c>
      <c r="C32" s="1052">
        <v>2</v>
      </c>
      <c r="D32" s="1052">
        <v>4.4999999999999997E-3</v>
      </c>
      <c r="E32" s="982"/>
      <c r="F32" s="1053">
        <f>$C$32*$D$32*F27*$F$6</f>
        <v>2.6999999999999996E-2</v>
      </c>
      <c r="G32" s="1053">
        <f>$C$32*$D$32*G27*$F$6</f>
        <v>2.6999999999999996E-2</v>
      </c>
      <c r="H32" s="1053">
        <f>$C$32*$D$32*H27*$F$6</f>
        <v>2.6999999999999996E-2</v>
      </c>
      <c r="I32" s="1053">
        <f>$C$32*$D$32*I27*$F$6</f>
        <v>2.6999999999999996E-2</v>
      </c>
      <c r="J32" s="1053">
        <f>$C$32*$D$32*J27*$J$6</f>
        <v>2.9699999999999997E-2</v>
      </c>
      <c r="K32" s="1053">
        <f>$C$32*$D$32*K27*$J$6</f>
        <v>2.9699999999999997E-2</v>
      </c>
      <c r="L32" s="1053">
        <f>$C$32*$D$32*L27*$J$6</f>
        <v>2.9699999999999997E-2</v>
      </c>
      <c r="M32" s="1053">
        <f>$C$32*$D$32*M27*$J$6</f>
        <v>2.9699999999999997E-2</v>
      </c>
      <c r="N32" s="1054">
        <f t="shared" ref="N32:U32" si="5">$C$32*$D$32*N27*N6</f>
        <v>0.13067999999999999</v>
      </c>
      <c r="O32" s="1054">
        <f t="shared" si="5"/>
        <v>0.14374799999999999</v>
      </c>
      <c r="P32" s="1054">
        <f t="shared" si="5"/>
        <v>0.15812280000000001</v>
      </c>
      <c r="Q32" s="1054">
        <f t="shared" si="5"/>
        <v>0.17393507999999999</v>
      </c>
      <c r="R32" s="1054">
        <f t="shared" si="5"/>
        <v>0.19132858799999999</v>
      </c>
      <c r="S32" s="1054">
        <f t="shared" si="5"/>
        <v>0.21046144679999998</v>
      </c>
      <c r="T32" s="1054">
        <f t="shared" si="5"/>
        <v>0.23150759148</v>
      </c>
      <c r="U32" s="1054">
        <f t="shared" si="5"/>
        <v>0.25465835062799996</v>
      </c>
      <c r="V32" s="982"/>
    </row>
    <row r="33" spans="1:22">
      <c r="B33" s="1055" t="s">
        <v>6</v>
      </c>
      <c r="C33" s="1055"/>
      <c r="D33" s="1055"/>
      <c r="E33" s="1055"/>
      <c r="F33" s="1034">
        <f t="shared" ref="F33:U33" si="6">SUM(F29:F32)</f>
        <v>0.75900000000000001</v>
      </c>
      <c r="G33" s="1034">
        <f t="shared" si="6"/>
        <v>0.75900000000000001</v>
      </c>
      <c r="H33" s="1034">
        <f t="shared" si="6"/>
        <v>0.75900000000000001</v>
      </c>
      <c r="I33" s="1034">
        <f t="shared" si="6"/>
        <v>0.75900000000000001</v>
      </c>
      <c r="J33" s="1034">
        <f t="shared" si="6"/>
        <v>0.83489999999999986</v>
      </c>
      <c r="K33" s="1034">
        <f t="shared" si="6"/>
        <v>0.83489999999999986</v>
      </c>
      <c r="L33" s="1034">
        <f t="shared" si="6"/>
        <v>0.83489999999999986</v>
      </c>
      <c r="M33" s="1034">
        <f t="shared" si="6"/>
        <v>0.83489999999999986</v>
      </c>
      <c r="N33" s="1034">
        <f t="shared" si="6"/>
        <v>3.6735600000000002</v>
      </c>
      <c r="O33" s="1034">
        <f t="shared" si="6"/>
        <v>4.0409160000000002</v>
      </c>
      <c r="P33" s="1034">
        <f t="shared" si="6"/>
        <v>4.4450076000000003</v>
      </c>
      <c r="Q33" s="1034">
        <f t="shared" si="6"/>
        <v>4.8895083599999998</v>
      </c>
      <c r="R33" s="1034">
        <f t="shared" si="6"/>
        <v>5.3784591960000006</v>
      </c>
      <c r="S33" s="1034">
        <f t="shared" si="6"/>
        <v>5.9163051156000002</v>
      </c>
      <c r="T33" s="1034">
        <f t="shared" si="6"/>
        <v>6.5079356271599993</v>
      </c>
      <c r="U33" s="1034">
        <f t="shared" si="6"/>
        <v>7.1587291898760004</v>
      </c>
      <c r="V33" s="1041">
        <f>F33+G33+H33+I33+J33+K33+L33+M33+N33+O33+P33+Q33+R33+S33+T33+U33</f>
        <v>48.386021088636006</v>
      </c>
    </row>
    <row r="34" spans="1:22" s="1035" customFormat="1">
      <c r="F34" s="1038"/>
      <c r="G34" s="1038"/>
      <c r="H34" s="1038"/>
      <c r="I34" s="1038"/>
      <c r="J34" s="1038"/>
      <c r="K34" s="1038"/>
      <c r="L34" s="1038"/>
      <c r="M34" s="1038"/>
      <c r="V34" s="1045"/>
    </row>
    <row r="35" spans="1:22">
      <c r="B35" s="1056" t="s">
        <v>631</v>
      </c>
      <c r="C35" s="982"/>
      <c r="D35" s="982"/>
      <c r="E35" s="982"/>
      <c r="F35" s="991"/>
      <c r="G35" s="991"/>
      <c r="H35" s="991"/>
      <c r="I35" s="991"/>
      <c r="J35" s="991"/>
      <c r="K35" s="991"/>
      <c r="L35" s="991"/>
      <c r="M35" s="991"/>
      <c r="N35" s="982"/>
      <c r="O35" s="982"/>
      <c r="P35" s="982"/>
      <c r="Q35" s="982"/>
      <c r="R35" s="982"/>
      <c r="S35" s="982"/>
      <c r="T35" s="982"/>
      <c r="U35" s="982"/>
      <c r="V35" s="1041"/>
    </row>
    <row r="36" spans="1:22">
      <c r="B36" s="1057" t="s">
        <v>435</v>
      </c>
      <c r="C36" s="982">
        <v>1</v>
      </c>
      <c r="D36" s="982">
        <v>0.25</v>
      </c>
      <c r="E36" s="982"/>
      <c r="F36" s="991">
        <f>$D$36*$C$36*F27*F6</f>
        <v>0.75</v>
      </c>
      <c r="G36" s="991">
        <f>$D$36*$C$36*G27*G6</f>
        <v>0.75</v>
      </c>
      <c r="H36" s="991">
        <f>$D$36*$C$36*H27*H6</f>
        <v>0.75</v>
      </c>
      <c r="I36" s="991">
        <f>$D$36*$C$36*I27*I6</f>
        <v>0.75</v>
      </c>
      <c r="J36" s="991">
        <f t="shared" ref="J36:U36" si="7">$D$36*$C$36*J27*J6</f>
        <v>0.82500000000000007</v>
      </c>
      <c r="K36" s="991">
        <f t="shared" si="7"/>
        <v>0.82500000000000007</v>
      </c>
      <c r="L36" s="991">
        <f t="shared" si="7"/>
        <v>0.82500000000000007</v>
      </c>
      <c r="M36" s="991">
        <f t="shared" si="7"/>
        <v>0.82500000000000007</v>
      </c>
      <c r="N36" s="991">
        <f t="shared" si="7"/>
        <v>3.6300000000000008</v>
      </c>
      <c r="O36" s="991">
        <f t="shared" si="7"/>
        <v>3.9930000000000003</v>
      </c>
      <c r="P36" s="991">
        <f t="shared" si="7"/>
        <v>4.3923000000000005</v>
      </c>
      <c r="Q36" s="991">
        <f t="shared" si="7"/>
        <v>4.8315300000000008</v>
      </c>
      <c r="R36" s="991">
        <f t="shared" si="7"/>
        <v>5.3146830000000005</v>
      </c>
      <c r="S36" s="991">
        <f t="shared" si="7"/>
        <v>5.8461513000000007</v>
      </c>
      <c r="T36" s="991">
        <f t="shared" si="7"/>
        <v>6.4307664300000003</v>
      </c>
      <c r="U36" s="991">
        <f t="shared" si="7"/>
        <v>7.0738430730000008</v>
      </c>
      <c r="V36" s="1041"/>
    </row>
    <row r="37" spans="1:22">
      <c r="B37" s="1058" t="s">
        <v>6</v>
      </c>
      <c r="C37" s="1055"/>
      <c r="D37" s="1055"/>
      <c r="E37" s="1055"/>
      <c r="F37" s="1034">
        <f t="shared" ref="F37:U37" si="8">SUM(F36:F36)</f>
        <v>0.75</v>
      </c>
      <c r="G37" s="1034">
        <f t="shared" si="8"/>
        <v>0.75</v>
      </c>
      <c r="H37" s="1034">
        <f t="shared" si="8"/>
        <v>0.75</v>
      </c>
      <c r="I37" s="1034">
        <f t="shared" si="8"/>
        <v>0.75</v>
      </c>
      <c r="J37" s="1034">
        <f t="shared" si="8"/>
        <v>0.82500000000000007</v>
      </c>
      <c r="K37" s="1034">
        <f t="shared" si="8"/>
        <v>0.82500000000000007</v>
      </c>
      <c r="L37" s="1034">
        <f t="shared" si="8"/>
        <v>0.82500000000000007</v>
      </c>
      <c r="M37" s="1034">
        <f t="shared" si="8"/>
        <v>0.82500000000000007</v>
      </c>
      <c r="N37" s="1034">
        <f t="shared" si="8"/>
        <v>3.6300000000000008</v>
      </c>
      <c r="O37" s="1034">
        <f t="shared" si="8"/>
        <v>3.9930000000000003</v>
      </c>
      <c r="P37" s="1034">
        <f t="shared" si="8"/>
        <v>4.3923000000000005</v>
      </c>
      <c r="Q37" s="1034">
        <f t="shared" si="8"/>
        <v>4.8315300000000008</v>
      </c>
      <c r="R37" s="1034">
        <f t="shared" si="8"/>
        <v>5.3146830000000005</v>
      </c>
      <c r="S37" s="1034">
        <f t="shared" si="8"/>
        <v>5.8461513000000007</v>
      </c>
      <c r="T37" s="1034">
        <f t="shared" si="8"/>
        <v>6.4307664300000003</v>
      </c>
      <c r="U37" s="1034">
        <f t="shared" si="8"/>
        <v>7.0738430730000008</v>
      </c>
      <c r="V37" s="1041">
        <f>SUM(F37:U37)</f>
        <v>47.812273803000004</v>
      </c>
    </row>
    <row r="38" spans="1:22" s="982" customFormat="1"/>
    <row r="39" spans="1:22">
      <c r="B39" s="1017" t="s">
        <v>445</v>
      </c>
      <c r="C39" s="982"/>
      <c r="D39" s="982"/>
      <c r="E39" s="982"/>
      <c r="F39" s="982"/>
      <c r="G39" s="982"/>
      <c r="H39" s="982"/>
      <c r="I39" s="982"/>
      <c r="J39" s="982"/>
      <c r="K39" s="982"/>
      <c r="L39" s="982"/>
      <c r="M39" s="982"/>
      <c r="N39" s="982"/>
      <c r="O39" s="982"/>
      <c r="P39" s="982"/>
      <c r="Q39" s="982"/>
      <c r="R39" s="982"/>
      <c r="S39" s="982"/>
      <c r="T39" s="982"/>
      <c r="U39" s="982"/>
      <c r="V39" s="982"/>
    </row>
    <row r="40" spans="1:22">
      <c r="B40" s="1059" t="s">
        <v>465</v>
      </c>
      <c r="C40" s="1052">
        <v>1</v>
      </c>
      <c r="D40" s="1052">
        <f>35000/10^5</f>
        <v>0.35</v>
      </c>
      <c r="E40" s="982"/>
      <c r="F40" s="991">
        <f t="shared" ref="F40:U40" si="9">$D$40*$C$40*F27*F6</f>
        <v>1.0499999999999998</v>
      </c>
      <c r="G40" s="991">
        <f t="shared" si="9"/>
        <v>1.0499999999999998</v>
      </c>
      <c r="H40" s="991">
        <f t="shared" si="9"/>
        <v>1.0499999999999998</v>
      </c>
      <c r="I40" s="991">
        <f t="shared" si="9"/>
        <v>1.0499999999999998</v>
      </c>
      <c r="J40" s="991">
        <f t="shared" si="9"/>
        <v>1.1549999999999998</v>
      </c>
      <c r="K40" s="991">
        <f t="shared" si="9"/>
        <v>1.1549999999999998</v>
      </c>
      <c r="L40" s="991">
        <f t="shared" si="9"/>
        <v>1.1549999999999998</v>
      </c>
      <c r="M40" s="991">
        <f t="shared" si="9"/>
        <v>1.1549999999999998</v>
      </c>
      <c r="N40" s="991">
        <f t="shared" si="9"/>
        <v>5.0819999999999999</v>
      </c>
      <c r="O40" s="991">
        <f t="shared" si="9"/>
        <v>5.5901999999999994</v>
      </c>
      <c r="P40" s="991">
        <f t="shared" si="9"/>
        <v>6.1492199999999997</v>
      </c>
      <c r="Q40" s="991">
        <f t="shared" si="9"/>
        <v>6.7641419999999997</v>
      </c>
      <c r="R40" s="991">
        <f t="shared" si="9"/>
        <v>7.4405561999999996</v>
      </c>
      <c r="S40" s="991">
        <f t="shared" si="9"/>
        <v>8.1846118199999989</v>
      </c>
      <c r="T40" s="991">
        <f t="shared" si="9"/>
        <v>9.0030730019999989</v>
      </c>
      <c r="U40" s="991">
        <f t="shared" si="9"/>
        <v>9.9033803021999987</v>
      </c>
      <c r="V40" s="982"/>
    </row>
    <row r="41" spans="1:22">
      <c r="B41" s="1057" t="s">
        <v>630</v>
      </c>
      <c r="C41" s="1052">
        <v>1</v>
      </c>
      <c r="D41" s="1052">
        <v>0.15</v>
      </c>
      <c r="E41" s="982"/>
      <c r="F41" s="991">
        <f t="shared" ref="F41:U41" si="10">$C$41*$D$41*F27*F6</f>
        <v>0.44999999999999996</v>
      </c>
      <c r="G41" s="991">
        <f t="shared" si="10"/>
        <v>0.44999999999999996</v>
      </c>
      <c r="H41" s="991">
        <f t="shared" si="10"/>
        <v>0.44999999999999996</v>
      </c>
      <c r="I41" s="991">
        <f t="shared" si="10"/>
        <v>0.44999999999999996</v>
      </c>
      <c r="J41" s="991">
        <f t="shared" si="10"/>
        <v>0.495</v>
      </c>
      <c r="K41" s="991">
        <f t="shared" si="10"/>
        <v>0.495</v>
      </c>
      <c r="L41" s="991">
        <f t="shared" si="10"/>
        <v>0.495</v>
      </c>
      <c r="M41" s="991">
        <f t="shared" si="10"/>
        <v>0.495</v>
      </c>
      <c r="N41" s="991">
        <f t="shared" si="10"/>
        <v>2.1779999999999999</v>
      </c>
      <c r="O41" s="991">
        <f t="shared" si="10"/>
        <v>2.3957999999999999</v>
      </c>
      <c r="P41" s="991">
        <f t="shared" si="10"/>
        <v>2.6353800000000001</v>
      </c>
      <c r="Q41" s="991">
        <f t="shared" si="10"/>
        <v>2.8989180000000001</v>
      </c>
      <c r="R41" s="991">
        <f t="shared" si="10"/>
        <v>3.1888098</v>
      </c>
      <c r="S41" s="991">
        <f t="shared" si="10"/>
        <v>3.5076907799999999</v>
      </c>
      <c r="T41" s="991">
        <f t="shared" si="10"/>
        <v>3.8584598580000002</v>
      </c>
      <c r="U41" s="991">
        <f t="shared" si="10"/>
        <v>4.2443058437999994</v>
      </c>
      <c r="V41" s="982"/>
    </row>
    <row r="42" spans="1:22">
      <c r="B42" s="982" t="s">
        <v>464</v>
      </c>
      <c r="C42" s="1052">
        <v>2</v>
      </c>
      <c r="D42" s="1052">
        <f>2500/10^5</f>
        <v>2.5000000000000001E-2</v>
      </c>
      <c r="E42" s="982"/>
      <c r="F42" s="991">
        <f t="shared" ref="F42:U42" si="11">$D$42*$C$42*F27*F6</f>
        <v>0.15000000000000002</v>
      </c>
      <c r="G42" s="991">
        <f t="shared" si="11"/>
        <v>0.15000000000000002</v>
      </c>
      <c r="H42" s="991">
        <f t="shared" si="11"/>
        <v>0.15000000000000002</v>
      </c>
      <c r="I42" s="991">
        <f t="shared" si="11"/>
        <v>0.15000000000000002</v>
      </c>
      <c r="J42" s="991">
        <f t="shared" si="11"/>
        <v>0.16500000000000004</v>
      </c>
      <c r="K42" s="991">
        <f t="shared" si="11"/>
        <v>0.16500000000000004</v>
      </c>
      <c r="L42" s="991">
        <f t="shared" si="11"/>
        <v>0.16500000000000004</v>
      </c>
      <c r="M42" s="991">
        <f t="shared" si="11"/>
        <v>0.16500000000000004</v>
      </c>
      <c r="N42" s="991">
        <f t="shared" si="11"/>
        <v>0.7260000000000002</v>
      </c>
      <c r="O42" s="991">
        <f t="shared" si="11"/>
        <v>0.7986000000000002</v>
      </c>
      <c r="P42" s="991">
        <f t="shared" si="11"/>
        <v>0.87846000000000024</v>
      </c>
      <c r="Q42" s="991">
        <f t="shared" si="11"/>
        <v>0.96630600000000022</v>
      </c>
      <c r="R42" s="991">
        <f t="shared" si="11"/>
        <v>1.0629366000000002</v>
      </c>
      <c r="S42" s="991">
        <f t="shared" si="11"/>
        <v>1.1692302600000002</v>
      </c>
      <c r="T42" s="991">
        <f t="shared" si="11"/>
        <v>1.2861532860000002</v>
      </c>
      <c r="U42" s="991">
        <f t="shared" si="11"/>
        <v>1.4147686146000003</v>
      </c>
      <c r="V42" s="982"/>
    </row>
    <row r="43" spans="1:22">
      <c r="B43" s="1059" t="s">
        <v>444</v>
      </c>
      <c r="C43" s="1052">
        <v>2</v>
      </c>
      <c r="D43" s="1052">
        <f>5000/10^5</f>
        <v>0.05</v>
      </c>
      <c r="E43" s="982"/>
      <c r="F43" s="991">
        <f t="shared" ref="F43:U43" si="12">$D$43*$C$43*F27*F6</f>
        <v>0.30000000000000004</v>
      </c>
      <c r="G43" s="991">
        <f t="shared" si="12"/>
        <v>0.30000000000000004</v>
      </c>
      <c r="H43" s="991">
        <f t="shared" si="12"/>
        <v>0.30000000000000004</v>
      </c>
      <c r="I43" s="991">
        <f t="shared" si="12"/>
        <v>0.30000000000000004</v>
      </c>
      <c r="J43" s="991">
        <f t="shared" si="12"/>
        <v>0.33000000000000007</v>
      </c>
      <c r="K43" s="991">
        <f t="shared" si="12"/>
        <v>0.33000000000000007</v>
      </c>
      <c r="L43" s="991">
        <f t="shared" si="12"/>
        <v>0.33000000000000007</v>
      </c>
      <c r="M43" s="991">
        <f t="shared" si="12"/>
        <v>0.33000000000000007</v>
      </c>
      <c r="N43" s="991">
        <f t="shared" si="12"/>
        <v>1.4520000000000004</v>
      </c>
      <c r="O43" s="991">
        <f t="shared" si="12"/>
        <v>1.5972000000000004</v>
      </c>
      <c r="P43" s="991">
        <f t="shared" si="12"/>
        <v>1.7569200000000005</v>
      </c>
      <c r="Q43" s="991">
        <f t="shared" si="12"/>
        <v>1.9326120000000004</v>
      </c>
      <c r="R43" s="991">
        <f t="shared" si="12"/>
        <v>2.1258732000000005</v>
      </c>
      <c r="S43" s="991">
        <f t="shared" si="12"/>
        <v>2.3384605200000004</v>
      </c>
      <c r="T43" s="991">
        <f t="shared" si="12"/>
        <v>2.5723065720000005</v>
      </c>
      <c r="U43" s="991">
        <f t="shared" si="12"/>
        <v>2.8295372292000005</v>
      </c>
      <c r="V43" s="982"/>
    </row>
    <row r="44" spans="1:22">
      <c r="B44" s="1060" t="s">
        <v>6</v>
      </c>
      <c r="C44" s="1055"/>
      <c r="D44" s="1055"/>
      <c r="E44" s="1055"/>
      <c r="F44" s="1034">
        <f t="shared" ref="F44:M44" si="13">SUM(F40:F43)</f>
        <v>1.95</v>
      </c>
      <c r="G44" s="1034">
        <f t="shared" si="13"/>
        <v>1.95</v>
      </c>
      <c r="H44" s="1034">
        <f t="shared" si="13"/>
        <v>1.95</v>
      </c>
      <c r="I44" s="1034">
        <f t="shared" si="13"/>
        <v>1.95</v>
      </c>
      <c r="J44" s="1034">
        <f t="shared" si="13"/>
        <v>2.145</v>
      </c>
      <c r="K44" s="1034">
        <f t="shared" si="13"/>
        <v>2.145</v>
      </c>
      <c r="L44" s="1034">
        <f t="shared" si="13"/>
        <v>2.145</v>
      </c>
      <c r="M44" s="1034">
        <f t="shared" si="13"/>
        <v>2.145</v>
      </c>
      <c r="N44" s="1034">
        <f t="shared" ref="N44:U44" si="14">SUM(N40:N43)</f>
        <v>9.4380000000000006</v>
      </c>
      <c r="O44" s="1034">
        <f t="shared" si="14"/>
        <v>10.3818</v>
      </c>
      <c r="P44" s="1034">
        <f t="shared" si="14"/>
        <v>11.419980000000001</v>
      </c>
      <c r="Q44" s="1034">
        <f t="shared" si="14"/>
        <v>12.561978</v>
      </c>
      <c r="R44" s="1034">
        <f t="shared" si="14"/>
        <v>13.818175800000001</v>
      </c>
      <c r="S44" s="1034">
        <f>SUM(S40:S43)</f>
        <v>15.199993379999999</v>
      </c>
      <c r="T44" s="1034">
        <f t="shared" si="14"/>
        <v>16.719992718</v>
      </c>
      <c r="U44" s="1055">
        <f t="shared" si="14"/>
        <v>18.391991989799997</v>
      </c>
      <c r="V44" s="1041">
        <f>F44+G44+H44+I44+J44+K44+L44+M44+N44+O44+P44+Q44+R44+S44+T44+U44</f>
        <v>124.31191188779999</v>
      </c>
    </row>
    <row r="45" spans="1:22" s="1035" customFormat="1">
      <c r="B45" s="1061"/>
      <c r="F45" s="1038"/>
      <c r="G45" s="1038"/>
      <c r="H45" s="1038"/>
      <c r="I45" s="1038"/>
      <c r="J45" s="1038"/>
      <c r="K45" s="1038"/>
      <c r="L45" s="1038"/>
      <c r="M45" s="1038"/>
      <c r="N45" s="1038"/>
      <c r="O45" s="1038"/>
      <c r="P45" s="1038"/>
      <c r="Q45" s="1038"/>
      <c r="R45" s="1038"/>
      <c r="S45" s="1038"/>
      <c r="T45" s="1038"/>
      <c r="V45" s="1045"/>
    </row>
    <row r="46" spans="1:22" s="1062" customFormat="1">
      <c r="B46" s="1063" t="s">
        <v>466</v>
      </c>
      <c r="F46" s="1064">
        <f t="shared" ref="F46:U46" si="15">F33+F44+F37</f>
        <v>3.4590000000000001</v>
      </c>
      <c r="G46" s="1064">
        <f t="shared" si="15"/>
        <v>3.4590000000000001</v>
      </c>
      <c r="H46" s="1064">
        <f t="shared" si="15"/>
        <v>3.4590000000000001</v>
      </c>
      <c r="I46" s="1064">
        <f t="shared" si="15"/>
        <v>3.4590000000000001</v>
      </c>
      <c r="J46" s="1064">
        <f t="shared" si="15"/>
        <v>3.8048999999999999</v>
      </c>
      <c r="K46" s="1064">
        <f t="shared" si="15"/>
        <v>3.8048999999999999</v>
      </c>
      <c r="L46" s="1064">
        <f t="shared" si="15"/>
        <v>3.8048999999999999</v>
      </c>
      <c r="M46" s="1064">
        <f t="shared" si="15"/>
        <v>3.8048999999999999</v>
      </c>
      <c r="N46" s="1064">
        <f t="shared" si="15"/>
        <v>16.74156</v>
      </c>
      <c r="O46" s="1064">
        <f t="shared" si="15"/>
        <v>18.415716000000003</v>
      </c>
      <c r="P46" s="1064">
        <f t="shared" si="15"/>
        <v>20.257287600000002</v>
      </c>
      <c r="Q46" s="1064">
        <f t="shared" si="15"/>
        <v>22.283016360000001</v>
      </c>
      <c r="R46" s="1064">
        <f t="shared" si="15"/>
        <v>24.511317996000002</v>
      </c>
      <c r="S46" s="1064">
        <f t="shared" si="15"/>
        <v>26.962449795600001</v>
      </c>
      <c r="T46" s="1064">
        <f t="shared" si="15"/>
        <v>29.658694775160001</v>
      </c>
      <c r="U46" s="1064">
        <f t="shared" si="15"/>
        <v>32.624564252675995</v>
      </c>
      <c r="V46" s="1065">
        <f>F46+G46+H46+I46+J46+K46+L46+M46+N46+O46+P46+Q46+R46+S46+T46+U46</f>
        <v>220.51020677943603</v>
      </c>
    </row>
    <row r="47" spans="1:22" s="1035" customFormat="1">
      <c r="B47" s="1061"/>
      <c r="F47" s="1038"/>
      <c r="G47" s="1038"/>
      <c r="H47" s="1038"/>
      <c r="I47" s="1038"/>
      <c r="J47" s="1038"/>
      <c r="K47" s="1038"/>
      <c r="L47" s="1038"/>
      <c r="M47" s="1038"/>
      <c r="N47" s="1038"/>
      <c r="O47" s="1038"/>
      <c r="P47" s="1038"/>
      <c r="Q47" s="1038"/>
      <c r="R47" s="1038"/>
      <c r="S47" s="1038"/>
      <c r="T47" s="1038"/>
      <c r="U47" s="1038"/>
      <c r="V47" s="1045"/>
    </row>
    <row r="48" spans="1:22" s="1035" customFormat="1">
      <c r="A48" s="1017" t="s">
        <v>766</v>
      </c>
      <c r="B48" s="1066"/>
      <c r="F48" s="1038"/>
      <c r="G48" s="1038"/>
      <c r="H48" s="1038"/>
      <c r="I48" s="1038"/>
      <c r="J48" s="1038"/>
      <c r="K48" s="1038"/>
      <c r="L48" s="1038"/>
      <c r="M48" s="1038"/>
      <c r="N48" s="1038"/>
      <c r="O48" s="1038"/>
      <c r="P48" s="1038"/>
      <c r="Q48" s="1038"/>
      <c r="R48" s="1038"/>
      <c r="S48" s="1038"/>
      <c r="T48" s="1038"/>
      <c r="U48" s="1038"/>
      <c r="V48" s="1045"/>
    </row>
    <row r="49" spans="2:22" s="1035" customFormat="1">
      <c r="B49" s="1067" t="s">
        <v>744</v>
      </c>
      <c r="F49" s="1038">
        <f>'Key Assumptions'!K56</f>
        <v>2</v>
      </c>
      <c r="G49" s="1038">
        <f>'Key Assumptions'!L56</f>
        <v>3</v>
      </c>
      <c r="H49" s="1038">
        <f>'Key Assumptions'!M56</f>
        <v>2</v>
      </c>
      <c r="I49" s="1038">
        <f>'Key Assumptions'!N56</f>
        <v>2</v>
      </c>
      <c r="J49" s="1038">
        <f>'Key Assumptions'!O56</f>
        <v>5</v>
      </c>
      <c r="K49" s="1038">
        <f>'Key Assumptions'!P56</f>
        <v>2</v>
      </c>
      <c r="L49" s="1038">
        <f>'Key Assumptions'!Q56</f>
        <v>3</v>
      </c>
      <c r="M49" s="1038">
        <f>'Key Assumptions'!R56</f>
        <v>2</v>
      </c>
      <c r="N49" s="1038">
        <f>'Key Assumptions'!S56</f>
        <v>12</v>
      </c>
      <c r="O49" s="1038">
        <f>'Key Assumptions'!T56</f>
        <v>5</v>
      </c>
      <c r="P49" s="1038">
        <f>'Key Assumptions'!U56</f>
        <v>4</v>
      </c>
      <c r="Q49" s="1038">
        <f>'Key Assumptions'!V56</f>
        <v>5</v>
      </c>
      <c r="R49" s="1038">
        <f>'Key Assumptions'!W56</f>
        <v>1</v>
      </c>
      <c r="S49" s="1038">
        <f>'Key Assumptions'!X56</f>
        <v>5</v>
      </c>
      <c r="T49" s="1038">
        <f>'Key Assumptions'!Y56</f>
        <v>5</v>
      </c>
      <c r="U49" s="1038">
        <f>'Key Assumptions'!Z56</f>
        <v>4</v>
      </c>
      <c r="V49" s="1045"/>
    </row>
    <row r="50" spans="2:22" s="1035" customFormat="1">
      <c r="B50" s="1061"/>
      <c r="F50" s="1038"/>
      <c r="G50" s="1038"/>
      <c r="H50" s="1038"/>
      <c r="I50" s="1038"/>
      <c r="J50" s="1038"/>
      <c r="K50" s="1038"/>
      <c r="L50" s="1038"/>
      <c r="M50" s="1038"/>
      <c r="N50" s="1038"/>
      <c r="O50" s="1038"/>
      <c r="P50" s="1038"/>
      <c r="Q50" s="1038"/>
      <c r="R50" s="1038"/>
      <c r="S50" s="1038"/>
      <c r="T50" s="1038"/>
      <c r="U50" s="1038"/>
      <c r="V50" s="1045"/>
    </row>
    <row r="51" spans="2:22" s="1035" customFormat="1">
      <c r="B51" s="1017" t="s">
        <v>438</v>
      </c>
      <c r="C51" s="1022" t="s">
        <v>463</v>
      </c>
      <c r="D51" s="1022" t="s">
        <v>454</v>
      </c>
      <c r="E51" s="1015"/>
      <c r="F51" s="1015"/>
      <c r="G51" s="1015"/>
      <c r="H51" s="1015"/>
      <c r="I51" s="1015"/>
      <c r="J51" s="1015"/>
      <c r="K51" s="1015"/>
      <c r="L51" s="1015"/>
      <c r="M51" s="1015"/>
      <c r="N51" s="1015"/>
      <c r="O51" s="1015"/>
      <c r="P51" s="1015"/>
      <c r="Q51" s="1015"/>
      <c r="R51" s="1015"/>
      <c r="S51" s="1015"/>
      <c r="T51" s="1015"/>
      <c r="U51" s="1015"/>
      <c r="V51" s="1045"/>
    </row>
    <row r="52" spans="2:22" s="1035" customFormat="1">
      <c r="B52" s="982" t="s">
        <v>439</v>
      </c>
      <c r="C52" s="1052">
        <v>4</v>
      </c>
      <c r="D52" s="1052">
        <f>5000/10^5</f>
        <v>0.05</v>
      </c>
      <c r="E52" s="982"/>
      <c r="F52" s="1053">
        <f>$D$52*$C$52*F49*F6</f>
        <v>0.4</v>
      </c>
      <c r="G52" s="1053">
        <f t="shared" ref="G52:U52" si="16">$D$52*$C$52*G49*G6</f>
        <v>0.60000000000000009</v>
      </c>
      <c r="H52" s="1053">
        <f t="shared" si="16"/>
        <v>0.4</v>
      </c>
      <c r="I52" s="1053">
        <f t="shared" si="16"/>
        <v>0.4</v>
      </c>
      <c r="J52" s="1053">
        <f t="shared" si="16"/>
        <v>1.1000000000000001</v>
      </c>
      <c r="K52" s="1053">
        <f t="shared" si="16"/>
        <v>0.44000000000000006</v>
      </c>
      <c r="L52" s="1053">
        <f t="shared" si="16"/>
        <v>0.66000000000000014</v>
      </c>
      <c r="M52" s="1053">
        <f t="shared" si="16"/>
        <v>0.44000000000000006</v>
      </c>
      <c r="N52" s="1053">
        <f t="shared" si="16"/>
        <v>2.9040000000000008</v>
      </c>
      <c r="O52" s="1053">
        <f t="shared" si="16"/>
        <v>1.3310000000000002</v>
      </c>
      <c r="P52" s="1053">
        <f t="shared" si="16"/>
        <v>1.1712800000000001</v>
      </c>
      <c r="Q52" s="1053">
        <f t="shared" si="16"/>
        <v>1.6105100000000001</v>
      </c>
      <c r="R52" s="1053">
        <f t="shared" si="16"/>
        <v>0.35431220000000008</v>
      </c>
      <c r="S52" s="1053">
        <f t="shared" si="16"/>
        <v>1.9487171000000001</v>
      </c>
      <c r="T52" s="1053">
        <f t="shared" si="16"/>
        <v>2.1435888100000002</v>
      </c>
      <c r="U52" s="1053">
        <f t="shared" si="16"/>
        <v>1.8863581528000002</v>
      </c>
      <c r="V52" s="1045"/>
    </row>
    <row r="53" spans="2:22" s="1035" customFormat="1">
      <c r="B53" s="1068" t="s">
        <v>694</v>
      </c>
      <c r="C53" s="1052">
        <v>6</v>
      </c>
      <c r="D53" s="1052">
        <f>20000/10^5</f>
        <v>0.2</v>
      </c>
      <c r="E53" s="982"/>
      <c r="F53" s="1053">
        <f>$D$53*$C$53*F49*F6</f>
        <v>2.4000000000000004</v>
      </c>
      <c r="G53" s="1053">
        <f t="shared" ref="G53:U53" si="17">$D$53*$C$53*G49*G6</f>
        <v>3.6000000000000005</v>
      </c>
      <c r="H53" s="1053">
        <f t="shared" si="17"/>
        <v>2.4000000000000004</v>
      </c>
      <c r="I53" s="1053">
        <f t="shared" si="17"/>
        <v>2.4000000000000004</v>
      </c>
      <c r="J53" s="1053">
        <f t="shared" si="17"/>
        <v>6.6000000000000014</v>
      </c>
      <c r="K53" s="1053">
        <f t="shared" si="17"/>
        <v>2.6400000000000006</v>
      </c>
      <c r="L53" s="1053">
        <f t="shared" si="17"/>
        <v>3.9600000000000009</v>
      </c>
      <c r="M53" s="1053">
        <f t="shared" si="17"/>
        <v>2.6400000000000006</v>
      </c>
      <c r="N53" s="1053">
        <f t="shared" si="17"/>
        <v>17.424000000000007</v>
      </c>
      <c r="O53" s="1053">
        <f t="shared" si="17"/>
        <v>7.9860000000000024</v>
      </c>
      <c r="P53" s="1053">
        <f t="shared" si="17"/>
        <v>7.0276800000000019</v>
      </c>
      <c r="Q53" s="1053">
        <f t="shared" si="17"/>
        <v>9.6630600000000015</v>
      </c>
      <c r="R53" s="1053">
        <f t="shared" si="17"/>
        <v>2.1258732000000005</v>
      </c>
      <c r="S53" s="1053">
        <f t="shared" si="17"/>
        <v>11.692302600000001</v>
      </c>
      <c r="T53" s="1053">
        <f t="shared" si="17"/>
        <v>12.861532860000004</v>
      </c>
      <c r="U53" s="1053">
        <f t="shared" si="17"/>
        <v>11.318148916800002</v>
      </c>
      <c r="V53" s="1045"/>
    </row>
    <row r="54" spans="2:22" s="1035" customFormat="1">
      <c r="B54" s="1068" t="s">
        <v>695</v>
      </c>
      <c r="C54" s="1052">
        <v>12</v>
      </c>
      <c r="D54" s="1052">
        <f>2000/10^5</f>
        <v>0.02</v>
      </c>
      <c r="E54" s="982"/>
      <c r="F54" s="1053">
        <f>$D$54*$C$54*F49*F6</f>
        <v>0.48</v>
      </c>
      <c r="G54" s="1053">
        <f t="shared" ref="G54:U54" si="18">$D$54*$C$54*G49*G6</f>
        <v>0.72</v>
      </c>
      <c r="H54" s="1053">
        <f t="shared" si="18"/>
        <v>0.48</v>
      </c>
      <c r="I54" s="1053">
        <f t="shared" si="18"/>
        <v>0.48</v>
      </c>
      <c r="J54" s="1053">
        <f t="shared" si="18"/>
        <v>1.32</v>
      </c>
      <c r="K54" s="1053">
        <f t="shared" si="18"/>
        <v>0.52800000000000002</v>
      </c>
      <c r="L54" s="1053">
        <f t="shared" si="18"/>
        <v>0.79200000000000004</v>
      </c>
      <c r="M54" s="1053">
        <f t="shared" si="18"/>
        <v>0.52800000000000002</v>
      </c>
      <c r="N54" s="1053">
        <f t="shared" si="18"/>
        <v>3.4848000000000003</v>
      </c>
      <c r="O54" s="1053">
        <f t="shared" si="18"/>
        <v>1.5972000000000002</v>
      </c>
      <c r="P54" s="1053">
        <f t="shared" si="18"/>
        <v>1.4055360000000001</v>
      </c>
      <c r="Q54" s="1053">
        <f t="shared" si="18"/>
        <v>1.932612</v>
      </c>
      <c r="R54" s="1053">
        <f t="shared" si="18"/>
        <v>0.42517464000000005</v>
      </c>
      <c r="S54" s="1053">
        <f t="shared" si="18"/>
        <v>2.3384605199999999</v>
      </c>
      <c r="T54" s="1053">
        <f t="shared" si="18"/>
        <v>2.572306572</v>
      </c>
      <c r="U54" s="1053">
        <f t="shared" si="18"/>
        <v>2.2636297833599999</v>
      </c>
      <c r="V54" s="1045"/>
    </row>
    <row r="55" spans="2:22" s="1035" customFormat="1">
      <c r="B55" s="1068" t="s">
        <v>696</v>
      </c>
      <c r="C55" s="1052">
        <v>4</v>
      </c>
      <c r="D55" s="1052">
        <f>30000/10^5</f>
        <v>0.3</v>
      </c>
      <c r="E55" s="982"/>
      <c r="F55" s="1053">
        <f>$D$55*$C$55*F49*F6</f>
        <v>2.4</v>
      </c>
      <c r="G55" s="1053">
        <f t="shared" ref="G55:U55" si="19">$D$55*$C$55*G49*G6</f>
        <v>3.5999999999999996</v>
      </c>
      <c r="H55" s="1053">
        <f t="shared" si="19"/>
        <v>2.4</v>
      </c>
      <c r="I55" s="1053">
        <f t="shared" si="19"/>
        <v>2.4</v>
      </c>
      <c r="J55" s="1053">
        <f t="shared" si="19"/>
        <v>6.6000000000000005</v>
      </c>
      <c r="K55" s="1053">
        <f t="shared" si="19"/>
        <v>2.64</v>
      </c>
      <c r="L55" s="1053">
        <f t="shared" si="19"/>
        <v>3.96</v>
      </c>
      <c r="M55" s="1053">
        <f t="shared" si="19"/>
        <v>2.64</v>
      </c>
      <c r="N55" s="1053">
        <f t="shared" si="19"/>
        <v>17.423999999999999</v>
      </c>
      <c r="O55" s="1053">
        <f t="shared" si="19"/>
        <v>7.9860000000000007</v>
      </c>
      <c r="P55" s="1053">
        <f t="shared" si="19"/>
        <v>7.027680000000001</v>
      </c>
      <c r="Q55" s="1053">
        <f t="shared" si="19"/>
        <v>9.6630600000000015</v>
      </c>
      <c r="R55" s="1053">
        <f t="shared" si="19"/>
        <v>2.1258732</v>
      </c>
      <c r="S55" s="1053">
        <f t="shared" si="19"/>
        <v>11.692302600000001</v>
      </c>
      <c r="T55" s="1053">
        <f t="shared" si="19"/>
        <v>12.861532860000001</v>
      </c>
      <c r="U55" s="1053">
        <f t="shared" si="19"/>
        <v>11.3181489168</v>
      </c>
      <c r="V55" s="1045"/>
    </row>
    <row r="56" spans="2:22" s="1035" customFormat="1">
      <c r="B56" s="1068" t="s">
        <v>697</v>
      </c>
      <c r="C56" s="1052">
        <v>12</v>
      </c>
      <c r="D56" s="1052">
        <f>3500/10^5</f>
        <v>3.5000000000000003E-2</v>
      </c>
      <c r="E56" s="982"/>
      <c r="F56" s="1053">
        <f>$D$56*$C$56*F49*F6</f>
        <v>0.84000000000000008</v>
      </c>
      <c r="G56" s="1053">
        <f t="shared" ref="G56:U56" si="20">$D$56*$C$56*G49*G6</f>
        <v>1.2600000000000002</v>
      </c>
      <c r="H56" s="1053">
        <f t="shared" si="20"/>
        <v>0.84000000000000008</v>
      </c>
      <c r="I56" s="1053">
        <f t="shared" si="20"/>
        <v>0.84000000000000008</v>
      </c>
      <c r="J56" s="1053">
        <f t="shared" si="20"/>
        <v>2.3100000000000005</v>
      </c>
      <c r="K56" s="1053">
        <f t="shared" si="20"/>
        <v>0.92400000000000015</v>
      </c>
      <c r="L56" s="1053">
        <f t="shared" si="20"/>
        <v>1.3860000000000003</v>
      </c>
      <c r="M56" s="1053">
        <f t="shared" si="20"/>
        <v>0.92400000000000015</v>
      </c>
      <c r="N56" s="1053">
        <f t="shared" si="20"/>
        <v>6.0984000000000025</v>
      </c>
      <c r="O56" s="1053">
        <f t="shared" si="20"/>
        <v>2.7951000000000006</v>
      </c>
      <c r="P56" s="1053">
        <f t="shared" si="20"/>
        <v>2.4596880000000003</v>
      </c>
      <c r="Q56" s="1053">
        <f t="shared" si="20"/>
        <v>3.3820710000000003</v>
      </c>
      <c r="R56" s="1053">
        <f t="shared" si="20"/>
        <v>0.74405562000000014</v>
      </c>
      <c r="S56" s="1053">
        <f t="shared" si="20"/>
        <v>4.0923059100000003</v>
      </c>
      <c r="T56" s="1053">
        <f t="shared" si="20"/>
        <v>4.5015365010000004</v>
      </c>
      <c r="U56" s="1053">
        <f t="shared" si="20"/>
        <v>3.9613521208800004</v>
      </c>
      <c r="V56" s="1045"/>
    </row>
    <row r="57" spans="2:22" s="1035" customFormat="1">
      <c r="B57" s="982" t="s">
        <v>440</v>
      </c>
      <c r="C57" s="1052">
        <f>40</f>
        <v>40</v>
      </c>
      <c r="D57" s="1052">
        <f>2500/10^5</f>
        <v>2.5000000000000001E-2</v>
      </c>
      <c r="E57" s="982"/>
      <c r="F57" s="1053">
        <f>$D$57*$C$57*F49*F6</f>
        <v>2</v>
      </c>
      <c r="G57" s="1053">
        <f t="shared" ref="G57:U57" si="21">$D$57*$C$57*G49*G6</f>
        <v>3</v>
      </c>
      <c r="H57" s="1053">
        <f t="shared" si="21"/>
        <v>2</v>
      </c>
      <c r="I57" s="1053">
        <f t="shared" si="21"/>
        <v>2</v>
      </c>
      <c r="J57" s="1053">
        <f t="shared" si="21"/>
        <v>5.5</v>
      </c>
      <c r="K57" s="1053">
        <f t="shared" si="21"/>
        <v>2.2000000000000002</v>
      </c>
      <c r="L57" s="1053">
        <f t="shared" si="21"/>
        <v>3.3000000000000003</v>
      </c>
      <c r="M57" s="1053">
        <f t="shared" si="21"/>
        <v>2.2000000000000002</v>
      </c>
      <c r="N57" s="1053">
        <f t="shared" si="21"/>
        <v>14.520000000000003</v>
      </c>
      <c r="O57" s="1053">
        <f t="shared" si="21"/>
        <v>6.6550000000000011</v>
      </c>
      <c r="P57" s="1053">
        <f t="shared" si="21"/>
        <v>5.8564000000000007</v>
      </c>
      <c r="Q57" s="1053">
        <f t="shared" si="21"/>
        <v>8.0525500000000001</v>
      </c>
      <c r="R57" s="1053">
        <f t="shared" si="21"/>
        <v>1.7715610000000002</v>
      </c>
      <c r="S57" s="1053">
        <f t="shared" si="21"/>
        <v>9.7435855</v>
      </c>
      <c r="T57" s="1053">
        <f t="shared" si="21"/>
        <v>10.717944050000002</v>
      </c>
      <c r="U57" s="1053">
        <f t="shared" si="21"/>
        <v>9.4317907640000005</v>
      </c>
      <c r="V57" s="1045"/>
    </row>
    <row r="58" spans="2:22" s="1035" customFormat="1">
      <c r="B58" s="982" t="s">
        <v>441</v>
      </c>
      <c r="C58" s="1052">
        <f>3</f>
        <v>3</v>
      </c>
      <c r="D58" s="1052">
        <f>2000/10^5</f>
        <v>0.02</v>
      </c>
      <c r="E58" s="982"/>
      <c r="F58" s="1053">
        <f>$D$58*$C$58*F49*F6</f>
        <v>0.12</v>
      </c>
      <c r="G58" s="1053">
        <f t="shared" ref="G58:U58" si="22">$D$58*$C$58*G49*G6</f>
        <v>0.18</v>
      </c>
      <c r="H58" s="1053">
        <f t="shared" si="22"/>
        <v>0.12</v>
      </c>
      <c r="I58" s="1053">
        <f t="shared" si="22"/>
        <v>0.12</v>
      </c>
      <c r="J58" s="1053">
        <f t="shared" si="22"/>
        <v>0.33</v>
      </c>
      <c r="K58" s="1053">
        <f t="shared" si="22"/>
        <v>0.13200000000000001</v>
      </c>
      <c r="L58" s="1053">
        <f t="shared" si="22"/>
        <v>0.19800000000000001</v>
      </c>
      <c r="M58" s="1053">
        <f t="shared" si="22"/>
        <v>0.13200000000000001</v>
      </c>
      <c r="N58" s="1053">
        <f t="shared" si="22"/>
        <v>0.87120000000000009</v>
      </c>
      <c r="O58" s="1053">
        <f t="shared" si="22"/>
        <v>0.39930000000000004</v>
      </c>
      <c r="P58" s="1053">
        <f t="shared" si="22"/>
        <v>0.35138400000000003</v>
      </c>
      <c r="Q58" s="1053">
        <f t="shared" si="22"/>
        <v>0.483153</v>
      </c>
      <c r="R58" s="1053">
        <f t="shared" si="22"/>
        <v>0.10629366000000001</v>
      </c>
      <c r="S58" s="1053">
        <f t="shared" si="22"/>
        <v>0.58461512999999998</v>
      </c>
      <c r="T58" s="1053">
        <f t="shared" si="22"/>
        <v>0.643076643</v>
      </c>
      <c r="U58" s="1053">
        <f t="shared" si="22"/>
        <v>0.56590744583999997</v>
      </c>
      <c r="V58" s="1045"/>
    </row>
    <row r="59" spans="2:22" s="1035" customFormat="1">
      <c r="B59" s="982" t="s">
        <v>442</v>
      </c>
      <c r="C59" s="1052">
        <f>2</f>
        <v>2</v>
      </c>
      <c r="D59" s="1052">
        <f>1500/10^5</f>
        <v>1.4999999999999999E-2</v>
      </c>
      <c r="E59" s="982"/>
      <c r="F59" s="1053">
        <f>$D$59*$C$59*F49*F6</f>
        <v>0.06</v>
      </c>
      <c r="G59" s="1053">
        <f t="shared" ref="G59:U59" si="23">$D$59*$C$59*G49*G6</f>
        <v>0.09</v>
      </c>
      <c r="H59" s="1053">
        <f t="shared" si="23"/>
        <v>0.06</v>
      </c>
      <c r="I59" s="1053">
        <f t="shared" si="23"/>
        <v>0.06</v>
      </c>
      <c r="J59" s="1053">
        <f t="shared" si="23"/>
        <v>0.16500000000000001</v>
      </c>
      <c r="K59" s="1053">
        <f t="shared" si="23"/>
        <v>6.6000000000000003E-2</v>
      </c>
      <c r="L59" s="1053">
        <f t="shared" si="23"/>
        <v>9.9000000000000005E-2</v>
      </c>
      <c r="M59" s="1053">
        <f t="shared" si="23"/>
        <v>6.6000000000000003E-2</v>
      </c>
      <c r="N59" s="1053">
        <f t="shared" si="23"/>
        <v>0.43560000000000004</v>
      </c>
      <c r="O59" s="1053">
        <f t="shared" si="23"/>
        <v>0.19965000000000002</v>
      </c>
      <c r="P59" s="1053">
        <f t="shared" si="23"/>
        <v>0.17569200000000001</v>
      </c>
      <c r="Q59" s="1053">
        <f t="shared" si="23"/>
        <v>0.2415765</v>
      </c>
      <c r="R59" s="1053">
        <f t="shared" si="23"/>
        <v>5.3146830000000006E-2</v>
      </c>
      <c r="S59" s="1053">
        <f t="shared" si="23"/>
        <v>0.29230756499999999</v>
      </c>
      <c r="T59" s="1053">
        <f t="shared" si="23"/>
        <v>0.3215383215</v>
      </c>
      <c r="U59" s="1053">
        <f t="shared" si="23"/>
        <v>0.28295372291999998</v>
      </c>
      <c r="V59" s="1045"/>
    </row>
    <row r="60" spans="2:22" s="1035" customFormat="1">
      <c r="B60" s="1068" t="s">
        <v>698</v>
      </c>
      <c r="C60" s="1052">
        <v>1</v>
      </c>
      <c r="D60" s="1052">
        <f>15000/10^5</f>
        <v>0.15</v>
      </c>
      <c r="E60" s="982"/>
      <c r="F60" s="1053">
        <f>$D$60*$C$60*F49*F6</f>
        <v>0.3</v>
      </c>
      <c r="G60" s="1053">
        <f t="shared" ref="G60:U60" si="24">$D$60*$C$60*G49*G6</f>
        <v>0.44999999999999996</v>
      </c>
      <c r="H60" s="1053">
        <f t="shared" si="24"/>
        <v>0.3</v>
      </c>
      <c r="I60" s="1053">
        <f t="shared" si="24"/>
        <v>0.3</v>
      </c>
      <c r="J60" s="1053">
        <f t="shared" si="24"/>
        <v>0.82500000000000007</v>
      </c>
      <c r="K60" s="1053">
        <f t="shared" si="24"/>
        <v>0.33</v>
      </c>
      <c r="L60" s="1053">
        <f t="shared" si="24"/>
        <v>0.495</v>
      </c>
      <c r="M60" s="1053">
        <f t="shared" si="24"/>
        <v>0.33</v>
      </c>
      <c r="N60" s="1053">
        <f t="shared" si="24"/>
        <v>2.1779999999999999</v>
      </c>
      <c r="O60" s="1053">
        <f t="shared" si="24"/>
        <v>0.99825000000000008</v>
      </c>
      <c r="P60" s="1053">
        <f t="shared" si="24"/>
        <v>0.87846000000000013</v>
      </c>
      <c r="Q60" s="1053">
        <f t="shared" si="24"/>
        <v>1.2078825000000002</v>
      </c>
      <c r="R60" s="1053">
        <f t="shared" si="24"/>
        <v>0.26573415</v>
      </c>
      <c r="S60" s="1053">
        <f t="shared" si="24"/>
        <v>1.4615378250000002</v>
      </c>
      <c r="T60" s="1053">
        <f t="shared" si="24"/>
        <v>1.6076916075000001</v>
      </c>
      <c r="U60" s="1053">
        <f t="shared" si="24"/>
        <v>1.4147686146</v>
      </c>
      <c r="V60" s="1045"/>
    </row>
    <row r="61" spans="2:22" s="1035" customFormat="1">
      <c r="B61" s="1068" t="s">
        <v>699</v>
      </c>
      <c r="C61" s="1052">
        <v>2</v>
      </c>
      <c r="D61" s="1052">
        <f>1500/10^5</f>
        <v>1.4999999999999999E-2</v>
      </c>
      <c r="E61" s="982"/>
      <c r="F61" s="1053">
        <f>$D$61*$C$61*F49*F6</f>
        <v>0.06</v>
      </c>
      <c r="G61" s="1053">
        <f t="shared" ref="G61:U61" si="25">$D$61*$C$61*G49*G6</f>
        <v>0.09</v>
      </c>
      <c r="H61" s="1053">
        <f t="shared" si="25"/>
        <v>0.06</v>
      </c>
      <c r="I61" s="1053">
        <f t="shared" si="25"/>
        <v>0.06</v>
      </c>
      <c r="J61" s="1053">
        <f t="shared" si="25"/>
        <v>0.16500000000000001</v>
      </c>
      <c r="K61" s="1053">
        <f t="shared" si="25"/>
        <v>6.6000000000000003E-2</v>
      </c>
      <c r="L61" s="1053">
        <f t="shared" si="25"/>
        <v>9.9000000000000005E-2</v>
      </c>
      <c r="M61" s="1053">
        <f t="shared" si="25"/>
        <v>6.6000000000000003E-2</v>
      </c>
      <c r="N61" s="1053">
        <f t="shared" si="25"/>
        <v>0.43560000000000004</v>
      </c>
      <c r="O61" s="1053">
        <f t="shared" si="25"/>
        <v>0.19965000000000002</v>
      </c>
      <c r="P61" s="1053">
        <f t="shared" si="25"/>
        <v>0.17569200000000001</v>
      </c>
      <c r="Q61" s="1053">
        <f t="shared" si="25"/>
        <v>0.2415765</v>
      </c>
      <c r="R61" s="1053">
        <f t="shared" si="25"/>
        <v>5.3146830000000006E-2</v>
      </c>
      <c r="S61" s="1053">
        <f t="shared" si="25"/>
        <v>0.29230756499999999</v>
      </c>
      <c r="T61" s="1053">
        <f t="shared" si="25"/>
        <v>0.3215383215</v>
      </c>
      <c r="U61" s="1053">
        <f t="shared" si="25"/>
        <v>0.28295372291999998</v>
      </c>
      <c r="V61" s="1045"/>
    </row>
    <row r="62" spans="2:22" s="1035" customFormat="1">
      <c r="B62" s="1055" t="s">
        <v>6</v>
      </c>
      <c r="C62" s="1055"/>
      <c r="D62" s="1055"/>
      <c r="E62" s="1055"/>
      <c r="F62" s="1034">
        <f>SUM(F52:F61)</f>
        <v>9.06</v>
      </c>
      <c r="G62" s="1034">
        <f t="shared" ref="G62:U62" si="26">SUM(G52:G61)</f>
        <v>13.589999999999998</v>
      </c>
      <c r="H62" s="1034">
        <f t="shared" si="26"/>
        <v>9.06</v>
      </c>
      <c r="I62" s="1034">
        <f t="shared" si="26"/>
        <v>9.06</v>
      </c>
      <c r="J62" s="1034">
        <f t="shared" si="26"/>
        <v>24.914999999999996</v>
      </c>
      <c r="K62" s="1034">
        <f t="shared" si="26"/>
        <v>9.9660000000000029</v>
      </c>
      <c r="L62" s="1034">
        <f t="shared" si="26"/>
        <v>14.949000000000002</v>
      </c>
      <c r="M62" s="1034">
        <f t="shared" si="26"/>
        <v>9.9660000000000029</v>
      </c>
      <c r="N62" s="1034">
        <f t="shared" si="26"/>
        <v>65.775600000000011</v>
      </c>
      <c r="O62" s="1034">
        <f t="shared" si="26"/>
        <v>30.147150000000003</v>
      </c>
      <c r="P62" s="1034">
        <f t="shared" si="26"/>
        <v>26.529492000000005</v>
      </c>
      <c r="Q62" s="1034">
        <f t="shared" si="26"/>
        <v>36.478051500000014</v>
      </c>
      <c r="R62" s="1034">
        <f t="shared" si="26"/>
        <v>8.0251713300000009</v>
      </c>
      <c r="S62" s="1034">
        <f t="shared" si="26"/>
        <v>44.138442315000013</v>
      </c>
      <c r="T62" s="1034">
        <f t="shared" si="26"/>
        <v>48.552286546500007</v>
      </c>
      <c r="U62" s="1034">
        <f t="shared" si="26"/>
        <v>42.726012160919993</v>
      </c>
      <c r="V62" s="1045"/>
    </row>
    <row r="63" spans="2:22" s="1035" customFormat="1">
      <c r="F63" s="1038"/>
      <c r="G63" s="1038"/>
      <c r="H63" s="1038"/>
      <c r="I63" s="1038"/>
      <c r="J63" s="1038"/>
      <c r="K63" s="1038"/>
      <c r="L63" s="1038"/>
      <c r="M63" s="1038"/>
      <c r="V63" s="1045"/>
    </row>
    <row r="64" spans="2:22" s="1035" customFormat="1">
      <c r="B64" s="1056" t="s">
        <v>631</v>
      </c>
      <c r="C64" s="982"/>
      <c r="D64" s="982"/>
      <c r="E64" s="982"/>
      <c r="F64" s="991"/>
      <c r="G64" s="991"/>
      <c r="H64" s="991"/>
      <c r="I64" s="991"/>
      <c r="J64" s="991"/>
      <c r="K64" s="991"/>
      <c r="L64" s="991"/>
      <c r="M64" s="991"/>
      <c r="N64" s="982"/>
      <c r="O64" s="982"/>
      <c r="P64" s="982"/>
      <c r="Q64" s="982"/>
      <c r="R64" s="982"/>
      <c r="S64" s="982"/>
      <c r="T64" s="982"/>
      <c r="U64" s="982"/>
      <c r="V64" s="1045"/>
    </row>
    <row r="65" spans="1:22" s="1035" customFormat="1">
      <c r="B65" s="1057" t="s">
        <v>435</v>
      </c>
      <c r="C65" s="982">
        <v>5</v>
      </c>
      <c r="D65" s="982">
        <v>0.25</v>
      </c>
      <c r="E65" s="982"/>
      <c r="F65" s="991">
        <f>$D$65*$C$65*F49*F6</f>
        <v>2.5</v>
      </c>
      <c r="G65" s="991">
        <f t="shared" ref="G65:U65" si="27">$D$65*$C$65*G49*G6</f>
        <v>3.75</v>
      </c>
      <c r="H65" s="991">
        <f t="shared" si="27"/>
        <v>2.5</v>
      </c>
      <c r="I65" s="991">
        <f t="shared" si="27"/>
        <v>2.5</v>
      </c>
      <c r="J65" s="991">
        <f t="shared" si="27"/>
        <v>6.8750000000000009</v>
      </c>
      <c r="K65" s="991">
        <f t="shared" si="27"/>
        <v>2.75</v>
      </c>
      <c r="L65" s="991">
        <f t="shared" si="27"/>
        <v>4.125</v>
      </c>
      <c r="M65" s="991">
        <f t="shared" si="27"/>
        <v>2.75</v>
      </c>
      <c r="N65" s="991">
        <f t="shared" si="27"/>
        <v>18.150000000000002</v>
      </c>
      <c r="O65" s="991">
        <f t="shared" si="27"/>
        <v>8.3187500000000014</v>
      </c>
      <c r="P65" s="991">
        <f t="shared" si="27"/>
        <v>7.3205000000000009</v>
      </c>
      <c r="Q65" s="991">
        <f t="shared" si="27"/>
        <v>10.065687500000001</v>
      </c>
      <c r="R65" s="991">
        <f t="shared" si="27"/>
        <v>2.2144512500000002</v>
      </c>
      <c r="S65" s="991">
        <f t="shared" si="27"/>
        <v>12.179481875</v>
      </c>
      <c r="T65" s="991">
        <f t="shared" si="27"/>
        <v>13.397430062500002</v>
      </c>
      <c r="U65" s="991">
        <f t="shared" si="27"/>
        <v>11.789738455</v>
      </c>
      <c r="V65" s="1045"/>
    </row>
    <row r="66" spans="1:22" s="1035" customFormat="1">
      <c r="B66" s="1068" t="s">
        <v>436</v>
      </c>
      <c r="C66" s="982">
        <v>1</v>
      </c>
      <c r="D66" s="982">
        <f>15000/10^5</f>
        <v>0.15</v>
      </c>
      <c r="E66" s="982"/>
      <c r="F66" s="991">
        <f>$D$66*$C$66*F49*F6</f>
        <v>0.3</v>
      </c>
      <c r="G66" s="991">
        <f t="shared" ref="G66:U66" si="28">$D$66*$C$66*G49*G6</f>
        <v>0.44999999999999996</v>
      </c>
      <c r="H66" s="991">
        <f t="shared" si="28"/>
        <v>0.3</v>
      </c>
      <c r="I66" s="991">
        <f t="shared" si="28"/>
        <v>0.3</v>
      </c>
      <c r="J66" s="991">
        <f t="shared" si="28"/>
        <v>0.82500000000000007</v>
      </c>
      <c r="K66" s="991">
        <f t="shared" si="28"/>
        <v>0.33</v>
      </c>
      <c r="L66" s="991">
        <f t="shared" si="28"/>
        <v>0.495</v>
      </c>
      <c r="M66" s="991">
        <f t="shared" si="28"/>
        <v>0.33</v>
      </c>
      <c r="N66" s="991">
        <f t="shared" si="28"/>
        <v>2.1779999999999999</v>
      </c>
      <c r="O66" s="991">
        <f t="shared" si="28"/>
        <v>0.99825000000000008</v>
      </c>
      <c r="P66" s="991">
        <f t="shared" si="28"/>
        <v>0.87846000000000013</v>
      </c>
      <c r="Q66" s="991">
        <f t="shared" si="28"/>
        <v>1.2078825000000002</v>
      </c>
      <c r="R66" s="991">
        <f t="shared" si="28"/>
        <v>0.26573415</v>
      </c>
      <c r="S66" s="991">
        <f t="shared" si="28"/>
        <v>1.4615378250000002</v>
      </c>
      <c r="T66" s="991">
        <f t="shared" si="28"/>
        <v>1.6076916075000001</v>
      </c>
      <c r="U66" s="991">
        <f t="shared" si="28"/>
        <v>1.4147686146</v>
      </c>
      <c r="V66" s="1045"/>
    </row>
    <row r="67" spans="1:22" s="1035" customFormat="1">
      <c r="B67" s="1058" t="s">
        <v>6</v>
      </c>
      <c r="C67" s="1055"/>
      <c r="D67" s="1055"/>
      <c r="E67" s="1055"/>
      <c r="F67" s="1034">
        <f>SUM(F65:F66)</f>
        <v>2.8</v>
      </c>
      <c r="G67" s="1034">
        <f t="shared" ref="G67:U67" si="29">SUM(G65:G66)</f>
        <v>4.2</v>
      </c>
      <c r="H67" s="1034">
        <f t="shared" si="29"/>
        <v>2.8</v>
      </c>
      <c r="I67" s="1034">
        <f t="shared" si="29"/>
        <v>2.8</v>
      </c>
      <c r="J67" s="1034">
        <f t="shared" si="29"/>
        <v>7.7000000000000011</v>
      </c>
      <c r="K67" s="1034">
        <f t="shared" si="29"/>
        <v>3.08</v>
      </c>
      <c r="L67" s="1034">
        <f t="shared" si="29"/>
        <v>4.62</v>
      </c>
      <c r="M67" s="1034">
        <f t="shared" si="29"/>
        <v>3.08</v>
      </c>
      <c r="N67" s="1034">
        <f t="shared" si="29"/>
        <v>20.328000000000003</v>
      </c>
      <c r="O67" s="1034">
        <f t="shared" si="29"/>
        <v>9.3170000000000019</v>
      </c>
      <c r="P67" s="1034">
        <f t="shared" si="29"/>
        <v>8.1989600000000014</v>
      </c>
      <c r="Q67" s="1034">
        <f t="shared" si="29"/>
        <v>11.273570000000001</v>
      </c>
      <c r="R67" s="1034">
        <f t="shared" si="29"/>
        <v>2.4801854000000003</v>
      </c>
      <c r="S67" s="1034">
        <f t="shared" si="29"/>
        <v>13.641019700000001</v>
      </c>
      <c r="T67" s="1034">
        <f t="shared" si="29"/>
        <v>15.005121670000001</v>
      </c>
      <c r="U67" s="1034">
        <f t="shared" si="29"/>
        <v>13.2045070696</v>
      </c>
      <c r="V67" s="1045"/>
    </row>
    <row r="68" spans="1:22" s="1035" customFormat="1">
      <c r="B68" s="982"/>
      <c r="C68" s="982"/>
      <c r="D68" s="982"/>
      <c r="E68" s="982"/>
      <c r="F68" s="982"/>
      <c r="G68" s="982"/>
      <c r="H68" s="982"/>
      <c r="I68" s="982"/>
      <c r="J68" s="982"/>
      <c r="K68" s="982"/>
      <c r="L68" s="982"/>
      <c r="M68" s="982"/>
      <c r="N68" s="982"/>
      <c r="O68" s="982"/>
      <c r="P68" s="982"/>
      <c r="Q68" s="982"/>
      <c r="R68" s="982"/>
      <c r="S68" s="982"/>
      <c r="T68" s="982"/>
      <c r="U68" s="982"/>
      <c r="V68" s="1045"/>
    </row>
    <row r="69" spans="1:22" s="1035" customFormat="1">
      <c r="B69" s="1061"/>
      <c r="F69" s="1038"/>
      <c r="G69" s="1038"/>
      <c r="H69" s="1038"/>
      <c r="I69" s="1038"/>
      <c r="J69" s="1038"/>
      <c r="K69" s="1038"/>
      <c r="L69" s="1038"/>
      <c r="M69" s="1038"/>
      <c r="N69" s="1038"/>
      <c r="O69" s="1038"/>
      <c r="P69" s="1038"/>
      <c r="Q69" s="1038"/>
      <c r="R69" s="1038"/>
      <c r="S69" s="1038"/>
      <c r="T69" s="1038"/>
      <c r="V69" s="1045"/>
    </row>
    <row r="70" spans="1:22" s="1035" customFormat="1">
      <c r="B70" s="1069" t="s">
        <v>767</v>
      </c>
      <c r="C70" s="1062"/>
      <c r="D70" s="1062"/>
      <c r="E70" s="1062"/>
      <c r="F70" s="1064">
        <f>F62+F67</f>
        <v>11.86</v>
      </c>
      <c r="G70" s="1064">
        <f t="shared" ref="G70:U70" si="30">G62+G67</f>
        <v>17.79</v>
      </c>
      <c r="H70" s="1064">
        <f t="shared" si="30"/>
        <v>11.86</v>
      </c>
      <c r="I70" s="1064">
        <f t="shared" si="30"/>
        <v>11.86</v>
      </c>
      <c r="J70" s="1064">
        <f t="shared" si="30"/>
        <v>32.614999999999995</v>
      </c>
      <c r="K70" s="1064">
        <f t="shared" si="30"/>
        <v>13.046000000000003</v>
      </c>
      <c r="L70" s="1064">
        <f t="shared" si="30"/>
        <v>19.569000000000003</v>
      </c>
      <c r="M70" s="1064">
        <f t="shared" si="30"/>
        <v>13.046000000000003</v>
      </c>
      <c r="N70" s="1064">
        <f t="shared" si="30"/>
        <v>86.103600000000014</v>
      </c>
      <c r="O70" s="1064">
        <f t="shared" si="30"/>
        <v>39.464150000000004</v>
      </c>
      <c r="P70" s="1064">
        <f t="shared" si="30"/>
        <v>34.728452000000004</v>
      </c>
      <c r="Q70" s="1064">
        <f t="shared" si="30"/>
        <v>47.751621500000013</v>
      </c>
      <c r="R70" s="1064">
        <f t="shared" si="30"/>
        <v>10.505356730000001</v>
      </c>
      <c r="S70" s="1064">
        <f t="shared" si="30"/>
        <v>57.779462015000014</v>
      </c>
      <c r="T70" s="1064">
        <f t="shared" si="30"/>
        <v>63.557408216500008</v>
      </c>
      <c r="U70" s="1064">
        <f t="shared" si="30"/>
        <v>55.930519230519991</v>
      </c>
      <c r="V70" s="1045"/>
    </row>
    <row r="71" spans="1:22" s="1035" customFormat="1">
      <c r="B71" s="1061"/>
      <c r="F71" s="1038"/>
      <c r="G71" s="1038"/>
      <c r="H71" s="1038"/>
      <c r="I71" s="1038"/>
      <c r="J71" s="1038"/>
      <c r="K71" s="1038"/>
      <c r="L71" s="1038"/>
      <c r="M71" s="1038"/>
      <c r="N71" s="1038"/>
      <c r="O71" s="1038"/>
      <c r="P71" s="1038"/>
      <c r="Q71" s="1038"/>
      <c r="R71" s="1038"/>
      <c r="S71" s="1038"/>
      <c r="T71" s="1038"/>
      <c r="U71" s="1038"/>
      <c r="V71" s="1045"/>
    </row>
    <row r="72" spans="1:22">
      <c r="B72" s="1059"/>
      <c r="C72" s="982"/>
      <c r="D72" s="982"/>
      <c r="E72" s="982"/>
      <c r="F72" s="982"/>
      <c r="G72" s="982"/>
      <c r="H72" s="982"/>
      <c r="I72" s="982"/>
      <c r="J72" s="982"/>
      <c r="K72" s="982"/>
      <c r="L72" s="982"/>
      <c r="M72" s="982"/>
      <c r="N72" s="982"/>
      <c r="O72" s="982"/>
      <c r="P72" s="982"/>
      <c r="Q72" s="982"/>
      <c r="R72" s="982"/>
      <c r="S72" s="982"/>
      <c r="T72" s="982"/>
      <c r="U72" s="982"/>
      <c r="V72" s="982"/>
    </row>
    <row r="73" spans="1:22">
      <c r="A73" s="1017" t="s">
        <v>446</v>
      </c>
      <c r="B73" s="1018"/>
      <c r="C73" s="1018"/>
      <c r="D73" s="1018"/>
    </row>
    <row r="74" spans="1:22">
      <c r="A74" s="1070"/>
      <c r="B74" s="1015" t="s">
        <v>447</v>
      </c>
      <c r="E74" s="1048">
        <f>'Key Assumptions'!J12</f>
        <v>0</v>
      </c>
      <c r="F74" s="1048">
        <f>'Key Assumptions'!K12</f>
        <v>0</v>
      </c>
      <c r="G74" s="1048">
        <f>'Key Assumptions'!L12</f>
        <v>0</v>
      </c>
      <c r="H74" s="1048">
        <f>'Key Assumptions'!M12</f>
        <v>0</v>
      </c>
      <c r="I74" s="1048">
        <f>'Key Assumptions'!N12</f>
        <v>0</v>
      </c>
      <c r="J74" s="1048">
        <f>'Key Assumptions'!O12</f>
        <v>1</v>
      </c>
      <c r="K74" s="1048">
        <f>'Key Assumptions'!P12</f>
        <v>0</v>
      </c>
      <c r="L74" s="1048">
        <f>'Key Assumptions'!Q12</f>
        <v>0</v>
      </c>
      <c r="M74" s="1048">
        <f>'Key Assumptions'!R12</f>
        <v>0</v>
      </c>
      <c r="N74" s="1048">
        <f>'Key Assumptions'!S12</f>
        <v>0</v>
      </c>
      <c r="O74" s="1048">
        <f>'Key Assumptions'!T12</f>
        <v>0</v>
      </c>
      <c r="P74" s="1048">
        <f>'Key Assumptions'!U12</f>
        <v>1</v>
      </c>
      <c r="Q74" s="1048">
        <f>'Key Assumptions'!V12</f>
        <v>0</v>
      </c>
      <c r="R74" s="1048">
        <f>'Key Assumptions'!W12</f>
        <v>1</v>
      </c>
      <c r="S74" s="1048">
        <f>'Key Assumptions'!X12</f>
        <v>0</v>
      </c>
      <c r="T74" s="1048">
        <f>'Key Assumptions'!Y12</f>
        <v>0</v>
      </c>
      <c r="U74" s="1048">
        <f>'Key Assumptions'!Z12</f>
        <v>0</v>
      </c>
    </row>
    <row r="75" spans="1:22">
      <c r="A75" s="1071"/>
    </row>
    <row r="76" spans="1:22">
      <c r="A76" s="1072"/>
      <c r="B76" s="1018" t="s">
        <v>448</v>
      </c>
    </row>
    <row r="77" spans="1:22">
      <c r="B77" s="1073" t="s">
        <v>449</v>
      </c>
      <c r="C77" s="1052">
        <v>3</v>
      </c>
      <c r="D77" s="1052">
        <f>3500/10^5</f>
        <v>3.5000000000000003E-2</v>
      </c>
      <c r="E77" s="982"/>
      <c r="F77" s="982"/>
      <c r="G77" s="982"/>
      <c r="H77" s="982"/>
      <c r="I77" s="982"/>
      <c r="J77" s="991">
        <f>$D$77*$C$77*J74</f>
        <v>0.10500000000000001</v>
      </c>
      <c r="K77" s="991">
        <f>$D$77*$C$77*K74</f>
        <v>0</v>
      </c>
      <c r="L77" s="991">
        <f>$D$77*$C$77*L74</f>
        <v>0</v>
      </c>
      <c r="M77" s="991">
        <f>$D$77*$C$77*M74</f>
        <v>0</v>
      </c>
      <c r="N77" s="991">
        <f t="shared" ref="N77:U77" si="31">$D$77*$C$77*N74</f>
        <v>0</v>
      </c>
      <c r="O77" s="991">
        <f t="shared" si="31"/>
        <v>0</v>
      </c>
      <c r="P77" s="991">
        <f>$D$77*$C$77*P74*P6</f>
        <v>0.15373050000000002</v>
      </c>
      <c r="Q77" s="991">
        <f t="shared" si="31"/>
        <v>0</v>
      </c>
      <c r="R77" s="991">
        <f>$D$77*$C$77*R74*R6</f>
        <v>0.18601390500000003</v>
      </c>
      <c r="S77" s="991">
        <f t="shared" si="31"/>
        <v>0</v>
      </c>
      <c r="T77" s="991">
        <f t="shared" si="31"/>
        <v>0</v>
      </c>
      <c r="U77" s="991">
        <f t="shared" si="31"/>
        <v>0</v>
      </c>
    </row>
    <row r="78" spans="1:22">
      <c r="B78" s="1073" t="s">
        <v>450</v>
      </c>
      <c r="C78" s="1052">
        <v>8</v>
      </c>
      <c r="D78" s="1052">
        <f>2500/10^5</f>
        <v>2.5000000000000001E-2</v>
      </c>
      <c r="E78" s="982"/>
      <c r="F78" s="982"/>
      <c r="G78" s="982"/>
      <c r="H78" s="982"/>
      <c r="I78" s="982"/>
      <c r="J78" s="991">
        <f>$D$78*$C$78*J74</f>
        <v>0.2</v>
      </c>
      <c r="K78" s="991">
        <f>$D$78*$C$78*K74</f>
        <v>0</v>
      </c>
      <c r="L78" s="991">
        <f>$D$78*$C$78*L74</f>
        <v>0</v>
      </c>
      <c r="M78" s="991">
        <f>$D$78*$C$78*M74</f>
        <v>0</v>
      </c>
      <c r="N78" s="991">
        <f t="shared" ref="N78:U78" si="32">$D$78*$C$78*N74</f>
        <v>0</v>
      </c>
      <c r="O78" s="991">
        <f t="shared" si="32"/>
        <v>0</v>
      </c>
      <c r="P78" s="991">
        <f>$D$78*$C$78*P74*P6</f>
        <v>0.29282000000000002</v>
      </c>
      <c r="Q78" s="991">
        <f t="shared" si="32"/>
        <v>0</v>
      </c>
      <c r="R78" s="991">
        <f>$D$78*$C$78*R74*R6</f>
        <v>0.35431220000000008</v>
      </c>
      <c r="S78" s="991">
        <f t="shared" si="32"/>
        <v>0</v>
      </c>
      <c r="T78" s="991">
        <f t="shared" si="32"/>
        <v>0</v>
      </c>
      <c r="U78" s="991">
        <f t="shared" si="32"/>
        <v>0</v>
      </c>
    </row>
    <row r="79" spans="1:22">
      <c r="B79" s="1073" t="s">
        <v>451</v>
      </c>
      <c r="C79" s="1052">
        <v>1</v>
      </c>
      <c r="D79" s="1052">
        <f>450/10^5</f>
        <v>4.4999999999999997E-3</v>
      </c>
      <c r="E79" s="982"/>
      <c r="F79" s="982"/>
      <c r="G79" s="982"/>
      <c r="H79" s="982"/>
      <c r="I79" s="982"/>
      <c r="J79" s="991">
        <f>$C$79*$D$79*J74</f>
        <v>4.4999999999999997E-3</v>
      </c>
      <c r="K79" s="991">
        <f>$C$79*$D$79*K74</f>
        <v>0</v>
      </c>
      <c r="L79" s="991">
        <f>$C$79*$D$79*L74</f>
        <v>0</v>
      </c>
      <c r="M79" s="991">
        <f>$C$79*$D$79*M74</f>
        <v>0</v>
      </c>
      <c r="N79" s="991">
        <f t="shared" ref="N79:U79" si="33">$C$79*$D$79*N74</f>
        <v>0</v>
      </c>
      <c r="O79" s="991">
        <f t="shared" si="33"/>
        <v>0</v>
      </c>
      <c r="P79" s="991">
        <f>$C$79*$D$79*P74*P6</f>
        <v>6.58845E-3</v>
      </c>
      <c r="Q79" s="991">
        <f t="shared" si="33"/>
        <v>0</v>
      </c>
      <c r="R79" s="991">
        <f>$C$79*$D$79*R74*R6</f>
        <v>7.9720245000000009E-3</v>
      </c>
      <c r="S79" s="1074">
        <f t="shared" si="33"/>
        <v>0</v>
      </c>
      <c r="T79" s="1074">
        <f t="shared" si="33"/>
        <v>0</v>
      </c>
      <c r="U79" s="1074">
        <f t="shared" si="33"/>
        <v>0</v>
      </c>
    </row>
    <row r="80" spans="1:22">
      <c r="B80" s="1055" t="s">
        <v>6</v>
      </c>
      <c r="C80" s="1055"/>
      <c r="D80" s="1055">
        <f>SUM(D77:D79)</f>
        <v>6.4500000000000002E-2</v>
      </c>
      <c r="E80" s="1055"/>
      <c r="F80" s="1055"/>
      <c r="G80" s="1055"/>
      <c r="H80" s="1055"/>
      <c r="I80" s="1055"/>
      <c r="J80" s="1034">
        <f>SUM(J77:J79)</f>
        <v>0.30950000000000005</v>
      </c>
      <c r="K80" s="1034">
        <f>SUM(K77:K79)</f>
        <v>0</v>
      </c>
      <c r="L80" s="1034">
        <f>SUM(L77:L79)</f>
        <v>0</v>
      </c>
      <c r="M80" s="1034">
        <f>SUM(M77:M79)</f>
        <v>0</v>
      </c>
      <c r="N80" s="1034">
        <f t="shared" ref="N80:U80" si="34">SUM(N77:N79)</f>
        <v>0</v>
      </c>
      <c r="O80" s="1034">
        <f t="shared" si="34"/>
        <v>0</v>
      </c>
      <c r="P80" s="1034">
        <f t="shared" si="34"/>
        <v>0.4531389500000001</v>
      </c>
      <c r="Q80" s="1034">
        <f t="shared" si="34"/>
        <v>0</v>
      </c>
      <c r="R80" s="1034">
        <f t="shared" si="34"/>
        <v>0.54829812950000012</v>
      </c>
      <c r="S80" s="1055">
        <f t="shared" si="34"/>
        <v>0</v>
      </c>
      <c r="T80" s="1055">
        <f t="shared" si="34"/>
        <v>0</v>
      </c>
      <c r="U80" s="1055">
        <f t="shared" si="34"/>
        <v>0</v>
      </c>
      <c r="V80" s="1041">
        <f>F80+G80+H80+I80+J80+K80+L80+M80+N80+O80+P80+Q80+R80+S80+T80+U80</f>
        <v>1.3109370795000004</v>
      </c>
    </row>
    <row r="81" spans="1:22">
      <c r="B81" s="982"/>
      <c r="C81" s="982"/>
      <c r="D81" s="982"/>
      <c r="E81" s="982"/>
      <c r="F81" s="982"/>
      <c r="G81" s="982"/>
      <c r="H81" s="982"/>
      <c r="I81" s="982"/>
      <c r="J81" s="982"/>
      <c r="K81" s="982"/>
      <c r="L81" s="982"/>
      <c r="M81" s="982"/>
      <c r="N81" s="982"/>
      <c r="O81" s="982"/>
      <c r="P81" s="982"/>
      <c r="Q81" s="982"/>
      <c r="R81" s="982"/>
      <c r="S81" s="982"/>
      <c r="T81" s="982"/>
      <c r="U81" s="982"/>
    </row>
    <row r="82" spans="1:22">
      <c r="B82" s="1018" t="s">
        <v>443</v>
      </c>
      <c r="C82" s="982"/>
      <c r="D82" s="982"/>
      <c r="E82" s="982"/>
      <c r="F82" s="982"/>
      <c r="G82" s="982"/>
      <c r="H82" s="982"/>
      <c r="I82" s="982"/>
      <c r="J82" s="1075"/>
      <c r="K82" s="1075"/>
      <c r="L82" s="1075"/>
      <c r="M82" s="1075"/>
      <c r="N82" s="1075"/>
      <c r="O82" s="1075"/>
      <c r="P82" s="1075"/>
      <c r="Q82" s="1075"/>
      <c r="R82" s="1075"/>
      <c r="S82" s="1075"/>
      <c r="T82" s="1075"/>
      <c r="U82" s="1075"/>
    </row>
    <row r="83" spans="1:22">
      <c r="B83" s="1073" t="s">
        <v>452</v>
      </c>
      <c r="C83" s="1052">
        <v>3</v>
      </c>
      <c r="D83" s="1052">
        <f>25000/10^5</f>
        <v>0.25</v>
      </c>
      <c r="E83" s="982"/>
      <c r="F83" s="982"/>
      <c r="G83" s="982"/>
      <c r="H83" s="982"/>
      <c r="I83" s="982"/>
      <c r="J83" s="991">
        <f t="shared" ref="J83:O83" si="35">$C$83*$D$83*J74</f>
        <v>0.75</v>
      </c>
      <c r="K83" s="991">
        <f t="shared" si="35"/>
        <v>0</v>
      </c>
      <c r="L83" s="991">
        <f t="shared" si="35"/>
        <v>0</v>
      </c>
      <c r="M83" s="991">
        <f t="shared" si="35"/>
        <v>0</v>
      </c>
      <c r="N83" s="991">
        <f t="shared" si="35"/>
        <v>0</v>
      </c>
      <c r="O83" s="991">
        <f t="shared" si="35"/>
        <v>0</v>
      </c>
      <c r="P83" s="991">
        <f>$C$83*$D$83*P74*P6</f>
        <v>1.0980750000000001</v>
      </c>
      <c r="Q83" s="991"/>
      <c r="R83" s="991">
        <f>$C$83*$D$83*R74*R6</f>
        <v>1.3286707500000001</v>
      </c>
      <c r="S83" s="991"/>
      <c r="T83" s="991"/>
      <c r="U83" s="991"/>
    </row>
    <row r="84" spans="1:22">
      <c r="B84" s="1073" t="s">
        <v>453</v>
      </c>
      <c r="C84" s="1052">
        <v>1</v>
      </c>
      <c r="D84" s="1052">
        <f>10000/10^5</f>
        <v>0.1</v>
      </c>
      <c r="E84" s="982"/>
      <c r="F84" s="982"/>
      <c r="G84" s="982"/>
      <c r="H84" s="982"/>
      <c r="I84" s="982"/>
      <c r="J84" s="991">
        <f t="shared" ref="J84:O84" si="36">$C$84*$D$84*J74</f>
        <v>0.1</v>
      </c>
      <c r="K84" s="991">
        <f t="shared" si="36"/>
        <v>0</v>
      </c>
      <c r="L84" s="991">
        <f t="shared" si="36"/>
        <v>0</v>
      </c>
      <c r="M84" s="991">
        <f t="shared" si="36"/>
        <v>0</v>
      </c>
      <c r="N84" s="991">
        <f t="shared" si="36"/>
        <v>0</v>
      </c>
      <c r="O84" s="991">
        <f t="shared" si="36"/>
        <v>0</v>
      </c>
      <c r="P84" s="991">
        <f>$C$84*$D$84*P74*P6</f>
        <v>0.14641000000000001</v>
      </c>
      <c r="Q84" s="991"/>
      <c r="R84" s="991">
        <f>$C$84*$D$84*R74*R6</f>
        <v>0.17715610000000004</v>
      </c>
      <c r="S84" s="991"/>
      <c r="T84" s="991"/>
      <c r="U84" s="991"/>
    </row>
    <row r="85" spans="1:22">
      <c r="A85" s="1071"/>
      <c r="B85" s="1055" t="s">
        <v>6</v>
      </c>
      <c r="C85" s="1055"/>
      <c r="D85" s="1055">
        <f>SUM(D83:D84)</f>
        <v>0.35</v>
      </c>
      <c r="E85" s="1055"/>
      <c r="F85" s="1055"/>
      <c r="G85" s="1055"/>
      <c r="H85" s="1055"/>
      <c r="I85" s="1055"/>
      <c r="J85" s="1034">
        <f>SUM(J83:J84)</f>
        <v>0.85</v>
      </c>
      <c r="K85" s="1034">
        <f>SUM(K83:K84)</f>
        <v>0</v>
      </c>
      <c r="L85" s="1034">
        <f>SUM(L83:L84)</f>
        <v>0</v>
      </c>
      <c r="M85" s="1034">
        <f>SUM(M83:M84)</f>
        <v>0</v>
      </c>
      <c r="N85" s="1034">
        <f t="shared" ref="N85:U85" si="37">SUM(N83:N84)</f>
        <v>0</v>
      </c>
      <c r="O85" s="1034">
        <f t="shared" si="37"/>
        <v>0</v>
      </c>
      <c r="P85" s="1034">
        <f t="shared" si="37"/>
        <v>1.2444850000000001</v>
      </c>
      <c r="Q85" s="1034">
        <f t="shared" si="37"/>
        <v>0</v>
      </c>
      <c r="R85" s="1034">
        <f t="shared" si="37"/>
        <v>1.5058268500000001</v>
      </c>
      <c r="S85" s="1034">
        <f t="shared" si="37"/>
        <v>0</v>
      </c>
      <c r="T85" s="1034">
        <f t="shared" si="37"/>
        <v>0</v>
      </c>
      <c r="U85" s="1034">
        <f t="shared" si="37"/>
        <v>0</v>
      </c>
      <c r="V85" s="1041">
        <f>F85+G85+H85+I85+J85+K85+L85+M85+N85+O85+P85+Q85+R85+S85+T85+U85</f>
        <v>3.6003118500000002</v>
      </c>
    </row>
    <row r="86" spans="1:22" s="1035" customFormat="1">
      <c r="A86" s="1042"/>
      <c r="J86" s="1038"/>
      <c r="K86" s="1038"/>
      <c r="L86" s="1038"/>
      <c r="M86" s="1038"/>
      <c r="N86" s="1038"/>
      <c r="O86" s="1038"/>
      <c r="P86" s="1038"/>
      <c r="Q86" s="1038"/>
      <c r="R86" s="1038"/>
      <c r="S86" s="1038"/>
      <c r="T86" s="1038"/>
      <c r="U86" s="1038"/>
      <c r="V86" s="1045"/>
    </row>
    <row r="87" spans="1:22">
      <c r="A87" s="1039"/>
      <c r="B87" s="1055" t="s">
        <v>462</v>
      </c>
      <c r="C87" s="1055"/>
      <c r="D87" s="1055">
        <f>D80+D85</f>
        <v>0.41449999999999998</v>
      </c>
      <c r="E87" s="1055"/>
      <c r="F87" s="1055"/>
      <c r="G87" s="1055"/>
      <c r="H87" s="1055"/>
      <c r="I87" s="1055"/>
      <c r="J87" s="1034">
        <f>J80+J85</f>
        <v>1.1595</v>
      </c>
      <c r="K87" s="1034">
        <f>K80+K85</f>
        <v>0</v>
      </c>
      <c r="L87" s="1034">
        <f>L80+L85</f>
        <v>0</v>
      </c>
      <c r="M87" s="1034">
        <f>M80+M85</f>
        <v>0</v>
      </c>
      <c r="N87" s="1034">
        <f t="shared" ref="N87:U87" si="38">N80+N85</f>
        <v>0</v>
      </c>
      <c r="O87" s="1034">
        <f t="shared" si="38"/>
        <v>0</v>
      </c>
      <c r="P87" s="1034">
        <f t="shared" si="38"/>
        <v>1.6976239500000001</v>
      </c>
      <c r="Q87" s="1034">
        <f t="shared" si="38"/>
        <v>0</v>
      </c>
      <c r="R87" s="1034">
        <f t="shared" si="38"/>
        <v>2.0541249795000001</v>
      </c>
      <c r="S87" s="1034">
        <f t="shared" si="38"/>
        <v>0</v>
      </c>
      <c r="T87" s="1034">
        <f t="shared" si="38"/>
        <v>0</v>
      </c>
      <c r="U87" s="1034">
        <f t="shared" si="38"/>
        <v>0</v>
      </c>
      <c r="V87" s="1041">
        <f>F87+G87+H87+I87+J87+K87+L87+M87+N87+O87+P87+Q87+R87+S87+T87+U87</f>
        <v>4.9112489295000001</v>
      </c>
    </row>
    <row r="89" spans="1:22">
      <c r="B89" s="1039" t="s">
        <v>92</v>
      </c>
      <c r="C89" s="1055"/>
      <c r="D89" s="1055"/>
      <c r="E89" s="1076">
        <f>E87+E46+E24+E70</f>
        <v>30.317728963499995</v>
      </c>
      <c r="F89" s="1076">
        <f t="shared" ref="F89:U89" si="39">F87+F46+F24+F70</f>
        <v>45.636728963499998</v>
      </c>
      <c r="G89" s="1076">
        <f t="shared" si="39"/>
        <v>21.248999999999999</v>
      </c>
      <c r="H89" s="1076">
        <f t="shared" si="39"/>
        <v>15.318999999999999</v>
      </c>
      <c r="I89" s="1076">
        <f t="shared" si="39"/>
        <v>15.318999999999999</v>
      </c>
      <c r="J89" s="1076">
        <f t="shared" si="39"/>
        <v>37.579399999999993</v>
      </c>
      <c r="K89" s="1076">
        <f t="shared" si="39"/>
        <v>16.850900000000003</v>
      </c>
      <c r="L89" s="1076">
        <f t="shared" si="39"/>
        <v>23.373900000000003</v>
      </c>
      <c r="M89" s="1076">
        <f t="shared" si="39"/>
        <v>16.850900000000003</v>
      </c>
      <c r="N89" s="1076">
        <f t="shared" si="39"/>
        <v>122.84516000000002</v>
      </c>
      <c r="O89" s="1076">
        <f t="shared" si="39"/>
        <v>57.879866000000007</v>
      </c>
      <c r="P89" s="1076">
        <f t="shared" si="39"/>
        <v>76.68336355000001</v>
      </c>
      <c r="Q89" s="1076">
        <f t="shared" si="39"/>
        <v>70.034637860000018</v>
      </c>
      <c r="R89" s="1076">
        <f t="shared" si="39"/>
        <v>37.070799705500001</v>
      </c>
      <c r="S89" s="1076">
        <f t="shared" si="39"/>
        <v>84.741911810600016</v>
      </c>
      <c r="T89" s="1076">
        <f t="shared" si="39"/>
        <v>93.216102991660009</v>
      </c>
      <c r="U89" s="1076">
        <f t="shared" si="39"/>
        <v>88.555083483195986</v>
      </c>
      <c r="V89" s="1041">
        <f>F89+G89+H89+I89+J89+K89+L89+M89+N89+O89+P89+Q89+R89+S89+T89+U89</f>
        <v>823.20575436445597</v>
      </c>
    </row>
    <row r="90" spans="1:22">
      <c r="E90" s="1041"/>
      <c r="F90" s="1041"/>
      <c r="G90" s="1041"/>
      <c r="H90" s="1041"/>
      <c r="I90" s="1041"/>
      <c r="J90" s="1041"/>
      <c r="K90" s="1041"/>
      <c r="L90" s="1041"/>
      <c r="M90" s="1041"/>
      <c r="N90" s="1041"/>
      <c r="O90" s="1041"/>
      <c r="P90" s="1041"/>
      <c r="Q90" s="1041"/>
      <c r="R90" s="1041"/>
      <c r="S90" s="1041"/>
      <c r="T90" s="1041"/>
      <c r="U90" s="1041"/>
      <c r="V90" s="1041"/>
    </row>
    <row r="91" spans="1:22">
      <c r="B91" s="1018" t="s">
        <v>467</v>
      </c>
    </row>
    <row r="92" spans="1:22">
      <c r="A92" s="1015">
        <v>1</v>
      </c>
      <c r="B92" s="1015" t="str">
        <f>B9</f>
        <v>Development of IPR: 5yrs to be amortized from 14-15</v>
      </c>
      <c r="E92" s="1041">
        <f>E12</f>
        <v>0</v>
      </c>
      <c r="F92" s="1041">
        <v>0</v>
      </c>
      <c r="G92" s="1041">
        <f t="shared" ref="G92:M92" si="40">G12</f>
        <v>0</v>
      </c>
      <c r="H92" s="1041">
        <f t="shared" si="40"/>
        <v>0</v>
      </c>
      <c r="I92" s="1041">
        <f t="shared" si="40"/>
        <v>0</v>
      </c>
      <c r="J92" s="1041">
        <f t="shared" si="40"/>
        <v>0</v>
      </c>
      <c r="K92" s="1041">
        <f t="shared" si="40"/>
        <v>0</v>
      </c>
      <c r="L92" s="1041">
        <f t="shared" si="40"/>
        <v>0</v>
      </c>
      <c r="M92" s="1041">
        <f t="shared" si="40"/>
        <v>0</v>
      </c>
      <c r="N92" s="1041">
        <f t="shared" ref="N92:U92" si="41">N12</f>
        <v>0</v>
      </c>
      <c r="O92" s="1041">
        <f t="shared" si="41"/>
        <v>0</v>
      </c>
      <c r="P92" s="1041">
        <f t="shared" si="41"/>
        <v>0</v>
      </c>
      <c r="Q92" s="1041">
        <f t="shared" si="41"/>
        <v>0</v>
      </c>
      <c r="R92" s="1041">
        <f t="shared" si="41"/>
        <v>0</v>
      </c>
      <c r="S92" s="1041">
        <f t="shared" si="41"/>
        <v>0</v>
      </c>
      <c r="T92" s="1041">
        <f t="shared" si="41"/>
        <v>0</v>
      </c>
      <c r="U92" s="1041">
        <f t="shared" si="41"/>
        <v>0</v>
      </c>
      <c r="V92" s="1041">
        <f>SUM(F92:U92)</f>
        <v>0</v>
      </c>
    </row>
    <row r="93" spans="1:22">
      <c r="A93" s="1015">
        <v>2</v>
      </c>
      <c r="B93" s="1015" t="str">
        <f>B13</f>
        <v>IT Equipments</v>
      </c>
      <c r="E93" s="1077">
        <f>E85+E14+E37+E67</f>
        <v>1.955346</v>
      </c>
      <c r="F93" s="1077">
        <f t="shared" ref="F93:U93" si="42">F85+F14+F37+F67</f>
        <v>5.5053459999999994</v>
      </c>
      <c r="G93" s="1077">
        <f t="shared" si="42"/>
        <v>4.95</v>
      </c>
      <c r="H93" s="1077">
        <f t="shared" si="42"/>
        <v>3.55</v>
      </c>
      <c r="I93" s="1077">
        <f t="shared" si="42"/>
        <v>3.55</v>
      </c>
      <c r="J93" s="1077">
        <f t="shared" si="42"/>
        <v>9.3750000000000018</v>
      </c>
      <c r="K93" s="1077">
        <f t="shared" si="42"/>
        <v>3.9050000000000002</v>
      </c>
      <c r="L93" s="1077">
        <f t="shared" si="42"/>
        <v>5.4450000000000003</v>
      </c>
      <c r="M93" s="1077">
        <f t="shared" si="42"/>
        <v>3.9050000000000002</v>
      </c>
      <c r="N93" s="1077">
        <f t="shared" si="42"/>
        <v>23.958000000000006</v>
      </c>
      <c r="O93" s="1077">
        <f t="shared" si="42"/>
        <v>13.310000000000002</v>
      </c>
      <c r="P93" s="1077">
        <f t="shared" si="42"/>
        <v>13.835745000000003</v>
      </c>
      <c r="Q93" s="1077">
        <f t="shared" si="42"/>
        <v>16.1051</v>
      </c>
      <c r="R93" s="1077">
        <f t="shared" si="42"/>
        <v>9.3006952500000004</v>
      </c>
      <c r="S93" s="1077">
        <f t="shared" si="42"/>
        <v>19.487171000000004</v>
      </c>
      <c r="T93" s="1077">
        <f t="shared" si="42"/>
        <v>21.4358881</v>
      </c>
      <c r="U93" s="1077">
        <f t="shared" si="42"/>
        <v>20.278350142600001</v>
      </c>
      <c r="V93" s="1041">
        <f>SUM(E93:U93)</f>
        <v>179.85164149260004</v>
      </c>
    </row>
    <row r="94" spans="1:22">
      <c r="A94" s="1015">
        <v>3</v>
      </c>
      <c r="B94" s="1015" t="str">
        <f>B15</f>
        <v>IT Software</v>
      </c>
      <c r="E94" s="1077">
        <f>E16</f>
        <v>0.11260273399999998</v>
      </c>
      <c r="F94" s="1077">
        <f t="shared" ref="F94:U94" si="43">F16</f>
        <v>0.11260273399999998</v>
      </c>
      <c r="G94" s="1077">
        <f t="shared" si="43"/>
        <v>0</v>
      </c>
      <c r="H94" s="1077">
        <f t="shared" si="43"/>
        <v>0</v>
      </c>
      <c r="I94" s="1077">
        <f t="shared" si="43"/>
        <v>0</v>
      </c>
      <c r="J94" s="1077">
        <f t="shared" si="43"/>
        <v>0</v>
      </c>
      <c r="K94" s="1077">
        <f t="shared" si="43"/>
        <v>0</v>
      </c>
      <c r="L94" s="1077">
        <f t="shared" si="43"/>
        <v>0</v>
      </c>
      <c r="M94" s="1077">
        <f t="shared" si="43"/>
        <v>0</v>
      </c>
      <c r="N94" s="1077">
        <f t="shared" si="43"/>
        <v>0</v>
      </c>
      <c r="O94" s="1077">
        <f t="shared" si="43"/>
        <v>0</v>
      </c>
      <c r="P94" s="1077">
        <f t="shared" si="43"/>
        <v>0</v>
      </c>
      <c r="Q94" s="1077">
        <f t="shared" si="43"/>
        <v>0</v>
      </c>
      <c r="R94" s="1077">
        <f t="shared" si="43"/>
        <v>0</v>
      </c>
      <c r="S94" s="1077">
        <f t="shared" si="43"/>
        <v>0</v>
      </c>
      <c r="T94" s="1077">
        <f t="shared" si="43"/>
        <v>0</v>
      </c>
      <c r="U94" s="1077">
        <f t="shared" si="43"/>
        <v>0</v>
      </c>
      <c r="V94" s="1041">
        <f>SUM(E94:U94)</f>
        <v>0.22520546799999996</v>
      </c>
    </row>
    <row r="95" spans="1:22">
      <c r="A95" s="1015">
        <v>4</v>
      </c>
      <c r="B95" s="1015" t="str">
        <f>B17</f>
        <v>Furniture &amp; Fixture</v>
      </c>
      <c r="E95" s="1077">
        <f>E80+E33+E18+E62</f>
        <v>11.874283784999999</v>
      </c>
      <c r="F95" s="1077">
        <f t="shared" ref="F95:U95" si="44">F80+F33+F18+F62</f>
        <v>21.693283784999998</v>
      </c>
      <c r="G95" s="1077">
        <f t="shared" si="44"/>
        <v>14.348999999999998</v>
      </c>
      <c r="H95" s="1077">
        <f t="shared" si="44"/>
        <v>9.8190000000000008</v>
      </c>
      <c r="I95" s="1077">
        <f t="shared" si="44"/>
        <v>9.8190000000000008</v>
      </c>
      <c r="J95" s="1077">
        <f t="shared" si="44"/>
        <v>26.059399999999997</v>
      </c>
      <c r="K95" s="1077">
        <f t="shared" si="44"/>
        <v>10.800900000000002</v>
      </c>
      <c r="L95" s="1077">
        <f t="shared" si="44"/>
        <v>15.783900000000001</v>
      </c>
      <c r="M95" s="1077">
        <f t="shared" si="44"/>
        <v>10.800900000000002</v>
      </c>
      <c r="N95" s="1077">
        <f t="shared" si="44"/>
        <v>69.449160000000006</v>
      </c>
      <c r="O95" s="1077">
        <f t="shared" si="44"/>
        <v>34.188066000000006</v>
      </c>
      <c r="P95" s="1077">
        <f t="shared" si="44"/>
        <v>31.427638550000005</v>
      </c>
      <c r="Q95" s="1077">
        <f t="shared" si="44"/>
        <v>41.367559860000014</v>
      </c>
      <c r="R95" s="1077">
        <f t="shared" si="44"/>
        <v>13.951928655500001</v>
      </c>
      <c r="S95" s="1077">
        <f t="shared" si="44"/>
        <v>50.054747430600017</v>
      </c>
      <c r="T95" s="1077">
        <f t="shared" si="44"/>
        <v>55.060222173660009</v>
      </c>
      <c r="U95" s="1077">
        <f t="shared" si="44"/>
        <v>49.884741350795991</v>
      </c>
      <c r="V95" s="1041">
        <f>SUM(E95:U95)</f>
        <v>476.38373159055601</v>
      </c>
    </row>
    <row r="96" spans="1:22">
      <c r="A96" s="1015">
        <v>5</v>
      </c>
      <c r="B96" s="1015" t="str">
        <f>B19</f>
        <v>Office Equipment</v>
      </c>
      <c r="E96" s="1077">
        <f t="shared" ref="E96:U96" si="45">E20+E44</f>
        <v>5.6183410125000002</v>
      </c>
      <c r="F96" s="1077">
        <f t="shared" si="45"/>
        <v>7.5683410125000004</v>
      </c>
      <c r="G96" s="1077">
        <f t="shared" si="45"/>
        <v>1.95</v>
      </c>
      <c r="H96" s="1077">
        <f t="shared" si="45"/>
        <v>1.95</v>
      </c>
      <c r="I96" s="1077">
        <f t="shared" si="45"/>
        <v>1.95</v>
      </c>
      <c r="J96" s="1077">
        <f t="shared" si="45"/>
        <v>2.145</v>
      </c>
      <c r="K96" s="1077">
        <f t="shared" si="45"/>
        <v>2.145</v>
      </c>
      <c r="L96" s="1077">
        <f t="shared" si="45"/>
        <v>2.145</v>
      </c>
      <c r="M96" s="1077">
        <f t="shared" si="45"/>
        <v>2.145</v>
      </c>
      <c r="N96" s="1077">
        <f t="shared" si="45"/>
        <v>9.4380000000000006</v>
      </c>
      <c r="O96" s="1077">
        <f t="shared" si="45"/>
        <v>10.3818</v>
      </c>
      <c r="P96" s="1077">
        <f t="shared" si="45"/>
        <v>11.419980000000001</v>
      </c>
      <c r="Q96" s="1077">
        <f t="shared" si="45"/>
        <v>12.561978</v>
      </c>
      <c r="R96" s="1077">
        <f t="shared" si="45"/>
        <v>13.818175800000001</v>
      </c>
      <c r="S96" s="1077">
        <f t="shared" si="45"/>
        <v>15.199993379999999</v>
      </c>
      <c r="T96" s="1077">
        <f t="shared" si="45"/>
        <v>16.719992718</v>
      </c>
      <c r="U96" s="1077">
        <f t="shared" si="45"/>
        <v>18.391991989799997</v>
      </c>
      <c r="V96" s="1041">
        <f>SUM(E96:U96)</f>
        <v>135.54859391279999</v>
      </c>
    </row>
    <row r="97" spans="1:24">
      <c r="A97" s="1015">
        <v>6</v>
      </c>
      <c r="B97" s="1015" t="str">
        <f>B21</f>
        <v>Vehicles</v>
      </c>
      <c r="E97" s="1077">
        <f t="shared" ref="E97:M97" si="46">E22</f>
        <v>10.757155431999999</v>
      </c>
      <c r="F97" s="1077">
        <f t="shared" si="46"/>
        <v>10.757155431999999</v>
      </c>
      <c r="G97" s="1077">
        <f t="shared" si="46"/>
        <v>0</v>
      </c>
      <c r="H97" s="1077">
        <f t="shared" si="46"/>
        <v>0</v>
      </c>
      <c r="I97" s="1077">
        <f t="shared" si="46"/>
        <v>0</v>
      </c>
      <c r="J97" s="1077">
        <f t="shared" si="46"/>
        <v>0</v>
      </c>
      <c r="K97" s="1077">
        <f t="shared" si="46"/>
        <v>0</v>
      </c>
      <c r="L97" s="1077">
        <f t="shared" si="46"/>
        <v>0</v>
      </c>
      <c r="M97" s="1077">
        <f t="shared" si="46"/>
        <v>0</v>
      </c>
      <c r="N97" s="1077">
        <f t="shared" ref="N97:U97" si="47">N22</f>
        <v>20</v>
      </c>
      <c r="O97" s="1077">
        <f t="shared" si="47"/>
        <v>0</v>
      </c>
      <c r="P97" s="1077">
        <f t="shared" si="47"/>
        <v>20</v>
      </c>
      <c r="Q97" s="1077">
        <f t="shared" si="47"/>
        <v>0</v>
      </c>
      <c r="R97" s="1077">
        <f t="shared" si="47"/>
        <v>0</v>
      </c>
      <c r="S97" s="1077">
        <f t="shared" si="47"/>
        <v>0</v>
      </c>
      <c r="T97" s="1077">
        <f t="shared" si="47"/>
        <v>0</v>
      </c>
      <c r="U97" s="1077">
        <f t="shared" si="47"/>
        <v>0</v>
      </c>
      <c r="V97" s="1041">
        <f>SUM(E97:U97)</f>
        <v>61.514310863999995</v>
      </c>
    </row>
    <row r="98" spans="1:24">
      <c r="B98" s="1039" t="s">
        <v>92</v>
      </c>
      <c r="C98" s="1039"/>
      <c r="D98" s="1039"/>
      <c r="E98" s="1078">
        <f t="shared" ref="E98:M98" si="48">SUM(E92:E97)</f>
        <v>30.317728963499995</v>
      </c>
      <c r="F98" s="1078">
        <f t="shared" si="48"/>
        <v>45.636728963499998</v>
      </c>
      <c r="G98" s="1078">
        <f t="shared" si="48"/>
        <v>21.248999999999999</v>
      </c>
      <c r="H98" s="1078">
        <f t="shared" si="48"/>
        <v>15.318999999999999</v>
      </c>
      <c r="I98" s="1078">
        <f t="shared" si="48"/>
        <v>15.318999999999999</v>
      </c>
      <c r="J98" s="1078">
        <f t="shared" si="48"/>
        <v>37.5794</v>
      </c>
      <c r="K98" s="1078">
        <f t="shared" si="48"/>
        <v>16.850900000000003</v>
      </c>
      <c r="L98" s="1078">
        <f t="shared" si="48"/>
        <v>23.373900000000003</v>
      </c>
      <c r="M98" s="1078">
        <f t="shared" si="48"/>
        <v>16.850900000000003</v>
      </c>
      <c r="N98" s="1078">
        <f t="shared" ref="N98:U98" si="49">SUM(N92:N97)</f>
        <v>122.84516000000001</v>
      </c>
      <c r="O98" s="1078">
        <f t="shared" si="49"/>
        <v>57.879866000000007</v>
      </c>
      <c r="P98" s="1078">
        <f t="shared" si="49"/>
        <v>76.68336355000001</v>
      </c>
      <c r="Q98" s="1078">
        <f t="shared" si="49"/>
        <v>70.034637860000018</v>
      </c>
      <c r="R98" s="1078">
        <f t="shared" si="49"/>
        <v>37.070799705500001</v>
      </c>
      <c r="S98" s="1078">
        <f t="shared" si="49"/>
        <v>84.741911810600016</v>
      </c>
      <c r="T98" s="1078">
        <f t="shared" si="49"/>
        <v>93.216102991660009</v>
      </c>
      <c r="U98" s="1078">
        <f t="shared" si="49"/>
        <v>88.555083483196</v>
      </c>
      <c r="V98" s="1041">
        <f>F98+G98+H98+I98+J98+K98+L98+M98+N98+O98+P98+Q98+R98+S98+T98+U98</f>
        <v>823.20575436445597</v>
      </c>
      <c r="W98" s="1041">
        <f>V98-V89</f>
        <v>0</v>
      </c>
      <c r="X98" s="1079"/>
    </row>
  </sheetData>
  <mergeCells count="4">
    <mergeCell ref="F4:H4"/>
    <mergeCell ref="I4:M4"/>
    <mergeCell ref="A1:U1"/>
    <mergeCell ref="B9:D9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 codeName="Sheet6">
    <pageSetUpPr fitToPage="1"/>
  </sheetPr>
  <dimension ref="A1:BE147"/>
  <sheetViews>
    <sheetView topLeftCell="A92" zoomScale="60" zoomScaleNormal="60" workbookViewId="0">
      <selection activeCell="O148" sqref="N148:O148"/>
    </sheetView>
  </sheetViews>
  <sheetFormatPr defaultRowHeight="15"/>
  <cols>
    <col min="1" max="1" width="44.85546875" style="1191" customWidth="1"/>
    <col min="2" max="5" width="12.28515625" style="1191" customWidth="1"/>
    <col min="6" max="6" width="12.140625" style="1191" bestFit="1" customWidth="1"/>
    <col min="7" max="8" width="12.28515625" style="1191" bestFit="1" customWidth="1"/>
    <col min="9" max="9" width="12.140625" style="1191" customWidth="1"/>
    <col min="10" max="10" width="13.42578125" style="1191" customWidth="1"/>
    <col min="11" max="11" width="13.140625" style="1191" customWidth="1"/>
    <col min="12" max="12" width="14" style="1191" customWidth="1"/>
    <col min="13" max="13" width="15" style="1191" customWidth="1"/>
    <col min="14" max="14" width="15.28515625" style="1191" customWidth="1"/>
    <col min="15" max="15" width="15" style="1191" customWidth="1"/>
    <col min="16" max="16" width="14.5703125" style="1191" customWidth="1"/>
    <col min="17" max="17" width="14.140625" style="1191" customWidth="1"/>
    <col min="18" max="18" width="13.42578125" style="1194" bestFit="1" customWidth="1"/>
    <col min="19" max="27" width="9.140625" style="1191" hidden="1" customWidth="1"/>
    <col min="28" max="28" width="10.7109375" style="1191" hidden="1" customWidth="1"/>
    <col min="29" max="29" width="11.5703125" style="1191" hidden="1" customWidth="1"/>
    <col min="30" max="30" width="11.42578125" style="1191" hidden="1" customWidth="1"/>
    <col min="31" max="31" width="11.5703125" style="1191" hidden="1" customWidth="1"/>
    <col min="32" max="39" width="9.140625" style="1191" hidden="1" customWidth="1"/>
    <col min="40" max="40" width="15" style="861" bestFit="1" customWidth="1"/>
    <col min="41" max="41" width="11.42578125" style="1191" customWidth="1"/>
    <col min="42" max="42" width="12.28515625" style="1191" customWidth="1"/>
    <col min="43" max="58" width="9.140625" style="1191" customWidth="1"/>
    <col min="59" max="16384" width="9.140625" style="1191"/>
  </cols>
  <sheetData>
    <row r="1" spans="1:40">
      <c r="A1" s="1339" t="s">
        <v>26</v>
      </c>
      <c r="B1" s="1339"/>
      <c r="C1" s="1339"/>
      <c r="D1" s="1339"/>
      <c r="E1" s="1339"/>
      <c r="F1" s="1339"/>
      <c r="G1" s="1339"/>
      <c r="H1" s="1339"/>
      <c r="I1" s="1339"/>
      <c r="J1" s="1339"/>
      <c r="K1" s="1339"/>
      <c r="L1" s="1339"/>
      <c r="M1" s="1339"/>
      <c r="N1" s="1339"/>
      <c r="O1" s="1339"/>
      <c r="P1" s="1339"/>
      <c r="Q1" s="1339"/>
      <c r="R1" s="1339"/>
    </row>
    <row r="2" spans="1:40" ht="18.75" customHeight="1">
      <c r="A2" s="860" t="s">
        <v>531</v>
      </c>
      <c r="B2" s="1341" t="s">
        <v>156</v>
      </c>
      <c r="C2" s="1341"/>
      <c r="D2" s="1341"/>
      <c r="E2" s="1341"/>
      <c r="F2" s="1341" t="s">
        <v>157</v>
      </c>
      <c r="G2" s="1341"/>
      <c r="H2" s="1341"/>
      <c r="I2" s="1341"/>
      <c r="J2" s="862" t="str">
        <f>'Key Assumptions'!S8</f>
        <v>Year 3</v>
      </c>
      <c r="K2" s="862" t="str">
        <f>'Key Assumptions'!T8</f>
        <v>Year 4</v>
      </c>
      <c r="L2" s="862" t="str">
        <f>'Key Assumptions'!U8</f>
        <v>Year 5</v>
      </c>
      <c r="M2" s="862" t="str">
        <f>'Key Assumptions'!V8</f>
        <v>Year 6</v>
      </c>
      <c r="N2" s="862" t="str">
        <f>'Key Assumptions'!W8</f>
        <v>Year 7</v>
      </c>
      <c r="O2" s="862" t="str">
        <f>'Key Assumptions'!X8</f>
        <v>Year 8</v>
      </c>
      <c r="P2" s="862" t="str">
        <f>'Key Assumptions'!Y8</f>
        <v>Year 9</v>
      </c>
      <c r="Q2" s="862" t="str">
        <f>'Key Assumptions'!Z8</f>
        <v>Year 10</v>
      </c>
      <c r="R2" s="1192" t="s">
        <v>6</v>
      </c>
      <c r="S2" s="1193"/>
      <c r="T2" s="1193"/>
      <c r="U2" s="1193"/>
      <c r="V2" s="1193"/>
      <c r="W2" s="1193"/>
      <c r="X2" s="1193"/>
      <c r="Y2" s="1193"/>
      <c r="Z2" s="1193"/>
      <c r="AA2" s="1193"/>
      <c r="AB2" s="1193"/>
      <c r="AC2" s="1193"/>
      <c r="AD2" s="1193"/>
      <c r="AE2" s="1193"/>
      <c r="AF2" s="1193"/>
      <c r="AG2" s="1193"/>
      <c r="AH2" s="1193"/>
      <c r="AI2" s="1193"/>
      <c r="AJ2" s="1193"/>
      <c r="AK2" s="1193"/>
      <c r="AL2" s="1193"/>
      <c r="AM2" s="1193"/>
      <c r="AN2" s="862" t="s">
        <v>529</v>
      </c>
    </row>
    <row r="3" spans="1:40" ht="18.75" customHeight="1">
      <c r="A3" s="860"/>
      <c r="B3" s="861" t="s">
        <v>608</v>
      </c>
      <c r="C3" s="861" t="s">
        <v>609</v>
      </c>
      <c r="D3" s="861" t="s">
        <v>610</v>
      </c>
      <c r="E3" s="861" t="s">
        <v>611</v>
      </c>
      <c r="F3" s="861" t="s">
        <v>608</v>
      </c>
      <c r="G3" s="861" t="s">
        <v>609</v>
      </c>
      <c r="H3" s="861" t="s">
        <v>610</v>
      </c>
      <c r="I3" s="861" t="s">
        <v>611</v>
      </c>
      <c r="J3" s="861"/>
      <c r="K3" s="861"/>
      <c r="L3" s="861"/>
      <c r="M3" s="861"/>
      <c r="N3" s="861"/>
      <c r="O3" s="861"/>
      <c r="P3" s="861"/>
      <c r="Q3" s="861"/>
    </row>
    <row r="4" spans="1:40" ht="33" customHeight="1">
      <c r="A4" s="1195" t="s">
        <v>415</v>
      </c>
      <c r="B4" s="1088">
        <f>'No. of people trained '!C94</f>
        <v>2.8125</v>
      </c>
      <c r="C4" s="1088">
        <f>'No. of people trained '!D94</f>
        <v>5.625</v>
      </c>
      <c r="D4" s="1088">
        <f>'No. of people trained '!E94</f>
        <v>8.4375</v>
      </c>
      <c r="E4" s="1088">
        <f>'No. of people trained '!F94</f>
        <v>11.25</v>
      </c>
      <c r="F4" s="1088">
        <f>'No. of people trained '!G94</f>
        <v>15.46875</v>
      </c>
      <c r="G4" s="1088">
        <f>'No. of people trained '!H94</f>
        <v>18.5625</v>
      </c>
      <c r="H4" s="1088">
        <f>'No. of people trained '!I94</f>
        <v>21.65625</v>
      </c>
      <c r="I4" s="1088">
        <f>'No. of people trained '!J94</f>
        <v>24.75</v>
      </c>
      <c r="J4" s="1088">
        <f>'No. of people trained '!K94</f>
        <v>217.80000000000004</v>
      </c>
      <c r="K4" s="1088">
        <f>'No. of people trained '!L94</f>
        <v>319.44000000000005</v>
      </c>
      <c r="L4" s="1088">
        <f>'No. of people trained '!M94</f>
        <v>439.23000000000013</v>
      </c>
      <c r="M4" s="1088">
        <f>'No. of people trained '!N94</f>
        <v>579.78360000000032</v>
      </c>
      <c r="N4" s="1088">
        <f>'No. of people trained '!O94</f>
        <v>744.05562000000043</v>
      </c>
      <c r="O4" s="1088">
        <f>'No. of people trained '!P94</f>
        <v>935.38420800000051</v>
      </c>
      <c r="P4" s="1088">
        <f>'No. of people trained '!Q94</f>
        <v>1157.5379574000008</v>
      </c>
      <c r="Q4" s="1088">
        <f>'No. of people trained '!R94</f>
        <v>1414.7686146000012</v>
      </c>
      <c r="R4" s="1089">
        <f t="shared" ref="R4:R11" si="0">SUM(B4:Q4)</f>
        <v>5916.5625000000036</v>
      </c>
      <c r="AN4" s="1196">
        <f t="shared" ref="AN4:AN13" si="1">R4/$R$14</f>
        <v>0.18846308969146441</v>
      </c>
    </row>
    <row r="5" spans="1:40" ht="33" customHeight="1">
      <c r="A5" s="1195" t="s">
        <v>662</v>
      </c>
      <c r="B5" s="1088">
        <f>'No. of people trained '!C97</f>
        <v>1.6875</v>
      </c>
      <c r="C5" s="1088">
        <f>'No. of people trained '!D97</f>
        <v>3.375</v>
      </c>
      <c r="D5" s="1088">
        <f>'No. of people trained '!E97</f>
        <v>5.0625</v>
      </c>
      <c r="E5" s="1088">
        <f>'No. of people trained '!F97</f>
        <v>6.75</v>
      </c>
      <c r="F5" s="1088">
        <f>'No. of people trained '!G97</f>
        <v>9.28125</v>
      </c>
      <c r="G5" s="1088">
        <f>'No. of people trained '!H97</f>
        <v>11.137499999999999</v>
      </c>
      <c r="H5" s="1088">
        <f>'No. of people trained '!I97</f>
        <v>12.99375</v>
      </c>
      <c r="I5" s="1088">
        <f>'No. of people trained '!J97</f>
        <v>14.85</v>
      </c>
      <c r="J5" s="1088">
        <f>'No. of people trained '!K97</f>
        <v>130.68</v>
      </c>
      <c r="K5" s="1088">
        <f>'No. of people trained '!L97</f>
        <v>191.66400000000004</v>
      </c>
      <c r="L5" s="1088">
        <f>'No. of people trained '!M97</f>
        <v>263.53800000000007</v>
      </c>
      <c r="M5" s="1088">
        <f>'No. of people trained '!N97</f>
        <v>347.87016000000017</v>
      </c>
      <c r="N5" s="1088">
        <f>'No. of people trained '!O97</f>
        <v>446.43337200000019</v>
      </c>
      <c r="O5" s="1088">
        <f>'No. of people trained '!P97</f>
        <v>561.23052480000024</v>
      </c>
      <c r="P5" s="1088">
        <f>'No. of people trained '!Q97</f>
        <v>694.52277444000038</v>
      </c>
      <c r="Q5" s="1088">
        <f>'No. of people trained '!R97</f>
        <v>848.86116876000062</v>
      </c>
      <c r="R5" s="1089">
        <f t="shared" si="0"/>
        <v>3549.9375000000018</v>
      </c>
      <c r="AN5" s="1196">
        <f t="shared" si="1"/>
        <v>0.11307785381487863</v>
      </c>
    </row>
    <row r="6" spans="1:40" ht="33" customHeight="1">
      <c r="A6" s="1195" t="s">
        <v>416</v>
      </c>
      <c r="B6" s="1088">
        <f>'No. of people trained '!C100</f>
        <v>0.75</v>
      </c>
      <c r="C6" s="1088">
        <f>'No. of people trained '!D100</f>
        <v>1.5</v>
      </c>
      <c r="D6" s="1088">
        <f>'No. of people trained '!E100</f>
        <v>2.25</v>
      </c>
      <c r="E6" s="1088">
        <f>'No. of people trained '!F100</f>
        <v>3</v>
      </c>
      <c r="F6" s="1088">
        <f>'No. of people trained '!G100</f>
        <v>4.125</v>
      </c>
      <c r="G6" s="1088">
        <f>'No. of people trained '!H100</f>
        <v>4.95</v>
      </c>
      <c r="H6" s="1088">
        <f>'No. of people trained '!I100</f>
        <v>5.7750000000000004</v>
      </c>
      <c r="I6" s="1088">
        <f>'No. of people trained '!J100</f>
        <v>6.6</v>
      </c>
      <c r="J6" s="1088">
        <f>'No. of people trained '!K100</f>
        <v>130.68</v>
      </c>
      <c r="K6" s="1088">
        <f>'No. of people trained '!L100</f>
        <v>191.66399999999999</v>
      </c>
      <c r="L6" s="1088">
        <f>'No. of people trained '!M100</f>
        <v>263.53800000000001</v>
      </c>
      <c r="M6" s="1088">
        <f>'No. of people trained '!N100</f>
        <v>347.87016000000006</v>
      </c>
      <c r="N6" s="1088">
        <f>'No. of people trained '!O100</f>
        <v>446.43337200000008</v>
      </c>
      <c r="O6" s="1088">
        <f>'No. of people trained '!P100</f>
        <v>561.23052480000013</v>
      </c>
      <c r="P6" s="1088">
        <f>'No. of people trained '!Q100</f>
        <v>694.52277444000026</v>
      </c>
      <c r="Q6" s="1088">
        <f>'No. of people trained '!R100</f>
        <v>848.86116876000028</v>
      </c>
      <c r="R6" s="1089">
        <f t="shared" si="0"/>
        <v>3513.7500000000009</v>
      </c>
      <c r="AN6" s="1196">
        <f t="shared" si="1"/>
        <v>0.1119251561026158</v>
      </c>
    </row>
    <row r="7" spans="1:40" ht="33" customHeight="1">
      <c r="A7" s="1195" t="s">
        <v>686</v>
      </c>
      <c r="B7" s="1088">
        <f>'No. of people trained '!C103</f>
        <v>3.1</v>
      </c>
      <c r="C7" s="1088">
        <f>'No. of people trained '!D103</f>
        <v>7.75</v>
      </c>
      <c r="D7" s="1088">
        <f>'No. of people trained '!E103</f>
        <v>10.85</v>
      </c>
      <c r="E7" s="1088">
        <f>'No. of people trained '!F103</f>
        <v>13.95</v>
      </c>
      <c r="F7" s="1088">
        <f>'No. of people trained '!G103</f>
        <v>23.87</v>
      </c>
      <c r="G7" s="1088">
        <f>'No. of people trained '!H103</f>
        <v>27.28</v>
      </c>
      <c r="H7" s="1088">
        <f>'No. of people trained '!I103</f>
        <v>32.395000000000003</v>
      </c>
      <c r="I7" s="1088">
        <f>'No. of people trained '!J103</f>
        <v>35.805</v>
      </c>
      <c r="J7" s="1088">
        <f>'No. of people trained '!K103</f>
        <v>247.56600000000003</v>
      </c>
      <c r="K7" s="1088">
        <f>'No. of people trained '!L103</f>
        <v>376.30032000000017</v>
      </c>
      <c r="L7" s="1088">
        <f>'No. of people trained '!M103</f>
        <v>457.5019680000002</v>
      </c>
      <c r="M7" s="1088">
        <f>'No. of people trained '!N103</f>
        <v>563.1631368000003</v>
      </c>
      <c r="N7" s="1088">
        <f>'No. of people trained '!O103</f>
        <v>632.65986432000045</v>
      </c>
      <c r="O7" s="1088">
        <f>'No. of people trained '!P103</f>
        <v>768.41812687200058</v>
      </c>
      <c r="P7" s="1088">
        <f>'No. of people trained '!Q103</f>
        <v>925.00144329120064</v>
      </c>
      <c r="Q7" s="1088">
        <f>'No. of people trained '!R103</f>
        <v>1087.674110904481</v>
      </c>
      <c r="R7" s="1089">
        <f t="shared" si="0"/>
        <v>5213.2849701876821</v>
      </c>
      <c r="AN7" s="1196">
        <f t="shared" si="1"/>
        <v>0.1660612548120034</v>
      </c>
    </row>
    <row r="8" spans="1:40" ht="33" customHeight="1">
      <c r="A8" s="1195" t="s">
        <v>687</v>
      </c>
      <c r="B8" s="1088">
        <f>'No. of people trained '!C106</f>
        <v>3.25</v>
      </c>
      <c r="C8" s="1088">
        <f>'No. of people trained '!D106</f>
        <v>8.125</v>
      </c>
      <c r="D8" s="1088">
        <f>'No. of people trained '!E106</f>
        <v>11.375</v>
      </c>
      <c r="E8" s="1088">
        <f>'No. of people trained '!F106</f>
        <v>14.625</v>
      </c>
      <c r="F8" s="1088">
        <f>'No. of people trained '!G106</f>
        <v>25.024999999999999</v>
      </c>
      <c r="G8" s="1088">
        <f>'No. of people trained '!H106</f>
        <v>28.6</v>
      </c>
      <c r="H8" s="1088">
        <f>'No. of people trained '!I106</f>
        <v>33.962499999999999</v>
      </c>
      <c r="I8" s="1088">
        <f>'No. of people trained '!J106</f>
        <v>37.537500000000001</v>
      </c>
      <c r="J8" s="1088">
        <f>'No. of people trained '!K106</f>
        <v>311.45400000000006</v>
      </c>
      <c r="K8" s="1088">
        <f>'No. of people trained '!L106</f>
        <v>473.41008000000016</v>
      </c>
      <c r="L8" s="1088">
        <f>'No. of people trained '!M106</f>
        <v>575.56699200000014</v>
      </c>
      <c r="M8" s="1088">
        <f>'No. of people trained '!N106</f>
        <v>708.49555920000034</v>
      </c>
      <c r="N8" s="1088">
        <f>'No. of people trained '!O106</f>
        <v>795.92692608000038</v>
      </c>
      <c r="O8" s="1088">
        <f>'No. of people trained '!P106</f>
        <v>966.71957896800052</v>
      </c>
      <c r="P8" s="1088">
        <f>'No. of people trained '!Q106</f>
        <v>1163.7114931728008</v>
      </c>
      <c r="Q8" s="1088">
        <f>'No. of people trained '!R106</f>
        <v>1368.364204041121</v>
      </c>
      <c r="R8" s="1089">
        <f t="shared" si="0"/>
        <v>6526.1488334619225</v>
      </c>
      <c r="AN8" s="1196">
        <f t="shared" si="1"/>
        <v>0.20788053416837554</v>
      </c>
    </row>
    <row r="9" spans="1:40" ht="33" customHeight="1">
      <c r="A9" s="1195" t="s">
        <v>688</v>
      </c>
      <c r="B9" s="1088">
        <f>'No. of people trained '!C109</f>
        <v>3.25</v>
      </c>
      <c r="C9" s="1088">
        <f>'No. of people trained '!D109</f>
        <v>8.125</v>
      </c>
      <c r="D9" s="1088">
        <f>'No. of people trained '!E109</f>
        <v>11.375</v>
      </c>
      <c r="E9" s="1088">
        <f>'No. of people trained '!F109</f>
        <v>14.625</v>
      </c>
      <c r="F9" s="1088">
        <f>'No. of people trained '!G109</f>
        <v>25.024999999999999</v>
      </c>
      <c r="G9" s="1088">
        <f>'No. of people trained '!H109</f>
        <v>28.6</v>
      </c>
      <c r="H9" s="1088">
        <f>'No. of people trained '!I109</f>
        <v>33.962499999999999</v>
      </c>
      <c r="I9" s="1088">
        <f>'No. of people trained '!J109</f>
        <v>37.537500000000001</v>
      </c>
      <c r="J9" s="1088">
        <f>'No. of people trained '!K109</f>
        <v>311.45400000000006</v>
      </c>
      <c r="K9" s="1088">
        <f>'No. of people trained '!L109</f>
        <v>473.41008000000016</v>
      </c>
      <c r="L9" s="1088">
        <f>'No. of people trained '!M109</f>
        <v>575.56699200000014</v>
      </c>
      <c r="M9" s="1088">
        <f>'No. of people trained '!N109</f>
        <v>708.49555920000034</v>
      </c>
      <c r="N9" s="1088">
        <f>'No. of people trained '!O109</f>
        <v>795.92692608000038</v>
      </c>
      <c r="O9" s="1088">
        <f>'No. of people trained '!P109</f>
        <v>966.71957896800052</v>
      </c>
      <c r="P9" s="1088">
        <f>'No. of people trained '!Q109</f>
        <v>1163.7114931728008</v>
      </c>
      <c r="Q9" s="1088">
        <f>'No. of people trained '!R109</f>
        <v>1368.364204041121</v>
      </c>
      <c r="R9" s="1089">
        <f t="shared" si="0"/>
        <v>6526.1488334619225</v>
      </c>
      <c r="AN9" s="1196">
        <f t="shared" si="1"/>
        <v>0.20788053416837554</v>
      </c>
    </row>
    <row r="10" spans="1:40" ht="33" hidden="1" customHeight="1">
      <c r="A10" s="1195" t="s">
        <v>689</v>
      </c>
      <c r="B10" s="1088"/>
      <c r="C10" s="1088"/>
      <c r="D10" s="1088"/>
      <c r="E10" s="1088"/>
      <c r="F10" s="1088"/>
      <c r="G10" s="1088"/>
      <c r="H10" s="1088"/>
      <c r="I10" s="1088"/>
      <c r="J10" s="1088"/>
      <c r="K10" s="1088"/>
      <c r="L10" s="1088"/>
      <c r="M10" s="1088"/>
      <c r="N10" s="1088"/>
      <c r="O10" s="1088"/>
      <c r="P10" s="1088"/>
      <c r="Q10" s="1088"/>
      <c r="R10" s="1089"/>
      <c r="AN10" s="1196">
        <f t="shared" si="1"/>
        <v>0</v>
      </c>
    </row>
    <row r="11" spans="1:40" ht="33" customHeight="1">
      <c r="A11" s="1191" t="s">
        <v>418</v>
      </c>
      <c r="B11" s="892">
        <f>'No. of people trained '!C118</f>
        <v>7.03125E-2</v>
      </c>
      <c r="C11" s="892">
        <f>'No. of people trained '!D118</f>
        <v>0.140625</v>
      </c>
      <c r="D11" s="892">
        <f>'No. of people trained '!E118</f>
        <v>0.2109375</v>
      </c>
      <c r="E11" s="892">
        <f>'No. of people trained '!F118</f>
        <v>0.28125</v>
      </c>
      <c r="F11" s="892">
        <f>'No. of people trained '!G118</f>
        <v>0.38671875</v>
      </c>
      <c r="G11" s="892">
        <f>'No. of people trained '!H118</f>
        <v>0.4640625000000001</v>
      </c>
      <c r="H11" s="892">
        <f>'No. of people trained '!I118</f>
        <v>0.54140625000000009</v>
      </c>
      <c r="I11" s="892">
        <f>'No. of people trained '!J118</f>
        <v>0.61875000000000002</v>
      </c>
      <c r="J11" s="892">
        <f>'No. of people trained '!K118</f>
        <v>5.4450000000000012</v>
      </c>
      <c r="K11" s="1088">
        <f>'No. of people trained '!L118</f>
        <v>7.9860000000000015</v>
      </c>
      <c r="L11" s="1088">
        <f>'No. of people trained '!M118</f>
        <v>10.980750000000002</v>
      </c>
      <c r="M11" s="1088">
        <f>'No. of people trained '!N118</f>
        <v>14.494590000000001</v>
      </c>
      <c r="N11" s="1088">
        <f>'No. of people trained '!O118</f>
        <v>18.601390500000004</v>
      </c>
      <c r="O11" s="1088">
        <f>'No. of people trained '!P118</f>
        <v>23.384605199999999</v>
      </c>
      <c r="P11" s="1088">
        <f>'No. of people trained '!Q118</f>
        <v>28.938448935000004</v>
      </c>
      <c r="Q11" s="892">
        <f>'No. of people trained '!R118</f>
        <v>35.369215365000002</v>
      </c>
      <c r="R11" s="1089">
        <f t="shared" si="0"/>
        <v>147.9140625</v>
      </c>
      <c r="AN11" s="1197">
        <f t="shared" si="1"/>
        <v>4.7115772422866072E-3</v>
      </c>
    </row>
    <row r="12" spans="1:40" ht="33" customHeight="1">
      <c r="A12" s="1198" t="s">
        <v>419</v>
      </c>
      <c r="B12" s="892"/>
      <c r="C12" s="892"/>
      <c r="D12" s="892"/>
      <c r="E12" s="892"/>
      <c r="F12" s="892"/>
      <c r="G12" s="892"/>
      <c r="H12" s="892"/>
      <c r="I12" s="892"/>
      <c r="J12" s="892">
        <f>'No. of people trained '!K123</f>
        <v>0</v>
      </c>
      <c r="K12" s="1088">
        <f>'No. of people trained '!L123</f>
        <v>0</v>
      </c>
      <c r="L12" s="1088">
        <f>'No. of people trained '!M123</f>
        <v>0</v>
      </c>
      <c r="M12" s="1088">
        <f>'No. of people trained '!N123</f>
        <v>0</v>
      </c>
      <c r="N12" s="1088">
        <f>'No. of people trained '!O123</f>
        <v>0</v>
      </c>
      <c r="O12" s="1088">
        <f>'No. of people trained '!P123</f>
        <v>0</v>
      </c>
      <c r="P12" s="1088">
        <f>'No. of people trained '!Q123</f>
        <v>0</v>
      </c>
      <c r="Q12" s="892">
        <f>'No. of people trained '!R123</f>
        <v>0</v>
      </c>
      <c r="R12" s="1089">
        <f>SUM(B12:Q12)</f>
        <v>0</v>
      </c>
      <c r="AN12" s="1197">
        <f t="shared" si="1"/>
        <v>0</v>
      </c>
    </row>
    <row r="13" spans="1:40" s="1199" customFormat="1" ht="33" customHeight="1">
      <c r="B13" s="1200"/>
      <c r="C13" s="1200"/>
      <c r="D13" s="1200"/>
      <c r="E13" s="1200"/>
      <c r="F13" s="1200"/>
      <c r="G13" s="1200"/>
      <c r="H13" s="1200"/>
      <c r="I13" s="1200"/>
      <c r="J13" s="1200"/>
      <c r="K13" s="1200"/>
      <c r="L13" s="1200"/>
      <c r="M13" s="1200"/>
      <c r="N13" s="1200"/>
      <c r="O13" s="1200"/>
      <c r="P13" s="1200"/>
      <c r="Q13" s="1200"/>
      <c r="R13" s="1089"/>
      <c r="T13" s="1201">
        <v>0.4</v>
      </c>
      <c r="AN13" s="1202">
        <f t="shared" si="1"/>
        <v>0</v>
      </c>
    </row>
    <row r="14" spans="1:40" s="1194" customFormat="1" ht="27" customHeight="1">
      <c r="A14" s="863" t="s">
        <v>27</v>
      </c>
      <c r="B14" s="1090">
        <f>SUM(B4:B13)</f>
        <v>14.9203125</v>
      </c>
      <c r="C14" s="1090">
        <f t="shared" ref="C14:Q14" si="2">SUM(C4:C13)</f>
        <v>34.640625</v>
      </c>
      <c r="D14" s="1090">
        <f t="shared" si="2"/>
        <v>49.560937500000001</v>
      </c>
      <c r="E14" s="1090">
        <f t="shared" si="2"/>
        <v>64.481250000000003</v>
      </c>
      <c r="F14" s="1090">
        <f t="shared" si="2"/>
        <v>103.18171875000002</v>
      </c>
      <c r="G14" s="1090">
        <f t="shared" si="2"/>
        <v>119.59406249999999</v>
      </c>
      <c r="H14" s="1090">
        <f t="shared" si="2"/>
        <v>141.28640625</v>
      </c>
      <c r="I14" s="1090">
        <f t="shared" si="2"/>
        <v>157.69874999999999</v>
      </c>
      <c r="J14" s="1090">
        <f t="shared" si="2"/>
        <v>1355.0790000000004</v>
      </c>
      <c r="K14" s="1090">
        <f t="shared" si="2"/>
        <v>2033.8744800000006</v>
      </c>
      <c r="L14" s="1090">
        <f t="shared" si="2"/>
        <v>2585.9227020000008</v>
      </c>
      <c r="M14" s="1090">
        <f t="shared" si="2"/>
        <v>3270.1727652000013</v>
      </c>
      <c r="N14" s="1090">
        <f t="shared" si="2"/>
        <v>3880.0374709800017</v>
      </c>
      <c r="O14" s="1090">
        <f t="shared" si="2"/>
        <v>4783.0871476080019</v>
      </c>
      <c r="P14" s="1090">
        <f t="shared" si="2"/>
        <v>5827.9463848518044</v>
      </c>
      <c r="Q14" s="1090">
        <f t="shared" si="2"/>
        <v>6972.2626864717267</v>
      </c>
      <c r="R14" s="1089">
        <f>SUM(B14:Q14)</f>
        <v>31393.746699611536</v>
      </c>
      <c r="AN14" s="1092"/>
    </row>
    <row r="15" spans="1:40" s="1194" customFormat="1" ht="27" customHeight="1">
      <c r="A15" s="864"/>
      <c r="B15" s="865"/>
      <c r="C15" s="865"/>
      <c r="D15" s="865"/>
      <c r="E15" s="865"/>
      <c r="F15" s="865"/>
      <c r="G15" s="865"/>
      <c r="H15" s="865"/>
      <c r="I15" s="865"/>
      <c r="J15" s="865"/>
      <c r="K15" s="865"/>
      <c r="L15" s="865"/>
      <c r="M15" s="865"/>
      <c r="N15" s="865"/>
      <c r="O15" s="865"/>
      <c r="P15" s="865"/>
      <c r="Q15" s="865"/>
      <c r="R15" s="866"/>
      <c r="AN15" s="1092"/>
    </row>
    <row r="16" spans="1:40" ht="19.5" customHeight="1">
      <c r="A16" s="1191" t="s">
        <v>530</v>
      </c>
      <c r="B16" s="861" t="s">
        <v>608</v>
      </c>
      <c r="C16" s="861" t="s">
        <v>609</v>
      </c>
      <c r="D16" s="861" t="s">
        <v>610</v>
      </c>
      <c r="E16" s="861" t="s">
        <v>611</v>
      </c>
      <c r="F16" s="861" t="s">
        <v>608</v>
      </c>
      <c r="G16" s="861" t="s">
        <v>609</v>
      </c>
      <c r="H16" s="861" t="s">
        <v>610</v>
      </c>
      <c r="I16" s="861" t="s">
        <v>611</v>
      </c>
      <c r="J16" s="861" t="str">
        <f t="shared" ref="J16:AM16" si="3">J2</f>
        <v>Year 3</v>
      </c>
      <c r="K16" s="861" t="str">
        <f t="shared" si="3"/>
        <v>Year 4</v>
      </c>
      <c r="L16" s="861" t="str">
        <f t="shared" si="3"/>
        <v>Year 5</v>
      </c>
      <c r="M16" s="861" t="str">
        <f t="shared" si="3"/>
        <v>Year 6</v>
      </c>
      <c r="N16" s="861" t="str">
        <f t="shared" si="3"/>
        <v>Year 7</v>
      </c>
      <c r="O16" s="861" t="str">
        <f t="shared" si="3"/>
        <v>Year 8</v>
      </c>
      <c r="P16" s="861" t="str">
        <f t="shared" si="3"/>
        <v>Year 9</v>
      </c>
      <c r="Q16" s="861" t="str">
        <f t="shared" si="3"/>
        <v>Year 10</v>
      </c>
      <c r="R16" s="861" t="str">
        <f t="shared" si="3"/>
        <v>Total</v>
      </c>
      <c r="S16" s="861">
        <f t="shared" si="3"/>
        <v>0</v>
      </c>
      <c r="T16" s="861">
        <f t="shared" si="3"/>
        <v>0</v>
      </c>
      <c r="U16" s="861">
        <f t="shared" si="3"/>
        <v>0</v>
      </c>
      <c r="V16" s="861">
        <f t="shared" si="3"/>
        <v>0</v>
      </c>
      <c r="W16" s="861">
        <f t="shared" si="3"/>
        <v>0</v>
      </c>
      <c r="X16" s="861">
        <f t="shared" si="3"/>
        <v>0</v>
      </c>
      <c r="Y16" s="861">
        <f t="shared" si="3"/>
        <v>0</v>
      </c>
      <c r="Z16" s="861">
        <f t="shared" si="3"/>
        <v>0</v>
      </c>
      <c r="AA16" s="861">
        <f t="shared" si="3"/>
        <v>0</v>
      </c>
      <c r="AB16" s="861">
        <f t="shared" si="3"/>
        <v>0</v>
      </c>
      <c r="AC16" s="861">
        <f t="shared" si="3"/>
        <v>0</v>
      </c>
      <c r="AD16" s="861">
        <f t="shared" si="3"/>
        <v>0</v>
      </c>
      <c r="AE16" s="861">
        <f t="shared" si="3"/>
        <v>0</v>
      </c>
      <c r="AF16" s="861">
        <f t="shared" si="3"/>
        <v>0</v>
      </c>
      <c r="AG16" s="861">
        <f t="shared" si="3"/>
        <v>0</v>
      </c>
      <c r="AH16" s="861">
        <f t="shared" si="3"/>
        <v>0</v>
      </c>
      <c r="AI16" s="861">
        <f t="shared" si="3"/>
        <v>0</v>
      </c>
      <c r="AJ16" s="861">
        <f t="shared" si="3"/>
        <v>0</v>
      </c>
      <c r="AK16" s="861">
        <f t="shared" si="3"/>
        <v>0</v>
      </c>
      <c r="AL16" s="861">
        <f t="shared" si="3"/>
        <v>0</v>
      </c>
      <c r="AM16" s="861">
        <f t="shared" si="3"/>
        <v>0</v>
      </c>
      <c r="AN16" s="892"/>
    </row>
    <row r="17" spans="1:57" s="1194" customFormat="1" ht="27" customHeight="1">
      <c r="A17" s="867" t="s">
        <v>566</v>
      </c>
      <c r="B17" s="1091">
        <f>'Exp  Assumptions'!G134</f>
        <v>3.6</v>
      </c>
      <c r="C17" s="1091">
        <f>'Exp  Assumptions'!H134</f>
        <v>4.5</v>
      </c>
      <c r="D17" s="1091">
        <f>'Exp  Assumptions'!I134</f>
        <v>3.6</v>
      </c>
      <c r="E17" s="1091">
        <f>'Exp  Assumptions'!J134</f>
        <v>3.6</v>
      </c>
      <c r="F17" s="1092">
        <f>'Exp  Assumptions'!K134</f>
        <v>6.9300000000000006</v>
      </c>
      <c r="G17" s="1092">
        <f>'Exp  Assumptions'!L134</f>
        <v>3.9600000000000004</v>
      </c>
      <c r="H17" s="1092">
        <f>'Exp  Assumptions'!M134</f>
        <v>4.95</v>
      </c>
      <c r="I17" s="1092">
        <f>'Exp  Assumptions'!N134</f>
        <v>3.9600000000000004</v>
      </c>
      <c r="J17" s="1092">
        <f>'Exp  Assumptions'!O134</f>
        <v>21.780000000000005</v>
      </c>
      <c r="K17" s="1092">
        <f>'Exp  Assumptions'!P134</f>
        <v>0</v>
      </c>
      <c r="L17" s="1092">
        <f>'Exp  Assumptions'!Q134</f>
        <v>0</v>
      </c>
      <c r="M17" s="1092">
        <f>'Exp  Assumptions'!R134</f>
        <v>0</v>
      </c>
      <c r="N17" s="1092">
        <f>'Exp  Assumptions'!S134</f>
        <v>0</v>
      </c>
      <c r="O17" s="1092">
        <f>'Exp  Assumptions'!T134</f>
        <v>0</v>
      </c>
      <c r="P17" s="1092">
        <f>'Exp  Assumptions'!U134</f>
        <v>0</v>
      </c>
      <c r="Q17" s="1092">
        <f>'Exp  Assumptions'!V134</f>
        <v>0</v>
      </c>
      <c r="R17" s="1203">
        <f>SUM(B17:Q17)</f>
        <v>56.88000000000001</v>
      </c>
      <c r="AN17" s="1204">
        <f>R17/R21</f>
        <v>2.2406793194479132E-3</v>
      </c>
    </row>
    <row r="18" spans="1:57" s="1194" customFormat="1" ht="27" customHeight="1">
      <c r="A18" s="867" t="s">
        <v>20</v>
      </c>
      <c r="B18" s="1092">
        <f>'Exp  Assumptions'!G47</f>
        <v>27.905999999999999</v>
      </c>
      <c r="C18" s="1092">
        <f>'Exp  Assumptions'!H47</f>
        <v>40.631999999999998</v>
      </c>
      <c r="D18" s="1092">
        <f>'Exp  Assumptions'!I47</f>
        <v>50.628</v>
      </c>
      <c r="E18" s="1092">
        <f>'Exp  Assumptions'!J47</f>
        <v>60.623999999999995</v>
      </c>
      <c r="F18" s="1092">
        <f>'Exp  Assumptions'!K47</f>
        <v>87.972720000000024</v>
      </c>
      <c r="G18" s="1092">
        <f>'Exp  Assumptions'!L47</f>
        <v>100.3266</v>
      </c>
      <c r="H18" s="1092">
        <f>'Exp  Assumptions'!M47</f>
        <v>114.32520000000001</v>
      </c>
      <c r="I18" s="1092">
        <f>'Exp  Assumptions'!N47</f>
        <v>125.32080000000001</v>
      </c>
      <c r="J18" s="1092">
        <f>'Exp  Assumptions'!O47</f>
        <v>693.24288000000001</v>
      </c>
      <c r="K18" s="1092">
        <f>'Exp  Assumptions'!P47</f>
        <v>888.82437600000026</v>
      </c>
      <c r="L18" s="1092">
        <f>'Exp  Assumptions'!Q47</f>
        <v>1158.1974122399999</v>
      </c>
      <c r="M18" s="1092">
        <f>'Exp  Assumptions'!R47</f>
        <v>1414.0686489600002</v>
      </c>
      <c r="N18" s="1092">
        <f>'Exp  Assumptions'!S47</f>
        <v>1665.1072173120003</v>
      </c>
      <c r="O18" s="1092">
        <f>'Exp  Assumptions'!T47</f>
        <v>2023.3249324728004</v>
      </c>
      <c r="P18" s="1092">
        <f>'Exp  Assumptions'!U47</f>
        <v>2436.5351184926403</v>
      </c>
      <c r="Q18" s="1092">
        <f>'Exp  Assumptions'!V47</f>
        <v>2881.2354786599999</v>
      </c>
      <c r="R18" s="1203">
        <f>SUM(B18:Q18)</f>
        <v>13768.271384137443</v>
      </c>
      <c r="S18" s="1194">
        <v>6760</v>
      </c>
      <c r="AN18" s="1204">
        <f>R18/R21</f>
        <v>0.54237484098071831</v>
      </c>
    </row>
    <row r="19" spans="1:57" s="1194" customFormat="1" ht="27" customHeight="1">
      <c r="A19" s="867" t="s">
        <v>774</v>
      </c>
      <c r="B19" s="1092">
        <f>'Exp  Assumptions'!G141</f>
        <v>7</v>
      </c>
      <c r="C19" s="1092">
        <f>'Exp  Assumptions'!H141</f>
        <v>10.5</v>
      </c>
      <c r="D19" s="1092">
        <f>'Exp  Assumptions'!I141</f>
        <v>7</v>
      </c>
      <c r="E19" s="1092">
        <f>'Exp  Assumptions'!J141</f>
        <v>7</v>
      </c>
      <c r="F19" s="1092">
        <f>'Exp  Assumptions'!K141</f>
        <v>19.250000000000004</v>
      </c>
      <c r="G19" s="1092">
        <f>'Exp  Assumptions'!L141</f>
        <v>7.7</v>
      </c>
      <c r="H19" s="1092">
        <f>'Exp  Assumptions'!M141</f>
        <v>11.55</v>
      </c>
      <c r="I19" s="1092">
        <f>'Exp  Assumptions'!N141</f>
        <v>7.7</v>
      </c>
      <c r="J19" s="1092">
        <f>'Exp  Assumptions'!O141</f>
        <v>50.820000000000014</v>
      </c>
      <c r="K19" s="1092">
        <f>'Exp  Assumptions'!P141</f>
        <v>23.292500000000004</v>
      </c>
      <c r="L19" s="1092">
        <f>'Exp  Assumptions'!Q141</f>
        <v>20.497400000000003</v>
      </c>
      <c r="M19" s="1092">
        <f>'Exp  Assumptions'!R141</f>
        <v>28.183925000000006</v>
      </c>
      <c r="N19" s="1092">
        <f>'Exp  Assumptions'!S141</f>
        <v>6.2004635000000006</v>
      </c>
      <c r="O19" s="1092">
        <f>'Exp  Assumptions'!T141</f>
        <v>34.102549250000003</v>
      </c>
      <c r="P19" s="1092">
        <f>'Exp  Assumptions'!U141</f>
        <v>37.512804174999999</v>
      </c>
      <c r="Q19" s="1092">
        <f>'Exp  Assumptions'!V141</f>
        <v>33.011267674000003</v>
      </c>
      <c r="R19" s="1203">
        <f>SUM(B19:Q19)</f>
        <v>311.32090959900006</v>
      </c>
      <c r="AN19" s="1204">
        <f>R19/R21</f>
        <v>1.2263894582457677E-2</v>
      </c>
    </row>
    <row r="20" spans="1:57" s="1194" customFormat="1" ht="27" customHeight="1">
      <c r="A20" s="867" t="s">
        <v>28</v>
      </c>
      <c r="B20" s="1092">
        <f>'Exp  Assumptions'!G128</f>
        <v>22.446850000000001</v>
      </c>
      <c r="C20" s="1092">
        <f>'Exp  Assumptions'!H128</f>
        <v>32.433700000000002</v>
      </c>
      <c r="D20" s="1092">
        <f>'Exp  Assumptions'!I128</f>
        <v>39.855550000000008</v>
      </c>
      <c r="E20" s="1092">
        <f>'Exp  Assumptions'!J128</f>
        <v>47.2774</v>
      </c>
      <c r="F20" s="1092">
        <f>'Exp  Assumptions'!K128</f>
        <v>72.112975000000006</v>
      </c>
      <c r="G20" s="1092">
        <f>'Exp  Assumptions'!L128</f>
        <v>79.544409999999999</v>
      </c>
      <c r="H20" s="1092">
        <f>'Exp  Assumptions'!M128</f>
        <v>89.797345000000007</v>
      </c>
      <c r="I20" s="1092">
        <f>'Exp  Assumptions'!N128</f>
        <v>97.228780000000015</v>
      </c>
      <c r="J20" s="1092">
        <f>'Exp  Assumptions'!O128</f>
        <v>593.60408800000005</v>
      </c>
      <c r="K20" s="1092">
        <f>'Exp  Assumptions'!P128</f>
        <v>748.90259840000022</v>
      </c>
      <c r="L20" s="1092">
        <f>'Exp  Assumptions'!Q128</f>
        <v>941.7917272000002</v>
      </c>
      <c r="M20" s="1092">
        <f>'Exp  Assumptions'!R128</f>
        <v>1158.8589258560003</v>
      </c>
      <c r="N20" s="1092">
        <f>'Exp  Assumptions'!S128</f>
        <v>1363.9663253032002</v>
      </c>
      <c r="O20" s="1092">
        <f>'Exp  Assumptions'!T128</f>
        <v>1649.3359922160803</v>
      </c>
      <c r="P20" s="1092">
        <f>'Exp  Assumptions'!U128</f>
        <v>1978.3088592585041</v>
      </c>
      <c r="Q20" s="1092">
        <f>'Exp  Assumptions'!V128</f>
        <v>2333.2208264775918</v>
      </c>
      <c r="R20" s="1203">
        <f>SUM(B20:Q20)</f>
        <v>11248.686352711378</v>
      </c>
      <c r="AN20" s="1204">
        <f>R20/R21</f>
        <v>0.44312058511737612</v>
      </c>
    </row>
    <row r="21" spans="1:57" s="1194" customFormat="1" ht="27" customHeight="1">
      <c r="A21" s="863" t="s">
        <v>29</v>
      </c>
      <c r="B21" s="1090">
        <f t="shared" ref="B21:Q21" si="4">SUM(B17:B20)</f>
        <v>60.952849999999998</v>
      </c>
      <c r="C21" s="1090">
        <f t="shared" si="4"/>
        <v>88.065699999999993</v>
      </c>
      <c r="D21" s="1090">
        <f t="shared" si="4"/>
        <v>101.08355</v>
      </c>
      <c r="E21" s="1090">
        <f t="shared" si="4"/>
        <v>118.50139999999999</v>
      </c>
      <c r="F21" s="1090">
        <f t="shared" si="4"/>
        <v>186.26569500000005</v>
      </c>
      <c r="G21" s="1090">
        <f t="shared" si="4"/>
        <v>191.53100999999998</v>
      </c>
      <c r="H21" s="1090">
        <f t="shared" si="4"/>
        <v>220.62254500000003</v>
      </c>
      <c r="I21" s="1090">
        <f t="shared" si="4"/>
        <v>234.20958000000002</v>
      </c>
      <c r="J21" s="1090">
        <f t="shared" si="4"/>
        <v>1359.4469680000002</v>
      </c>
      <c r="K21" s="1090">
        <f t="shared" si="4"/>
        <v>1661.0194744000005</v>
      </c>
      <c r="L21" s="1090">
        <f t="shared" si="4"/>
        <v>2120.4865394400003</v>
      </c>
      <c r="M21" s="1090">
        <f t="shared" si="4"/>
        <v>2601.1114998160006</v>
      </c>
      <c r="N21" s="1090">
        <f t="shared" si="4"/>
        <v>3035.2740061152008</v>
      </c>
      <c r="O21" s="1090">
        <f t="shared" si="4"/>
        <v>3706.7634739388805</v>
      </c>
      <c r="P21" s="1090">
        <f t="shared" si="4"/>
        <v>4452.3567819261443</v>
      </c>
      <c r="Q21" s="1090">
        <f t="shared" si="4"/>
        <v>5247.4675728115917</v>
      </c>
      <c r="R21" s="1089">
        <f>SUM(B21:Q21)</f>
        <v>25385.158646447821</v>
      </c>
      <c r="AN21" s="1204"/>
    </row>
    <row r="22" spans="1:57" s="1206" customFormat="1" ht="27" customHeight="1">
      <c r="A22" s="869"/>
      <c r="B22" s="870"/>
      <c r="C22" s="870"/>
      <c r="D22" s="870"/>
      <c r="E22" s="870"/>
      <c r="F22" s="870"/>
      <c r="G22" s="870"/>
      <c r="H22" s="870"/>
      <c r="I22" s="870"/>
      <c r="J22" s="870"/>
      <c r="K22" s="870"/>
      <c r="L22" s="870"/>
      <c r="M22" s="870"/>
      <c r="N22" s="870"/>
      <c r="O22" s="870"/>
      <c r="P22" s="870"/>
      <c r="Q22" s="870"/>
      <c r="R22" s="1205"/>
      <c r="AN22" s="1207"/>
    </row>
    <row r="23" spans="1:57" s="1194" customFormat="1" ht="27" customHeight="1">
      <c r="A23" s="864" t="s">
        <v>562</v>
      </c>
      <c r="B23" s="871">
        <f t="shared" ref="B23:R23" si="5">B21/B14</f>
        <v>4.0852260969735052</v>
      </c>
      <c r="C23" s="871">
        <f t="shared" si="5"/>
        <v>2.5422664862426703</v>
      </c>
      <c r="D23" s="871">
        <f t="shared" si="5"/>
        <v>2.0395810712821967</v>
      </c>
      <c r="E23" s="871">
        <f t="shared" si="5"/>
        <v>1.8377652418338661</v>
      </c>
      <c r="F23" s="871">
        <f t="shared" si="5"/>
        <v>1.8052199290390287</v>
      </c>
      <c r="G23" s="871">
        <f t="shared" si="5"/>
        <v>1.6015093558678968</v>
      </c>
      <c r="H23" s="871">
        <f t="shared" si="5"/>
        <v>1.5615270488911599</v>
      </c>
      <c r="I23" s="871">
        <f t="shared" si="5"/>
        <v>1.48517080826576</v>
      </c>
      <c r="J23" s="871">
        <f t="shared" si="5"/>
        <v>1.0032234046871067</v>
      </c>
      <c r="K23" s="871">
        <f t="shared" si="5"/>
        <v>0.81667747480660657</v>
      </c>
      <c r="L23" s="871">
        <f t="shared" si="5"/>
        <v>0.8200115718076092</v>
      </c>
      <c r="M23" s="871">
        <f t="shared" si="5"/>
        <v>0.79540491789794432</v>
      </c>
      <c r="N23" s="871">
        <f t="shared" si="5"/>
        <v>0.78227956013748634</v>
      </c>
      <c r="O23" s="871">
        <f t="shared" si="5"/>
        <v>0.77497301628564608</v>
      </c>
      <c r="P23" s="871">
        <f t="shared" si="5"/>
        <v>0.76396666817300529</v>
      </c>
      <c r="Q23" s="871">
        <f t="shared" si="5"/>
        <v>0.75262046322397558</v>
      </c>
      <c r="R23" s="871">
        <f t="shared" si="5"/>
        <v>0.80860557643353648</v>
      </c>
      <c r="AN23" s="1208"/>
    </row>
    <row r="24" spans="1:57" s="1194" customFormat="1" ht="18" customHeight="1">
      <c r="AN24" s="1209"/>
    </row>
    <row r="25" spans="1:57" s="1194" customFormat="1" ht="24.75" customHeight="1">
      <c r="A25" s="872" t="s">
        <v>429</v>
      </c>
      <c r="B25" s="1093">
        <f t="shared" ref="B25:Q25" si="6">B14-B21</f>
        <v>-46.032537499999997</v>
      </c>
      <c r="C25" s="1093">
        <f t="shared" si="6"/>
        <v>-53.425074999999993</v>
      </c>
      <c r="D25" s="1093">
        <f t="shared" si="6"/>
        <v>-51.522612500000001</v>
      </c>
      <c r="E25" s="1093">
        <f t="shared" si="6"/>
        <v>-54.020149999999987</v>
      </c>
      <c r="F25" s="1093">
        <f t="shared" si="6"/>
        <v>-83.083976250000035</v>
      </c>
      <c r="G25" s="1093">
        <f t="shared" si="6"/>
        <v>-71.936947499999988</v>
      </c>
      <c r="H25" s="1093">
        <f t="shared" si="6"/>
        <v>-79.336138750000032</v>
      </c>
      <c r="I25" s="1093">
        <f t="shared" si="6"/>
        <v>-76.510830000000027</v>
      </c>
      <c r="J25" s="1093">
        <f t="shared" si="6"/>
        <v>-4.3679679999997916</v>
      </c>
      <c r="K25" s="1093">
        <f t="shared" si="6"/>
        <v>372.85500560000014</v>
      </c>
      <c r="L25" s="1093">
        <f t="shared" si="6"/>
        <v>465.43616256000041</v>
      </c>
      <c r="M25" s="1093">
        <f t="shared" si="6"/>
        <v>669.06126538400076</v>
      </c>
      <c r="N25" s="1093">
        <f t="shared" si="6"/>
        <v>844.76346486480088</v>
      </c>
      <c r="O25" s="1093">
        <f t="shared" si="6"/>
        <v>1076.3236736691215</v>
      </c>
      <c r="P25" s="1093">
        <f t="shared" si="6"/>
        <v>1375.5896029256601</v>
      </c>
      <c r="Q25" s="1093">
        <f t="shared" si="6"/>
        <v>1724.795113660135</v>
      </c>
      <c r="R25" s="1210">
        <f>SUM(B25:Q25)</f>
        <v>6008.5880531637195</v>
      </c>
      <c r="AN25" s="1208"/>
    </row>
    <row r="26" spans="1:57" s="1206" customFormat="1" ht="24.75" customHeight="1">
      <c r="A26" s="873"/>
      <c r="B26" s="874"/>
      <c r="C26" s="874"/>
      <c r="D26" s="874"/>
      <c r="E26" s="874"/>
      <c r="F26" s="874"/>
      <c r="G26" s="874"/>
      <c r="H26" s="874"/>
      <c r="I26" s="874"/>
      <c r="J26" s="874"/>
      <c r="K26" s="874"/>
      <c r="L26" s="874"/>
      <c r="M26" s="874"/>
      <c r="N26" s="874"/>
      <c r="O26" s="874"/>
      <c r="P26" s="874"/>
      <c r="Q26" s="874"/>
      <c r="R26" s="1211"/>
      <c r="AN26" s="1212"/>
    </row>
    <row r="27" spans="1:57" s="1213" customFormat="1" ht="24.75" customHeight="1">
      <c r="A27" s="875" t="s">
        <v>561</v>
      </c>
      <c r="B27" s="876">
        <f t="shared" ref="B27:R27" si="7">B25/B14</f>
        <v>-3.0852260969735048</v>
      </c>
      <c r="C27" s="876">
        <f t="shared" si="7"/>
        <v>-1.54226648624267</v>
      </c>
      <c r="D27" s="876">
        <f t="shared" si="7"/>
        <v>-1.0395810712821967</v>
      </c>
      <c r="E27" s="876">
        <f t="shared" si="7"/>
        <v>-0.83776524183386625</v>
      </c>
      <c r="F27" s="876">
        <f t="shared" si="7"/>
        <v>-0.80521992903902873</v>
      </c>
      <c r="G27" s="876">
        <f t="shared" si="7"/>
        <v>-0.60150935586789678</v>
      </c>
      <c r="H27" s="876">
        <f t="shared" si="7"/>
        <v>-0.5615270488911599</v>
      </c>
      <c r="I27" s="876">
        <f t="shared" si="7"/>
        <v>-0.48517080826576009</v>
      </c>
      <c r="J27" s="876">
        <f t="shared" si="7"/>
        <v>-3.2234046871066485E-3</v>
      </c>
      <c r="K27" s="876">
        <f t="shared" si="7"/>
        <v>0.18332252519339345</v>
      </c>
      <c r="L27" s="876">
        <f t="shared" si="7"/>
        <v>0.17998842819239083</v>
      </c>
      <c r="M27" s="876">
        <f t="shared" si="7"/>
        <v>0.20459508210205568</v>
      </c>
      <c r="N27" s="876">
        <f t="shared" si="7"/>
        <v>0.21772043986251363</v>
      </c>
      <c r="O27" s="876">
        <f t="shared" si="7"/>
        <v>0.22502698371435395</v>
      </c>
      <c r="P27" s="876">
        <f t="shared" si="7"/>
        <v>0.23603333182699471</v>
      </c>
      <c r="Q27" s="876">
        <f t="shared" si="7"/>
        <v>0.24737953677602437</v>
      </c>
      <c r="R27" s="876">
        <f t="shared" si="7"/>
        <v>0.19139442356646361</v>
      </c>
      <c r="AN27" s="876"/>
    </row>
    <row r="28" spans="1:57" s="1194" customFormat="1">
      <c r="A28" s="867"/>
      <c r="B28" s="868"/>
      <c r="C28" s="868"/>
      <c r="D28" s="868"/>
      <c r="E28" s="868"/>
      <c r="F28" s="868"/>
      <c r="G28" s="868"/>
      <c r="H28" s="868"/>
      <c r="I28" s="868"/>
      <c r="J28" s="868"/>
      <c r="K28" s="868"/>
      <c r="L28" s="868"/>
      <c r="M28" s="868"/>
      <c r="N28" s="868"/>
      <c r="O28" s="868"/>
      <c r="P28" s="868"/>
      <c r="Q28" s="868"/>
      <c r="R28" s="1214"/>
      <c r="AN28" s="1208"/>
    </row>
    <row r="29" spans="1:57" s="1194" customFormat="1">
      <c r="A29" s="867" t="s">
        <v>30</v>
      </c>
      <c r="B29" s="1092">
        <f>'Depreciation '!C41</f>
        <v>9.9955593891011496</v>
      </c>
      <c r="C29" s="1092">
        <f>'Depreciation '!D41</f>
        <v>12.377394663996666</v>
      </c>
      <c r="D29" s="1092">
        <f>'Depreciation '!E41</f>
        <v>12.769461737324994</v>
      </c>
      <c r="E29" s="1092">
        <f>'Depreciation '!F41</f>
        <v>13.115341859672684</v>
      </c>
      <c r="F29" s="1092">
        <f>'Depreciation '!G41</f>
        <v>18.717230524156967</v>
      </c>
      <c r="G29" s="1092">
        <f>'Depreciation '!H41</f>
        <v>17.864850584124138</v>
      </c>
      <c r="H29" s="1092">
        <f>'Depreciation '!I41</f>
        <v>18.873950216251341</v>
      </c>
      <c r="I29" s="1092">
        <f>'Depreciation '!J41</f>
        <v>18.164561778473505</v>
      </c>
      <c r="J29" s="1092">
        <f>'Depreciation '!K41</f>
        <v>42.539372469408008</v>
      </c>
      <c r="K29" s="1092">
        <f>'Depreciation '!L41</f>
        <v>44.774820239336862</v>
      </c>
      <c r="L29" s="1092">
        <f>'Depreciation '!M41</f>
        <v>51.71254625379315</v>
      </c>
      <c r="M29" s="1092">
        <f>'Depreciation '!N41</f>
        <v>54.710184784586922</v>
      </c>
      <c r="N29" s="1092">
        <f>'Depreciation '!O41</f>
        <v>49.610029901989236</v>
      </c>
      <c r="O29" s="1092">
        <f>'Depreciation '!P41</f>
        <v>56.845094348136946</v>
      </c>
      <c r="P29" s="1092">
        <f>'Depreciation '!Q41</f>
        <v>64.178797458068829</v>
      </c>
      <c r="Q29" s="1092">
        <f>'Depreciation '!R41</f>
        <v>68.587948476989794</v>
      </c>
      <c r="R29" s="1203">
        <f>SUM(B29:Q29)</f>
        <v>554.83714468541132</v>
      </c>
      <c r="AN29" s="1092"/>
    </row>
    <row r="30" spans="1:57" s="1194" customFormat="1">
      <c r="A30" s="867" t="s">
        <v>31</v>
      </c>
      <c r="B30" s="1092">
        <f>Amortisation!C17</f>
        <v>10.302040976825001</v>
      </c>
      <c r="C30" s="1092">
        <f>Amortisation!D17</f>
        <v>10.302040976825001</v>
      </c>
      <c r="D30" s="1092">
        <f>Amortisation!E17</f>
        <v>10.302040976825001</v>
      </c>
      <c r="E30" s="1092">
        <f>Amortisation!F17</f>
        <v>10.302040976825001</v>
      </c>
      <c r="F30" s="1092">
        <f>Amortisation!G17</f>
        <v>10.302040976825001</v>
      </c>
      <c r="G30" s="1092">
        <f>Amortisation!H17</f>
        <v>10.302040976825001</v>
      </c>
      <c r="H30" s="1092">
        <f>Amortisation!I17</f>
        <v>10.302040976825001</v>
      </c>
      <c r="I30" s="1092">
        <f>Amortisation!J17</f>
        <v>10.302040976825001</v>
      </c>
      <c r="J30" s="1092">
        <f>Amortisation!K17</f>
        <v>41.208163907300005</v>
      </c>
      <c r="K30" s="1092">
        <f>Amortisation!L17</f>
        <v>41.208163907300005</v>
      </c>
      <c r="L30" s="1092">
        <f>Amortisation!M17</f>
        <v>41.208163907300005</v>
      </c>
      <c r="M30" s="1092">
        <f>Amortisation!N17</f>
        <v>0</v>
      </c>
      <c r="N30" s="1092">
        <f>Amortisation!O17</f>
        <v>0</v>
      </c>
      <c r="O30" s="1092">
        <f>Amortisation!P17</f>
        <v>0</v>
      </c>
      <c r="P30" s="1092">
        <f>Amortisation!Q17</f>
        <v>0</v>
      </c>
      <c r="Q30" s="1092">
        <f>Amortisation!R17</f>
        <v>0</v>
      </c>
      <c r="R30" s="1203">
        <f>SUM(B30:Q30)</f>
        <v>206.04081953650001</v>
      </c>
      <c r="AN30" s="1092"/>
    </row>
    <row r="31" spans="1:57" s="1194" customFormat="1">
      <c r="A31" s="875" t="s">
        <v>32</v>
      </c>
      <c r="B31" s="1094">
        <v>1.3843797709292254</v>
      </c>
      <c r="C31" s="1094">
        <v>2.3883192333140828</v>
      </c>
      <c r="D31" s="1094">
        <v>3.2190959863828863</v>
      </c>
      <c r="E31" s="1094">
        <v>4.0851390812689132</v>
      </c>
      <c r="F31" s="1094">
        <v>6.1148496406917223</v>
      </c>
      <c r="G31" s="1094">
        <v>7.3039683117135636</v>
      </c>
      <c r="H31" s="1094">
        <v>8.7515905710019961</v>
      </c>
      <c r="I31" s="1094">
        <v>10.002805759361307</v>
      </c>
      <c r="J31" s="1094">
        <v>44.678134621192214</v>
      </c>
      <c r="K31" s="1094">
        <v>39.992679561977397</v>
      </c>
      <c r="L31" s="1094">
        <v>18.082210378162163</v>
      </c>
      <c r="M31" s="1094">
        <v>2.7620539186543716</v>
      </c>
      <c r="N31" s="1094">
        <v>0</v>
      </c>
      <c r="O31" s="1094">
        <v>0</v>
      </c>
      <c r="P31" s="1094">
        <v>0</v>
      </c>
      <c r="Q31" s="1094">
        <v>0</v>
      </c>
      <c r="R31" s="1203">
        <f>SUM(B31:Q31)</f>
        <v>148.76522683464987</v>
      </c>
      <c r="S31" s="1215">
        <v>0</v>
      </c>
      <c r="T31" s="1215">
        <v>3.5476504062672074</v>
      </c>
      <c r="U31" s="1215">
        <v>1.7738252031336037</v>
      </c>
      <c r="V31" s="1215">
        <v>0</v>
      </c>
      <c r="W31" s="1215">
        <v>0</v>
      </c>
      <c r="X31" s="1215">
        <v>0</v>
      </c>
      <c r="Y31" s="1215">
        <v>0</v>
      </c>
      <c r="Z31" s="1215">
        <v>0</v>
      </c>
      <c r="AA31" s="1215">
        <v>0</v>
      </c>
      <c r="AC31" s="1216"/>
      <c r="AD31" s="1216"/>
      <c r="AE31" s="1216"/>
      <c r="AF31" s="1216"/>
      <c r="AG31" s="1216"/>
      <c r="AH31" s="1216"/>
      <c r="AI31" s="1216"/>
      <c r="AJ31" s="1216"/>
      <c r="AK31" s="1216"/>
      <c r="AL31" s="1216"/>
      <c r="AN31" s="1092">
        <f>R31-AO31</f>
        <v>-3.7345543927358449E-4</v>
      </c>
      <c r="AO31" s="1216">
        <f>SUM(AP31:BE31)</f>
        <v>148.76560029008914</v>
      </c>
      <c r="AP31" s="1216">
        <f>'P&amp;L Statement'!B17</f>
        <v>1.3843797590639382</v>
      </c>
      <c r="AQ31" s="1216">
        <f>'P&amp;L Statement'!C17</f>
        <v>2.3883191725636492</v>
      </c>
      <c r="AR31" s="1216">
        <f>'P&amp;L Statement'!D17</f>
        <v>3.2190957998593928</v>
      </c>
      <c r="AS31" s="1216">
        <f>'P&amp;L Statement'!E17</f>
        <v>4.0851386360784261</v>
      </c>
      <c r="AT31" s="1216">
        <f>'P&amp;L Statement'!F17</f>
        <v>6.1148487244388026</v>
      </c>
      <c r="AU31" s="1216">
        <f>'P&amp;L Statement'!G17</f>
        <v>7.3039666116145057</v>
      </c>
      <c r="AV31" s="1216">
        <f>'P&amp;L Statement'!H17</f>
        <v>8.751587651429535</v>
      </c>
      <c r="AW31" s="1216">
        <f>'P&amp;L Statement'!I17</f>
        <v>10.002801037819955</v>
      </c>
      <c r="AX31" s="1216">
        <f>'P&amp;L Statement'!J17</f>
        <v>44.678105269915584</v>
      </c>
      <c r="AY31" s="1216">
        <f>'P&amp;L Statement'!K17</f>
        <v>39.992678619410661</v>
      </c>
      <c r="AZ31" s="1216">
        <f>'P&amp;L Statement'!L17</f>
        <v>18.082427216514837</v>
      </c>
      <c r="BA31" s="1216">
        <f>'P&amp;L Statement'!M17</f>
        <v>2.7622517913798457</v>
      </c>
      <c r="BB31" s="1216">
        <f>'P&amp;L Statement'!N17</f>
        <v>0</v>
      </c>
      <c r="BC31" s="1216">
        <f>'P&amp;L Statement'!O17</f>
        <v>0</v>
      </c>
      <c r="BD31" s="1216">
        <f>'P&amp;L Statement'!P17</f>
        <v>0</v>
      </c>
      <c r="BE31" s="1216">
        <f>'P&amp;L Statement'!Q17</f>
        <v>0</v>
      </c>
    </row>
    <row r="32" spans="1:57" s="1194" customFormat="1">
      <c r="A32" s="867"/>
      <c r="B32" s="1092"/>
      <c r="C32" s="1092"/>
      <c r="D32" s="1092"/>
      <c r="E32" s="1092"/>
      <c r="F32" s="1092"/>
      <c r="G32" s="1092"/>
      <c r="H32" s="1092"/>
      <c r="I32" s="1092"/>
      <c r="J32" s="1092"/>
      <c r="K32" s="1092"/>
      <c r="L32" s="1092"/>
      <c r="M32" s="1092"/>
      <c r="N32" s="1092"/>
      <c r="O32" s="1092"/>
      <c r="P32" s="1092"/>
      <c r="Q32" s="1092"/>
      <c r="R32" s="1216"/>
      <c r="AN32" s="1092"/>
    </row>
    <row r="33" spans="1:41" s="1213" customFormat="1" ht="26.25" customHeight="1">
      <c r="A33" s="877" t="s">
        <v>33</v>
      </c>
      <c r="B33" s="1095">
        <f>B25-B29-B30-B31</f>
        <v>-67.714517636855376</v>
      </c>
      <c r="C33" s="1095">
        <f>C25-C29-C30-C31</f>
        <v>-78.492829874135737</v>
      </c>
      <c r="D33" s="1095">
        <f t="shared" ref="D33:Q33" si="8">D25-D29-D30-D31</f>
        <v>-77.813211200532876</v>
      </c>
      <c r="E33" s="1095">
        <f t="shared" si="8"/>
        <v>-81.522671917766587</v>
      </c>
      <c r="F33" s="1095">
        <f t="shared" si="8"/>
        <v>-118.21809739167372</v>
      </c>
      <c r="G33" s="1095">
        <f t="shared" si="8"/>
        <v>-107.40780737266269</v>
      </c>
      <c r="H33" s="1095">
        <f t="shared" si="8"/>
        <v>-117.26372051407837</v>
      </c>
      <c r="I33" s="1095">
        <f t="shared" si="8"/>
        <v>-114.98023851465985</v>
      </c>
      <c r="J33" s="1095">
        <f t="shared" si="8"/>
        <v>-132.79363899790002</v>
      </c>
      <c r="K33" s="1095">
        <f t="shared" si="8"/>
        <v>246.87934189138588</v>
      </c>
      <c r="L33" s="1095">
        <f t="shared" si="8"/>
        <v>354.43324202074507</v>
      </c>
      <c r="M33" s="1095">
        <f t="shared" si="8"/>
        <v>611.5890266807595</v>
      </c>
      <c r="N33" s="1095">
        <f t="shared" si="8"/>
        <v>795.15343496281162</v>
      </c>
      <c r="O33" s="1095">
        <f t="shared" si="8"/>
        <v>1019.4785793209845</v>
      </c>
      <c r="P33" s="1095">
        <f t="shared" si="8"/>
        <v>1311.4108054675912</v>
      </c>
      <c r="Q33" s="1095">
        <f t="shared" si="8"/>
        <v>1656.2071651831452</v>
      </c>
      <c r="R33" s="1217">
        <f>SUM(B33:Q33)</f>
        <v>5098.9448621071579</v>
      </c>
      <c r="AN33" s="876">
        <f>R33/R14</f>
        <v>0.16241912476697953</v>
      </c>
    </row>
    <row r="34" spans="1:41" s="1219" customFormat="1" ht="26.25" customHeight="1">
      <c r="A34" s="878"/>
      <c r="B34" s="879"/>
      <c r="C34" s="879"/>
      <c r="D34" s="879"/>
      <c r="E34" s="879"/>
      <c r="F34" s="879"/>
      <c r="G34" s="879"/>
      <c r="H34" s="879"/>
      <c r="I34" s="879"/>
      <c r="J34" s="879"/>
      <c r="K34" s="879"/>
      <c r="L34" s="879"/>
      <c r="M34" s="879"/>
      <c r="N34" s="879"/>
      <c r="O34" s="879"/>
      <c r="P34" s="879"/>
      <c r="Q34" s="879"/>
      <c r="R34" s="1218"/>
      <c r="AN34" s="1220"/>
    </row>
    <row r="35" spans="1:41" s="1213" customFormat="1" ht="26.25" customHeight="1">
      <c r="A35" s="880" t="s">
        <v>563</v>
      </c>
      <c r="B35" s="876">
        <f t="shared" ref="B35:R35" si="9">B33/B14</f>
        <v>-4.5384114868140584</v>
      </c>
      <c r="C35" s="876">
        <f t="shared" si="9"/>
        <v>-2.2659184086354025</v>
      </c>
      <c r="D35" s="876">
        <f t="shared" si="9"/>
        <v>-1.5700512364305634</v>
      </c>
      <c r="E35" s="876">
        <f t="shared" si="9"/>
        <v>-1.2642849187595864</v>
      </c>
      <c r="F35" s="876">
        <f t="shared" si="9"/>
        <v>-1.1457271581035153</v>
      </c>
      <c r="G35" s="876">
        <f t="shared" si="9"/>
        <v>-0.89810317608922008</v>
      </c>
      <c r="H35" s="876">
        <f t="shared" si="9"/>
        <v>-0.82997171225790434</v>
      </c>
      <c r="I35" s="876">
        <f t="shared" si="9"/>
        <v>-0.72911318900536526</v>
      </c>
      <c r="J35" s="876">
        <f t="shared" si="9"/>
        <v>-9.7996972130702326E-2</v>
      </c>
      <c r="K35" s="876">
        <f t="shared" si="9"/>
        <v>0.12138376498602106</v>
      </c>
      <c r="L35" s="876">
        <f t="shared" si="9"/>
        <v>0.13706258185777162</v>
      </c>
      <c r="M35" s="876">
        <f t="shared" si="9"/>
        <v>0.18702040246590923</v>
      </c>
      <c r="N35" s="876">
        <f t="shared" si="9"/>
        <v>0.20493447316166652</v>
      </c>
      <c r="O35" s="876">
        <f t="shared" si="9"/>
        <v>0.21314238019493764</v>
      </c>
      <c r="P35" s="876">
        <f t="shared" si="9"/>
        <v>0.22502108270526555</v>
      </c>
      <c r="Q35" s="876">
        <f t="shared" si="9"/>
        <v>0.23754227854849502</v>
      </c>
      <c r="R35" s="876">
        <f t="shared" si="9"/>
        <v>0.16241912476697953</v>
      </c>
      <c r="AN35" s="876"/>
    </row>
    <row r="36" spans="1:41" s="1213" customFormat="1" ht="19.5" customHeight="1">
      <c r="A36" s="880" t="s">
        <v>34</v>
      </c>
      <c r="B36" s="1108">
        <f>IF(SUM($B$33:B33)&gt;0,SUM($B$33:B33)*0.3*1.03,0)</f>
        <v>0</v>
      </c>
      <c r="C36" s="1108">
        <f>IF(SUM($B$33:C33)&gt;0,SUM($B$33:C33)*0.3*1.03,0)</f>
        <v>0</v>
      </c>
      <c r="D36" s="1108">
        <f>IF(SUM($B$33:D33)&gt;0,SUM($B$33:D33)*0.3*1.03,0)</f>
        <v>0</v>
      </c>
      <c r="E36" s="1108">
        <f>IF(SUM($B$33:E33)&gt;0,SUM($B$33:E33)*0.3*1.03,0)</f>
        <v>0</v>
      </c>
      <c r="F36" s="1108">
        <f>IF(SUM($B$33:F33)&gt;0,SUM($B$33:F33)*0.3*1.03,0)</f>
        <v>0</v>
      </c>
      <c r="G36" s="1108">
        <f>IF(SUM($B$33:G33)&gt;0,SUM($B$33:G33)*0.3*1.03,0)</f>
        <v>0</v>
      </c>
      <c r="H36" s="1108">
        <f>IF(SUM($B$33:H33)&gt;0,SUM($B$33:H33)*0.3*1.03,0)</f>
        <v>0</v>
      </c>
      <c r="I36" s="1108">
        <f>IF(SUM($B$33:I33)&gt;0,SUM($B$33:I33)*0.3*1.03,0)</f>
        <v>0</v>
      </c>
      <c r="J36" s="1108">
        <f>IF(SUM($B$33:J33)&gt;0,SUM($B$33:J33)*0.3*1.03,0)</f>
        <v>0</v>
      </c>
      <c r="K36" s="1108">
        <f>IF(SUM($B$33:K33)&gt;0,SUM($B$33:K33)*0.3*1.03,0)</f>
        <v>0</v>
      </c>
      <c r="L36" s="1108">
        <f>IF(SUM($B$33:L33)&gt;0,SUM($B$33:L33)*0.3*1.03,0)</f>
        <v>0</v>
      </c>
      <c r="M36" s="1108">
        <f>IF(SUM($B$33:M33)&gt;0,SUM($B$33:M33)*0.3*1.03,0)</f>
        <v>97.858717046341184</v>
      </c>
      <c r="N36" s="1108">
        <f>IF(M36&gt;0,N33*0.3*1.03,0)</f>
        <v>245.70241140350879</v>
      </c>
      <c r="O36" s="1108">
        <f>IF(N36&gt;0,O33*0.3*1.03,0)</f>
        <v>315.0188810101842</v>
      </c>
      <c r="P36" s="1108">
        <f>IF(O36&gt;0,P33*0.3*1.03,0)</f>
        <v>405.22593888948569</v>
      </c>
      <c r="Q36" s="1108">
        <f>IF(P36&gt;0,Q33*0.3*1.03,0)</f>
        <v>511.76801404159187</v>
      </c>
      <c r="R36" s="1108">
        <f>SUM(B36:Q36)</f>
        <v>1575.5739623911118</v>
      </c>
      <c r="AN36" s="1221"/>
      <c r="AO36" s="1222"/>
    </row>
    <row r="37" spans="1:41" s="1213" customFormat="1" ht="19.5" customHeight="1">
      <c r="A37" s="880"/>
      <c r="B37" s="1096"/>
      <c r="C37" s="1096"/>
      <c r="D37" s="1096"/>
      <c r="E37" s="1096"/>
      <c r="F37" s="1096"/>
      <c r="G37" s="1096"/>
      <c r="H37" s="1096"/>
      <c r="I37" s="1096"/>
      <c r="J37" s="1096"/>
      <c r="K37" s="1096"/>
      <c r="L37" s="1096"/>
      <c r="M37" s="1096"/>
      <c r="N37" s="1096"/>
      <c r="O37" s="1096"/>
      <c r="P37" s="1096"/>
      <c r="Q37" s="1096"/>
      <c r="R37" s="1223"/>
      <c r="AN37" s="1221"/>
      <c r="AO37" s="1222"/>
    </row>
    <row r="38" spans="1:41" s="1213" customFormat="1" ht="25.5" customHeight="1">
      <c r="A38" s="877" t="s">
        <v>35</v>
      </c>
      <c r="B38" s="1095">
        <f t="shared" ref="B38:I38" si="10">B33-B36</f>
        <v>-67.714517636855376</v>
      </c>
      <c r="C38" s="1095">
        <f t="shared" si="10"/>
        <v>-78.492829874135737</v>
      </c>
      <c r="D38" s="1095">
        <f t="shared" si="10"/>
        <v>-77.813211200532876</v>
      </c>
      <c r="E38" s="1095">
        <f t="shared" si="10"/>
        <v>-81.522671917766587</v>
      </c>
      <c r="F38" s="1095">
        <f t="shared" si="10"/>
        <v>-118.21809739167372</v>
      </c>
      <c r="G38" s="1095">
        <f t="shared" si="10"/>
        <v>-107.40780737266269</v>
      </c>
      <c r="H38" s="1095">
        <f t="shared" si="10"/>
        <v>-117.26372051407837</v>
      </c>
      <c r="I38" s="1095">
        <f t="shared" si="10"/>
        <v>-114.98023851465985</v>
      </c>
      <c r="J38" s="1095">
        <f t="shared" ref="J38:P38" si="11">J33-J36</f>
        <v>-132.79363899790002</v>
      </c>
      <c r="K38" s="1095">
        <f t="shared" si="11"/>
        <v>246.87934189138588</v>
      </c>
      <c r="L38" s="1095">
        <f t="shared" si="11"/>
        <v>354.43324202074507</v>
      </c>
      <c r="M38" s="1095">
        <f t="shared" si="11"/>
        <v>513.73030963441829</v>
      </c>
      <c r="N38" s="1095">
        <f t="shared" si="11"/>
        <v>549.45102355930283</v>
      </c>
      <c r="O38" s="1095">
        <f t="shared" si="11"/>
        <v>704.45969831080038</v>
      </c>
      <c r="P38" s="1095">
        <f t="shared" si="11"/>
        <v>906.18486657810558</v>
      </c>
      <c r="Q38" s="1095">
        <f>Q33-Q36</f>
        <v>1144.4391511415533</v>
      </c>
      <c r="R38" s="1217">
        <f>SUM(B38:Q38)</f>
        <v>3523.3708997160461</v>
      </c>
      <c r="AN38" s="876">
        <f>R38/R14</f>
        <v>0.11223161521398285</v>
      </c>
    </row>
    <row r="39" spans="1:41" s="1213" customFormat="1" ht="25.5" customHeight="1">
      <c r="A39" s="880"/>
      <c r="B39" s="876">
        <f t="shared" ref="B39:R39" si="12">B38/B14</f>
        <v>-4.5384114868140584</v>
      </c>
      <c r="C39" s="876">
        <f t="shared" si="12"/>
        <v>-2.2659184086354025</v>
      </c>
      <c r="D39" s="876">
        <f t="shared" si="12"/>
        <v>-1.5700512364305634</v>
      </c>
      <c r="E39" s="876">
        <f t="shared" si="12"/>
        <v>-1.2642849187595864</v>
      </c>
      <c r="F39" s="876">
        <f t="shared" si="12"/>
        <v>-1.1457271581035153</v>
      </c>
      <c r="G39" s="876">
        <f t="shared" si="12"/>
        <v>-0.89810317608922008</v>
      </c>
      <c r="H39" s="876">
        <f t="shared" si="12"/>
        <v>-0.82997171225790434</v>
      </c>
      <c r="I39" s="876">
        <f t="shared" si="12"/>
        <v>-0.72911318900536526</v>
      </c>
      <c r="J39" s="876">
        <f t="shared" si="12"/>
        <v>-9.7996972130702326E-2</v>
      </c>
      <c r="K39" s="876">
        <f t="shared" si="12"/>
        <v>0.12138376498602106</v>
      </c>
      <c r="L39" s="876">
        <f t="shared" si="12"/>
        <v>0.13706258185777162</v>
      </c>
      <c r="M39" s="876">
        <f t="shared" si="12"/>
        <v>0.1570957703217857</v>
      </c>
      <c r="N39" s="876">
        <f t="shared" si="12"/>
        <v>0.14160972095471158</v>
      </c>
      <c r="O39" s="876">
        <f t="shared" si="12"/>
        <v>0.14728138471470192</v>
      </c>
      <c r="P39" s="876">
        <f t="shared" si="12"/>
        <v>0.15548956814933851</v>
      </c>
      <c r="Q39" s="876">
        <f t="shared" si="12"/>
        <v>0.16414171447701006</v>
      </c>
      <c r="R39" s="876">
        <f t="shared" si="12"/>
        <v>0.11223161521398285</v>
      </c>
      <c r="AN39" s="876"/>
    </row>
    <row r="40" spans="1:41" s="1213" customFormat="1" ht="25.5" customHeight="1">
      <c r="A40" s="880"/>
      <c r="B40" s="876"/>
      <c r="C40" s="876"/>
      <c r="D40" s="876"/>
      <c r="E40" s="876"/>
      <c r="F40" s="876"/>
      <c r="G40" s="876"/>
      <c r="H40" s="876"/>
      <c r="I40" s="876"/>
      <c r="J40" s="876"/>
      <c r="K40" s="876"/>
      <c r="L40" s="876"/>
      <c r="M40" s="876"/>
      <c r="N40" s="876"/>
      <c r="O40" s="876"/>
      <c r="P40" s="876"/>
      <c r="Q40" s="876"/>
      <c r="R40" s="876"/>
      <c r="AN40" s="876"/>
    </row>
    <row r="41" spans="1:41" s="1224" customFormat="1" ht="27" customHeight="1">
      <c r="A41" s="881" t="s">
        <v>36</v>
      </c>
      <c r="B41" s="1106">
        <f>B25-B31-B36</f>
        <v>-47.416917270929218</v>
      </c>
      <c r="C41" s="1106">
        <f t="shared" ref="C41:Q41" si="13">C25-C31-C36</f>
        <v>-55.813394233314078</v>
      </c>
      <c r="D41" s="1106">
        <f t="shared" si="13"/>
        <v>-54.74170848638289</v>
      </c>
      <c r="E41" s="1106">
        <f t="shared" si="13"/>
        <v>-58.1052890812689</v>
      </c>
      <c r="F41" s="1106">
        <f t="shared" si="13"/>
        <v>-89.198825890691751</v>
      </c>
      <c r="G41" s="1106">
        <f t="shared" si="13"/>
        <v>-79.240915811713549</v>
      </c>
      <c r="H41" s="1106">
        <f t="shared" si="13"/>
        <v>-88.08772932100203</v>
      </c>
      <c r="I41" s="1106">
        <f t="shared" si="13"/>
        <v>-86.513635759361335</v>
      </c>
      <c r="J41" s="1106">
        <f t="shared" si="13"/>
        <v>-49.046102621192006</v>
      </c>
      <c r="K41" s="1106">
        <f t="shared" si="13"/>
        <v>332.86232603802273</v>
      </c>
      <c r="L41" s="1106">
        <f t="shared" si="13"/>
        <v>447.35395218183822</v>
      </c>
      <c r="M41" s="1106">
        <f t="shared" si="13"/>
        <v>568.44049441900518</v>
      </c>
      <c r="N41" s="1106">
        <f t="shared" si="13"/>
        <v>599.06105346129209</v>
      </c>
      <c r="O41" s="1106">
        <f t="shared" si="13"/>
        <v>761.30479265893723</v>
      </c>
      <c r="P41" s="1106">
        <f t="shared" si="13"/>
        <v>970.36366403617444</v>
      </c>
      <c r="Q41" s="1106">
        <f t="shared" si="13"/>
        <v>1213.0270996185432</v>
      </c>
      <c r="R41" s="1223">
        <f>SUM(B41:Q41)</f>
        <v>4284.2488639379571</v>
      </c>
      <c r="AN41" s="1225"/>
    </row>
    <row r="42" spans="1:41" s="1224" customFormat="1" ht="27" customHeight="1">
      <c r="A42" s="881"/>
      <c r="B42" s="882"/>
      <c r="C42" s="882"/>
      <c r="D42" s="882"/>
      <c r="E42" s="882"/>
      <c r="F42" s="882"/>
      <c r="G42" s="882"/>
      <c r="H42" s="882"/>
      <c r="I42" s="882"/>
      <c r="J42" s="882"/>
      <c r="K42" s="882"/>
      <c r="L42" s="882"/>
      <c r="M42" s="882"/>
      <c r="N42" s="882"/>
      <c r="O42" s="882"/>
      <c r="P42" s="882"/>
      <c r="Q42" s="882"/>
      <c r="R42" s="1226"/>
      <c r="AN42" s="1225"/>
    </row>
    <row r="43" spans="1:41">
      <c r="A43" s="1340" t="s">
        <v>37</v>
      </c>
      <c r="B43" s="1340"/>
      <c r="C43" s="1340"/>
      <c r="D43" s="1340"/>
      <c r="E43" s="1340"/>
      <c r="F43" s="1340"/>
      <c r="G43" s="1340"/>
      <c r="H43" s="1340"/>
      <c r="I43" s="1340"/>
      <c r="J43" s="1340"/>
      <c r="K43" s="1340"/>
      <c r="L43" s="1340"/>
      <c r="M43" s="1340"/>
      <c r="N43" s="1340"/>
      <c r="O43" s="1340"/>
      <c r="P43" s="1340"/>
      <c r="Q43" s="1340"/>
    </row>
    <row r="44" spans="1:41" s="1193" customFormat="1">
      <c r="A44" s="898" t="s">
        <v>38</v>
      </c>
      <c r="B44" s="899" t="s">
        <v>608</v>
      </c>
      <c r="C44" s="899" t="s">
        <v>609</v>
      </c>
      <c r="D44" s="899" t="s">
        <v>610</v>
      </c>
      <c r="E44" s="899" t="s">
        <v>611</v>
      </c>
      <c r="F44" s="899" t="s">
        <v>608</v>
      </c>
      <c r="G44" s="899" t="s">
        <v>609</v>
      </c>
      <c r="H44" s="899" t="s">
        <v>610</v>
      </c>
      <c r="I44" s="899" t="s">
        <v>611</v>
      </c>
      <c r="J44" s="899" t="str">
        <f t="shared" ref="J44:Q44" si="14">J2</f>
        <v>Year 3</v>
      </c>
      <c r="K44" s="899" t="str">
        <f t="shared" si="14"/>
        <v>Year 4</v>
      </c>
      <c r="L44" s="899" t="str">
        <f t="shared" si="14"/>
        <v>Year 5</v>
      </c>
      <c r="M44" s="899" t="str">
        <f t="shared" si="14"/>
        <v>Year 6</v>
      </c>
      <c r="N44" s="899" t="str">
        <f t="shared" si="14"/>
        <v>Year 7</v>
      </c>
      <c r="O44" s="899" t="str">
        <f t="shared" si="14"/>
        <v>Year 8</v>
      </c>
      <c r="P44" s="899" t="str">
        <f t="shared" si="14"/>
        <v>Year 9</v>
      </c>
      <c r="Q44" s="899" t="str">
        <f t="shared" si="14"/>
        <v>Year 10</v>
      </c>
      <c r="R44" s="1227"/>
      <c r="AN44" s="862"/>
    </row>
    <row r="45" spans="1:41">
      <c r="A45" s="860"/>
      <c r="B45" s="884"/>
      <c r="C45" s="884"/>
      <c r="D45" s="884"/>
      <c r="E45" s="884"/>
      <c r="F45" s="884"/>
      <c r="G45" s="884"/>
      <c r="H45" s="884"/>
      <c r="I45" s="884"/>
      <c r="J45" s="884"/>
      <c r="K45" s="884"/>
      <c r="L45" s="884"/>
      <c r="M45" s="884"/>
      <c r="N45" s="884"/>
      <c r="O45" s="884"/>
      <c r="P45" s="884"/>
      <c r="Q45" s="884"/>
    </row>
    <row r="46" spans="1:41" s="1194" customFormat="1">
      <c r="A46" s="885" t="s">
        <v>802</v>
      </c>
      <c r="B46" s="246">
        <f>B79</f>
        <v>244.35854850000004</v>
      </c>
      <c r="C46" s="246">
        <f>C79+B46</f>
        <v>264.35854850000004</v>
      </c>
      <c r="D46" s="246">
        <f>D79+C46</f>
        <v>284.35854850000004</v>
      </c>
      <c r="E46" s="246">
        <f>E79+D46</f>
        <v>304.35854850000004</v>
      </c>
      <c r="F46" s="246">
        <f t="shared" ref="F46:Q46" si="15">E46+F79</f>
        <v>324.35854850000004</v>
      </c>
      <c r="G46" s="246">
        <f t="shared" si="15"/>
        <v>344.35854850000004</v>
      </c>
      <c r="H46" s="246">
        <f t="shared" si="15"/>
        <v>364.35854850000004</v>
      </c>
      <c r="I46" s="246">
        <f t="shared" si="15"/>
        <v>384.35854850000004</v>
      </c>
      <c r="J46" s="246">
        <f t="shared" si="15"/>
        <v>394.35854850000004</v>
      </c>
      <c r="K46" s="246">
        <f t="shared" si="15"/>
        <v>394.35854850000004</v>
      </c>
      <c r="L46" s="246">
        <f t="shared" si="15"/>
        <v>394.35854850000004</v>
      </c>
      <c r="M46" s="246">
        <f t="shared" si="15"/>
        <v>394.35854850000004</v>
      </c>
      <c r="N46" s="246">
        <f t="shared" si="15"/>
        <v>394.35854850000004</v>
      </c>
      <c r="O46" s="246">
        <f t="shared" si="15"/>
        <v>394.35854850000004</v>
      </c>
      <c r="P46" s="246">
        <f t="shared" si="15"/>
        <v>394.35854850000004</v>
      </c>
      <c r="Q46" s="246">
        <f t="shared" si="15"/>
        <v>394.35854850000004</v>
      </c>
      <c r="AN46" s="1228"/>
    </row>
    <row r="47" spans="1:41" s="1194" customFormat="1">
      <c r="A47" s="885" t="s">
        <v>39</v>
      </c>
      <c r="B47" s="246">
        <f>B80</f>
        <v>0</v>
      </c>
      <c r="C47" s="246">
        <f t="shared" ref="C47:Q47" si="16">C80</f>
        <v>0</v>
      </c>
      <c r="D47" s="246">
        <f t="shared" si="16"/>
        <v>0</v>
      </c>
      <c r="E47" s="246">
        <f t="shared" si="16"/>
        <v>0</v>
      </c>
      <c r="F47" s="246">
        <f t="shared" si="16"/>
        <v>0</v>
      </c>
      <c r="G47" s="246">
        <f t="shared" si="16"/>
        <v>0</v>
      </c>
      <c r="H47" s="246">
        <f t="shared" si="16"/>
        <v>0</v>
      </c>
      <c r="I47" s="246">
        <f t="shared" si="16"/>
        <v>0</v>
      </c>
      <c r="J47" s="246">
        <f t="shared" si="16"/>
        <v>0</v>
      </c>
      <c r="K47" s="246">
        <f t="shared" si="16"/>
        <v>0</v>
      </c>
      <c r="L47" s="246">
        <f t="shared" si="16"/>
        <v>0</v>
      </c>
      <c r="M47" s="246">
        <f t="shared" si="16"/>
        <v>0</v>
      </c>
      <c r="N47" s="246">
        <f t="shared" si="16"/>
        <v>0</v>
      </c>
      <c r="O47" s="246">
        <f t="shared" si="16"/>
        <v>0</v>
      </c>
      <c r="P47" s="246">
        <f t="shared" si="16"/>
        <v>0</v>
      </c>
      <c r="Q47" s="246">
        <f t="shared" si="16"/>
        <v>0</v>
      </c>
      <c r="AE47" s="1216">
        <v>250</v>
      </c>
      <c r="AF47" s="1216"/>
      <c r="AG47" s="1216"/>
      <c r="AH47" s="1216"/>
      <c r="AI47" s="1216"/>
      <c r="AN47" s="1228"/>
    </row>
    <row r="48" spans="1:41" s="1194" customFormat="1">
      <c r="A48" s="885" t="s">
        <v>639</v>
      </c>
      <c r="B48" s="246">
        <f>B137</f>
        <v>4.2625000000000002</v>
      </c>
      <c r="C48" s="246">
        <f t="shared" ref="C48:H48" si="17">C137</f>
        <v>9.5375000000000014</v>
      </c>
      <c r="D48" s="246">
        <f t="shared" si="17"/>
        <v>15.825000000000001</v>
      </c>
      <c r="E48" s="246">
        <f t="shared" si="17"/>
        <v>23.125</v>
      </c>
      <c r="F48" s="246">
        <f t="shared" si="17"/>
        <v>32.018749999999997</v>
      </c>
      <c r="G48" s="246">
        <f t="shared" si="17"/>
        <v>42.026249999999997</v>
      </c>
      <c r="H48" s="246">
        <f t="shared" si="17"/>
        <v>53.147500000000001</v>
      </c>
      <c r="I48" s="246">
        <f t="shared" ref="I48:Q48" si="18">I81+H48</f>
        <v>65.382500000000007</v>
      </c>
      <c r="J48" s="246">
        <f t="shared" si="18"/>
        <v>137.81850000000003</v>
      </c>
      <c r="K48" s="246">
        <f t="shared" si="18"/>
        <v>233.06030000000004</v>
      </c>
      <c r="L48" s="246">
        <f t="shared" si="18"/>
        <v>361.54470000000003</v>
      </c>
      <c r="M48" s="246">
        <f t="shared" si="18"/>
        <v>361.54470000000003</v>
      </c>
      <c r="N48" s="246">
        <f t="shared" si="18"/>
        <v>289.14470000000006</v>
      </c>
      <c r="O48" s="246">
        <f t="shared" si="18"/>
        <v>216.74470000000005</v>
      </c>
      <c r="P48" s="246">
        <f t="shared" si="18"/>
        <v>108.14470000000006</v>
      </c>
      <c r="Q48" s="1116">
        <f t="shared" si="18"/>
        <v>-0.4552999999999372</v>
      </c>
      <c r="AE48" s="1216"/>
      <c r="AF48" s="1216"/>
      <c r="AG48" s="1216"/>
      <c r="AH48" s="1216"/>
      <c r="AI48" s="1216"/>
      <c r="AN48" s="1228"/>
    </row>
    <row r="49" spans="1:40" s="1194" customFormat="1">
      <c r="A49" s="867" t="s">
        <v>40</v>
      </c>
      <c r="B49" s="248">
        <f>'P&amp;L Statement'!B26</f>
        <v>-67.71451762499008</v>
      </c>
      <c r="C49" s="248">
        <f>'P&amp;L Statement'!C26</f>
        <v>-146.20734743837539</v>
      </c>
      <c r="D49" s="248">
        <f>'P&amp;L Statement'!D26</f>
        <v>-224.02055845238476</v>
      </c>
      <c r="E49" s="248">
        <f>'P&amp;L Statement'!E26</f>
        <v>-305.54322992496088</v>
      </c>
      <c r="F49" s="248">
        <f>'P&amp;L Statement'!F26</f>
        <v>-423.76132640038168</v>
      </c>
      <c r="G49" s="248">
        <f>'P&amp;L Statement'!G26</f>
        <v>-531.16913207294533</v>
      </c>
      <c r="H49" s="248">
        <f>'P&amp;L Statement'!H26</f>
        <v>-648.43284966745125</v>
      </c>
      <c r="I49" s="248">
        <f>'P&amp;L Statement'!I26</f>
        <v>-763.41308346056974</v>
      </c>
      <c r="J49" s="248">
        <f>'P&amp;L Statement'!J26</f>
        <v>-896.20669310719313</v>
      </c>
      <c r="K49" s="248">
        <f>'P&amp;L Statement'!K26</f>
        <v>-649.32735027324054</v>
      </c>
      <c r="L49" s="248">
        <f>'P&amp;L Statement'!L26</f>
        <v>-294.8943250908481</v>
      </c>
      <c r="M49" s="248">
        <f>'P&amp;L Statement'!M26</f>
        <v>218.8357866708447</v>
      </c>
      <c r="N49" s="248">
        <f>'P&amp;L Statement'!N26</f>
        <v>768.28681023014747</v>
      </c>
      <c r="O49" s="248">
        <f>'P&amp;L Statement'!O26</f>
        <v>1472.7465085409478</v>
      </c>
      <c r="P49" s="248">
        <f>'P&amp;L Statement'!P26</f>
        <v>2378.9313751190534</v>
      </c>
      <c r="Q49" s="248">
        <f>'P&amp;L Statement'!Q26</f>
        <v>3523.3705262606068</v>
      </c>
      <c r="R49" s="1214">
        <f>P49-'Balance Sheet'!Q36</f>
        <v>0</v>
      </c>
      <c r="AN49" s="1228"/>
    </row>
    <row r="50" spans="1:40" s="1194" customFormat="1">
      <c r="A50" s="867" t="s">
        <v>41</v>
      </c>
      <c r="B50" s="246">
        <f t="shared" ref="B50:Q50" si="19">B89+B90</f>
        <v>92.291983937595887</v>
      </c>
      <c r="C50" s="246">
        <f t="shared" si="19"/>
        <v>159.22127817090995</v>
      </c>
      <c r="D50" s="246">
        <f t="shared" si="19"/>
        <v>214.60638665729286</v>
      </c>
      <c r="E50" s="246">
        <f t="shared" si="19"/>
        <v>272.34257573856172</v>
      </c>
      <c r="F50" s="246">
        <f t="shared" si="19"/>
        <v>407.65658162925354</v>
      </c>
      <c r="G50" s="246">
        <f t="shared" si="19"/>
        <v>486.93110744096708</v>
      </c>
      <c r="H50" s="246">
        <f t="shared" si="19"/>
        <v>583.43917676196907</v>
      </c>
      <c r="I50" s="246">
        <f t="shared" si="19"/>
        <v>666.85340252133039</v>
      </c>
      <c r="J50" s="246">
        <f t="shared" si="19"/>
        <v>822.4167731425224</v>
      </c>
      <c r="K50" s="246">
        <f t="shared" si="19"/>
        <v>510.67251417116643</v>
      </c>
      <c r="L50" s="246">
        <f t="shared" si="19"/>
        <v>92.075059712661528</v>
      </c>
      <c r="M50" s="246">
        <f t="shared" si="19"/>
        <v>0</v>
      </c>
      <c r="N50" s="246">
        <f t="shared" si="19"/>
        <v>0</v>
      </c>
      <c r="O50" s="246">
        <f t="shared" si="19"/>
        <v>0</v>
      </c>
      <c r="P50" s="246">
        <f t="shared" si="19"/>
        <v>0</v>
      </c>
      <c r="Q50" s="246">
        <f t="shared" si="19"/>
        <v>0</v>
      </c>
      <c r="AN50" s="1228"/>
    </row>
    <row r="51" spans="1:40" s="1194" customFormat="1">
      <c r="A51" s="867"/>
      <c r="B51" s="246"/>
      <c r="C51" s="246"/>
      <c r="D51" s="246"/>
      <c r="E51" s="246"/>
      <c r="F51" s="246"/>
      <c r="G51" s="246"/>
      <c r="H51" s="246"/>
      <c r="I51" s="246"/>
      <c r="J51" s="246"/>
      <c r="K51" s="246"/>
      <c r="L51" s="246"/>
      <c r="M51" s="246"/>
      <c r="N51" s="246"/>
      <c r="O51" s="246"/>
      <c r="P51" s="246"/>
      <c r="Q51" s="246"/>
      <c r="AN51" s="1228"/>
    </row>
    <row r="52" spans="1:40" s="1194" customFormat="1">
      <c r="A52" s="864" t="s">
        <v>42</v>
      </c>
      <c r="B52" s="1117">
        <f>SUM(B46:B50)</f>
        <v>273.19851481260582</v>
      </c>
      <c r="C52" s="1117">
        <f t="shared" ref="C52:Q52" si="20">SUM(C46:C50)</f>
        <v>286.90997923253462</v>
      </c>
      <c r="D52" s="1117">
        <f t="shared" si="20"/>
        <v>290.76937670490815</v>
      </c>
      <c r="E52" s="1117">
        <f t="shared" si="20"/>
        <v>294.28289431360088</v>
      </c>
      <c r="F52" s="1117">
        <f t="shared" si="20"/>
        <v>340.27255372887191</v>
      </c>
      <c r="G52" s="1117">
        <f t="shared" si="20"/>
        <v>342.1467738680218</v>
      </c>
      <c r="H52" s="1117">
        <f t="shared" si="20"/>
        <v>352.51237559451783</v>
      </c>
      <c r="I52" s="1117">
        <f t="shared" si="20"/>
        <v>353.18136756076069</v>
      </c>
      <c r="J52" s="1117">
        <f t="shared" si="20"/>
        <v>458.38712853532934</v>
      </c>
      <c r="K52" s="1117">
        <f t="shared" si="20"/>
        <v>488.76401239792597</v>
      </c>
      <c r="L52" s="1117">
        <f t="shared" si="20"/>
        <v>553.08398312181339</v>
      </c>
      <c r="M52" s="1117">
        <f t="shared" si="20"/>
        <v>974.73903517084477</v>
      </c>
      <c r="N52" s="1117">
        <f t="shared" si="20"/>
        <v>1451.7900587301476</v>
      </c>
      <c r="O52" s="1117">
        <f t="shared" si="20"/>
        <v>2083.8497570409481</v>
      </c>
      <c r="P52" s="1117">
        <f t="shared" si="20"/>
        <v>2881.4346236190536</v>
      </c>
      <c r="Q52" s="1117">
        <f t="shared" si="20"/>
        <v>3917.273774760607</v>
      </c>
      <c r="AN52" s="1228"/>
    </row>
    <row r="53" spans="1:40" s="1194" customFormat="1">
      <c r="A53" s="864"/>
      <c r="B53" s="1118"/>
      <c r="C53" s="1118"/>
      <c r="D53" s="1118"/>
      <c r="E53" s="1118"/>
      <c r="F53" s="1118"/>
      <c r="G53" s="1118"/>
      <c r="H53" s="1118"/>
      <c r="I53" s="1118"/>
      <c r="J53" s="1118"/>
      <c r="K53" s="1118"/>
      <c r="L53" s="1118"/>
      <c r="M53" s="1118"/>
      <c r="N53" s="1118"/>
      <c r="O53" s="1118"/>
      <c r="P53" s="1118"/>
      <c r="Q53" s="1118"/>
      <c r="AN53" s="1228"/>
    </row>
    <row r="54" spans="1:40" s="1194" customFormat="1">
      <c r="A54" s="1120" t="s">
        <v>792</v>
      </c>
      <c r="B54" s="1118">
        <f>B72</f>
        <v>45.636728963499998</v>
      </c>
      <c r="C54" s="1118">
        <f t="shared" ref="C54:Q54" si="21">C72</f>
        <v>66.8857289635</v>
      </c>
      <c r="D54" s="1118">
        <f t="shared" si="21"/>
        <v>82.204728963500003</v>
      </c>
      <c r="E54" s="1118">
        <f t="shared" si="21"/>
        <v>97.523728963500005</v>
      </c>
      <c r="F54" s="1118">
        <f t="shared" si="21"/>
        <v>135.10312896349998</v>
      </c>
      <c r="G54" s="1118">
        <f t="shared" si="21"/>
        <v>151.95402896349998</v>
      </c>
      <c r="H54" s="1118">
        <f t="shared" si="21"/>
        <v>175.32792896349997</v>
      </c>
      <c r="I54" s="1118">
        <f t="shared" si="21"/>
        <v>192.1788289635</v>
      </c>
      <c r="J54" s="1118">
        <f t="shared" si="21"/>
        <v>315.02398896350002</v>
      </c>
      <c r="K54" s="1118">
        <f t="shared" si="21"/>
        <v>372.90385496350001</v>
      </c>
      <c r="L54" s="1118">
        <f t="shared" si="21"/>
        <v>449.58721851350003</v>
      </c>
      <c r="M54" s="1118">
        <f t="shared" si="21"/>
        <v>519.62185637350001</v>
      </c>
      <c r="N54" s="1118">
        <f t="shared" si="21"/>
        <v>556.69265607900002</v>
      </c>
      <c r="O54" s="1118">
        <f t="shared" si="21"/>
        <v>641.43456788959998</v>
      </c>
      <c r="P54" s="1118">
        <f t="shared" si="21"/>
        <v>734.65067088126011</v>
      </c>
      <c r="Q54" s="1118">
        <f t="shared" si="21"/>
        <v>823.20575436445597</v>
      </c>
      <c r="AN54" s="1228"/>
    </row>
    <row r="55" spans="1:40" s="1194" customFormat="1">
      <c r="A55" s="1120" t="s">
        <v>43</v>
      </c>
      <c r="B55" s="1118">
        <f>B74</f>
        <v>9.9955593891011496</v>
      </c>
      <c r="C55" s="1118">
        <f t="shared" ref="C55:Q55" si="22">C74</f>
        <v>22.372954053097814</v>
      </c>
      <c r="D55" s="1118">
        <f t="shared" si="22"/>
        <v>35.14241579042281</v>
      </c>
      <c r="E55" s="1118">
        <f t="shared" si="22"/>
        <v>48.257757650095492</v>
      </c>
      <c r="F55" s="1118">
        <f t="shared" si="22"/>
        <v>66.974988174252459</v>
      </c>
      <c r="G55" s="1118">
        <f t="shared" si="22"/>
        <v>84.839838758376601</v>
      </c>
      <c r="H55" s="1118">
        <f t="shared" si="22"/>
        <v>103.71378897462795</v>
      </c>
      <c r="I55" s="1118">
        <f t="shared" si="22"/>
        <v>121.87835075310144</v>
      </c>
      <c r="J55" s="1118">
        <f t="shared" si="22"/>
        <v>164.41772322250944</v>
      </c>
      <c r="K55" s="1118">
        <f t="shared" si="22"/>
        <v>209.1925434618463</v>
      </c>
      <c r="L55" s="1118">
        <f t="shared" si="22"/>
        <v>260.90508971563946</v>
      </c>
      <c r="M55" s="1118">
        <f t="shared" si="22"/>
        <v>315.61527450022641</v>
      </c>
      <c r="N55" s="1118">
        <f t="shared" si="22"/>
        <v>365.22530440221567</v>
      </c>
      <c r="O55" s="1118">
        <f t="shared" si="22"/>
        <v>422.07039875035264</v>
      </c>
      <c r="P55" s="1118">
        <f t="shared" si="22"/>
        <v>486.24919620842149</v>
      </c>
      <c r="Q55" s="1118">
        <f t="shared" si="22"/>
        <v>554.83714468541132</v>
      </c>
      <c r="AN55" s="1228"/>
    </row>
    <row r="56" spans="1:40" s="1194" customFormat="1">
      <c r="A56" s="867" t="s">
        <v>731</v>
      </c>
      <c r="B56" s="248">
        <f>B54-B55</f>
        <v>35.641169574398845</v>
      </c>
      <c r="C56" s="248">
        <f t="shared" ref="C56:Q56" si="23">C54-C55</f>
        <v>44.512774910402186</v>
      </c>
      <c r="D56" s="248">
        <f t="shared" si="23"/>
        <v>47.062313173077193</v>
      </c>
      <c r="E56" s="248">
        <f t="shared" si="23"/>
        <v>49.265971313404513</v>
      </c>
      <c r="F56" s="248">
        <f t="shared" si="23"/>
        <v>68.128140789247524</v>
      </c>
      <c r="G56" s="248">
        <f t="shared" si="23"/>
        <v>67.114190205123379</v>
      </c>
      <c r="H56" s="248">
        <f t="shared" si="23"/>
        <v>71.614139988872026</v>
      </c>
      <c r="I56" s="248">
        <f t="shared" si="23"/>
        <v>70.300478210398552</v>
      </c>
      <c r="J56" s="248">
        <f t="shared" si="23"/>
        <v>150.60626574099058</v>
      </c>
      <c r="K56" s="248">
        <f t="shared" si="23"/>
        <v>163.71131150165371</v>
      </c>
      <c r="L56" s="248">
        <f t="shared" si="23"/>
        <v>188.68212879786057</v>
      </c>
      <c r="M56" s="248">
        <f t="shared" si="23"/>
        <v>204.0065818732736</v>
      </c>
      <c r="N56" s="248">
        <f t="shared" si="23"/>
        <v>191.46735167678435</v>
      </c>
      <c r="O56" s="248">
        <f t="shared" si="23"/>
        <v>219.36416913924734</v>
      </c>
      <c r="P56" s="248">
        <f t="shared" si="23"/>
        <v>248.40147467283862</v>
      </c>
      <c r="Q56" s="248">
        <f t="shared" si="23"/>
        <v>268.36860967904465</v>
      </c>
      <c r="AN56" s="1228"/>
    </row>
    <row r="57" spans="1:40" s="1194" customFormat="1">
      <c r="A57" s="867" t="str">
        <f>Amortisation!A19</f>
        <v>Unamortized Cost</v>
      </c>
      <c r="B57" s="248">
        <f>Amortisation!C19</f>
        <v>195.73877855967504</v>
      </c>
      <c r="C57" s="248">
        <f>Amortisation!D19</f>
        <v>185.43673758285004</v>
      </c>
      <c r="D57" s="248">
        <f>Amortisation!E19</f>
        <v>175.13469660602505</v>
      </c>
      <c r="E57" s="248">
        <f>Amortisation!F19</f>
        <v>164.83265562920005</v>
      </c>
      <c r="F57" s="248">
        <f>Amortisation!G19</f>
        <v>154.53061465237505</v>
      </c>
      <c r="G57" s="248">
        <f>Amortisation!H19</f>
        <v>144.22857367555005</v>
      </c>
      <c r="H57" s="248">
        <f>Amortisation!I19</f>
        <v>133.92653269872505</v>
      </c>
      <c r="I57" s="248">
        <f>Amortisation!J19</f>
        <v>123.62449172190006</v>
      </c>
      <c r="J57" s="248">
        <f>Amortisation!K19</f>
        <v>82.416327814600052</v>
      </c>
      <c r="K57" s="248">
        <f>Amortisation!L19</f>
        <v>41.208163907300047</v>
      </c>
      <c r="L57" s="248">
        <f>Amortisation!M19</f>
        <v>0</v>
      </c>
      <c r="M57" s="248">
        <f>Amortisation!N19</f>
        <v>0</v>
      </c>
      <c r="N57" s="248">
        <f>Amortisation!O19</f>
        <v>0</v>
      </c>
      <c r="O57" s="248">
        <f>Amortisation!P19</f>
        <v>0</v>
      </c>
      <c r="P57" s="248">
        <f>Amortisation!Q19</f>
        <v>0</v>
      </c>
      <c r="Q57" s="248">
        <f>Amortisation!R19</f>
        <v>0</v>
      </c>
      <c r="AN57" s="1228"/>
    </row>
    <row r="58" spans="1:40">
      <c r="A58" s="1191" t="s">
        <v>99</v>
      </c>
      <c r="B58" s="1119">
        <f>-(B85+B86)</f>
        <v>41.818566666666669</v>
      </c>
      <c r="C58" s="1119">
        <f t="shared" ref="C58:Q58" si="24">B58-(C85+C86)</f>
        <v>56.960466666666662</v>
      </c>
      <c r="D58" s="1119">
        <f t="shared" si="24"/>
        <v>68.572366666666682</v>
      </c>
      <c r="E58" s="1119">
        <f t="shared" si="24"/>
        <v>80.184266666666673</v>
      </c>
      <c r="F58" s="1119">
        <f t="shared" si="24"/>
        <v>117.61379666666672</v>
      </c>
      <c r="G58" s="1119">
        <f t="shared" si="24"/>
        <v>130.80400666666668</v>
      </c>
      <c r="H58" s="1119">
        <f t="shared" si="24"/>
        <v>146.97169666666667</v>
      </c>
      <c r="I58" s="1119">
        <f t="shared" si="24"/>
        <v>159.25638666666669</v>
      </c>
      <c r="J58" s="1119">
        <f t="shared" si="24"/>
        <v>225.3644946666667</v>
      </c>
      <c r="K58" s="1119">
        <f t="shared" si="24"/>
        <v>283.84449573333347</v>
      </c>
      <c r="L58" s="1119">
        <f t="shared" si="24"/>
        <v>364.40202990666677</v>
      </c>
      <c r="M58" s="1119">
        <f t="shared" si="24"/>
        <v>443.22510246933354</v>
      </c>
      <c r="N58" s="1119">
        <f t="shared" si="24"/>
        <v>523.50117683586677</v>
      </c>
      <c r="O58" s="1119">
        <f t="shared" si="24"/>
        <v>630.76574051481339</v>
      </c>
      <c r="P58" s="1119">
        <f t="shared" si="24"/>
        <v>754.46291602519079</v>
      </c>
      <c r="Q58" s="1119">
        <f t="shared" si="24"/>
        <v>887.73163725626523</v>
      </c>
    </row>
    <row r="59" spans="1:40">
      <c r="A59" s="860" t="s">
        <v>44</v>
      </c>
      <c r="B59" s="1119">
        <f>B52-SUM(B56:B58)</f>
        <v>1.1865267879329622E-8</v>
      </c>
      <c r="C59" s="1119">
        <f t="shared" ref="C59:Q59" si="25">C52-SUM(C56:C58)</f>
        <v>7.2615762292116415E-8</v>
      </c>
      <c r="D59" s="1119">
        <f t="shared" si="25"/>
        <v>2.5913925583154196E-7</v>
      </c>
      <c r="E59" s="1119">
        <f t="shared" si="25"/>
        <v>7.0432963639177615E-7</v>
      </c>
      <c r="F59" s="1119">
        <f t="shared" si="25"/>
        <v>1.6205826227633224E-6</v>
      </c>
      <c r="G59" s="1119">
        <f t="shared" si="25"/>
        <v>3.3206816851816257E-6</v>
      </c>
      <c r="H59" s="1119">
        <f t="shared" si="25"/>
        <v>6.2402540947914531E-6</v>
      </c>
      <c r="I59" s="1119">
        <f t="shared" si="25"/>
        <v>1.0961795396724483E-5</v>
      </c>
      <c r="J59" s="1119">
        <f t="shared" si="25"/>
        <v>4.0313072020126128E-5</v>
      </c>
      <c r="K59" s="1119">
        <f t="shared" si="25"/>
        <v>4.1255638734583044E-5</v>
      </c>
      <c r="L59" s="1119">
        <f t="shared" si="25"/>
        <v>-1.7558271395046177E-4</v>
      </c>
      <c r="M59" s="1119">
        <f t="shared" si="25"/>
        <v>327.50735082823758</v>
      </c>
      <c r="N59" s="1119">
        <f t="shared" si="25"/>
        <v>736.8215302174965</v>
      </c>
      <c r="O59" s="1119">
        <f t="shared" si="25"/>
        <v>1233.7198473868875</v>
      </c>
      <c r="P59" s="1119">
        <f t="shared" si="25"/>
        <v>1878.5702329210242</v>
      </c>
      <c r="Q59" s="1119">
        <f t="shared" si="25"/>
        <v>2761.1735278252972</v>
      </c>
    </row>
    <row r="60" spans="1:40">
      <c r="A60" s="886" t="s">
        <v>45</v>
      </c>
      <c r="B60" s="1117">
        <f t="shared" ref="B60:Q60" si="26">SUM(B56:B59)</f>
        <v>273.19851481260582</v>
      </c>
      <c r="C60" s="1117">
        <f t="shared" si="26"/>
        <v>286.90997923253462</v>
      </c>
      <c r="D60" s="1117">
        <f t="shared" si="26"/>
        <v>290.76937670490815</v>
      </c>
      <c r="E60" s="1117">
        <f t="shared" si="26"/>
        <v>294.28289431360088</v>
      </c>
      <c r="F60" s="1117">
        <f t="shared" si="26"/>
        <v>340.27255372887191</v>
      </c>
      <c r="G60" s="1117">
        <f t="shared" si="26"/>
        <v>342.1467738680218</v>
      </c>
      <c r="H60" s="1117">
        <f t="shared" si="26"/>
        <v>352.51237559451783</v>
      </c>
      <c r="I60" s="1117">
        <f t="shared" si="26"/>
        <v>353.18136756076069</v>
      </c>
      <c r="J60" s="1117">
        <f t="shared" si="26"/>
        <v>458.38712853532934</v>
      </c>
      <c r="K60" s="1117">
        <f t="shared" si="26"/>
        <v>488.76401239792597</v>
      </c>
      <c r="L60" s="1117">
        <f t="shared" si="26"/>
        <v>553.08398312181339</v>
      </c>
      <c r="M60" s="1117">
        <f t="shared" si="26"/>
        <v>974.73903517084477</v>
      </c>
      <c r="N60" s="1117">
        <f t="shared" si="26"/>
        <v>1451.7900587301476</v>
      </c>
      <c r="O60" s="1117">
        <f t="shared" si="26"/>
        <v>2083.8497570409481</v>
      </c>
      <c r="P60" s="1117">
        <f t="shared" si="26"/>
        <v>2881.4346236190536</v>
      </c>
      <c r="Q60" s="1117">
        <f t="shared" si="26"/>
        <v>3917.273774760607</v>
      </c>
    </row>
    <row r="61" spans="1:40">
      <c r="A61" s="860"/>
      <c r="B61" s="892">
        <f t="shared" ref="B61:Q61" si="27">B52-B60</f>
        <v>0</v>
      </c>
      <c r="C61" s="892">
        <f t="shared" si="27"/>
        <v>0</v>
      </c>
      <c r="D61" s="892">
        <f t="shared" si="27"/>
        <v>0</v>
      </c>
      <c r="E61" s="892">
        <f t="shared" si="27"/>
        <v>0</v>
      </c>
      <c r="F61" s="892">
        <f t="shared" si="27"/>
        <v>0</v>
      </c>
      <c r="G61" s="892">
        <f t="shared" si="27"/>
        <v>0</v>
      </c>
      <c r="H61" s="892">
        <f t="shared" si="27"/>
        <v>0</v>
      </c>
      <c r="I61" s="892">
        <f t="shared" si="27"/>
        <v>0</v>
      </c>
      <c r="J61" s="892">
        <f t="shared" si="27"/>
        <v>0</v>
      </c>
      <c r="K61" s="892">
        <f t="shared" si="27"/>
        <v>0</v>
      </c>
      <c r="L61" s="892">
        <f t="shared" si="27"/>
        <v>0</v>
      </c>
      <c r="M61" s="892">
        <f t="shared" si="27"/>
        <v>0</v>
      </c>
      <c r="N61" s="892">
        <f t="shared" si="27"/>
        <v>0</v>
      </c>
      <c r="O61" s="892">
        <f t="shared" si="27"/>
        <v>0</v>
      </c>
      <c r="P61" s="892">
        <f t="shared" si="27"/>
        <v>0</v>
      </c>
      <c r="Q61" s="892">
        <f t="shared" si="27"/>
        <v>0</v>
      </c>
    </row>
    <row r="62" spans="1:40" hidden="1">
      <c r="A62" s="860"/>
      <c r="B62" s="884"/>
      <c r="C62" s="884"/>
      <c r="D62" s="884"/>
      <c r="E62" s="884"/>
      <c r="F62" s="884"/>
      <c r="G62" s="884"/>
      <c r="H62" s="884"/>
      <c r="I62" s="884"/>
      <c r="J62" s="884"/>
      <c r="K62" s="884"/>
      <c r="L62" s="884"/>
      <c r="M62" s="884"/>
      <c r="N62" s="884"/>
      <c r="O62" s="884"/>
      <c r="P62" s="884"/>
      <c r="Q62" s="884"/>
    </row>
    <row r="63" spans="1:40" hidden="1">
      <c r="A63" s="860"/>
      <c r="B63" s="883"/>
      <c r="C63" s="883"/>
      <c r="D63" s="883"/>
      <c r="E63" s="883"/>
      <c r="F63" s="883"/>
      <c r="G63" s="883"/>
      <c r="H63" s="883"/>
      <c r="I63" s="883"/>
      <c r="J63" s="883"/>
      <c r="K63" s="883"/>
      <c r="L63" s="883"/>
      <c r="M63" s="883"/>
      <c r="N63" s="883"/>
      <c r="O63" s="883"/>
      <c r="P63" s="883"/>
      <c r="Q63" s="883"/>
    </row>
    <row r="64" spans="1:40" s="1229" customFormat="1" ht="39" customHeight="1">
      <c r="A64" s="900" t="s">
        <v>46</v>
      </c>
      <c r="B64" s="902" t="s">
        <v>608</v>
      </c>
      <c r="C64" s="902" t="s">
        <v>609</v>
      </c>
      <c r="D64" s="902" t="s">
        <v>610</v>
      </c>
      <c r="E64" s="902" t="s">
        <v>611</v>
      </c>
      <c r="F64" s="902" t="s">
        <v>608</v>
      </c>
      <c r="G64" s="902" t="s">
        <v>609</v>
      </c>
      <c r="H64" s="902" t="s">
        <v>610</v>
      </c>
      <c r="I64" s="902" t="s">
        <v>611</v>
      </c>
      <c r="J64" s="901">
        <v>3</v>
      </c>
      <c r="K64" s="901">
        <v>4</v>
      </c>
      <c r="L64" s="901">
        <v>5</v>
      </c>
      <c r="M64" s="901">
        <v>6</v>
      </c>
      <c r="N64" s="901">
        <v>7</v>
      </c>
      <c r="O64" s="901">
        <v>8</v>
      </c>
      <c r="P64" s="901">
        <v>9</v>
      </c>
      <c r="Q64" s="901">
        <v>10</v>
      </c>
      <c r="AN64" s="1230"/>
    </row>
    <row r="65" spans="1:18" hidden="1">
      <c r="A65" s="886"/>
      <c r="B65" s="887"/>
      <c r="C65" s="887"/>
      <c r="D65" s="887"/>
      <c r="E65" s="887"/>
      <c r="F65" s="887"/>
      <c r="G65" s="887"/>
      <c r="H65" s="887"/>
      <c r="I65" s="887"/>
      <c r="J65" s="887"/>
      <c r="K65" s="887"/>
      <c r="L65" s="887"/>
      <c r="M65" s="887"/>
      <c r="N65" s="887"/>
      <c r="O65" s="887"/>
      <c r="P65" s="887"/>
      <c r="Q65" s="887"/>
    </row>
    <row r="66" spans="1:18">
      <c r="A66" s="886" t="s">
        <v>142</v>
      </c>
      <c r="B66" s="887"/>
      <c r="C66" s="887"/>
      <c r="D66" s="887"/>
      <c r="E66" s="887"/>
      <c r="F66" s="887"/>
      <c r="G66" s="887"/>
      <c r="H66" s="887"/>
      <c r="I66" s="887"/>
      <c r="J66" s="887"/>
      <c r="K66" s="887"/>
      <c r="L66" s="887"/>
      <c r="M66" s="887"/>
      <c r="N66" s="887"/>
      <c r="O66" s="887"/>
      <c r="P66" s="887"/>
      <c r="Q66" s="887"/>
    </row>
    <row r="67" spans="1:18">
      <c r="A67" s="860" t="s">
        <v>458</v>
      </c>
      <c r="B67" s="888">
        <f>'Depreciation '!C22</f>
        <v>7.5683410125000004</v>
      </c>
      <c r="C67" s="888">
        <f>'Depreciation '!D22</f>
        <v>9.5183410125000005</v>
      </c>
      <c r="D67" s="888">
        <f>'Depreciation '!E22</f>
        <v>11.4683410125</v>
      </c>
      <c r="E67" s="888">
        <f>'Depreciation '!F22</f>
        <v>13.418341012499999</v>
      </c>
      <c r="F67" s="888">
        <f>'Depreciation '!G22</f>
        <v>15.563341012499999</v>
      </c>
      <c r="G67" s="888">
        <f>'Depreciation '!H22</f>
        <v>17.7083410125</v>
      </c>
      <c r="H67" s="888">
        <f>'Depreciation '!I22</f>
        <v>19.8533410125</v>
      </c>
      <c r="I67" s="888">
        <f>'Depreciation '!J22</f>
        <v>21.998341012499999</v>
      </c>
      <c r="J67" s="888">
        <f>'Depreciation '!K22</f>
        <v>31.436341012500002</v>
      </c>
      <c r="K67" s="888">
        <f>'Depreciation '!L22</f>
        <v>41.8181410125</v>
      </c>
      <c r="L67" s="888">
        <f>'Depreciation '!M22</f>
        <v>53.238121012500002</v>
      </c>
      <c r="M67" s="888">
        <f>'Depreciation '!N22</f>
        <v>65.800099012499999</v>
      </c>
      <c r="N67" s="888">
        <f>'Depreciation '!O22</f>
        <v>79.618274812500005</v>
      </c>
      <c r="O67" s="888">
        <f>'Depreciation '!P22</f>
        <v>94.8182681925</v>
      </c>
      <c r="P67" s="888">
        <f>'Depreciation '!Q22</f>
        <v>111.5382609105</v>
      </c>
      <c r="Q67" s="888">
        <f>'Depreciation '!R22</f>
        <v>129.93025290029999</v>
      </c>
    </row>
    <row r="68" spans="1:18">
      <c r="A68" s="867" t="s">
        <v>468</v>
      </c>
      <c r="B68" s="888">
        <f>'Depreciation '!C10</f>
        <v>0.11260273399999998</v>
      </c>
      <c r="C68" s="888">
        <f>'Depreciation '!D10</f>
        <v>0.11260273399999998</v>
      </c>
      <c r="D68" s="888">
        <f>'Depreciation '!E10</f>
        <v>0.11260273399999998</v>
      </c>
      <c r="E68" s="888">
        <f>'Depreciation '!F10</f>
        <v>0.11260273399999998</v>
      </c>
      <c r="F68" s="888">
        <f>'Depreciation '!G10</f>
        <v>0.11260273399999998</v>
      </c>
      <c r="G68" s="888">
        <f>'Depreciation '!H10</f>
        <v>0.11260273399999998</v>
      </c>
      <c r="H68" s="888">
        <f>'Depreciation '!I10</f>
        <v>0.11260273399999998</v>
      </c>
      <c r="I68" s="888">
        <f>'Depreciation '!J10</f>
        <v>0.11260273399999998</v>
      </c>
      <c r="J68" s="888">
        <f>'Depreciation '!K10</f>
        <v>0.11260273399999998</v>
      </c>
      <c r="K68" s="888">
        <f>'Depreciation '!L10</f>
        <v>0.11260273399999998</v>
      </c>
      <c r="L68" s="888">
        <f>'Depreciation '!M10</f>
        <v>0.11260273399999998</v>
      </c>
      <c r="M68" s="888">
        <f>'Depreciation '!N10</f>
        <v>0.11260273399999998</v>
      </c>
      <c r="N68" s="888">
        <f>'Depreciation '!O10</f>
        <v>0.11260273399999998</v>
      </c>
      <c r="O68" s="888">
        <f>'Depreciation '!P10</f>
        <v>0.11260273399999998</v>
      </c>
      <c r="P68" s="888">
        <f>'Depreciation '!Q10</f>
        <v>0.11260273399999998</v>
      </c>
      <c r="Q68" s="888">
        <f>'Depreciation '!R10</f>
        <v>0.11260273399999998</v>
      </c>
    </row>
    <row r="69" spans="1:18">
      <c r="A69" s="867" t="s">
        <v>614</v>
      </c>
      <c r="B69" s="888">
        <f>'Depreciation '!C16</f>
        <v>5.5053459999999994</v>
      </c>
      <c r="C69" s="888">
        <f>'Depreciation '!D16</f>
        <v>10.455345999999999</v>
      </c>
      <c r="D69" s="888">
        <f>'Depreciation '!E16</f>
        <v>14.005345999999999</v>
      </c>
      <c r="E69" s="888">
        <f>'Depreciation '!F16</f>
        <v>17.555346</v>
      </c>
      <c r="F69" s="888">
        <f>'Depreciation '!G16</f>
        <v>26.930346</v>
      </c>
      <c r="G69" s="888">
        <f>'Depreciation '!H16</f>
        <v>30.835346000000001</v>
      </c>
      <c r="H69" s="888">
        <f>'Depreciation '!I16</f>
        <v>36.280346000000002</v>
      </c>
      <c r="I69" s="888">
        <f>'Depreciation '!J16</f>
        <v>40.185346000000003</v>
      </c>
      <c r="J69" s="888">
        <f>'Depreciation '!K16</f>
        <v>64.143346000000008</v>
      </c>
      <c r="K69" s="888">
        <f>'Depreciation '!L16</f>
        <v>77.45334600000001</v>
      </c>
      <c r="L69" s="888">
        <f>'Depreciation '!M16</f>
        <v>91.289091000000013</v>
      </c>
      <c r="M69" s="888">
        <f>'Depreciation '!N16</f>
        <v>107.39419100000001</v>
      </c>
      <c r="N69" s="888">
        <f>'Depreciation '!O16</f>
        <v>116.69488625000001</v>
      </c>
      <c r="O69" s="888">
        <f>'Depreciation '!P16</f>
        <v>136.18205725000001</v>
      </c>
      <c r="P69" s="888">
        <f>'Depreciation '!Q16</f>
        <v>157.61794535000001</v>
      </c>
      <c r="Q69" s="888">
        <f>'Depreciation '!R16</f>
        <v>177.89629549260002</v>
      </c>
    </row>
    <row r="70" spans="1:18">
      <c r="A70" s="867" t="s">
        <v>709</v>
      </c>
      <c r="B70" s="888">
        <f>'Depreciation '!C28</f>
        <v>21.693283784999998</v>
      </c>
      <c r="C70" s="888">
        <f>'Depreciation '!D28</f>
        <v>36.042283784999995</v>
      </c>
      <c r="D70" s="888">
        <f>'Depreciation '!E28</f>
        <v>45.861283784999998</v>
      </c>
      <c r="E70" s="888">
        <f>'Depreciation '!F28</f>
        <v>55.680283785</v>
      </c>
      <c r="F70" s="888">
        <f>'Depreciation '!G28</f>
        <v>81.739683784999997</v>
      </c>
      <c r="G70" s="888">
        <f>'Depreciation '!H28</f>
        <v>92.540583784999995</v>
      </c>
      <c r="H70" s="888">
        <f>'Depreciation '!I28</f>
        <v>108.324483785</v>
      </c>
      <c r="I70" s="888">
        <f>'Depreciation '!J28</f>
        <v>119.125383785</v>
      </c>
      <c r="J70" s="888">
        <f>'Depreciation '!K28</f>
        <v>188.574543785</v>
      </c>
      <c r="K70" s="888">
        <f>'Depreciation '!L28</f>
        <v>222.762609785</v>
      </c>
      <c r="L70" s="888">
        <f>'Depreciation '!M28</f>
        <v>254.19024833500001</v>
      </c>
      <c r="M70" s="888">
        <f>'Depreciation '!N28</f>
        <v>295.55780819500001</v>
      </c>
      <c r="N70" s="888">
        <f>'Depreciation '!O28</f>
        <v>309.50973685050002</v>
      </c>
      <c r="O70" s="888">
        <f>'Depreciation '!P28</f>
        <v>359.56448428110002</v>
      </c>
      <c r="P70" s="888">
        <f>'Depreciation '!Q28</f>
        <v>414.62470645476003</v>
      </c>
      <c r="Q70" s="888">
        <f>'Depreciation '!R28</f>
        <v>464.50944780555602</v>
      </c>
    </row>
    <row r="71" spans="1:18">
      <c r="A71" s="867" t="s">
        <v>459</v>
      </c>
      <c r="B71" s="888">
        <f>'Depreciation '!C34</f>
        <v>10.757155431999999</v>
      </c>
      <c r="C71" s="888">
        <f>'Depreciation '!D34</f>
        <v>10.757155431999999</v>
      </c>
      <c r="D71" s="888">
        <f>'Depreciation '!E34</f>
        <v>10.757155431999999</v>
      </c>
      <c r="E71" s="888">
        <f>'Depreciation '!F34</f>
        <v>10.757155431999999</v>
      </c>
      <c r="F71" s="888">
        <f>'Depreciation '!G34</f>
        <v>10.757155431999999</v>
      </c>
      <c r="G71" s="888">
        <f>'Depreciation '!H34</f>
        <v>10.757155431999999</v>
      </c>
      <c r="H71" s="888">
        <f>'Depreciation '!I34</f>
        <v>10.757155431999999</v>
      </c>
      <c r="I71" s="888">
        <f>'Depreciation '!J34</f>
        <v>10.757155431999999</v>
      </c>
      <c r="J71" s="888">
        <f>'Depreciation '!K34</f>
        <v>30.757155431999998</v>
      </c>
      <c r="K71" s="888">
        <f>'Depreciation '!L34</f>
        <v>30.757155431999998</v>
      </c>
      <c r="L71" s="888">
        <f>'Depreciation '!M34</f>
        <v>50.757155431999998</v>
      </c>
      <c r="M71" s="888">
        <f>'Depreciation '!N34</f>
        <v>50.757155431999998</v>
      </c>
      <c r="N71" s="888">
        <f>'Depreciation '!O34</f>
        <v>50.757155431999998</v>
      </c>
      <c r="O71" s="888">
        <f>'Depreciation '!P34</f>
        <v>50.757155431999998</v>
      </c>
      <c r="P71" s="888">
        <f>'Depreciation '!Q34</f>
        <v>50.757155431999998</v>
      </c>
      <c r="Q71" s="888">
        <f>'Depreciation '!R34</f>
        <v>50.757155431999998</v>
      </c>
    </row>
    <row r="72" spans="1:18">
      <c r="A72" s="889" t="s">
        <v>47</v>
      </c>
      <c r="B72" s="890">
        <f t="shared" ref="B72:I72" si="28">SUM(B67:B71)</f>
        <v>45.636728963499998</v>
      </c>
      <c r="C72" s="890">
        <f t="shared" si="28"/>
        <v>66.8857289635</v>
      </c>
      <c r="D72" s="890">
        <f t="shared" si="28"/>
        <v>82.204728963500003</v>
      </c>
      <c r="E72" s="890">
        <f t="shared" si="28"/>
        <v>97.523728963500005</v>
      </c>
      <c r="F72" s="890">
        <f t="shared" si="28"/>
        <v>135.10312896349998</v>
      </c>
      <c r="G72" s="890">
        <f t="shared" si="28"/>
        <v>151.95402896349998</v>
      </c>
      <c r="H72" s="890">
        <f t="shared" si="28"/>
        <v>175.32792896349997</v>
      </c>
      <c r="I72" s="890">
        <f t="shared" si="28"/>
        <v>192.1788289635</v>
      </c>
      <c r="J72" s="890">
        <f t="shared" ref="J72:Q72" si="29">SUM(J67:J71)</f>
        <v>315.02398896350002</v>
      </c>
      <c r="K72" s="890">
        <f t="shared" si="29"/>
        <v>372.90385496350001</v>
      </c>
      <c r="L72" s="890">
        <f t="shared" si="29"/>
        <v>449.58721851350003</v>
      </c>
      <c r="M72" s="890">
        <f t="shared" si="29"/>
        <v>519.62185637350001</v>
      </c>
      <c r="N72" s="890">
        <f t="shared" si="29"/>
        <v>556.69265607900002</v>
      </c>
      <c r="O72" s="890">
        <f t="shared" si="29"/>
        <v>641.43456788959998</v>
      </c>
      <c r="P72" s="890">
        <f t="shared" si="29"/>
        <v>734.65067088126011</v>
      </c>
      <c r="Q72" s="890">
        <f t="shared" si="29"/>
        <v>823.20575436445597</v>
      </c>
      <c r="R72" s="1216">
        <f>B72+C72+D72+E72+F72+G72+H72+I72+J72+K72+L72+M72+N72+O72+P72+Q72</f>
        <v>5359.935399736316</v>
      </c>
    </row>
    <row r="73" spans="1:18">
      <c r="A73" s="889" t="s">
        <v>48</v>
      </c>
      <c r="B73" s="890">
        <f>'Depreciation '!C41</f>
        <v>9.9955593891011496</v>
      </c>
      <c r="C73" s="890">
        <f>'Depreciation '!D41</f>
        <v>12.377394663996666</v>
      </c>
      <c r="D73" s="890">
        <f>'Depreciation '!E41</f>
        <v>12.769461737324994</v>
      </c>
      <c r="E73" s="890">
        <f>'Depreciation '!F41</f>
        <v>13.115341859672684</v>
      </c>
      <c r="F73" s="890">
        <f>'Depreciation '!G41</f>
        <v>18.717230524156967</v>
      </c>
      <c r="G73" s="890">
        <f>'Depreciation '!H41</f>
        <v>17.864850584124138</v>
      </c>
      <c r="H73" s="890">
        <f>'Depreciation '!I41</f>
        <v>18.873950216251341</v>
      </c>
      <c r="I73" s="890">
        <f>'Depreciation '!J41</f>
        <v>18.164561778473505</v>
      </c>
      <c r="J73" s="890">
        <f>'Depreciation '!K41</f>
        <v>42.539372469408008</v>
      </c>
      <c r="K73" s="890">
        <f>'Depreciation '!L41</f>
        <v>44.774820239336862</v>
      </c>
      <c r="L73" s="890">
        <f>'Depreciation '!M41</f>
        <v>51.71254625379315</v>
      </c>
      <c r="M73" s="890">
        <f>'Depreciation '!N41</f>
        <v>54.710184784586922</v>
      </c>
      <c r="N73" s="890">
        <f>'Depreciation '!O41</f>
        <v>49.610029901989236</v>
      </c>
      <c r="O73" s="890">
        <f>'Depreciation '!P41</f>
        <v>56.845094348136946</v>
      </c>
      <c r="P73" s="890">
        <f>'Depreciation '!Q41</f>
        <v>64.178797458068829</v>
      </c>
      <c r="Q73" s="890">
        <f>'Depreciation '!R41</f>
        <v>68.587948476989794</v>
      </c>
      <c r="R73" s="1216">
        <f>SUM(B73:Q73)</f>
        <v>554.83714468541132</v>
      </c>
    </row>
    <row r="74" spans="1:18">
      <c r="A74" s="889" t="s">
        <v>49</v>
      </c>
      <c r="B74" s="890">
        <f>'Depreciation '!C42</f>
        <v>9.9955593891011496</v>
      </c>
      <c r="C74" s="890">
        <f>'Depreciation '!D42</f>
        <v>22.372954053097814</v>
      </c>
      <c r="D74" s="890">
        <f>'Depreciation '!E42</f>
        <v>35.14241579042281</v>
      </c>
      <c r="E74" s="890">
        <f>'Depreciation '!F42</f>
        <v>48.257757650095492</v>
      </c>
      <c r="F74" s="890">
        <f>'Depreciation '!G42</f>
        <v>66.974988174252459</v>
      </c>
      <c r="G74" s="890">
        <f>'Depreciation '!H42</f>
        <v>84.839838758376601</v>
      </c>
      <c r="H74" s="890">
        <f>'Depreciation '!I42</f>
        <v>103.71378897462795</v>
      </c>
      <c r="I74" s="890">
        <f>'Depreciation '!J42</f>
        <v>121.87835075310144</v>
      </c>
      <c r="J74" s="890">
        <f>'Depreciation '!K42</f>
        <v>164.41772322250944</v>
      </c>
      <c r="K74" s="890">
        <f>'Depreciation '!L42</f>
        <v>209.1925434618463</v>
      </c>
      <c r="L74" s="890">
        <f>'Depreciation '!M42</f>
        <v>260.90508971563946</v>
      </c>
      <c r="M74" s="890">
        <f>'Depreciation '!N42</f>
        <v>315.61527450022641</v>
      </c>
      <c r="N74" s="890">
        <f>'Depreciation '!O42</f>
        <v>365.22530440221567</v>
      </c>
      <c r="O74" s="890">
        <f>'Depreciation '!P42</f>
        <v>422.07039875035264</v>
      </c>
      <c r="P74" s="890">
        <f>'Depreciation '!Q42</f>
        <v>486.24919620842149</v>
      </c>
      <c r="Q74" s="890">
        <f>'Depreciation '!R42</f>
        <v>554.83714468541132</v>
      </c>
    </row>
    <row r="75" spans="1:18">
      <c r="A75" s="889" t="s">
        <v>729</v>
      </c>
      <c r="B75" s="891">
        <f>'Depreciation '!C43</f>
        <v>35.641169574398852</v>
      </c>
      <c r="C75" s="891">
        <f>'Depreciation '!D43</f>
        <v>44.512774910402172</v>
      </c>
      <c r="D75" s="891">
        <f>'Depreciation '!E43</f>
        <v>47.062313173077186</v>
      </c>
      <c r="E75" s="891">
        <f>'Depreciation '!F43</f>
        <v>49.265971313404506</v>
      </c>
      <c r="F75" s="891">
        <f>'Depreciation '!G43</f>
        <v>68.128140789247539</v>
      </c>
      <c r="G75" s="891">
        <f>'Depreciation '!H43</f>
        <v>67.114190205123393</v>
      </c>
      <c r="H75" s="891">
        <f>'Depreciation '!I43</f>
        <v>71.614139988872068</v>
      </c>
      <c r="I75" s="891">
        <f>'Depreciation '!J43</f>
        <v>70.300478210398538</v>
      </c>
      <c r="J75" s="891">
        <f>'Depreciation '!K43</f>
        <v>150.60626574099058</v>
      </c>
      <c r="K75" s="891">
        <f>'Depreciation '!L43</f>
        <v>163.71131150165368</v>
      </c>
      <c r="L75" s="891">
        <f>'Depreciation '!M43</f>
        <v>188.68212879786054</v>
      </c>
      <c r="M75" s="891">
        <f>'Depreciation '!N43</f>
        <v>204.0065818732736</v>
      </c>
      <c r="N75" s="891">
        <f>'Depreciation '!O43</f>
        <v>191.4673516767844</v>
      </c>
      <c r="O75" s="891">
        <f>'Depreciation '!P43</f>
        <v>219.36416913924745</v>
      </c>
      <c r="P75" s="891">
        <f>'Depreciation '!Q43</f>
        <v>248.40147467283865</v>
      </c>
      <c r="Q75" s="891">
        <f>'Depreciation '!R43</f>
        <v>268.36860967904482</v>
      </c>
    </row>
    <row r="76" spans="1:18" ht="15" customHeight="1"/>
    <row r="77" spans="1:18">
      <c r="A77" s="1231" t="s">
        <v>52</v>
      </c>
      <c r="B77" s="1341" t="s">
        <v>156</v>
      </c>
      <c r="C77" s="1341"/>
      <c r="D77" s="1341"/>
      <c r="E77" s="1341"/>
      <c r="F77" s="1341" t="s">
        <v>157</v>
      </c>
      <c r="G77" s="1341"/>
      <c r="H77" s="1341"/>
      <c r="I77" s="1341"/>
      <c r="J77" s="1192" t="str">
        <f t="shared" ref="J77:Q77" si="30">J2</f>
        <v>Year 3</v>
      </c>
      <c r="K77" s="1192" t="str">
        <f t="shared" si="30"/>
        <v>Year 4</v>
      </c>
      <c r="L77" s="1192" t="str">
        <f t="shared" si="30"/>
        <v>Year 5</v>
      </c>
      <c r="M77" s="1192" t="str">
        <f t="shared" si="30"/>
        <v>Year 6</v>
      </c>
      <c r="N77" s="1192" t="str">
        <f t="shared" si="30"/>
        <v>Year 7</v>
      </c>
      <c r="O77" s="1192" t="str">
        <f t="shared" si="30"/>
        <v>Year 8</v>
      </c>
      <c r="P77" s="1192" t="str">
        <f t="shared" si="30"/>
        <v>Year 9</v>
      </c>
      <c r="Q77" s="1192" t="str">
        <f t="shared" si="30"/>
        <v>Year 10</v>
      </c>
    </row>
    <row r="78" spans="1:18">
      <c r="A78" s="1232"/>
      <c r="B78" s="1192" t="s">
        <v>608</v>
      </c>
      <c r="C78" s="1192" t="s">
        <v>609</v>
      </c>
      <c r="D78" s="1192" t="s">
        <v>610</v>
      </c>
      <c r="E78" s="1192" t="s">
        <v>611</v>
      </c>
      <c r="F78" s="1192" t="s">
        <v>608</v>
      </c>
      <c r="G78" s="1192" t="s">
        <v>609</v>
      </c>
      <c r="H78" s="1192" t="s">
        <v>610</v>
      </c>
      <c r="I78" s="1192" t="s">
        <v>611</v>
      </c>
      <c r="J78" s="1192"/>
      <c r="K78" s="1192"/>
      <c r="L78" s="1192"/>
      <c r="M78" s="1192"/>
      <c r="N78" s="1192"/>
      <c r="O78" s="1192"/>
      <c r="P78" s="1192"/>
      <c r="Q78" s="1192"/>
    </row>
    <row r="79" spans="1:18">
      <c r="A79" s="1233" t="s">
        <v>675</v>
      </c>
      <c r="B79" s="1234">
        <f>'Key Assumptions'!G104+20</f>
        <v>244.35854850000004</v>
      </c>
      <c r="C79" s="1234">
        <v>20</v>
      </c>
      <c r="D79" s="1234">
        <v>20</v>
      </c>
      <c r="E79" s="1234">
        <v>20</v>
      </c>
      <c r="F79" s="1234">
        <v>20</v>
      </c>
      <c r="G79" s="1234">
        <v>20</v>
      </c>
      <c r="H79" s="1234">
        <v>20</v>
      </c>
      <c r="I79" s="1234">
        <v>20</v>
      </c>
      <c r="J79" s="1234">
        <v>10</v>
      </c>
      <c r="K79" s="1234"/>
      <c r="L79" s="1234"/>
      <c r="M79" s="1234"/>
      <c r="N79" s="1234"/>
      <c r="O79" s="1234"/>
      <c r="P79" s="1234"/>
      <c r="Q79" s="1234"/>
      <c r="R79" s="1235">
        <f>SUM(B79:P79)</f>
        <v>394.35854850000004</v>
      </c>
    </row>
    <row r="80" spans="1:18">
      <c r="A80" s="1233" t="s">
        <v>50</v>
      </c>
      <c r="B80" s="1234"/>
      <c r="C80" s="1234"/>
      <c r="D80" s="1234"/>
      <c r="E80" s="1234"/>
      <c r="F80" s="1234"/>
      <c r="G80" s="1234"/>
      <c r="H80" s="1234"/>
      <c r="I80" s="1234"/>
      <c r="J80" s="1234"/>
      <c r="K80" s="1234"/>
      <c r="L80" s="1234"/>
      <c r="M80" s="1234"/>
      <c r="N80" s="1234"/>
      <c r="O80" s="1234"/>
      <c r="P80" s="1234"/>
      <c r="Q80" s="1234"/>
      <c r="R80" s="1235"/>
    </row>
    <row r="81" spans="1:44">
      <c r="A81" s="1236" t="s">
        <v>639</v>
      </c>
      <c r="B81" s="1237">
        <f>B136</f>
        <v>4.2625000000000002</v>
      </c>
      <c r="C81" s="1237">
        <f t="shared" ref="C81:L81" si="31">C136</f>
        <v>5.2750000000000004</v>
      </c>
      <c r="D81" s="1237">
        <f t="shared" si="31"/>
        <v>6.2874999999999996</v>
      </c>
      <c r="E81" s="1237">
        <f t="shared" si="31"/>
        <v>7.3000000000000007</v>
      </c>
      <c r="F81" s="1237">
        <f t="shared" si="31"/>
        <v>8.8937500000000007</v>
      </c>
      <c r="G81" s="1237">
        <f t="shared" si="31"/>
        <v>10.0075</v>
      </c>
      <c r="H81" s="1237">
        <f t="shared" si="31"/>
        <v>11.121250000000002</v>
      </c>
      <c r="I81" s="1237">
        <f t="shared" si="31"/>
        <v>12.235000000000001</v>
      </c>
      <c r="J81" s="1237">
        <f t="shared" si="31"/>
        <v>72.436000000000007</v>
      </c>
      <c r="K81" s="1237">
        <f t="shared" si="31"/>
        <v>95.241800000000012</v>
      </c>
      <c r="L81" s="1237">
        <f t="shared" si="31"/>
        <v>128.48440000000002</v>
      </c>
      <c r="M81" s="1237"/>
      <c r="N81" s="1234">
        <v>-72.400000000000006</v>
      </c>
      <c r="O81" s="1234">
        <v>-72.400000000000006</v>
      </c>
      <c r="P81" s="1234">
        <v>-108.6</v>
      </c>
      <c r="Q81" s="1234">
        <v>-108.6</v>
      </c>
      <c r="R81" s="1235">
        <f>SUM(B81:Q81)</f>
        <v>-0.4552999999999372</v>
      </c>
      <c r="AN81" s="892">
        <f>SUM(AO81:AR81)</f>
        <v>362</v>
      </c>
      <c r="AO81" s="1200">
        <f>362*20%</f>
        <v>72.400000000000006</v>
      </c>
      <c r="AP81" s="1200">
        <f>362*20%</f>
        <v>72.400000000000006</v>
      </c>
      <c r="AQ81" s="1200">
        <f>362*30%</f>
        <v>108.6</v>
      </c>
      <c r="AR81" s="1200">
        <f>362*30%</f>
        <v>108.6</v>
      </c>
    </row>
    <row r="82" spans="1:44">
      <c r="A82" s="1236" t="s">
        <v>53</v>
      </c>
      <c r="B82" s="1237">
        <f t="shared" ref="B82:I82" si="32">B41</f>
        <v>-47.416917270929218</v>
      </c>
      <c r="C82" s="1237">
        <f t="shared" si="32"/>
        <v>-55.813394233314078</v>
      </c>
      <c r="D82" s="1237">
        <f t="shared" si="32"/>
        <v>-54.74170848638289</v>
      </c>
      <c r="E82" s="1237">
        <f t="shared" si="32"/>
        <v>-58.1052890812689</v>
      </c>
      <c r="F82" s="1237">
        <f t="shared" si="32"/>
        <v>-89.198825890691751</v>
      </c>
      <c r="G82" s="1237">
        <f t="shared" si="32"/>
        <v>-79.240915811713549</v>
      </c>
      <c r="H82" s="1237">
        <f t="shared" si="32"/>
        <v>-88.08772932100203</v>
      </c>
      <c r="I82" s="1237">
        <f t="shared" si="32"/>
        <v>-86.513635759361335</v>
      </c>
      <c r="J82" s="1238">
        <f t="shared" ref="J82:Q82" si="33">J41</f>
        <v>-49.046102621192006</v>
      </c>
      <c r="K82" s="1237">
        <f t="shared" si="33"/>
        <v>332.86232603802273</v>
      </c>
      <c r="L82" s="1237">
        <f t="shared" si="33"/>
        <v>447.35395218183822</v>
      </c>
      <c r="M82" s="1237">
        <f t="shared" si="33"/>
        <v>568.44049441900518</v>
      </c>
      <c r="N82" s="1237">
        <f t="shared" si="33"/>
        <v>599.06105346129209</v>
      </c>
      <c r="O82" s="1237">
        <f t="shared" si="33"/>
        <v>761.30479265893723</v>
      </c>
      <c r="P82" s="1237">
        <f t="shared" si="33"/>
        <v>970.36366403617444</v>
      </c>
      <c r="Q82" s="1237">
        <f t="shared" si="33"/>
        <v>1213.0270996185432</v>
      </c>
      <c r="R82" s="1235">
        <f>SUM(B82:Q82)</f>
        <v>4284.2488639379571</v>
      </c>
    </row>
    <row r="83" spans="1:44">
      <c r="A83" s="1236" t="s">
        <v>51</v>
      </c>
      <c r="B83" s="1237">
        <f>-Capex!C17</f>
        <v>-45.636728963499998</v>
      </c>
      <c r="C83" s="1237">
        <f>-Capex!D17</f>
        <v>-21.248999999999999</v>
      </c>
      <c r="D83" s="1237">
        <f>-Capex!E17</f>
        <v>-15.319000000000001</v>
      </c>
      <c r="E83" s="1237">
        <f>-Capex!F17</f>
        <v>-15.319000000000001</v>
      </c>
      <c r="F83" s="1237">
        <f>-Capex!G17</f>
        <v>-37.5794</v>
      </c>
      <c r="G83" s="1237">
        <f>-Capex!H17</f>
        <v>-16.850900000000003</v>
      </c>
      <c r="H83" s="1237">
        <f>-Capex!I17</f>
        <v>-23.373899999999999</v>
      </c>
      <c r="I83" s="1237">
        <f>-Capex!J17</f>
        <v>-16.850900000000003</v>
      </c>
      <c r="J83" s="1237">
        <f>-Capex!K17</f>
        <v>-122.84516000000002</v>
      </c>
      <c r="K83" s="1237">
        <f>-Capex!L17</f>
        <v>-57.879866000000007</v>
      </c>
      <c r="L83" s="1237">
        <f>-Capex!M17</f>
        <v>-76.68336355000001</v>
      </c>
      <c r="M83" s="1237">
        <f>-Capex!N17</f>
        <v>-70.034637860000018</v>
      </c>
      <c r="N83" s="1237">
        <f>-Capex!O17</f>
        <v>-37.070799705500008</v>
      </c>
      <c r="O83" s="1237">
        <f>-Capex!P17</f>
        <v>-84.741911810600016</v>
      </c>
      <c r="P83" s="1237">
        <f>-Capex!Q17</f>
        <v>-93.216102991660009</v>
      </c>
      <c r="Q83" s="1237">
        <f>-Capex!R17</f>
        <v>-88.555083483195986</v>
      </c>
    </row>
    <row r="84" spans="1:44">
      <c r="A84" s="1236" t="s">
        <v>807</v>
      </c>
      <c r="B84" s="1237">
        <f>-Amortisation!C11</f>
        <v>-206.04081953650004</v>
      </c>
      <c r="C84" s="1237"/>
      <c r="D84" s="1237"/>
      <c r="E84" s="1237"/>
      <c r="F84" s="1237"/>
      <c r="G84" s="1237"/>
      <c r="H84" s="1237"/>
      <c r="I84" s="1237"/>
      <c r="J84" s="1237"/>
      <c r="K84" s="1237"/>
      <c r="L84" s="1237"/>
      <c r="M84" s="1237"/>
      <c r="N84" s="1237"/>
      <c r="O84" s="1237"/>
      <c r="P84" s="1237"/>
      <c r="Q84" s="1237"/>
    </row>
    <row r="85" spans="1:44">
      <c r="A85" s="1236" t="s">
        <v>233</v>
      </c>
      <c r="B85" s="1119">
        <f>-(('Exp  Assumptions'!F53*'Exp  Assumptions'!E53*6)+('Exp  Assumptions'!F92*6))</f>
        <v>-8.25</v>
      </c>
      <c r="C85" s="1239"/>
      <c r="D85" s="1239"/>
      <c r="E85" s="1239"/>
      <c r="F85" s="1237">
        <f>-'Exp  Assumptions'!F111*'Exp  Assumptions'!K51*6</f>
        <v>-2.6400000000000006</v>
      </c>
      <c r="G85" s="1237"/>
      <c r="H85" s="1237"/>
      <c r="I85" s="1237"/>
      <c r="J85" s="1237"/>
      <c r="K85" s="1237"/>
      <c r="L85" s="1237">
        <f>-'Exp  Assumptions'!Q51*'Exp  Assumptions'!F111*6</f>
        <v>-3.5138400000000001</v>
      </c>
      <c r="M85" s="1237"/>
      <c r="N85" s="1237">
        <f>-'Exp  Assumptions'!S51*'Exp  Assumptions'!F111*6</f>
        <v>-4.2517464000000009</v>
      </c>
      <c r="O85" s="1237"/>
      <c r="P85" s="1237"/>
      <c r="Q85" s="1237"/>
    </row>
    <row r="86" spans="1:44">
      <c r="A86" s="1233" t="s">
        <v>772</v>
      </c>
      <c r="B86" s="1237">
        <f>B115</f>
        <v>-33.568566666666669</v>
      </c>
      <c r="C86" s="1237">
        <f t="shared" ref="C86:Q86" si="34">C115</f>
        <v>-15.141899999999993</v>
      </c>
      <c r="D86" s="1237">
        <f t="shared" si="34"/>
        <v>-11.611900000000013</v>
      </c>
      <c r="E86" s="1237">
        <f t="shared" si="34"/>
        <v>-11.611899999999984</v>
      </c>
      <c r="F86" s="1237">
        <f t="shared" si="34"/>
        <v>-34.789530000000042</v>
      </c>
      <c r="G86" s="1237">
        <f t="shared" si="34"/>
        <v>-13.190209999999979</v>
      </c>
      <c r="H86" s="1237">
        <f t="shared" si="34"/>
        <v>-16.167689999999979</v>
      </c>
      <c r="I86" s="1237">
        <f t="shared" si="34"/>
        <v>-12.284690000000012</v>
      </c>
      <c r="J86" s="1237">
        <f t="shared" si="34"/>
        <v>-66.108108000000016</v>
      </c>
      <c r="K86" s="1237">
        <f t="shared" si="34"/>
        <v>-58.480001066666745</v>
      </c>
      <c r="L86" s="1237">
        <f t="shared" si="34"/>
        <v>-77.043694173333279</v>
      </c>
      <c r="M86" s="1237">
        <f t="shared" si="34"/>
        <v>-78.823072562666766</v>
      </c>
      <c r="N86" s="1237">
        <f t="shared" si="34"/>
        <v>-76.024327966533292</v>
      </c>
      <c r="O86" s="1237">
        <f t="shared" si="34"/>
        <v>-107.26456367894667</v>
      </c>
      <c r="P86" s="1237">
        <f t="shared" si="34"/>
        <v>-123.69717551037741</v>
      </c>
      <c r="Q86" s="1237">
        <f t="shared" si="34"/>
        <v>-133.26872123107444</v>
      </c>
    </row>
    <row r="87" spans="1:44">
      <c r="A87" s="1233" t="s">
        <v>773</v>
      </c>
      <c r="B87" s="1237"/>
      <c r="C87" s="1237"/>
      <c r="D87" s="1237"/>
      <c r="E87" s="1237"/>
      <c r="F87" s="1237"/>
      <c r="G87" s="1237"/>
      <c r="H87" s="1237"/>
      <c r="I87" s="1237"/>
      <c r="J87" s="1237"/>
      <c r="K87" s="1237"/>
      <c r="L87" s="1237"/>
      <c r="M87" s="1237"/>
      <c r="N87" s="1237"/>
      <c r="O87" s="1237"/>
      <c r="P87" s="1237"/>
      <c r="Q87" s="1237"/>
    </row>
    <row r="88" spans="1:44">
      <c r="A88" s="1240" t="s">
        <v>54</v>
      </c>
      <c r="B88" s="1270">
        <f>SUM(B79:B86)</f>
        <v>-92.291983937595887</v>
      </c>
      <c r="C88" s="1270">
        <f t="shared" ref="C88:Q88" si="35">SUM(C79:C86)+B88</f>
        <v>-159.22127817090995</v>
      </c>
      <c r="D88" s="1270">
        <f t="shared" si="35"/>
        <v>-214.60638665729286</v>
      </c>
      <c r="E88" s="1270">
        <f t="shared" si="35"/>
        <v>-272.34257573856172</v>
      </c>
      <c r="F88" s="1270">
        <f t="shared" si="35"/>
        <v>-407.65658162925354</v>
      </c>
      <c r="G88" s="1270">
        <f t="shared" si="35"/>
        <v>-486.93110744096708</v>
      </c>
      <c r="H88" s="1270">
        <f t="shared" si="35"/>
        <v>-583.43917676196907</v>
      </c>
      <c r="I88" s="1270">
        <f t="shared" si="35"/>
        <v>-666.85340252133039</v>
      </c>
      <c r="J88" s="1270">
        <f t="shared" si="35"/>
        <v>-822.4167731425224</v>
      </c>
      <c r="K88" s="1270">
        <f t="shared" si="35"/>
        <v>-510.67251417116643</v>
      </c>
      <c r="L88" s="1270">
        <f t="shared" si="35"/>
        <v>-92.075059712661528</v>
      </c>
      <c r="M88" s="1270">
        <f t="shared" si="35"/>
        <v>327.50772428367685</v>
      </c>
      <c r="N88" s="1270">
        <f t="shared" si="35"/>
        <v>736.8219036729356</v>
      </c>
      <c r="O88" s="1270">
        <f t="shared" si="35"/>
        <v>1233.7202208423262</v>
      </c>
      <c r="P88" s="1270">
        <f t="shared" si="35"/>
        <v>1878.5706063764633</v>
      </c>
      <c r="Q88" s="1270">
        <f t="shared" si="35"/>
        <v>2761.1739012807361</v>
      </c>
    </row>
    <row r="89" spans="1:44">
      <c r="A89" s="1241" t="s">
        <v>55</v>
      </c>
      <c r="B89" s="1242">
        <f>IF(B88&gt;0,0,-B88)</f>
        <v>92.291983937595887</v>
      </c>
      <c r="C89" s="1242">
        <f>IF(C88&gt;0,0,-C88)</f>
        <v>159.22127817090995</v>
      </c>
      <c r="D89" s="1242">
        <f>IF(D88&gt;0,0,-D88)</f>
        <v>214.60638665729286</v>
      </c>
      <c r="E89" s="1242">
        <f>IF(E88&gt;0,0,-E88)</f>
        <v>272.34257573856172</v>
      </c>
      <c r="F89" s="1242">
        <f t="shared" ref="F89:N89" si="36">IF(F88&gt;0,0,-F88)</f>
        <v>407.65658162925354</v>
      </c>
      <c r="G89" s="1242">
        <f t="shared" si="36"/>
        <v>486.93110744096708</v>
      </c>
      <c r="H89" s="1242">
        <f t="shared" si="36"/>
        <v>583.43917676196907</v>
      </c>
      <c r="I89" s="1242">
        <f t="shared" si="36"/>
        <v>666.85340252133039</v>
      </c>
      <c r="J89" s="1242">
        <f t="shared" si="36"/>
        <v>822.4167731425224</v>
      </c>
      <c r="K89" s="1242">
        <f t="shared" si="36"/>
        <v>510.67251417116643</v>
      </c>
      <c r="L89" s="1242">
        <f t="shared" si="36"/>
        <v>92.075059712661528</v>
      </c>
      <c r="M89" s="1242">
        <f t="shared" si="36"/>
        <v>0</v>
      </c>
      <c r="N89" s="1242">
        <f t="shared" si="36"/>
        <v>0</v>
      </c>
      <c r="O89" s="1242">
        <f>IF(O88&gt;0,0,-O88)</f>
        <v>0</v>
      </c>
      <c r="P89" s="1242">
        <f>IF(P88&gt;0,0,-P88)</f>
        <v>0</v>
      </c>
      <c r="Q89" s="1242">
        <f>IF(Q88&gt;0,0,-Q88)</f>
        <v>0</v>
      </c>
    </row>
    <row r="90" spans="1:44">
      <c r="A90" s="1236"/>
      <c r="B90" s="1243"/>
      <c r="C90" s="1243"/>
      <c r="D90" s="1243"/>
      <c r="E90" s="1243"/>
      <c r="F90" s="1243"/>
      <c r="G90" s="1243"/>
      <c r="H90" s="1243"/>
      <c r="I90" s="1243"/>
      <c r="J90" s="1243"/>
      <c r="K90" s="1243"/>
      <c r="L90" s="1243"/>
      <c r="M90" s="1243"/>
      <c r="N90" s="1243"/>
      <c r="O90" s="1243"/>
      <c r="P90" s="1243"/>
      <c r="Q90" s="1243"/>
    </row>
    <row r="91" spans="1:44">
      <c r="A91" s="1109" t="s">
        <v>776</v>
      </c>
      <c r="B91" s="1115" t="s">
        <v>608</v>
      </c>
      <c r="C91" s="1115" t="s">
        <v>609</v>
      </c>
      <c r="D91" s="1115" t="s">
        <v>610</v>
      </c>
      <c r="E91" s="1115" t="s">
        <v>611</v>
      </c>
      <c r="F91" s="1115" t="s">
        <v>608</v>
      </c>
      <c r="G91" s="1115" t="s">
        <v>609</v>
      </c>
      <c r="H91" s="1115" t="s">
        <v>610</v>
      </c>
      <c r="I91" s="1115" t="s">
        <v>611</v>
      </c>
      <c r="J91" s="1244" t="str">
        <f>J77</f>
        <v>Year 3</v>
      </c>
      <c r="K91" s="1244" t="str">
        <f t="shared" ref="K91:Q91" si="37">K77</f>
        <v>Year 4</v>
      </c>
      <c r="L91" s="1244" t="str">
        <f t="shared" si="37"/>
        <v>Year 5</v>
      </c>
      <c r="M91" s="1244" t="str">
        <f t="shared" si="37"/>
        <v>Year 6</v>
      </c>
      <c r="N91" s="1244" t="str">
        <f t="shared" si="37"/>
        <v>Year 7</v>
      </c>
      <c r="O91" s="1244" t="str">
        <f t="shared" si="37"/>
        <v>Year 8</v>
      </c>
      <c r="P91" s="1244" t="str">
        <f t="shared" si="37"/>
        <v>Year 9</v>
      </c>
      <c r="Q91" s="1244" t="str">
        <f t="shared" si="37"/>
        <v>Year 10</v>
      </c>
    </row>
    <row r="92" spans="1:44">
      <c r="A92" s="1110" t="s">
        <v>777</v>
      </c>
      <c r="B92" s="1243">
        <f>B33</f>
        <v>-67.714517636855376</v>
      </c>
      <c r="C92" s="1243">
        <f t="shared" ref="C92:Q92" si="38">C33</f>
        <v>-78.492829874135737</v>
      </c>
      <c r="D92" s="1243">
        <f t="shared" si="38"/>
        <v>-77.813211200532876</v>
      </c>
      <c r="E92" s="1243">
        <f t="shared" si="38"/>
        <v>-81.522671917766587</v>
      </c>
      <c r="F92" s="1243">
        <f t="shared" si="38"/>
        <v>-118.21809739167372</v>
      </c>
      <c r="G92" s="1243">
        <f t="shared" si="38"/>
        <v>-107.40780737266269</v>
      </c>
      <c r="H92" s="1243">
        <f t="shared" si="38"/>
        <v>-117.26372051407837</v>
      </c>
      <c r="I92" s="1243">
        <f t="shared" si="38"/>
        <v>-114.98023851465985</v>
      </c>
      <c r="J92" s="1243">
        <f t="shared" si="38"/>
        <v>-132.79363899790002</v>
      </c>
      <c r="K92" s="1243">
        <f t="shared" si="38"/>
        <v>246.87934189138588</v>
      </c>
      <c r="L92" s="1243">
        <f t="shared" si="38"/>
        <v>354.43324202074507</v>
      </c>
      <c r="M92" s="1243">
        <f t="shared" si="38"/>
        <v>611.5890266807595</v>
      </c>
      <c r="N92" s="1243">
        <f t="shared" si="38"/>
        <v>795.15343496281162</v>
      </c>
      <c r="O92" s="1243">
        <f t="shared" si="38"/>
        <v>1019.4785793209845</v>
      </c>
      <c r="P92" s="1243">
        <f t="shared" si="38"/>
        <v>1311.4108054675912</v>
      </c>
      <c r="Q92" s="1243">
        <f t="shared" si="38"/>
        <v>1656.2071651831452</v>
      </c>
    </row>
    <row r="93" spans="1:44">
      <c r="A93" s="1111" t="s">
        <v>778</v>
      </c>
      <c r="B93" s="1243">
        <f>B29</f>
        <v>9.9955593891011496</v>
      </c>
      <c r="C93" s="1243">
        <f t="shared" ref="C93:Q93" si="39">C29</f>
        <v>12.377394663996666</v>
      </c>
      <c r="D93" s="1243">
        <f t="shared" si="39"/>
        <v>12.769461737324994</v>
      </c>
      <c r="E93" s="1243">
        <f t="shared" si="39"/>
        <v>13.115341859672684</v>
      </c>
      <c r="F93" s="1243">
        <f t="shared" si="39"/>
        <v>18.717230524156967</v>
      </c>
      <c r="G93" s="1243">
        <f t="shared" si="39"/>
        <v>17.864850584124138</v>
      </c>
      <c r="H93" s="1243">
        <f t="shared" si="39"/>
        <v>18.873950216251341</v>
      </c>
      <c r="I93" s="1243">
        <f t="shared" si="39"/>
        <v>18.164561778473505</v>
      </c>
      <c r="J93" s="1243">
        <f t="shared" si="39"/>
        <v>42.539372469408008</v>
      </c>
      <c r="K93" s="1243">
        <f t="shared" si="39"/>
        <v>44.774820239336862</v>
      </c>
      <c r="L93" s="1243">
        <f t="shared" si="39"/>
        <v>51.71254625379315</v>
      </c>
      <c r="M93" s="1243">
        <f t="shared" si="39"/>
        <v>54.710184784586922</v>
      </c>
      <c r="N93" s="1243">
        <f t="shared" si="39"/>
        <v>49.610029901989236</v>
      </c>
      <c r="O93" s="1243">
        <f t="shared" si="39"/>
        <v>56.845094348136946</v>
      </c>
      <c r="P93" s="1243">
        <f t="shared" si="39"/>
        <v>64.178797458068829</v>
      </c>
      <c r="Q93" s="1243">
        <f t="shared" si="39"/>
        <v>68.587948476989794</v>
      </c>
    </row>
    <row r="94" spans="1:44">
      <c r="A94" s="1111" t="s">
        <v>779</v>
      </c>
      <c r="B94" s="1243">
        <f t="shared" ref="B94:Q95" si="40">B30</f>
        <v>10.302040976825001</v>
      </c>
      <c r="C94" s="1243">
        <f t="shared" si="40"/>
        <v>10.302040976825001</v>
      </c>
      <c r="D94" s="1243">
        <f t="shared" si="40"/>
        <v>10.302040976825001</v>
      </c>
      <c r="E94" s="1243">
        <f t="shared" si="40"/>
        <v>10.302040976825001</v>
      </c>
      <c r="F94" s="1243">
        <f t="shared" si="40"/>
        <v>10.302040976825001</v>
      </c>
      <c r="G94" s="1243">
        <f t="shared" si="40"/>
        <v>10.302040976825001</v>
      </c>
      <c r="H94" s="1243">
        <f t="shared" si="40"/>
        <v>10.302040976825001</v>
      </c>
      <c r="I94" s="1243">
        <f t="shared" si="40"/>
        <v>10.302040976825001</v>
      </c>
      <c r="J94" s="1243">
        <f t="shared" si="40"/>
        <v>41.208163907300005</v>
      </c>
      <c r="K94" s="1243">
        <f t="shared" si="40"/>
        <v>41.208163907300005</v>
      </c>
      <c r="L94" s="1243">
        <f t="shared" si="40"/>
        <v>41.208163907300005</v>
      </c>
      <c r="M94" s="1243">
        <f t="shared" si="40"/>
        <v>0</v>
      </c>
      <c r="N94" s="1243">
        <f t="shared" si="40"/>
        <v>0</v>
      </c>
      <c r="O94" s="1243">
        <f t="shared" si="40"/>
        <v>0</v>
      </c>
      <c r="P94" s="1243">
        <f t="shared" si="40"/>
        <v>0</v>
      </c>
      <c r="Q94" s="1243">
        <f t="shared" si="40"/>
        <v>0</v>
      </c>
    </row>
    <row r="95" spans="1:44">
      <c r="A95" s="1111" t="s">
        <v>780</v>
      </c>
      <c r="B95" s="1243">
        <f t="shared" si="40"/>
        <v>1.3843797709292254</v>
      </c>
      <c r="C95" s="1243">
        <f t="shared" si="40"/>
        <v>2.3883192333140828</v>
      </c>
      <c r="D95" s="1243">
        <f t="shared" si="40"/>
        <v>3.2190959863828863</v>
      </c>
      <c r="E95" s="1243">
        <f t="shared" si="40"/>
        <v>4.0851390812689132</v>
      </c>
      <c r="F95" s="1243">
        <f t="shared" si="40"/>
        <v>6.1148496406917223</v>
      </c>
      <c r="G95" s="1243">
        <f t="shared" si="40"/>
        <v>7.3039683117135636</v>
      </c>
      <c r="H95" s="1243">
        <f t="shared" si="40"/>
        <v>8.7515905710019961</v>
      </c>
      <c r="I95" s="1243">
        <f t="shared" si="40"/>
        <v>10.002805759361307</v>
      </c>
      <c r="J95" s="1243">
        <f t="shared" si="40"/>
        <v>44.678134621192214</v>
      </c>
      <c r="K95" s="1243">
        <f t="shared" si="40"/>
        <v>39.992679561977397</v>
      </c>
      <c r="L95" s="1243">
        <f t="shared" si="40"/>
        <v>18.082210378162163</v>
      </c>
      <c r="M95" s="1243">
        <f t="shared" si="40"/>
        <v>2.7620539186543716</v>
      </c>
      <c r="N95" s="1243">
        <f t="shared" si="40"/>
        <v>0</v>
      </c>
      <c r="O95" s="1243">
        <f t="shared" si="40"/>
        <v>0</v>
      </c>
      <c r="P95" s="1243">
        <f t="shared" si="40"/>
        <v>0</v>
      </c>
      <c r="Q95" s="1243">
        <f t="shared" si="40"/>
        <v>0</v>
      </c>
    </row>
    <row r="96" spans="1:44">
      <c r="A96" s="1112" t="s">
        <v>781</v>
      </c>
      <c r="B96" s="1243">
        <f>B36</f>
        <v>0</v>
      </c>
      <c r="C96" s="1243">
        <f t="shared" ref="C96:Q96" si="41">C36</f>
        <v>0</v>
      </c>
      <c r="D96" s="1243">
        <f t="shared" si="41"/>
        <v>0</v>
      </c>
      <c r="E96" s="1243">
        <f t="shared" si="41"/>
        <v>0</v>
      </c>
      <c r="F96" s="1243">
        <f t="shared" si="41"/>
        <v>0</v>
      </c>
      <c r="G96" s="1243">
        <f t="shared" si="41"/>
        <v>0</v>
      </c>
      <c r="H96" s="1243">
        <f t="shared" si="41"/>
        <v>0</v>
      </c>
      <c r="I96" s="1243">
        <f t="shared" si="41"/>
        <v>0</v>
      </c>
      <c r="J96" s="1243">
        <f t="shared" si="41"/>
        <v>0</v>
      </c>
      <c r="K96" s="1243">
        <f t="shared" si="41"/>
        <v>0</v>
      </c>
      <c r="L96" s="1243">
        <f t="shared" si="41"/>
        <v>0</v>
      </c>
      <c r="M96" s="1243">
        <f t="shared" si="41"/>
        <v>97.858717046341184</v>
      </c>
      <c r="N96" s="1243">
        <f t="shared" si="41"/>
        <v>245.70241140350879</v>
      </c>
      <c r="O96" s="1243">
        <f t="shared" si="41"/>
        <v>315.0188810101842</v>
      </c>
      <c r="P96" s="1243">
        <f t="shared" si="41"/>
        <v>405.22593888948569</v>
      </c>
      <c r="Q96" s="1243">
        <f t="shared" si="41"/>
        <v>511.76801404159187</v>
      </c>
    </row>
    <row r="97" spans="1:17">
      <c r="A97" s="1112" t="s">
        <v>782</v>
      </c>
      <c r="B97" s="1243">
        <f>-(B58-0)</f>
        <v>-41.818566666666669</v>
      </c>
      <c r="C97" s="1243">
        <f>-(C58-B58)</f>
        <v>-15.141899999999993</v>
      </c>
      <c r="D97" s="1243">
        <f t="shared" ref="D97:Q97" si="42">-(D58-C58)</f>
        <v>-11.61190000000002</v>
      </c>
      <c r="E97" s="1243">
        <f t="shared" si="42"/>
        <v>-11.611899999999991</v>
      </c>
      <c r="F97" s="1243">
        <f t="shared" si="42"/>
        <v>-37.429530000000042</v>
      </c>
      <c r="G97" s="1243">
        <f t="shared" si="42"/>
        <v>-13.190209999999965</v>
      </c>
      <c r="H97" s="1243">
        <f t="shared" si="42"/>
        <v>-16.167689999999993</v>
      </c>
      <c r="I97" s="1243">
        <f t="shared" si="42"/>
        <v>-12.284690000000012</v>
      </c>
      <c r="J97" s="1243">
        <f t="shared" si="42"/>
        <v>-66.108108000000016</v>
      </c>
      <c r="K97" s="1243">
        <f t="shared" si="42"/>
        <v>-58.480001066666773</v>
      </c>
      <c r="L97" s="1243">
        <f t="shared" si="42"/>
        <v>-80.557534173333295</v>
      </c>
      <c r="M97" s="1243">
        <f t="shared" si="42"/>
        <v>-78.823072562666766</v>
      </c>
      <c r="N97" s="1243">
        <f t="shared" si="42"/>
        <v>-80.276074366533237</v>
      </c>
      <c r="O97" s="1243">
        <f t="shared" si="42"/>
        <v>-107.26456367894662</v>
      </c>
      <c r="P97" s="1243">
        <f t="shared" si="42"/>
        <v>-123.69717551037741</v>
      </c>
      <c r="Q97" s="1243">
        <f t="shared" si="42"/>
        <v>-133.26872123107444</v>
      </c>
    </row>
    <row r="98" spans="1:17">
      <c r="A98" s="1112" t="s">
        <v>783</v>
      </c>
      <c r="B98" s="1243">
        <f>B92+B93+B94+B95-B96+B97</f>
        <v>-87.851104166666673</v>
      </c>
      <c r="C98" s="1243">
        <f t="shared" ref="C98:Q98" si="43">C92+C93+C94+C95-C96+C97</f>
        <v>-68.566974999999985</v>
      </c>
      <c r="D98" s="1243">
        <f t="shared" si="43"/>
        <v>-63.134512500000021</v>
      </c>
      <c r="E98" s="1243">
        <f t="shared" si="43"/>
        <v>-65.632049999999992</v>
      </c>
      <c r="F98" s="1243">
        <f t="shared" si="43"/>
        <v>-120.51350625000008</v>
      </c>
      <c r="G98" s="1243">
        <f t="shared" si="43"/>
        <v>-85.127157499999953</v>
      </c>
      <c r="H98" s="1243">
        <f t="shared" si="43"/>
        <v>-95.503828750000025</v>
      </c>
      <c r="I98" s="1243">
        <f t="shared" si="43"/>
        <v>-88.795520000000039</v>
      </c>
      <c r="J98" s="1243">
        <f t="shared" si="43"/>
        <v>-70.476075999999807</v>
      </c>
      <c r="K98" s="1243">
        <f t="shared" si="43"/>
        <v>314.37500453333337</v>
      </c>
      <c r="L98" s="1243">
        <f t="shared" si="43"/>
        <v>384.87862838666712</v>
      </c>
      <c r="M98" s="1243">
        <f t="shared" si="43"/>
        <v>492.37947577499278</v>
      </c>
      <c r="N98" s="1243">
        <f t="shared" si="43"/>
        <v>518.78497909475891</v>
      </c>
      <c r="O98" s="1243">
        <f t="shared" si="43"/>
        <v>654.04022897999062</v>
      </c>
      <c r="P98" s="1243">
        <f t="shared" si="43"/>
        <v>846.66648852579704</v>
      </c>
      <c r="Q98" s="1243">
        <f t="shared" si="43"/>
        <v>1079.7583783874688</v>
      </c>
    </row>
    <row r="99" spans="1:17">
      <c r="A99" s="1112" t="s">
        <v>784</v>
      </c>
      <c r="B99" s="1129">
        <f>IF(B50-0&gt;0,B50-0,0)</f>
        <v>92.291983937595887</v>
      </c>
      <c r="C99" s="1129">
        <f>IF(C50-B50&gt;0,C50-B50,0)</f>
        <v>66.929294233314067</v>
      </c>
      <c r="D99" s="1129">
        <f t="shared" ref="D99:Q99" si="44">IF(D50-C50&gt;0,D50-C50,0)</f>
        <v>55.385108486382904</v>
      </c>
      <c r="E99" s="1129">
        <f t="shared" si="44"/>
        <v>57.736189081268861</v>
      </c>
      <c r="F99" s="1129">
        <f t="shared" si="44"/>
        <v>135.31400589069182</v>
      </c>
      <c r="G99" s="1129">
        <f t="shared" si="44"/>
        <v>79.274525811713545</v>
      </c>
      <c r="H99" s="1129">
        <f t="shared" si="44"/>
        <v>96.508069321001983</v>
      </c>
      <c r="I99" s="1129">
        <f t="shared" si="44"/>
        <v>83.414225759361329</v>
      </c>
      <c r="J99" s="1129">
        <f t="shared" si="44"/>
        <v>155.56337062119201</v>
      </c>
      <c r="K99" s="1129">
        <f t="shared" si="44"/>
        <v>0</v>
      </c>
      <c r="L99" s="1129">
        <f t="shared" si="44"/>
        <v>0</v>
      </c>
      <c r="M99" s="1129">
        <f t="shared" si="44"/>
        <v>0</v>
      </c>
      <c r="N99" s="1129">
        <f t="shared" si="44"/>
        <v>0</v>
      </c>
      <c r="O99" s="1129">
        <f t="shared" si="44"/>
        <v>0</v>
      </c>
      <c r="P99" s="1129">
        <f t="shared" si="44"/>
        <v>0</v>
      </c>
      <c r="Q99" s="1129">
        <f t="shared" si="44"/>
        <v>0</v>
      </c>
    </row>
    <row r="100" spans="1:17">
      <c r="A100" s="1112" t="s">
        <v>785</v>
      </c>
      <c r="B100" s="1243">
        <f>B95</f>
        <v>1.3843797709292254</v>
      </c>
      <c r="C100" s="1243">
        <f t="shared" ref="C100:Q100" si="45">C95</f>
        <v>2.3883192333140828</v>
      </c>
      <c r="D100" s="1243">
        <f t="shared" si="45"/>
        <v>3.2190959863828863</v>
      </c>
      <c r="E100" s="1243">
        <f t="shared" si="45"/>
        <v>4.0851390812689132</v>
      </c>
      <c r="F100" s="1243">
        <f t="shared" si="45"/>
        <v>6.1148496406917223</v>
      </c>
      <c r="G100" s="1243">
        <f t="shared" si="45"/>
        <v>7.3039683117135636</v>
      </c>
      <c r="H100" s="1243">
        <f t="shared" si="45"/>
        <v>8.7515905710019961</v>
      </c>
      <c r="I100" s="1243">
        <f t="shared" si="45"/>
        <v>10.002805759361307</v>
      </c>
      <c r="J100" s="1243">
        <f t="shared" si="45"/>
        <v>44.678134621192214</v>
      </c>
      <c r="K100" s="1243">
        <f t="shared" si="45"/>
        <v>39.992679561977397</v>
      </c>
      <c r="L100" s="1243">
        <f t="shared" si="45"/>
        <v>18.082210378162163</v>
      </c>
      <c r="M100" s="1243">
        <f t="shared" si="45"/>
        <v>2.7620539186543716</v>
      </c>
      <c r="N100" s="1243">
        <f t="shared" si="45"/>
        <v>0</v>
      </c>
      <c r="O100" s="1243">
        <f t="shared" si="45"/>
        <v>0</v>
      </c>
      <c r="P100" s="1243">
        <f t="shared" si="45"/>
        <v>0</v>
      </c>
      <c r="Q100" s="1243">
        <f t="shared" si="45"/>
        <v>0</v>
      </c>
    </row>
    <row r="101" spans="1:17">
      <c r="A101" s="1112" t="s">
        <v>786</v>
      </c>
      <c r="B101" s="1129">
        <f>IF(B52-0&lt;0,0-B50,0)</f>
        <v>0</v>
      </c>
      <c r="C101" s="1129">
        <f>IF(C50-B50&lt;0,B50-C50,0)</f>
        <v>0</v>
      </c>
      <c r="D101" s="1129">
        <f t="shared" ref="D101:Q101" si="46">IF(D50-C50&lt;0,C50-D50,0)</f>
        <v>0</v>
      </c>
      <c r="E101" s="1129">
        <f t="shared" si="46"/>
        <v>0</v>
      </c>
      <c r="F101" s="1129">
        <f t="shared" si="46"/>
        <v>0</v>
      </c>
      <c r="G101" s="1129">
        <f t="shared" si="46"/>
        <v>0</v>
      </c>
      <c r="H101" s="1129">
        <f t="shared" si="46"/>
        <v>0</v>
      </c>
      <c r="I101" s="1129">
        <f t="shared" si="46"/>
        <v>0</v>
      </c>
      <c r="J101" s="1129">
        <f t="shared" si="46"/>
        <v>0</v>
      </c>
      <c r="K101" s="1129">
        <f t="shared" si="46"/>
        <v>311.74425897135598</v>
      </c>
      <c r="L101" s="1129">
        <f t="shared" si="46"/>
        <v>418.5974544585049</v>
      </c>
      <c r="M101" s="1129">
        <f t="shared" si="46"/>
        <v>92.075059712661528</v>
      </c>
      <c r="N101" s="1129">
        <f t="shared" si="46"/>
        <v>0</v>
      </c>
      <c r="O101" s="1129">
        <f t="shared" si="46"/>
        <v>0</v>
      </c>
      <c r="P101" s="1129">
        <f t="shared" si="46"/>
        <v>0</v>
      </c>
      <c r="Q101" s="1129">
        <f t="shared" si="46"/>
        <v>0</v>
      </c>
    </row>
    <row r="102" spans="1:17">
      <c r="A102" s="1111" t="s">
        <v>804</v>
      </c>
      <c r="B102" s="1129">
        <f>B80</f>
        <v>0</v>
      </c>
      <c r="C102" s="1129">
        <f t="shared" ref="C102:Q102" si="47">C80</f>
        <v>0</v>
      </c>
      <c r="D102" s="1129">
        <f t="shared" si="47"/>
        <v>0</v>
      </c>
      <c r="E102" s="1129">
        <f t="shared" si="47"/>
        <v>0</v>
      </c>
      <c r="F102" s="1129">
        <f t="shared" si="47"/>
        <v>0</v>
      </c>
      <c r="G102" s="1129">
        <f t="shared" si="47"/>
        <v>0</v>
      </c>
      <c r="H102" s="1129">
        <f t="shared" si="47"/>
        <v>0</v>
      </c>
      <c r="I102" s="1129">
        <f t="shared" si="47"/>
        <v>0</v>
      </c>
      <c r="J102" s="1129">
        <f t="shared" si="47"/>
        <v>0</v>
      </c>
      <c r="K102" s="1129">
        <f t="shared" si="47"/>
        <v>0</v>
      </c>
      <c r="L102" s="1129">
        <f t="shared" si="47"/>
        <v>0</v>
      </c>
      <c r="M102" s="1129">
        <f t="shared" si="47"/>
        <v>0</v>
      </c>
      <c r="N102" s="1129">
        <f t="shared" si="47"/>
        <v>0</v>
      </c>
      <c r="O102" s="1129">
        <f t="shared" si="47"/>
        <v>0</v>
      </c>
      <c r="P102" s="1129">
        <f t="shared" si="47"/>
        <v>0</v>
      </c>
      <c r="Q102" s="1129">
        <f t="shared" si="47"/>
        <v>0</v>
      </c>
    </row>
    <row r="103" spans="1:17">
      <c r="A103" s="1111" t="s">
        <v>805</v>
      </c>
      <c r="B103" s="1129">
        <f t="shared" ref="B103:Q103" si="48">B81</f>
        <v>4.2625000000000002</v>
      </c>
      <c r="C103" s="1129">
        <f t="shared" si="48"/>
        <v>5.2750000000000004</v>
      </c>
      <c r="D103" s="1129">
        <f t="shared" si="48"/>
        <v>6.2874999999999996</v>
      </c>
      <c r="E103" s="1129">
        <f t="shared" si="48"/>
        <v>7.3000000000000007</v>
      </c>
      <c r="F103" s="1129">
        <f t="shared" si="48"/>
        <v>8.8937500000000007</v>
      </c>
      <c r="G103" s="1129">
        <f t="shared" si="48"/>
        <v>10.0075</v>
      </c>
      <c r="H103" s="1129">
        <f t="shared" si="48"/>
        <v>11.121250000000002</v>
      </c>
      <c r="I103" s="1129">
        <f t="shared" si="48"/>
        <v>12.235000000000001</v>
      </c>
      <c r="J103" s="1129">
        <f t="shared" si="48"/>
        <v>72.436000000000007</v>
      </c>
      <c r="K103" s="1129">
        <f t="shared" si="48"/>
        <v>95.241800000000012</v>
      </c>
      <c r="L103" s="1129">
        <f t="shared" si="48"/>
        <v>128.48440000000002</v>
      </c>
      <c r="M103" s="1129">
        <f t="shared" si="48"/>
        <v>0</v>
      </c>
      <c r="N103" s="1129">
        <f t="shared" si="48"/>
        <v>-72.400000000000006</v>
      </c>
      <c r="O103" s="1129">
        <f t="shared" si="48"/>
        <v>-72.400000000000006</v>
      </c>
      <c r="P103" s="1129">
        <f t="shared" si="48"/>
        <v>-108.6</v>
      </c>
      <c r="Q103" s="1129">
        <f t="shared" si="48"/>
        <v>-108.6</v>
      </c>
    </row>
    <row r="104" spans="1:17">
      <c r="A104" s="1111" t="s">
        <v>803</v>
      </c>
      <c r="B104" s="1243">
        <f>B46-0</f>
        <v>244.35854850000004</v>
      </c>
      <c r="C104" s="1243">
        <f>C46-B46</f>
        <v>20</v>
      </c>
      <c r="D104" s="1243">
        <f t="shared" ref="D104:Q104" si="49">D46-C46</f>
        <v>20</v>
      </c>
      <c r="E104" s="1243">
        <f t="shared" si="49"/>
        <v>20</v>
      </c>
      <c r="F104" s="1243">
        <f t="shared" si="49"/>
        <v>20</v>
      </c>
      <c r="G104" s="1243">
        <f t="shared" si="49"/>
        <v>20</v>
      </c>
      <c r="H104" s="1243">
        <f t="shared" si="49"/>
        <v>20</v>
      </c>
      <c r="I104" s="1243">
        <f t="shared" si="49"/>
        <v>20</v>
      </c>
      <c r="J104" s="1243">
        <f t="shared" si="49"/>
        <v>10</v>
      </c>
      <c r="K104" s="1243">
        <f t="shared" si="49"/>
        <v>0</v>
      </c>
      <c r="L104" s="1243">
        <f t="shared" si="49"/>
        <v>0</v>
      </c>
      <c r="M104" s="1243">
        <f t="shared" si="49"/>
        <v>0</v>
      </c>
      <c r="N104" s="1243">
        <f t="shared" si="49"/>
        <v>0</v>
      </c>
      <c r="O104" s="1243">
        <f t="shared" si="49"/>
        <v>0</v>
      </c>
      <c r="P104" s="1243">
        <f t="shared" si="49"/>
        <v>0</v>
      </c>
      <c r="Q104" s="1243">
        <f t="shared" si="49"/>
        <v>0</v>
      </c>
    </row>
    <row r="105" spans="1:17">
      <c r="A105" s="1111" t="s">
        <v>787</v>
      </c>
      <c r="B105" s="1243">
        <f>B99-B100-B101+B102+B103+B104</f>
        <v>339.52865266666669</v>
      </c>
      <c r="C105" s="1243">
        <f t="shared" ref="C105:Q105" si="50">C99-C100-C101+C102+C103+C104</f>
        <v>89.815974999999995</v>
      </c>
      <c r="D105" s="1243">
        <f t="shared" si="50"/>
        <v>78.453512500000016</v>
      </c>
      <c r="E105" s="1243">
        <f t="shared" si="50"/>
        <v>80.951049999999952</v>
      </c>
      <c r="F105" s="1243">
        <f t="shared" si="50"/>
        <v>158.09290625000011</v>
      </c>
      <c r="G105" s="1243">
        <f t="shared" si="50"/>
        <v>101.97805749999998</v>
      </c>
      <c r="H105" s="1243">
        <f t="shared" si="50"/>
        <v>118.87772874999999</v>
      </c>
      <c r="I105" s="1243">
        <f t="shared" si="50"/>
        <v>105.64642000000002</v>
      </c>
      <c r="J105" s="1243">
        <f t="shared" si="50"/>
        <v>193.3212359999998</v>
      </c>
      <c r="K105" s="1243">
        <f t="shared" si="50"/>
        <v>-256.49513853333337</v>
      </c>
      <c r="L105" s="1243">
        <f t="shared" si="50"/>
        <v>-308.19526483666709</v>
      </c>
      <c r="M105" s="1243">
        <f t="shared" si="50"/>
        <v>-94.837113631315901</v>
      </c>
      <c r="N105" s="1243">
        <f t="shared" si="50"/>
        <v>-72.400000000000006</v>
      </c>
      <c r="O105" s="1243">
        <f t="shared" si="50"/>
        <v>-72.400000000000006</v>
      </c>
      <c r="P105" s="1243">
        <f t="shared" si="50"/>
        <v>-108.6</v>
      </c>
      <c r="Q105" s="1243">
        <f t="shared" si="50"/>
        <v>-108.6</v>
      </c>
    </row>
    <row r="106" spans="1:17">
      <c r="A106" s="1111" t="s">
        <v>788</v>
      </c>
      <c r="B106" s="1243">
        <f>Capex!C17</f>
        <v>45.636728963499998</v>
      </c>
      <c r="C106" s="1243">
        <f>Capex!D17</f>
        <v>21.248999999999999</v>
      </c>
      <c r="D106" s="1243">
        <f>Capex!E17</f>
        <v>15.319000000000001</v>
      </c>
      <c r="E106" s="1243">
        <f>Capex!F17</f>
        <v>15.319000000000001</v>
      </c>
      <c r="F106" s="1243">
        <f>Capex!G17</f>
        <v>37.5794</v>
      </c>
      <c r="G106" s="1243">
        <f>Capex!H17</f>
        <v>16.850900000000003</v>
      </c>
      <c r="H106" s="1243">
        <f>Capex!I17</f>
        <v>23.373899999999999</v>
      </c>
      <c r="I106" s="1243">
        <f>Capex!J17</f>
        <v>16.850900000000003</v>
      </c>
      <c r="J106" s="1243">
        <f>Capex!K17</f>
        <v>122.84516000000002</v>
      </c>
      <c r="K106" s="1243">
        <f>Capex!L17</f>
        <v>57.879866000000007</v>
      </c>
      <c r="L106" s="1243">
        <f>Capex!M17</f>
        <v>76.68336355000001</v>
      </c>
      <c r="M106" s="1243">
        <f>Capex!N17</f>
        <v>70.034637860000018</v>
      </c>
      <c r="N106" s="1243">
        <f>Capex!O17</f>
        <v>37.070799705500008</v>
      </c>
      <c r="O106" s="1243">
        <f>Capex!P17</f>
        <v>84.741911810600016</v>
      </c>
      <c r="P106" s="1243">
        <f>Capex!Q17</f>
        <v>93.216102991660009</v>
      </c>
      <c r="Q106" s="1243">
        <f>Capex!R17</f>
        <v>88.555083483195986</v>
      </c>
    </row>
    <row r="107" spans="1:17">
      <c r="A107" s="1111" t="s">
        <v>806</v>
      </c>
      <c r="B107" s="1243">
        <f>Amortisation!C11</f>
        <v>206.04081953650004</v>
      </c>
      <c r="C107" s="1243"/>
      <c r="D107" s="1243"/>
      <c r="E107" s="1243"/>
      <c r="F107" s="1243"/>
      <c r="G107" s="1243"/>
      <c r="H107" s="1243"/>
      <c r="I107" s="1243"/>
      <c r="J107" s="1243"/>
      <c r="K107" s="1243"/>
      <c r="L107" s="1243"/>
      <c r="M107" s="1243">
        <f>M57</f>
        <v>0</v>
      </c>
      <c r="N107" s="1243">
        <f>N57</f>
        <v>0</v>
      </c>
      <c r="O107" s="1243">
        <f>O57</f>
        <v>0</v>
      </c>
      <c r="P107" s="1243">
        <f>P57</f>
        <v>0</v>
      </c>
      <c r="Q107" s="1243">
        <f>Q57</f>
        <v>0</v>
      </c>
    </row>
    <row r="108" spans="1:17">
      <c r="A108" s="1111" t="s">
        <v>789</v>
      </c>
      <c r="B108" s="1243">
        <f>-B106-B107</f>
        <v>-251.67754850000003</v>
      </c>
      <c r="C108" s="1243">
        <f t="shared" ref="C108:Q108" si="51">-C106-C107</f>
        <v>-21.248999999999999</v>
      </c>
      <c r="D108" s="1243">
        <f t="shared" si="51"/>
        <v>-15.319000000000001</v>
      </c>
      <c r="E108" s="1243">
        <f t="shared" si="51"/>
        <v>-15.319000000000001</v>
      </c>
      <c r="F108" s="1243">
        <f t="shared" si="51"/>
        <v>-37.5794</v>
      </c>
      <c r="G108" s="1243">
        <f t="shared" si="51"/>
        <v>-16.850900000000003</v>
      </c>
      <c r="H108" s="1243">
        <f t="shared" si="51"/>
        <v>-23.373899999999999</v>
      </c>
      <c r="I108" s="1243">
        <f t="shared" si="51"/>
        <v>-16.850900000000003</v>
      </c>
      <c r="J108" s="1243">
        <f t="shared" si="51"/>
        <v>-122.84516000000002</v>
      </c>
      <c r="K108" s="1243">
        <f t="shared" si="51"/>
        <v>-57.879866000000007</v>
      </c>
      <c r="L108" s="1243">
        <f t="shared" si="51"/>
        <v>-76.68336355000001</v>
      </c>
      <c r="M108" s="1243">
        <f t="shared" si="51"/>
        <v>-70.034637860000018</v>
      </c>
      <c r="N108" s="1243">
        <f t="shared" si="51"/>
        <v>-37.070799705500008</v>
      </c>
      <c r="O108" s="1243">
        <f t="shared" si="51"/>
        <v>-84.741911810600016</v>
      </c>
      <c r="P108" s="1243">
        <f t="shared" si="51"/>
        <v>-93.216102991660009</v>
      </c>
      <c r="Q108" s="1243">
        <f t="shared" si="51"/>
        <v>-88.555083483195986</v>
      </c>
    </row>
    <row r="109" spans="1:17">
      <c r="A109" s="1113" t="s">
        <v>790</v>
      </c>
      <c r="B109" s="1243">
        <f t="shared" ref="B109:Q109" si="52">B98+B105+B108</f>
        <v>0</v>
      </c>
      <c r="C109" s="1243">
        <f t="shared" si="52"/>
        <v>0</v>
      </c>
      <c r="D109" s="1243">
        <f t="shared" si="52"/>
        <v>0</v>
      </c>
      <c r="E109" s="1243">
        <f t="shared" si="52"/>
        <v>-4.0856207306205761E-14</v>
      </c>
      <c r="F109" s="1243">
        <f t="shared" si="52"/>
        <v>0</v>
      </c>
      <c r="G109" s="1243">
        <f t="shared" si="52"/>
        <v>0</v>
      </c>
      <c r="H109" s="1243">
        <f t="shared" si="52"/>
        <v>-3.5527136788005009E-14</v>
      </c>
      <c r="I109" s="1243">
        <f t="shared" si="52"/>
        <v>0</v>
      </c>
      <c r="J109" s="1243">
        <f t="shared" si="52"/>
        <v>0</v>
      </c>
      <c r="K109" s="1243">
        <f t="shared" si="52"/>
        <v>0</v>
      </c>
      <c r="L109" s="1243">
        <f t="shared" si="52"/>
        <v>0</v>
      </c>
      <c r="M109" s="1243">
        <f t="shared" si="52"/>
        <v>327.50772428367685</v>
      </c>
      <c r="N109" s="1243">
        <f t="shared" si="52"/>
        <v>409.31417938925892</v>
      </c>
      <c r="O109" s="1243">
        <f t="shared" si="52"/>
        <v>496.89831716939062</v>
      </c>
      <c r="P109" s="1243">
        <f t="shared" si="52"/>
        <v>644.85038553413699</v>
      </c>
      <c r="Q109" s="1243">
        <f t="shared" si="52"/>
        <v>882.60329490427284</v>
      </c>
    </row>
    <row r="110" spans="1:17">
      <c r="A110" s="1114" t="s">
        <v>791</v>
      </c>
      <c r="B110" s="1243">
        <f>B109</f>
        <v>0</v>
      </c>
      <c r="C110" s="1243">
        <f t="shared" ref="C110:Q110" si="53">B110+C109</f>
        <v>0</v>
      </c>
      <c r="D110" s="1243">
        <f t="shared" si="53"/>
        <v>0</v>
      </c>
      <c r="E110" s="1243">
        <f t="shared" si="53"/>
        <v>-4.0856207306205761E-14</v>
      </c>
      <c r="F110" s="1243">
        <f t="shared" si="53"/>
        <v>-4.0856207306205761E-14</v>
      </c>
      <c r="G110" s="1243">
        <f t="shared" si="53"/>
        <v>-4.0856207306205761E-14</v>
      </c>
      <c r="H110" s="1243">
        <f t="shared" si="53"/>
        <v>-7.638334409421077E-14</v>
      </c>
      <c r="I110" s="1243">
        <f t="shared" si="53"/>
        <v>-7.638334409421077E-14</v>
      </c>
      <c r="J110" s="1243">
        <f t="shared" si="53"/>
        <v>-7.638334409421077E-14</v>
      </c>
      <c r="K110" s="1243">
        <f t="shared" si="53"/>
        <v>-7.638334409421077E-14</v>
      </c>
      <c r="L110" s="1243">
        <f t="shared" si="53"/>
        <v>-7.638334409421077E-14</v>
      </c>
      <c r="M110" s="1243">
        <f t="shared" si="53"/>
        <v>327.50772428367679</v>
      </c>
      <c r="N110" s="1243">
        <f t="shared" si="53"/>
        <v>736.82190367293572</v>
      </c>
      <c r="O110" s="1243">
        <f t="shared" si="53"/>
        <v>1233.7202208423264</v>
      </c>
      <c r="P110" s="1243">
        <f t="shared" si="53"/>
        <v>1878.5706063764633</v>
      </c>
      <c r="Q110" s="1243">
        <f t="shared" si="53"/>
        <v>2761.1739012807361</v>
      </c>
    </row>
    <row r="111" spans="1:17">
      <c r="A111" s="1236"/>
      <c r="B111" s="1243"/>
      <c r="C111" s="1243"/>
      <c r="D111" s="1243"/>
      <c r="E111" s="1243"/>
      <c r="F111" s="1243"/>
      <c r="G111" s="1243"/>
      <c r="H111" s="1243"/>
      <c r="I111" s="1243"/>
      <c r="J111" s="1243"/>
      <c r="K111" s="1243"/>
      <c r="L111" s="1243"/>
      <c r="M111" s="1243"/>
      <c r="N111" s="1243"/>
      <c r="O111" s="1243"/>
      <c r="P111" s="1243"/>
      <c r="Q111" s="1243"/>
    </row>
    <row r="113" spans="1:41">
      <c r="A113" s="1245" t="s">
        <v>231</v>
      </c>
      <c r="C113" s="1200"/>
    </row>
    <row r="114" spans="1:41" s="1200" customFormat="1" ht="23.25" customHeight="1">
      <c r="A114" s="1200" t="s">
        <v>652</v>
      </c>
      <c r="B114" s="1271">
        <f>-(B18+B20)/3*2</f>
        <v>-33.568566666666669</v>
      </c>
      <c r="C114" s="1271">
        <f t="shared" ref="C114:I114" si="54">-(C18+C20)/3*2</f>
        <v>-48.710466666666662</v>
      </c>
      <c r="D114" s="1271">
        <f t="shared" si="54"/>
        <v>-60.322366666666674</v>
      </c>
      <c r="E114" s="1271">
        <f t="shared" si="54"/>
        <v>-71.934266666666659</v>
      </c>
      <c r="F114" s="1271">
        <f t="shared" si="54"/>
        <v>-106.7237966666667</v>
      </c>
      <c r="G114" s="1271">
        <f t="shared" si="54"/>
        <v>-119.91400666666668</v>
      </c>
      <c r="H114" s="1271">
        <f t="shared" si="54"/>
        <v>-136.08169666666666</v>
      </c>
      <c r="I114" s="1271">
        <f t="shared" si="54"/>
        <v>-148.36638666666667</v>
      </c>
      <c r="J114" s="1271">
        <f>-(J18+J20)/12*2</f>
        <v>-214.47449466666669</v>
      </c>
      <c r="K114" s="1271">
        <f t="shared" ref="K114:Q114" si="55">-(K18+K20)/12*2</f>
        <v>-272.95449573333343</v>
      </c>
      <c r="L114" s="1271">
        <f t="shared" si="55"/>
        <v>-349.99818990666671</v>
      </c>
      <c r="M114" s="1271">
        <f t="shared" si="55"/>
        <v>-428.82126246933348</v>
      </c>
      <c r="N114" s="1271">
        <f t="shared" si="55"/>
        <v>-504.84559043586677</v>
      </c>
      <c r="O114" s="1271">
        <f t="shared" si="55"/>
        <v>-612.11015411481344</v>
      </c>
      <c r="P114" s="1271">
        <f t="shared" si="55"/>
        <v>-735.80732962519085</v>
      </c>
      <c r="Q114" s="1271">
        <f t="shared" si="55"/>
        <v>-869.07605085626528</v>
      </c>
      <c r="R114" s="1216"/>
      <c r="AN114" s="892"/>
    </row>
    <row r="115" spans="1:41" s="1200" customFormat="1" ht="21.75" customHeight="1">
      <c r="A115" s="1246" t="s">
        <v>653</v>
      </c>
      <c r="B115" s="893">
        <f>B114</f>
        <v>-33.568566666666669</v>
      </c>
      <c r="C115" s="893">
        <f>C114-B114</f>
        <v>-15.141899999999993</v>
      </c>
      <c r="D115" s="893">
        <f t="shared" ref="D115:Q115" si="56">D114-C114</f>
        <v>-11.611900000000013</v>
      </c>
      <c r="E115" s="893">
        <f t="shared" si="56"/>
        <v>-11.611899999999984</v>
      </c>
      <c r="F115" s="893">
        <f t="shared" si="56"/>
        <v>-34.789530000000042</v>
      </c>
      <c r="G115" s="893">
        <f t="shared" si="56"/>
        <v>-13.190209999999979</v>
      </c>
      <c r="H115" s="893">
        <f t="shared" si="56"/>
        <v>-16.167689999999979</v>
      </c>
      <c r="I115" s="893">
        <f t="shared" si="56"/>
        <v>-12.284690000000012</v>
      </c>
      <c r="J115" s="893">
        <f t="shared" si="56"/>
        <v>-66.108108000000016</v>
      </c>
      <c r="K115" s="893">
        <f t="shared" si="56"/>
        <v>-58.480001066666745</v>
      </c>
      <c r="L115" s="893">
        <f t="shared" si="56"/>
        <v>-77.043694173333279</v>
      </c>
      <c r="M115" s="893">
        <f t="shared" si="56"/>
        <v>-78.823072562666766</v>
      </c>
      <c r="N115" s="893">
        <f t="shared" si="56"/>
        <v>-76.024327966533292</v>
      </c>
      <c r="O115" s="893">
        <f t="shared" si="56"/>
        <v>-107.26456367894667</v>
      </c>
      <c r="P115" s="893">
        <f t="shared" si="56"/>
        <v>-123.69717551037741</v>
      </c>
      <c r="Q115" s="893">
        <f t="shared" si="56"/>
        <v>-133.26872123107444</v>
      </c>
      <c r="R115" s="1216"/>
      <c r="AN115" s="892"/>
    </row>
    <row r="116" spans="1:41" s="1200" customFormat="1">
      <c r="B116" s="892"/>
      <c r="C116" s="892"/>
      <c r="D116" s="892"/>
      <c r="E116" s="892"/>
      <c r="F116" s="892"/>
      <c r="G116" s="892"/>
      <c r="H116" s="892"/>
      <c r="I116" s="892"/>
      <c r="J116" s="892"/>
      <c r="K116" s="892"/>
      <c r="L116" s="892"/>
      <c r="M116" s="892"/>
      <c r="N116" s="892"/>
      <c r="O116" s="892"/>
      <c r="P116" s="892"/>
      <c r="Q116" s="892"/>
      <c r="R116" s="1216"/>
      <c r="AN116" s="892"/>
    </row>
    <row r="117" spans="1:41" s="1200" customFormat="1">
      <c r="B117" s="892"/>
      <c r="C117" s="892"/>
      <c r="D117" s="892"/>
      <c r="E117" s="892"/>
      <c r="F117" s="892"/>
      <c r="G117" s="892"/>
      <c r="H117" s="892"/>
      <c r="I117" s="892"/>
      <c r="J117" s="892"/>
      <c r="K117" s="892"/>
      <c r="L117" s="892"/>
      <c r="M117" s="892"/>
      <c r="N117" s="892"/>
      <c r="O117" s="892"/>
      <c r="P117" s="892"/>
      <c r="Q117" s="892"/>
      <c r="R117" s="1216"/>
      <c r="AN117" s="892"/>
    </row>
    <row r="118" spans="1:41">
      <c r="A118" s="1191" t="s">
        <v>232</v>
      </c>
      <c r="B118" s="1247">
        <f>B59</f>
        <v>1.1865267879329622E-8</v>
      </c>
      <c r="C118" s="1247">
        <f t="shared" ref="C118:Q118" si="57">C59</f>
        <v>7.2615762292116415E-8</v>
      </c>
      <c r="D118" s="1247">
        <f t="shared" si="57"/>
        <v>2.5913925583154196E-7</v>
      </c>
      <c r="E118" s="1247">
        <f t="shared" si="57"/>
        <v>7.0432963639177615E-7</v>
      </c>
      <c r="F118" s="1247">
        <f t="shared" si="57"/>
        <v>1.6205826227633224E-6</v>
      </c>
      <c r="G118" s="1247">
        <f t="shared" si="57"/>
        <v>3.3206816851816257E-6</v>
      </c>
      <c r="H118" s="1247">
        <f t="shared" si="57"/>
        <v>6.2402540947914531E-6</v>
      </c>
      <c r="I118" s="1247">
        <f t="shared" si="57"/>
        <v>1.0961795396724483E-5</v>
      </c>
      <c r="J118" s="1247">
        <f t="shared" si="57"/>
        <v>4.0313072020126128E-5</v>
      </c>
      <c r="K118" s="1247">
        <f t="shared" si="57"/>
        <v>4.1255638734583044E-5</v>
      </c>
      <c r="L118" s="1247">
        <f t="shared" si="57"/>
        <v>-1.7558271395046177E-4</v>
      </c>
      <c r="M118" s="1247">
        <f t="shared" si="57"/>
        <v>327.50735082823758</v>
      </c>
      <c r="N118" s="1247">
        <f t="shared" si="57"/>
        <v>736.8215302174965</v>
      </c>
      <c r="O118" s="1247">
        <f t="shared" si="57"/>
        <v>1233.7198473868875</v>
      </c>
      <c r="P118" s="1247">
        <f t="shared" si="57"/>
        <v>1878.5702329210242</v>
      </c>
      <c r="Q118" s="1247">
        <f t="shared" si="57"/>
        <v>2761.1735278252972</v>
      </c>
      <c r="AO118" s="1200"/>
    </row>
    <row r="119" spans="1:41" hidden="1">
      <c r="F119" s="1247"/>
      <c r="G119" s="1247"/>
      <c r="H119" s="1247"/>
      <c r="I119" s="1247"/>
      <c r="J119" s="1247"/>
      <c r="K119" s="1247"/>
      <c r="L119" s="1247"/>
    </row>
    <row r="120" spans="1:41" hidden="1">
      <c r="A120" s="1248" t="s">
        <v>56</v>
      </c>
      <c r="B120" s="1249"/>
      <c r="C120" s="1236"/>
      <c r="D120" s="1236"/>
      <c r="E120" s="1236"/>
      <c r="F120" s="1247"/>
      <c r="G120" s="1247"/>
      <c r="H120" s="1247"/>
      <c r="I120" s="1247"/>
    </row>
    <row r="121" spans="1:41" hidden="1">
      <c r="A121" s="1236" t="s">
        <v>57</v>
      </c>
      <c r="B121" s="1237">
        <f>-SUM(B14:J14)</f>
        <v>-2040.4430625000005</v>
      </c>
      <c r="C121" s="1237"/>
      <c r="D121" s="1237"/>
      <c r="E121" s="1237"/>
      <c r="F121" s="1247"/>
      <c r="G121" s="1247"/>
      <c r="H121" s="1247"/>
      <c r="I121" s="1247"/>
    </row>
    <row r="122" spans="1:41" hidden="1">
      <c r="A122" s="1236" t="s">
        <v>675</v>
      </c>
      <c r="B122" s="1237">
        <f>-SUM(B79:J79)</f>
        <v>-394.35854850000004</v>
      </c>
      <c r="C122" s="1237"/>
      <c r="D122" s="1237"/>
      <c r="E122" s="1237"/>
    </row>
    <row r="123" spans="1:41" hidden="1">
      <c r="A123" s="1236" t="s">
        <v>228</v>
      </c>
      <c r="B123" s="1237">
        <f>-SUM(B85:J85)</f>
        <v>10.89</v>
      </c>
      <c r="C123" s="1237"/>
      <c r="D123" s="1237"/>
      <c r="E123" s="1237"/>
    </row>
    <row r="124" spans="1:41" hidden="1">
      <c r="A124" s="1236" t="s">
        <v>154</v>
      </c>
      <c r="B124" s="1237">
        <f>-SUM(B86:J86)</f>
        <v>214.47449466666669</v>
      </c>
      <c r="C124" s="1237"/>
      <c r="D124" s="1237"/>
      <c r="E124" s="1237"/>
    </row>
    <row r="125" spans="1:41" hidden="1">
      <c r="A125" s="1236" t="s">
        <v>58</v>
      </c>
      <c r="B125" s="1237">
        <f>SUM(B21:J21)</f>
        <v>2560.679298</v>
      </c>
      <c r="C125" s="1237"/>
      <c r="D125" s="1237"/>
      <c r="E125" s="1237"/>
    </row>
    <row r="126" spans="1:41" hidden="1">
      <c r="A126" s="1236" t="s">
        <v>51</v>
      </c>
      <c r="B126" s="1237">
        <f>-SUM(B83:J83)</f>
        <v>315.02398896350002</v>
      </c>
      <c r="C126" s="1237"/>
      <c r="D126" s="1237"/>
      <c r="E126" s="1237"/>
    </row>
    <row r="127" spans="1:41" hidden="1">
      <c r="A127" s="1250" t="s">
        <v>59</v>
      </c>
      <c r="B127" s="1251">
        <f>SUM(B121:B126)</f>
        <v>666.26617063016602</v>
      </c>
      <c r="C127" s="1251"/>
      <c r="D127" s="1251"/>
      <c r="E127" s="1251"/>
    </row>
    <row r="128" spans="1:41" hidden="1"/>
    <row r="130" spans="1:41">
      <c r="A130" s="1245" t="s">
        <v>639</v>
      </c>
    </row>
    <row r="131" spans="1:41" ht="22.5" customHeight="1">
      <c r="A131" s="1191" t="str">
        <f>'Exp  Assumptions'!B61</f>
        <v>Maintenance cost of Training content</v>
      </c>
      <c r="B131" s="1252">
        <f>'Exp  Assumptions'!G61</f>
        <v>0.75</v>
      </c>
      <c r="C131" s="1252">
        <f>'Exp  Assumptions'!H61</f>
        <v>0.75</v>
      </c>
      <c r="D131" s="1252">
        <f>'Exp  Assumptions'!I61</f>
        <v>0.75</v>
      </c>
      <c r="E131" s="1252">
        <f>'Exp  Assumptions'!J61</f>
        <v>0.75</v>
      </c>
      <c r="F131" s="1252">
        <f>'Exp  Assumptions'!K61</f>
        <v>0.82500000000000007</v>
      </c>
      <c r="G131" s="1252">
        <f>'Exp  Assumptions'!L61</f>
        <v>0.82500000000000007</v>
      </c>
      <c r="H131" s="1252">
        <f>'Exp  Assumptions'!M61</f>
        <v>0.82500000000000007</v>
      </c>
      <c r="I131" s="1252">
        <f>'Exp  Assumptions'!N61</f>
        <v>0.82500000000000007</v>
      </c>
      <c r="J131" s="1252">
        <f>'Exp  Assumptions'!O61</f>
        <v>3.6300000000000008</v>
      </c>
      <c r="K131" s="1252">
        <f>'Exp  Assumptions'!P61</f>
        <v>3.9930000000000012</v>
      </c>
      <c r="L131" s="1252">
        <f>'Exp  Assumptions'!Q61</f>
        <v>4.3923000000000014</v>
      </c>
      <c r="M131" s="1252">
        <f>'Exp  Assumptions'!R61</f>
        <v>4.8315300000000017</v>
      </c>
      <c r="N131" s="1252">
        <f>'Exp  Assumptions'!S61</f>
        <v>5.3146830000000023</v>
      </c>
      <c r="O131" s="1252">
        <f>'Exp  Assumptions'!T61</f>
        <v>5.8461513000000034</v>
      </c>
      <c r="P131" s="1252">
        <f>'Exp  Assumptions'!U61</f>
        <v>6.4307664300000038</v>
      </c>
      <c r="Q131" s="1252">
        <f>'Exp  Assumptions'!V61</f>
        <v>7.0738430730000044</v>
      </c>
      <c r="R131" s="1237">
        <f>SUM(B131:Q131)</f>
        <v>47.812273803000025</v>
      </c>
      <c r="S131" s="1200"/>
      <c r="T131" s="1200"/>
      <c r="U131" s="1200"/>
      <c r="V131" s="1200"/>
      <c r="W131" s="1200"/>
      <c r="X131" s="1200"/>
      <c r="Y131" s="1200"/>
      <c r="Z131" s="1200"/>
      <c r="AA131" s="1200"/>
      <c r="AB131" s="1200"/>
      <c r="AC131" s="1200"/>
      <c r="AD131" s="1200"/>
      <c r="AE131" s="1200"/>
      <c r="AF131" s="1200"/>
      <c r="AG131" s="1200"/>
      <c r="AH131" s="1200"/>
      <c r="AI131" s="1200"/>
      <c r="AJ131" s="1200"/>
      <c r="AK131" s="1200"/>
      <c r="AL131" s="1200"/>
      <c r="AM131" s="1200"/>
      <c r="AN131" s="892"/>
      <c r="AO131" s="1200"/>
    </row>
    <row r="132" spans="1:41" ht="22.5" customHeight="1">
      <c r="A132" s="1191" t="str">
        <f>'Exp  Assumptions'!B67</f>
        <v>Advertisement and Publicity</v>
      </c>
      <c r="B132" s="1252">
        <f>'Exp  Assumptions'!G67</f>
        <v>2.5</v>
      </c>
      <c r="C132" s="1252">
        <f>'Exp  Assumptions'!H67</f>
        <v>2.5</v>
      </c>
      <c r="D132" s="1252">
        <f>'Exp  Assumptions'!I67</f>
        <v>2.5</v>
      </c>
      <c r="E132" s="1252">
        <f>'Exp  Assumptions'!J67</f>
        <v>2.5</v>
      </c>
      <c r="F132" s="1252">
        <f>'Exp  Assumptions'!K67</f>
        <v>2.5</v>
      </c>
      <c r="G132" s="1252">
        <f>'Exp  Assumptions'!L67</f>
        <v>2.5</v>
      </c>
      <c r="H132" s="1252">
        <f>'Exp  Assumptions'!M67</f>
        <v>2.5</v>
      </c>
      <c r="I132" s="1252">
        <f>'Exp  Assumptions'!N67</f>
        <v>2.5</v>
      </c>
      <c r="J132" s="1252">
        <f>'Exp  Assumptions'!O67</f>
        <v>10</v>
      </c>
      <c r="K132" s="1252">
        <f>'Exp  Assumptions'!P67</f>
        <v>5</v>
      </c>
      <c r="L132" s="1252">
        <f>'Exp  Assumptions'!Q67</f>
        <v>5.5</v>
      </c>
      <c r="M132" s="1252">
        <f>'Exp  Assumptions'!R67</f>
        <v>6.0500000000000007</v>
      </c>
      <c r="N132" s="1252">
        <f>'Exp  Assumptions'!S67</f>
        <v>6.6550000000000011</v>
      </c>
      <c r="O132" s="1252">
        <f>'Exp  Assumptions'!T67</f>
        <v>7.3205000000000018</v>
      </c>
      <c r="P132" s="1252">
        <f>'Exp  Assumptions'!U67</f>
        <v>8.0525500000000019</v>
      </c>
      <c r="Q132" s="1252">
        <f>'Exp  Assumptions'!V67</f>
        <v>8.8578050000000026</v>
      </c>
      <c r="R132" s="1237">
        <f>SUM(B132:Q132)</f>
        <v>77.435855000000004</v>
      </c>
      <c r="S132" s="1200"/>
      <c r="T132" s="1200"/>
      <c r="U132" s="1200"/>
      <c r="V132" s="1200"/>
      <c r="W132" s="1200"/>
      <c r="X132" s="1200"/>
      <c r="Y132" s="1200"/>
      <c r="Z132" s="1200"/>
      <c r="AA132" s="1200"/>
      <c r="AB132" s="1200"/>
      <c r="AC132" s="1200"/>
      <c r="AD132" s="1200"/>
      <c r="AE132" s="1200"/>
      <c r="AF132" s="1200"/>
      <c r="AG132" s="1200"/>
      <c r="AH132" s="1200"/>
      <c r="AI132" s="1200"/>
      <c r="AJ132" s="1200"/>
      <c r="AK132" s="1200"/>
      <c r="AL132" s="1200"/>
      <c r="AM132" s="1200"/>
      <c r="AN132" s="892"/>
      <c r="AO132" s="1200"/>
    </row>
    <row r="133" spans="1:41" ht="22.5" customHeight="1">
      <c r="A133" s="1191" t="str">
        <f>'Exp  Assumptions'!B80</f>
        <v>Snack &amp; Food expenses for trainees</v>
      </c>
      <c r="B133" s="1252">
        <f>'Exp  Assumptions'!G81</f>
        <v>0.5625</v>
      </c>
      <c r="C133" s="1252">
        <f>'Exp  Assumptions'!H81</f>
        <v>1.125</v>
      </c>
      <c r="D133" s="1252">
        <f>'Exp  Assumptions'!I81</f>
        <v>1.6875</v>
      </c>
      <c r="E133" s="1252">
        <f>'Exp  Assumptions'!J81</f>
        <v>2.25</v>
      </c>
      <c r="F133" s="1252">
        <f>'Exp  Assumptions'!K81</f>
        <v>3.0937500000000004</v>
      </c>
      <c r="G133" s="1252">
        <f>'Exp  Assumptions'!L81</f>
        <v>3.7125000000000004</v>
      </c>
      <c r="H133" s="1252">
        <f>'Exp  Assumptions'!M81</f>
        <v>4.3312500000000007</v>
      </c>
      <c r="I133" s="1252">
        <f>'Exp  Assumptions'!N81</f>
        <v>4.95</v>
      </c>
      <c r="J133" s="1252">
        <f>'Exp  Assumptions'!O81</f>
        <v>32.67</v>
      </c>
      <c r="K133" s="1252">
        <f>'Exp  Assumptions'!P81</f>
        <v>47.916000000000004</v>
      </c>
      <c r="L133" s="1252">
        <f>'Exp  Assumptions'!Q81</f>
        <v>65.884500000000003</v>
      </c>
      <c r="M133" s="1252">
        <f>'Exp  Assumptions'!R81</f>
        <v>86.96754</v>
      </c>
      <c r="N133" s="1252">
        <f>'Exp  Assumptions'!S81</f>
        <v>111.608343</v>
      </c>
      <c r="O133" s="1252">
        <f>'Exp  Assumptions'!T81</f>
        <v>140.3076312</v>
      </c>
      <c r="P133" s="1252">
        <f>'Exp  Assumptions'!U81</f>
        <v>173.63069361000001</v>
      </c>
      <c r="Q133" s="1252">
        <f>'Exp  Assumptions'!V81</f>
        <v>212.21529219000001</v>
      </c>
      <c r="R133" s="1237">
        <f>SUM(B133:Q133)</f>
        <v>892.91250000000002</v>
      </c>
      <c r="S133" s="1200"/>
      <c r="T133" s="1200"/>
      <c r="U133" s="1200"/>
      <c r="V133" s="1200"/>
      <c r="W133" s="1200"/>
      <c r="X133" s="1200"/>
      <c r="Y133" s="1200"/>
      <c r="Z133" s="1200"/>
      <c r="AA133" s="1200"/>
      <c r="AB133" s="1200"/>
      <c r="AC133" s="1200"/>
      <c r="AD133" s="1200"/>
      <c r="AE133" s="1200"/>
      <c r="AF133" s="1200"/>
      <c r="AG133" s="1200"/>
      <c r="AH133" s="1200"/>
      <c r="AI133" s="1200"/>
      <c r="AJ133" s="1200"/>
      <c r="AK133" s="1200"/>
      <c r="AL133" s="1200"/>
      <c r="AM133" s="1200"/>
      <c r="AN133" s="892"/>
      <c r="AO133" s="1200"/>
    </row>
    <row r="134" spans="1:41" ht="22.5" customHeight="1">
      <c r="A134" s="1191" t="str">
        <f>'Exp  Assumptions'!B82</f>
        <v>Training material ( Rs )</v>
      </c>
      <c r="B134" s="1252">
        <f>'Exp  Assumptions'!G82</f>
        <v>0.45000000000000007</v>
      </c>
      <c r="C134" s="1252">
        <f>'Exp  Assumptions'!H82</f>
        <v>0.90000000000000013</v>
      </c>
      <c r="D134" s="1252">
        <f>'Exp  Assumptions'!I82</f>
        <v>1.35</v>
      </c>
      <c r="E134" s="1252">
        <f>'Exp  Assumptions'!J82</f>
        <v>1.8000000000000003</v>
      </c>
      <c r="F134" s="1252">
        <f>'Exp  Assumptions'!K82</f>
        <v>2.4750000000000005</v>
      </c>
      <c r="G134" s="1252">
        <f>'Exp  Assumptions'!L82</f>
        <v>2.9700000000000006</v>
      </c>
      <c r="H134" s="1252">
        <f>'Exp  Assumptions'!M82</f>
        <v>3.4650000000000007</v>
      </c>
      <c r="I134" s="1252">
        <f>'Exp  Assumptions'!N82</f>
        <v>3.9600000000000009</v>
      </c>
      <c r="J134" s="1252">
        <f>'Exp  Assumptions'!O82</f>
        <v>26.136000000000006</v>
      </c>
      <c r="K134" s="1252">
        <f>'Exp  Assumptions'!P82</f>
        <v>38.332800000000013</v>
      </c>
      <c r="L134" s="1252">
        <f>'Exp  Assumptions'!Q82</f>
        <v>52.707600000000014</v>
      </c>
      <c r="M134" s="1252">
        <f>'Exp  Assumptions'!R82</f>
        <v>69.574032000000003</v>
      </c>
      <c r="N134" s="1252">
        <f>'Exp  Assumptions'!S82</f>
        <v>89.286674400000024</v>
      </c>
      <c r="O134" s="1252">
        <f>'Exp  Assumptions'!T82</f>
        <v>112.24610496000003</v>
      </c>
      <c r="P134" s="1252">
        <f>'Exp  Assumptions'!U82</f>
        <v>138.90455488800004</v>
      </c>
      <c r="Q134" s="1252">
        <f>'Exp  Assumptions'!V82</f>
        <v>169.77223375200003</v>
      </c>
      <c r="R134" s="1237">
        <f>SUM(B134:Q134)</f>
        <v>714.33000000000015</v>
      </c>
      <c r="S134" s="1200"/>
      <c r="T134" s="1200"/>
      <c r="U134" s="1200"/>
      <c r="V134" s="1200"/>
      <c r="W134" s="1200"/>
      <c r="X134" s="1200"/>
      <c r="Y134" s="1200"/>
      <c r="Z134" s="1200"/>
      <c r="AA134" s="1200"/>
      <c r="AB134" s="1200"/>
      <c r="AC134" s="1200"/>
      <c r="AD134" s="1200"/>
      <c r="AE134" s="1200"/>
      <c r="AF134" s="1200"/>
      <c r="AG134" s="1200"/>
      <c r="AH134" s="1200"/>
      <c r="AI134" s="1200"/>
      <c r="AJ134" s="1200"/>
      <c r="AK134" s="1200"/>
      <c r="AL134" s="1200"/>
      <c r="AM134" s="1200"/>
      <c r="AN134" s="892"/>
      <c r="AO134" s="1200"/>
    </row>
    <row r="135" spans="1:41">
      <c r="B135" s="1239"/>
      <c r="C135" s="1239"/>
      <c r="D135" s="1239"/>
      <c r="E135" s="1239"/>
      <c r="F135" s="1239"/>
      <c r="G135" s="1239"/>
      <c r="H135" s="1239"/>
      <c r="I135" s="1239"/>
      <c r="J135" s="1239"/>
      <c r="K135" s="1239"/>
      <c r="L135" s="1239"/>
      <c r="M135" s="1239"/>
      <c r="N135" s="1239"/>
      <c r="O135" s="1239"/>
      <c r="P135" s="1239"/>
      <c r="Q135" s="1239"/>
      <c r="R135" s="1253"/>
      <c r="S135" s="1200"/>
      <c r="T135" s="1200"/>
      <c r="U135" s="1200"/>
      <c r="V135" s="1200"/>
      <c r="W135" s="1200"/>
      <c r="X135" s="1200"/>
      <c r="Y135" s="1200"/>
      <c r="Z135" s="1200"/>
      <c r="AA135" s="1200"/>
      <c r="AB135" s="1200"/>
      <c r="AC135" s="1200"/>
      <c r="AD135" s="1200"/>
      <c r="AE135" s="1200"/>
      <c r="AF135" s="1200"/>
      <c r="AG135" s="1200"/>
      <c r="AH135" s="1200"/>
      <c r="AI135" s="1200"/>
      <c r="AJ135" s="1200"/>
      <c r="AK135" s="1200"/>
      <c r="AL135" s="1200"/>
      <c r="AM135" s="1200"/>
      <c r="AN135" s="892"/>
      <c r="AO135" s="1200"/>
    </row>
    <row r="136" spans="1:41" ht="18.75" customHeight="1">
      <c r="A136" s="1245" t="s">
        <v>6</v>
      </c>
      <c r="B136" s="1254">
        <f>SUM(B131:B135)</f>
        <v>4.2625000000000002</v>
      </c>
      <c r="C136" s="1254">
        <f t="shared" ref="C136:Q136" si="58">SUM(C131:C135)</f>
        <v>5.2750000000000004</v>
      </c>
      <c r="D136" s="1254">
        <f t="shared" si="58"/>
        <v>6.2874999999999996</v>
      </c>
      <c r="E136" s="1254">
        <f t="shared" si="58"/>
        <v>7.3000000000000007</v>
      </c>
      <c r="F136" s="1254">
        <f t="shared" si="58"/>
        <v>8.8937500000000007</v>
      </c>
      <c r="G136" s="1254">
        <f t="shared" si="58"/>
        <v>10.0075</v>
      </c>
      <c r="H136" s="1254">
        <f t="shared" si="58"/>
        <v>11.121250000000002</v>
      </c>
      <c r="I136" s="1254">
        <f t="shared" si="58"/>
        <v>12.235000000000001</v>
      </c>
      <c r="J136" s="1254">
        <f t="shared" si="58"/>
        <v>72.436000000000007</v>
      </c>
      <c r="K136" s="1254">
        <f t="shared" si="58"/>
        <v>95.241800000000012</v>
      </c>
      <c r="L136" s="1254">
        <f t="shared" si="58"/>
        <v>128.48440000000002</v>
      </c>
      <c r="M136" s="1254">
        <f t="shared" si="58"/>
        <v>167.423102</v>
      </c>
      <c r="N136" s="1254">
        <f t="shared" si="58"/>
        <v>212.86470040000003</v>
      </c>
      <c r="O136" s="1254">
        <f t="shared" si="58"/>
        <v>265.72038746000004</v>
      </c>
      <c r="P136" s="1254">
        <f t="shared" si="58"/>
        <v>327.01856492800005</v>
      </c>
      <c r="Q136" s="1254">
        <f t="shared" si="58"/>
        <v>397.91917401500007</v>
      </c>
      <c r="R136" s="1254">
        <f>SUM(B136:Q136)</f>
        <v>1732.4906288030002</v>
      </c>
      <c r="S136" s="1200"/>
      <c r="T136" s="1200"/>
      <c r="U136" s="1200"/>
      <c r="V136" s="1200"/>
      <c r="W136" s="1200"/>
      <c r="X136" s="1200"/>
      <c r="Y136" s="1200"/>
      <c r="Z136" s="1200"/>
      <c r="AA136" s="1200"/>
      <c r="AB136" s="1200"/>
      <c r="AC136" s="1200"/>
      <c r="AD136" s="1200"/>
      <c r="AE136" s="1200"/>
      <c r="AF136" s="1200"/>
      <c r="AG136" s="1200"/>
      <c r="AH136" s="1200"/>
      <c r="AI136" s="1200"/>
      <c r="AJ136" s="1200"/>
      <c r="AK136" s="1200"/>
      <c r="AL136" s="1200"/>
      <c r="AM136" s="1200"/>
      <c r="AN136" s="892"/>
      <c r="AO136" s="1200"/>
    </row>
    <row r="137" spans="1:41" ht="24" customHeight="1">
      <c r="A137" s="1245" t="s">
        <v>638</v>
      </c>
      <c r="B137" s="1254">
        <f>B136</f>
        <v>4.2625000000000002</v>
      </c>
      <c r="C137" s="1254">
        <f>B137+C136</f>
        <v>9.5375000000000014</v>
      </c>
      <c r="D137" s="1254">
        <f t="shared" ref="D137:Q137" si="59">C137+D136</f>
        <v>15.825000000000001</v>
      </c>
      <c r="E137" s="1254">
        <f t="shared" si="59"/>
        <v>23.125</v>
      </c>
      <c r="F137" s="1254">
        <f t="shared" si="59"/>
        <v>32.018749999999997</v>
      </c>
      <c r="G137" s="1254">
        <f t="shared" si="59"/>
        <v>42.026249999999997</v>
      </c>
      <c r="H137" s="1254">
        <f t="shared" si="59"/>
        <v>53.147500000000001</v>
      </c>
      <c r="I137" s="1254">
        <f t="shared" si="59"/>
        <v>65.382500000000007</v>
      </c>
      <c r="J137" s="1254">
        <f t="shared" si="59"/>
        <v>137.81850000000003</v>
      </c>
      <c r="K137" s="1254">
        <f t="shared" si="59"/>
        <v>233.06030000000004</v>
      </c>
      <c r="L137" s="1254">
        <f t="shared" si="59"/>
        <v>361.54470000000003</v>
      </c>
      <c r="M137" s="1254">
        <f t="shared" si="59"/>
        <v>528.96780200000001</v>
      </c>
      <c r="N137" s="1254">
        <f t="shared" si="59"/>
        <v>741.83250240000007</v>
      </c>
      <c r="O137" s="1254">
        <f t="shared" si="59"/>
        <v>1007.5528898600001</v>
      </c>
      <c r="P137" s="1254">
        <f t="shared" si="59"/>
        <v>1334.5714547880002</v>
      </c>
      <c r="Q137" s="1254">
        <f t="shared" si="59"/>
        <v>1732.4906288030002</v>
      </c>
      <c r="R137" s="1255"/>
      <c r="S137" s="1200"/>
      <c r="T137" s="1200"/>
      <c r="U137" s="1200"/>
      <c r="V137" s="1200"/>
      <c r="W137" s="1200"/>
      <c r="X137" s="1200"/>
      <c r="Y137" s="1200"/>
      <c r="Z137" s="1200"/>
      <c r="AA137" s="1200"/>
      <c r="AB137" s="1200"/>
      <c r="AC137" s="1200"/>
      <c r="AD137" s="1200"/>
      <c r="AE137" s="1200"/>
      <c r="AF137" s="1200"/>
      <c r="AG137" s="1200"/>
      <c r="AH137" s="1200"/>
      <c r="AI137" s="1200"/>
      <c r="AJ137" s="1200"/>
      <c r="AK137" s="1200"/>
      <c r="AL137" s="1200"/>
      <c r="AM137" s="1200"/>
      <c r="AN137" s="892"/>
      <c r="AO137" s="1200"/>
    </row>
    <row r="138" spans="1:41" hidden="1">
      <c r="B138" s="1200"/>
      <c r="C138" s="1200"/>
      <c r="D138" s="1200"/>
      <c r="E138" s="1200"/>
      <c r="F138" s="1200"/>
      <c r="G138" s="1200"/>
      <c r="H138" s="1200"/>
      <c r="I138" s="1200"/>
      <c r="J138" s="1200"/>
      <c r="K138" s="1200"/>
      <c r="L138" s="1200"/>
      <c r="M138" s="1200"/>
      <c r="N138" s="1200"/>
      <c r="O138" s="1200"/>
      <c r="P138" s="1200"/>
      <c r="Q138" s="1200"/>
      <c r="R138" s="1216"/>
      <c r="S138" s="1200"/>
      <c r="T138" s="1200"/>
      <c r="U138" s="1200"/>
      <c r="V138" s="1200"/>
      <c r="W138" s="1200"/>
      <c r="X138" s="1200"/>
      <c r="Y138" s="1200"/>
      <c r="Z138" s="1200"/>
      <c r="AA138" s="1200"/>
      <c r="AB138" s="1200"/>
      <c r="AC138" s="1200"/>
      <c r="AD138" s="1200"/>
      <c r="AE138" s="1200"/>
      <c r="AF138" s="1200"/>
      <c r="AG138" s="1200"/>
      <c r="AH138" s="1200"/>
      <c r="AI138" s="1200"/>
      <c r="AJ138" s="1200"/>
      <c r="AK138" s="1200"/>
      <c r="AL138" s="1200"/>
      <c r="AM138" s="1200"/>
      <c r="AN138" s="892"/>
      <c r="AO138" s="1200"/>
    </row>
    <row r="139" spans="1:41" hidden="1">
      <c r="B139" s="1200"/>
      <c r="C139" s="1200"/>
      <c r="D139" s="1200"/>
      <c r="E139" s="1200"/>
      <c r="F139" s="1200"/>
      <c r="G139" s="1200"/>
      <c r="H139" s="1200"/>
      <c r="I139" s="1200"/>
      <c r="J139" s="1200"/>
      <c r="K139" s="1200"/>
      <c r="L139" s="1200"/>
      <c r="M139" s="1200"/>
      <c r="N139" s="1200"/>
      <c r="O139" s="1200"/>
      <c r="P139" s="1200"/>
      <c r="Q139" s="1200"/>
      <c r="R139" s="1216"/>
      <c r="S139" s="1200"/>
      <c r="T139" s="1200"/>
      <c r="U139" s="1200"/>
      <c r="V139" s="1200"/>
      <c r="W139" s="1200"/>
      <c r="X139" s="1200"/>
      <c r="Y139" s="1200"/>
      <c r="Z139" s="1200"/>
      <c r="AA139" s="1200"/>
      <c r="AB139" s="1200"/>
      <c r="AC139" s="1200"/>
      <c r="AD139" s="1200"/>
      <c r="AE139" s="1200"/>
      <c r="AF139" s="1200"/>
      <c r="AG139" s="1200"/>
      <c r="AH139" s="1200"/>
      <c r="AI139" s="1200"/>
      <c r="AJ139" s="1200"/>
      <c r="AK139" s="1200"/>
      <c r="AL139" s="1200"/>
      <c r="AM139" s="1200"/>
      <c r="AN139" s="892"/>
      <c r="AO139" s="1200"/>
    </row>
    <row r="140" spans="1:41" hidden="1">
      <c r="A140" s="894" t="s">
        <v>494</v>
      </c>
      <c r="B140" s="895" t="s">
        <v>608</v>
      </c>
      <c r="C140" s="895" t="s">
        <v>609</v>
      </c>
      <c r="D140" s="895" t="s">
        <v>610</v>
      </c>
      <c r="E140" s="895" t="s">
        <v>611</v>
      </c>
      <c r="F140" s="895" t="s">
        <v>608</v>
      </c>
      <c r="G140" s="895" t="s">
        <v>609</v>
      </c>
      <c r="H140" s="895" t="s">
        <v>610</v>
      </c>
      <c r="I140" s="895" t="s">
        <v>611</v>
      </c>
      <c r="J140" s="895" t="str">
        <f t="shared" ref="J140:R140" si="60">J2</f>
        <v>Year 3</v>
      </c>
      <c r="K140" s="895" t="str">
        <f t="shared" si="60"/>
        <v>Year 4</v>
      </c>
      <c r="L140" s="895" t="str">
        <f t="shared" si="60"/>
        <v>Year 5</v>
      </c>
      <c r="M140" s="895" t="str">
        <f t="shared" si="60"/>
        <v>Year 6</v>
      </c>
      <c r="N140" s="895" t="str">
        <f t="shared" si="60"/>
        <v>Year 7</v>
      </c>
      <c r="O140" s="895" t="str">
        <f t="shared" si="60"/>
        <v>Year 8</v>
      </c>
      <c r="P140" s="895" t="str">
        <f t="shared" si="60"/>
        <v>Year 9</v>
      </c>
      <c r="Q140" s="895" t="str">
        <f t="shared" si="60"/>
        <v>Year 10</v>
      </c>
      <c r="R140" s="895" t="str">
        <f t="shared" si="60"/>
        <v>Total</v>
      </c>
      <c r="S140" s="1200"/>
      <c r="T140" s="1200"/>
      <c r="U140" s="1200"/>
      <c r="V140" s="1200"/>
      <c r="W140" s="1200"/>
      <c r="X140" s="1200"/>
      <c r="Y140" s="1200"/>
      <c r="Z140" s="1200"/>
      <c r="AA140" s="1200"/>
      <c r="AB140" s="1200"/>
      <c r="AC140" s="1200"/>
      <c r="AD140" s="1200"/>
      <c r="AE140" s="1200"/>
      <c r="AF140" s="1200"/>
      <c r="AG140" s="1200"/>
      <c r="AH140" s="1200"/>
      <c r="AI140" s="1200"/>
      <c r="AJ140" s="1200"/>
      <c r="AK140" s="1200"/>
      <c r="AL140" s="1200"/>
      <c r="AM140" s="1200"/>
      <c r="AN140" s="892"/>
      <c r="AO140" s="1200"/>
    </row>
    <row r="141" spans="1:41" hidden="1">
      <c r="A141" s="867" t="s">
        <v>422</v>
      </c>
      <c r="B141" s="868">
        <f>'Key Assumptions'!K33</f>
        <v>3</v>
      </c>
      <c r="C141" s="868">
        <f>'Key Assumptions'!L33</f>
        <v>6</v>
      </c>
      <c r="D141" s="868">
        <f>'Key Assumptions'!M33</f>
        <v>9</v>
      </c>
      <c r="E141" s="868">
        <f>'Key Assumptions'!N33</f>
        <v>12</v>
      </c>
      <c r="F141" s="868">
        <f>'Key Assumptions'!O33</f>
        <v>15</v>
      </c>
      <c r="G141" s="868">
        <f>'Key Assumptions'!P33</f>
        <v>18</v>
      </c>
      <c r="H141" s="868">
        <f>'Key Assumptions'!Q33</f>
        <v>21</v>
      </c>
      <c r="I141" s="868">
        <f>'Key Assumptions'!R33</f>
        <v>24</v>
      </c>
      <c r="J141" s="868">
        <f>'Key Assumptions'!S33</f>
        <v>36</v>
      </c>
      <c r="K141" s="868">
        <f>'Key Assumptions'!T33</f>
        <v>48</v>
      </c>
      <c r="L141" s="868">
        <f>'Key Assumptions'!U33</f>
        <v>60</v>
      </c>
      <c r="M141" s="868">
        <f>'Key Assumptions'!V33</f>
        <v>72</v>
      </c>
      <c r="N141" s="868">
        <f>'Key Assumptions'!W33</f>
        <v>84</v>
      </c>
      <c r="O141" s="868">
        <f>'Key Assumptions'!X33</f>
        <v>96</v>
      </c>
      <c r="P141" s="868">
        <f>'Key Assumptions'!Y33</f>
        <v>108</v>
      </c>
      <c r="Q141" s="868">
        <f>'Key Assumptions'!Z33</f>
        <v>120</v>
      </c>
      <c r="S141" s="1200"/>
      <c r="T141" s="1200"/>
      <c r="U141" s="1200"/>
      <c r="V141" s="1200"/>
      <c r="W141" s="1200"/>
      <c r="X141" s="1200"/>
      <c r="Y141" s="1200"/>
      <c r="Z141" s="1200"/>
      <c r="AA141" s="1200"/>
      <c r="AB141" s="1200"/>
      <c r="AC141" s="1200"/>
      <c r="AD141" s="1200"/>
      <c r="AE141" s="1200"/>
      <c r="AF141" s="1200"/>
      <c r="AG141" s="1200"/>
      <c r="AH141" s="1200"/>
      <c r="AI141" s="1200"/>
      <c r="AJ141" s="1200"/>
      <c r="AK141" s="1200"/>
      <c r="AL141" s="1200"/>
      <c r="AM141" s="1200"/>
      <c r="AN141" s="892"/>
      <c r="AO141" s="1200"/>
    </row>
    <row r="142" spans="1:41" hidden="1">
      <c r="A142" s="867" t="s">
        <v>510</v>
      </c>
      <c r="B142" s="868">
        <f t="shared" ref="B142:Q142" si="61">B14/B141</f>
        <v>4.9734375000000002</v>
      </c>
      <c r="C142" s="868">
        <f t="shared" si="61"/>
        <v>5.7734375</v>
      </c>
      <c r="D142" s="868">
        <f t="shared" si="61"/>
        <v>5.5067708333333334</v>
      </c>
      <c r="E142" s="868">
        <f t="shared" si="61"/>
        <v>5.3734375000000005</v>
      </c>
      <c r="F142" s="868">
        <f t="shared" si="61"/>
        <v>6.8787812500000012</v>
      </c>
      <c r="G142" s="868">
        <f t="shared" si="61"/>
        <v>6.6441145833333328</v>
      </c>
      <c r="H142" s="868">
        <f t="shared" si="61"/>
        <v>6.727924107142857</v>
      </c>
      <c r="I142" s="868">
        <f t="shared" si="61"/>
        <v>6.5707812499999996</v>
      </c>
      <c r="J142" s="868">
        <f t="shared" si="61"/>
        <v>37.641083333333341</v>
      </c>
      <c r="K142" s="868">
        <f t="shared" si="61"/>
        <v>42.372385000000016</v>
      </c>
      <c r="L142" s="868">
        <f t="shared" si="61"/>
        <v>43.09871170000001</v>
      </c>
      <c r="M142" s="868">
        <f t="shared" si="61"/>
        <v>45.419066183333349</v>
      </c>
      <c r="N142" s="868">
        <f t="shared" si="61"/>
        <v>46.190922273571445</v>
      </c>
      <c r="O142" s="868">
        <f t="shared" si="61"/>
        <v>49.823824454250023</v>
      </c>
      <c r="P142" s="868">
        <f t="shared" si="61"/>
        <v>53.962466526405599</v>
      </c>
      <c r="Q142" s="868">
        <f t="shared" si="61"/>
        <v>58.102189053931056</v>
      </c>
      <c r="S142" s="1200"/>
      <c r="T142" s="1200"/>
      <c r="U142" s="1200"/>
      <c r="V142" s="1200"/>
      <c r="W142" s="1200"/>
      <c r="X142" s="1200"/>
      <c r="Y142" s="1200"/>
      <c r="Z142" s="1200"/>
      <c r="AA142" s="1200"/>
      <c r="AB142" s="1200"/>
      <c r="AC142" s="1200"/>
      <c r="AD142" s="1200"/>
      <c r="AE142" s="1200"/>
      <c r="AF142" s="1200"/>
      <c r="AG142" s="1200"/>
      <c r="AH142" s="1200"/>
      <c r="AI142" s="1200"/>
      <c r="AJ142" s="1200"/>
      <c r="AK142" s="1200"/>
      <c r="AL142" s="1200"/>
      <c r="AM142" s="1200"/>
      <c r="AN142" s="892"/>
      <c r="AO142" s="1200"/>
    </row>
    <row r="143" spans="1:41" hidden="1">
      <c r="A143" s="867" t="s">
        <v>511</v>
      </c>
      <c r="B143" s="868">
        <f>'No. of people trained '!C16+'No. of people trained '!C40</f>
        <v>87.5</v>
      </c>
      <c r="C143" s="868">
        <f>'No. of people trained '!D16+'No. of people trained '!D40</f>
        <v>87.5</v>
      </c>
      <c r="D143" s="868">
        <f>'No. of people trained '!E16+'No. of people trained '!E40</f>
        <v>87.5</v>
      </c>
      <c r="E143" s="868">
        <f>'No. of people trained '!F16+'No. of people trained '!F40</f>
        <v>87.5</v>
      </c>
      <c r="F143" s="868">
        <f>'No. of people trained '!G16+'No. of people trained '!G40</f>
        <v>87.5</v>
      </c>
      <c r="G143" s="868">
        <f>'No. of people trained '!H16+'No. of people trained '!H40</f>
        <v>87.5</v>
      </c>
      <c r="H143" s="868">
        <f>'No. of people trained '!I16+'No. of people trained '!I40</f>
        <v>87.5</v>
      </c>
      <c r="I143" s="868">
        <f>'No. of people trained '!J16+'No. of people trained '!J40</f>
        <v>87.5</v>
      </c>
      <c r="J143" s="868">
        <f>'No. of people trained '!K16+'No. of people trained '!K40</f>
        <v>800</v>
      </c>
      <c r="K143" s="868">
        <f>'No. of people trained '!L16+'No. of people trained '!L40</f>
        <v>800</v>
      </c>
      <c r="L143" s="868">
        <f>'No. of people trained '!M16+'No. of people trained '!M40</f>
        <v>800</v>
      </c>
      <c r="M143" s="868">
        <f>'No. of people trained '!N16+'No. of people trained '!N40</f>
        <v>800</v>
      </c>
      <c r="N143" s="868">
        <f>'No. of people trained '!O16+'No. of people trained '!O40</f>
        <v>800</v>
      </c>
      <c r="O143" s="868">
        <f>'No. of people trained '!P16+'No. of people trained '!P40</f>
        <v>800</v>
      </c>
      <c r="P143" s="868">
        <f>'No. of people trained '!Q16+'No. of people trained '!Q40</f>
        <v>800</v>
      </c>
      <c r="Q143" s="868">
        <f>'No. of people trained '!R16+'No. of people trained '!R40</f>
        <v>800</v>
      </c>
      <c r="S143" s="1200"/>
      <c r="T143" s="1200"/>
      <c r="U143" s="1200"/>
      <c r="V143" s="1200"/>
      <c r="W143" s="1200"/>
      <c r="X143" s="1200"/>
      <c r="Y143" s="1200"/>
      <c r="Z143" s="1200"/>
      <c r="AA143" s="1200"/>
      <c r="AB143" s="1200"/>
      <c r="AC143" s="1200"/>
      <c r="AD143" s="1200"/>
      <c r="AE143" s="1200"/>
      <c r="AF143" s="1200"/>
      <c r="AG143" s="1200"/>
      <c r="AH143" s="1200"/>
      <c r="AI143" s="1200"/>
      <c r="AJ143" s="1200"/>
      <c r="AK143" s="1200"/>
      <c r="AL143" s="1200"/>
      <c r="AM143" s="1200"/>
      <c r="AN143" s="892"/>
      <c r="AO143" s="1200"/>
    </row>
    <row r="144" spans="1:41" hidden="1">
      <c r="A144" s="867" t="s">
        <v>496</v>
      </c>
      <c r="B144" s="896">
        <f t="shared" ref="B144:I144" si="62">B142/B143</f>
        <v>5.6839285714285717E-2</v>
      </c>
      <c r="C144" s="896">
        <f t="shared" si="62"/>
        <v>6.598214285714285E-2</v>
      </c>
      <c r="D144" s="896">
        <f t="shared" si="62"/>
        <v>6.2934523809523815E-2</v>
      </c>
      <c r="E144" s="896">
        <f t="shared" si="62"/>
        <v>6.1410714285714291E-2</v>
      </c>
      <c r="F144" s="896">
        <f t="shared" si="62"/>
        <v>7.8614642857142869E-2</v>
      </c>
      <c r="G144" s="896">
        <f t="shared" si="62"/>
        <v>7.5932738095238095E-2</v>
      </c>
      <c r="H144" s="896">
        <f t="shared" si="62"/>
        <v>7.6890561224489798E-2</v>
      </c>
      <c r="I144" s="896">
        <f t="shared" si="62"/>
        <v>7.5094642857142846E-2</v>
      </c>
      <c r="J144" s="896">
        <f t="shared" ref="J144:Q144" si="63">J142/J143</f>
        <v>4.7051354166666677E-2</v>
      </c>
      <c r="K144" s="896">
        <f t="shared" si="63"/>
        <v>5.2965481250000022E-2</v>
      </c>
      <c r="L144" s="896">
        <f t="shared" si="63"/>
        <v>5.3873389625000011E-2</v>
      </c>
      <c r="M144" s="896">
        <f t="shared" si="63"/>
        <v>5.6773832729166689E-2</v>
      </c>
      <c r="N144" s="896">
        <f t="shared" si="63"/>
        <v>5.7738652841964305E-2</v>
      </c>
      <c r="O144" s="896">
        <f t="shared" si="63"/>
        <v>6.2279780567812526E-2</v>
      </c>
      <c r="P144" s="896">
        <f t="shared" si="63"/>
        <v>6.7453083158006993E-2</v>
      </c>
      <c r="Q144" s="896">
        <f t="shared" si="63"/>
        <v>7.2627736317413816E-2</v>
      </c>
      <c r="S144" s="1200"/>
      <c r="T144" s="1200"/>
      <c r="U144" s="1200"/>
      <c r="V144" s="1200"/>
      <c r="W144" s="1200"/>
      <c r="X144" s="1200"/>
      <c r="Y144" s="1200"/>
      <c r="Z144" s="1200"/>
      <c r="AA144" s="1200"/>
      <c r="AB144" s="1200"/>
      <c r="AC144" s="1200"/>
      <c r="AD144" s="1200"/>
      <c r="AE144" s="1200"/>
      <c r="AF144" s="1200"/>
      <c r="AG144" s="1200"/>
      <c r="AH144" s="1200"/>
      <c r="AI144" s="1200"/>
      <c r="AJ144" s="1200"/>
      <c r="AK144" s="1200"/>
      <c r="AL144" s="1200"/>
      <c r="AM144" s="1200"/>
      <c r="AN144" s="892"/>
      <c r="AO144" s="1200"/>
    </row>
    <row r="145" spans="1:41" hidden="1">
      <c r="A145" s="867"/>
      <c r="B145" s="895"/>
      <c r="C145" s="895"/>
      <c r="D145" s="895"/>
      <c r="E145" s="895"/>
      <c r="F145" s="895"/>
      <c r="G145" s="895"/>
      <c r="H145" s="895"/>
      <c r="I145" s="895"/>
      <c r="J145" s="895"/>
      <c r="K145" s="895"/>
      <c r="L145" s="895"/>
      <c r="M145" s="895"/>
      <c r="N145" s="895"/>
      <c r="O145" s="895"/>
      <c r="P145" s="895"/>
      <c r="Q145" s="895"/>
      <c r="S145" s="1200"/>
      <c r="T145" s="1200"/>
      <c r="U145" s="1200"/>
      <c r="V145" s="1200"/>
      <c r="W145" s="1200"/>
      <c r="X145" s="1200"/>
      <c r="Y145" s="1200"/>
      <c r="Z145" s="1200"/>
      <c r="AA145" s="1200"/>
      <c r="AB145" s="1200"/>
      <c r="AC145" s="1200"/>
      <c r="AD145" s="1200"/>
      <c r="AE145" s="1200"/>
      <c r="AF145" s="1200"/>
      <c r="AG145" s="1200"/>
      <c r="AH145" s="1200"/>
      <c r="AI145" s="1200"/>
      <c r="AJ145" s="1200"/>
      <c r="AK145" s="1200"/>
      <c r="AL145" s="1200"/>
      <c r="AM145" s="1200"/>
      <c r="AN145" s="892"/>
      <c r="AO145" s="1200"/>
    </row>
    <row r="146" spans="1:41" hidden="1">
      <c r="A146" s="864" t="s">
        <v>512</v>
      </c>
      <c r="B146" s="865">
        <f t="shared" ref="B146:Q146" si="64">B21/B141</f>
        <v>20.317616666666666</v>
      </c>
      <c r="C146" s="865">
        <f t="shared" si="64"/>
        <v>14.677616666666665</v>
      </c>
      <c r="D146" s="865">
        <f t="shared" si="64"/>
        <v>11.231505555555556</v>
      </c>
      <c r="E146" s="865">
        <f t="shared" si="64"/>
        <v>9.8751166666666652</v>
      </c>
      <c r="F146" s="865">
        <f t="shared" si="64"/>
        <v>12.417713000000003</v>
      </c>
      <c r="G146" s="865">
        <f t="shared" si="64"/>
        <v>10.640611666666665</v>
      </c>
      <c r="H146" s="865">
        <f t="shared" si="64"/>
        <v>10.505835476190478</v>
      </c>
      <c r="I146" s="865">
        <f t="shared" si="64"/>
        <v>9.7587325000000007</v>
      </c>
      <c r="J146" s="865">
        <f t="shared" si="64"/>
        <v>37.762415777777782</v>
      </c>
      <c r="K146" s="865">
        <f t="shared" si="64"/>
        <v>34.604572383333341</v>
      </c>
      <c r="L146" s="865">
        <f t="shared" si="64"/>
        <v>35.341442324000006</v>
      </c>
      <c r="M146" s="865">
        <f t="shared" si="64"/>
        <v>36.126548608555566</v>
      </c>
      <c r="N146" s="865">
        <f t="shared" si="64"/>
        <v>36.134214358514292</v>
      </c>
      <c r="O146" s="865">
        <f t="shared" si="64"/>
        <v>38.612119520196671</v>
      </c>
      <c r="P146" s="865">
        <f t="shared" si="64"/>
        <v>41.225525758575408</v>
      </c>
      <c r="Q146" s="865">
        <f t="shared" si="64"/>
        <v>43.728896440096598</v>
      </c>
      <c r="R146" s="866"/>
    </row>
    <row r="147" spans="1:41" hidden="1">
      <c r="A147" s="864" t="s">
        <v>495</v>
      </c>
      <c r="B147" s="897">
        <f t="shared" ref="B147:I147" si="65">B146/B143</f>
        <v>0.23220133333333332</v>
      </c>
      <c r="C147" s="897">
        <f t="shared" si="65"/>
        <v>0.16774419047619046</v>
      </c>
      <c r="D147" s="897">
        <f t="shared" si="65"/>
        <v>0.1283600634920635</v>
      </c>
      <c r="E147" s="897">
        <f t="shared" si="65"/>
        <v>0.11285847619047618</v>
      </c>
      <c r="F147" s="897">
        <f t="shared" si="65"/>
        <v>0.14191672000000002</v>
      </c>
      <c r="G147" s="897">
        <f t="shared" si="65"/>
        <v>0.12160699047619046</v>
      </c>
      <c r="H147" s="897">
        <f t="shared" si="65"/>
        <v>0.12006669115646261</v>
      </c>
      <c r="I147" s="897">
        <f t="shared" si="65"/>
        <v>0.11152837142857144</v>
      </c>
      <c r="J147" s="897">
        <f t="shared" ref="J147:Q147" si="66">J146/J143</f>
        <v>4.7203019722222225E-2</v>
      </c>
      <c r="K147" s="897">
        <f t="shared" si="66"/>
        <v>4.3255715479166679E-2</v>
      </c>
      <c r="L147" s="897">
        <f t="shared" si="66"/>
        <v>4.4176802905000007E-2</v>
      </c>
      <c r="M147" s="897">
        <f t="shared" si="66"/>
        <v>4.5158185760694455E-2</v>
      </c>
      <c r="N147" s="897">
        <f t="shared" si="66"/>
        <v>4.5167767948142867E-2</v>
      </c>
      <c r="O147" s="897">
        <f t="shared" si="66"/>
        <v>4.8265149400245837E-2</v>
      </c>
      <c r="P147" s="897">
        <f t="shared" si="66"/>
        <v>5.1531907198219262E-2</v>
      </c>
      <c r="Q147" s="897">
        <f t="shared" si="66"/>
        <v>5.4661120550120748E-2</v>
      </c>
      <c r="R147" s="866"/>
    </row>
  </sheetData>
  <mergeCells count="6">
    <mergeCell ref="A1:R1"/>
    <mergeCell ref="A43:Q43"/>
    <mergeCell ref="B2:E2"/>
    <mergeCell ref="F2:I2"/>
    <mergeCell ref="B77:E77"/>
    <mergeCell ref="F77:I77"/>
  </mergeCells>
  <pageMargins left="0.4" right="0.44" top="0.46" bottom="0.35" header="0.3" footer="0.3"/>
  <pageSetup paperSize="9" scale="14" orientation="landscape" blackAndWhite="1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 codeName="Sheet19"/>
  <dimension ref="A2:S45"/>
  <sheetViews>
    <sheetView topLeftCell="A14" zoomScale="90" zoomScaleNormal="90" workbookViewId="0">
      <selection activeCell="K27" sqref="K27"/>
    </sheetView>
  </sheetViews>
  <sheetFormatPr defaultRowHeight="15"/>
  <cols>
    <col min="1" max="1" width="34.5703125" style="118" customWidth="1"/>
    <col min="2" max="2" width="11.5703125" style="118" customWidth="1"/>
    <col min="3" max="3" width="13.85546875" style="118" bestFit="1" customWidth="1"/>
    <col min="4" max="4" width="12.140625" style="118" bestFit="1" customWidth="1"/>
    <col min="5" max="5" width="14.85546875" style="118" bestFit="1" customWidth="1"/>
    <col min="6" max="6" width="11.85546875" style="118" bestFit="1" customWidth="1"/>
    <col min="7" max="7" width="13.85546875" style="634" customWidth="1"/>
    <col min="8" max="8" width="7.7109375" style="118" customWidth="1"/>
    <col min="9" max="9" width="7" style="118" customWidth="1"/>
    <col min="10" max="10" width="8.42578125" style="118" customWidth="1"/>
    <col min="11" max="11" width="10" style="118" bestFit="1" customWidth="1"/>
    <col min="12" max="12" width="11.28515625" style="634" customWidth="1"/>
    <col min="13" max="13" width="12.5703125" style="634" bestFit="1" customWidth="1"/>
    <col min="14" max="14" width="11.5703125" style="118" bestFit="1" customWidth="1"/>
    <col min="15" max="15" width="11.85546875" style="118" customWidth="1"/>
    <col min="16" max="16" width="12.5703125" style="118" customWidth="1"/>
    <col min="17" max="17" width="11.28515625" style="118" customWidth="1"/>
    <col min="18" max="18" width="9.28515625" style="118" bestFit="1" customWidth="1"/>
    <col min="19" max="19" width="9.140625" style="118"/>
    <col min="20" max="21" width="10.5703125" style="118" bestFit="1" customWidth="1"/>
    <col min="22" max="22" width="12.42578125" style="118" bestFit="1" customWidth="1"/>
    <col min="23" max="16384" width="9.140625" style="118"/>
  </cols>
  <sheetData>
    <row r="2" spans="1:19">
      <c r="A2" s="1342" t="s">
        <v>140</v>
      </c>
      <c r="B2" s="1342"/>
      <c r="C2" s="1342"/>
      <c r="D2" s="1342"/>
      <c r="E2" s="1342"/>
      <c r="F2" s="1342"/>
      <c r="G2" s="1342"/>
      <c r="H2" s="1342"/>
      <c r="I2" s="1342"/>
      <c r="J2" s="1342"/>
      <c r="K2" s="1342"/>
      <c r="L2" s="1342"/>
      <c r="M2" s="1342"/>
      <c r="N2" s="1342"/>
      <c r="O2" s="1342"/>
      <c r="P2" s="1342"/>
      <c r="Q2" s="1342"/>
      <c r="R2" s="1342"/>
      <c r="S2" s="1342"/>
    </row>
    <row r="3" spans="1:19">
      <c r="A3" s="119"/>
    </row>
    <row r="4" spans="1:19">
      <c r="A4" s="120" t="s">
        <v>81</v>
      </c>
      <c r="B4" s="121"/>
      <c r="C4" s="121"/>
      <c r="D4" s="121"/>
      <c r="E4" s="121"/>
      <c r="F4" s="121"/>
      <c r="G4" s="635"/>
      <c r="H4" s="121"/>
      <c r="I4" s="121"/>
      <c r="J4" s="121"/>
      <c r="K4" s="121"/>
      <c r="L4" s="635"/>
      <c r="M4" s="635"/>
      <c r="N4" s="121"/>
      <c r="O4" s="121"/>
      <c r="P4" s="121"/>
      <c r="Q4" s="121"/>
      <c r="R4" s="121"/>
    </row>
    <row r="5" spans="1:19">
      <c r="A5" s="122" t="s">
        <v>139</v>
      </c>
    </row>
    <row r="6" spans="1:19">
      <c r="A6" s="122"/>
    </row>
    <row r="7" spans="1:19">
      <c r="A7" s="123" t="s">
        <v>178</v>
      </c>
    </row>
    <row r="8" spans="1:19">
      <c r="A8" s="123" t="s">
        <v>299</v>
      </c>
    </row>
    <row r="9" spans="1:19">
      <c r="A9" s="123" t="s">
        <v>179</v>
      </c>
    </row>
    <row r="10" spans="1:19">
      <c r="A10" s="123" t="s">
        <v>180</v>
      </c>
    </row>
    <row r="11" spans="1:19">
      <c r="A11" s="124" t="s">
        <v>181</v>
      </c>
    </row>
    <row r="12" spans="1:19" ht="18.75">
      <c r="A12" s="123" t="s">
        <v>182</v>
      </c>
      <c r="B12" s="1190">
        <v>0.06</v>
      </c>
      <c r="C12" s="181"/>
      <c r="D12" s="181"/>
      <c r="E12" s="1189">
        <f>B12</f>
        <v>0.06</v>
      </c>
      <c r="F12" s="181"/>
      <c r="G12" s="648"/>
      <c r="H12" s="181"/>
      <c r="I12" s="181"/>
      <c r="J12" s="181"/>
      <c r="K12" s="181"/>
    </row>
    <row r="13" spans="1:19">
      <c r="A13" s="123" t="s">
        <v>183</v>
      </c>
    </row>
    <row r="14" spans="1:19">
      <c r="A14" s="123" t="s">
        <v>184</v>
      </c>
    </row>
    <row r="15" spans="1:19">
      <c r="A15" s="124"/>
    </row>
    <row r="16" spans="1:19">
      <c r="A16" s="1344" t="s">
        <v>185</v>
      </c>
      <c r="B16" s="1344"/>
      <c r="C16" s="1344"/>
      <c r="D16" s="1344"/>
      <c r="E16" s="1344"/>
      <c r="F16" s="1344"/>
      <c r="G16" s="1344"/>
      <c r="H16" s="1344"/>
      <c r="I16" s="1344"/>
    </row>
    <row r="17" spans="1:19">
      <c r="A17" s="124"/>
    </row>
    <row r="18" spans="1:19" s="125" customFormat="1" ht="12.75">
      <c r="A18" s="696"/>
      <c r="B18" s="1343" t="s">
        <v>156</v>
      </c>
      <c r="C18" s="1343"/>
      <c r="D18" s="1343"/>
      <c r="E18" s="1343"/>
      <c r="F18" s="1343" t="s">
        <v>157</v>
      </c>
      <c r="G18" s="1343"/>
      <c r="H18" s="1343"/>
      <c r="I18" s="1343"/>
      <c r="J18" s="127" t="str">
        <f>'Fin Smmry'!J2</f>
        <v>Year 3</v>
      </c>
      <c r="K18" s="127" t="str">
        <f>'Fin Smmry'!K2</f>
        <v>Year 4</v>
      </c>
      <c r="L18" s="127" t="str">
        <f>'Fin Smmry'!L2</f>
        <v>Year 5</v>
      </c>
      <c r="M18" s="127" t="str">
        <f>'Fin Smmry'!M2</f>
        <v>Year 6</v>
      </c>
      <c r="N18" s="127" t="str">
        <f>'Fin Smmry'!N2</f>
        <v>Year 7</v>
      </c>
      <c r="O18" s="127" t="str">
        <f>'Fin Smmry'!O2</f>
        <v>Year 8</v>
      </c>
      <c r="P18" s="127" t="str">
        <f>'Fin Smmry'!P2</f>
        <v>Year 9</v>
      </c>
      <c r="Q18" s="127" t="str">
        <f>'Fin Smmry'!Q2</f>
        <v>Year 10</v>
      </c>
      <c r="R18" s="645"/>
    </row>
    <row r="19" spans="1:19" s="125" customFormat="1" ht="12.75">
      <c r="A19" s="697"/>
      <c r="B19" s="633" t="s">
        <v>608</v>
      </c>
      <c r="C19" s="633" t="s">
        <v>609</v>
      </c>
      <c r="D19" s="633" t="s">
        <v>610</v>
      </c>
      <c r="E19" s="633" t="s">
        <v>611</v>
      </c>
      <c r="F19" s="633" t="s">
        <v>608</v>
      </c>
      <c r="G19" s="633" t="s">
        <v>609</v>
      </c>
      <c r="H19" s="633" t="s">
        <v>610</v>
      </c>
      <c r="I19" s="633" t="s">
        <v>611</v>
      </c>
      <c r="J19" s="127"/>
      <c r="K19" s="127"/>
      <c r="L19" s="127"/>
      <c r="M19" s="127"/>
      <c r="N19" s="127"/>
      <c r="O19" s="127"/>
      <c r="P19" s="127"/>
      <c r="Q19" s="695"/>
      <c r="R19" s="645"/>
    </row>
    <row r="20" spans="1:19" s="125" customFormat="1" ht="12.75">
      <c r="A20" s="126" t="s">
        <v>732</v>
      </c>
      <c r="B20" s="127">
        <v>0</v>
      </c>
      <c r="C20" s="127">
        <f>B22</f>
        <v>92.291983937595887</v>
      </c>
      <c r="D20" s="127">
        <f t="shared" ref="D20:Q20" si="0">C22</f>
        <v>159.22127817090995</v>
      </c>
      <c r="E20" s="127">
        <f t="shared" si="0"/>
        <v>214.60638665729286</v>
      </c>
      <c r="F20" s="127">
        <f t="shared" si="0"/>
        <v>272.34257573856172</v>
      </c>
      <c r="G20" s="127">
        <f t="shared" si="0"/>
        <v>407.65658162925354</v>
      </c>
      <c r="H20" s="127">
        <f t="shared" si="0"/>
        <v>486.93110744096708</v>
      </c>
      <c r="I20" s="127">
        <f t="shared" si="0"/>
        <v>583.43917676196907</v>
      </c>
      <c r="J20" s="127">
        <f t="shared" si="0"/>
        <v>666.85340252133039</v>
      </c>
      <c r="K20" s="127">
        <f t="shared" si="0"/>
        <v>822.4167731425224</v>
      </c>
      <c r="L20" s="127">
        <f t="shared" si="0"/>
        <v>510.67251417116643</v>
      </c>
      <c r="M20" s="127">
        <f t="shared" si="0"/>
        <v>92.075059712661528</v>
      </c>
      <c r="N20" s="127">
        <f t="shared" si="0"/>
        <v>0</v>
      </c>
      <c r="O20" s="127">
        <f t="shared" si="0"/>
        <v>0</v>
      </c>
      <c r="P20" s="127">
        <f t="shared" si="0"/>
        <v>0</v>
      </c>
      <c r="Q20" s="127">
        <f t="shared" si="0"/>
        <v>0</v>
      </c>
      <c r="R20" s="645"/>
      <c r="S20" s="645"/>
    </row>
    <row r="21" spans="1:19" s="129" customFormat="1" ht="12.75">
      <c r="A21" s="128" t="s">
        <v>269</v>
      </c>
      <c r="B21" s="127">
        <f>'Balance Sheet'!C29</f>
        <v>92.291983937595887</v>
      </c>
      <c r="C21" s="652">
        <f>C22-C20</f>
        <v>66.929294233314067</v>
      </c>
      <c r="D21" s="127">
        <f>D22-D20</f>
        <v>55.385108486382904</v>
      </c>
      <c r="E21" s="127">
        <f t="shared" ref="E21:Q21" si="1">E22-E20</f>
        <v>57.736189081268861</v>
      </c>
      <c r="F21" s="127">
        <f t="shared" si="1"/>
        <v>135.31400589069182</v>
      </c>
      <c r="G21" s="127">
        <f t="shared" si="1"/>
        <v>79.274525811713545</v>
      </c>
      <c r="H21" s="127">
        <f t="shared" si="1"/>
        <v>96.508069321001983</v>
      </c>
      <c r="I21" s="127">
        <f t="shared" si="1"/>
        <v>83.414225759361329</v>
      </c>
      <c r="J21" s="127">
        <f t="shared" si="1"/>
        <v>155.56337062119201</v>
      </c>
      <c r="K21" s="127">
        <f t="shared" si="1"/>
        <v>-311.74425897135598</v>
      </c>
      <c r="L21" s="127">
        <f t="shared" si="1"/>
        <v>-418.5974544585049</v>
      </c>
      <c r="M21" s="127">
        <f t="shared" si="1"/>
        <v>-92.075059712661528</v>
      </c>
      <c r="N21" s="127">
        <f t="shared" si="1"/>
        <v>0</v>
      </c>
      <c r="O21" s="127">
        <f t="shared" si="1"/>
        <v>0</v>
      </c>
      <c r="P21" s="127">
        <f t="shared" si="1"/>
        <v>0</v>
      </c>
      <c r="Q21" s="127">
        <f t="shared" si="1"/>
        <v>0</v>
      </c>
      <c r="R21" s="646"/>
      <c r="S21" s="646"/>
    </row>
    <row r="22" spans="1:19">
      <c r="A22" s="130" t="s">
        <v>212</v>
      </c>
      <c r="B22" s="134">
        <f>'Fin Smmry'!B89</f>
        <v>92.291983937595887</v>
      </c>
      <c r="C22" s="134">
        <f>'Fin Smmry'!C89</f>
        <v>159.22127817090995</v>
      </c>
      <c r="D22" s="134">
        <f>'Fin Smmry'!D89</f>
        <v>214.60638665729286</v>
      </c>
      <c r="E22" s="134">
        <f>'Fin Smmry'!E89</f>
        <v>272.34257573856172</v>
      </c>
      <c r="F22" s="134">
        <f>'Fin Smmry'!F89</f>
        <v>407.65658162925354</v>
      </c>
      <c r="G22" s="134">
        <f>'Fin Smmry'!G89</f>
        <v>486.93110744096708</v>
      </c>
      <c r="H22" s="134">
        <f>'Fin Smmry'!H89</f>
        <v>583.43917676196907</v>
      </c>
      <c r="I22" s="134">
        <f>'Fin Smmry'!I89</f>
        <v>666.85340252133039</v>
      </c>
      <c r="J22" s="134">
        <f>'Fin Smmry'!J89</f>
        <v>822.4167731425224</v>
      </c>
      <c r="K22" s="134">
        <f>'Fin Smmry'!K89</f>
        <v>510.67251417116643</v>
      </c>
      <c r="L22" s="134">
        <f>'Fin Smmry'!L89</f>
        <v>92.075059712661528</v>
      </c>
      <c r="M22" s="134">
        <f>'Fin Smmry'!M89</f>
        <v>0</v>
      </c>
      <c r="N22" s="134">
        <f>'Fin Smmry'!N89</f>
        <v>0</v>
      </c>
      <c r="O22" s="134">
        <f>'Fin Smmry'!O89</f>
        <v>0</v>
      </c>
      <c r="P22" s="134">
        <f>'Fin Smmry'!P89</f>
        <v>0</v>
      </c>
      <c r="Q22" s="134">
        <f>'Fin Smmry'!Q89</f>
        <v>0</v>
      </c>
      <c r="R22" s="647"/>
      <c r="S22" s="647"/>
    </row>
    <row r="23" spans="1:19" s="132" customFormat="1" ht="25.5">
      <c r="A23" s="366"/>
      <c r="B23" s="643" t="s">
        <v>186</v>
      </c>
      <c r="C23" s="643" t="s">
        <v>733</v>
      </c>
      <c r="D23" s="640" t="s">
        <v>187</v>
      </c>
      <c r="E23" s="334" t="s">
        <v>188</v>
      </c>
      <c r="F23" s="333" t="s">
        <v>189</v>
      </c>
      <c r="G23" s="333"/>
      <c r="H23" s="365"/>
      <c r="I23" s="365"/>
      <c r="J23" s="365"/>
      <c r="K23" s="366"/>
      <c r="L23" s="650"/>
      <c r="M23" s="650"/>
      <c r="N23" s="650"/>
      <c r="O23" s="366"/>
      <c r="P23" s="366"/>
      <c r="Q23" s="366"/>
    </row>
    <row r="24" spans="1:19" s="132" customFormat="1">
      <c r="A24" s="654" t="s">
        <v>616</v>
      </c>
      <c r="B24" s="1130">
        <f>B$20</f>
        <v>0</v>
      </c>
      <c r="C24" s="1131">
        <f>B21</f>
        <v>92.291983937595887</v>
      </c>
      <c r="D24" s="1134">
        <f>B24+C24</f>
        <v>92.291983937595887</v>
      </c>
      <c r="E24" s="637">
        <f t="shared" ref="E24:E31" si="2">D24*$E$12/4</f>
        <v>1.3843797590639382</v>
      </c>
      <c r="F24" s="636">
        <f t="shared" ref="F24:F31" si="3">E24</f>
        <v>1.3843797590639382</v>
      </c>
      <c r="G24" s="636"/>
      <c r="H24" s="365"/>
      <c r="I24" s="365"/>
      <c r="J24" s="365"/>
      <c r="K24" s="366"/>
      <c r="L24" s="650"/>
      <c r="M24" s="650"/>
      <c r="N24" s="650"/>
      <c r="O24" s="366"/>
      <c r="P24" s="366"/>
      <c r="Q24" s="366"/>
    </row>
    <row r="25" spans="1:19" s="132" customFormat="1">
      <c r="A25" s="654" t="s">
        <v>615</v>
      </c>
      <c r="B25" s="1131">
        <f>D24</f>
        <v>92.291983937595887</v>
      </c>
      <c r="C25" s="636">
        <f>C21</f>
        <v>66.929294233314067</v>
      </c>
      <c r="D25" s="1134">
        <f t="shared" ref="D25:D39" si="4">B25+C25</f>
        <v>159.22127817090995</v>
      </c>
      <c r="E25" s="637">
        <f t="shared" si="2"/>
        <v>2.3883191725636492</v>
      </c>
      <c r="F25" s="636">
        <f t="shared" si="3"/>
        <v>2.3883191725636492</v>
      </c>
      <c r="G25" s="905"/>
      <c r="H25" s="365"/>
      <c r="I25" s="365"/>
      <c r="J25" s="365"/>
      <c r="K25" s="366"/>
      <c r="L25" s="366"/>
      <c r="M25" s="650"/>
      <c r="N25" s="650"/>
      <c r="O25" s="366"/>
      <c r="P25" s="366"/>
      <c r="Q25" s="366"/>
    </row>
    <row r="26" spans="1:19" s="132" customFormat="1">
      <c r="A26" s="654" t="s">
        <v>617</v>
      </c>
      <c r="B26" s="1131">
        <f>D25</f>
        <v>159.22127817090995</v>
      </c>
      <c r="C26" s="636">
        <f>D21</f>
        <v>55.385108486382904</v>
      </c>
      <c r="D26" s="1134">
        <f t="shared" si="4"/>
        <v>214.60638665729286</v>
      </c>
      <c r="E26" s="637">
        <f t="shared" si="2"/>
        <v>3.2190957998593928</v>
      </c>
      <c r="F26" s="636">
        <f t="shared" si="3"/>
        <v>3.2190957998593928</v>
      </c>
      <c r="G26" s="905"/>
      <c r="H26" s="365"/>
      <c r="I26" s="365"/>
      <c r="J26" s="365"/>
      <c r="K26" s="366"/>
      <c r="L26" s="366"/>
      <c r="M26" s="650"/>
      <c r="N26" s="650"/>
      <c r="O26" s="366"/>
      <c r="P26" s="366"/>
      <c r="Q26" s="366"/>
    </row>
    <row r="27" spans="1:19" s="132" customFormat="1">
      <c r="A27" s="654" t="s">
        <v>618</v>
      </c>
      <c r="B27" s="1131">
        <f t="shared" ref="B27:B39" si="5">D26</f>
        <v>214.60638665729286</v>
      </c>
      <c r="C27" s="636">
        <f>E21</f>
        <v>57.736189081268861</v>
      </c>
      <c r="D27" s="1132">
        <f t="shared" si="4"/>
        <v>272.34257573856172</v>
      </c>
      <c r="E27" s="540">
        <f t="shared" si="2"/>
        <v>4.0851386360784261</v>
      </c>
      <c r="F27" s="540">
        <f t="shared" si="3"/>
        <v>4.0851386360784261</v>
      </c>
      <c r="G27" s="905"/>
      <c r="H27" s="365"/>
      <c r="I27" s="365"/>
      <c r="J27" s="365"/>
      <c r="K27" s="366"/>
      <c r="L27" s="366"/>
      <c r="M27" s="650"/>
      <c r="N27" s="650"/>
      <c r="O27" s="366"/>
      <c r="P27" s="366"/>
      <c r="Q27" s="366"/>
    </row>
    <row r="28" spans="1:19">
      <c r="A28" s="654" t="s">
        <v>619</v>
      </c>
      <c r="B28" s="1131">
        <f t="shared" si="5"/>
        <v>272.34257573856172</v>
      </c>
      <c r="C28" s="636">
        <f>F21</f>
        <v>135.31400589069182</v>
      </c>
      <c r="D28" s="1132">
        <f t="shared" si="4"/>
        <v>407.65658162925354</v>
      </c>
      <c r="E28" s="540">
        <f t="shared" si="2"/>
        <v>6.1148487244388026</v>
      </c>
      <c r="F28" s="540">
        <f t="shared" si="3"/>
        <v>6.1148487244388026</v>
      </c>
      <c r="G28" s="905"/>
      <c r="H28" s="131"/>
      <c r="I28" s="133"/>
      <c r="J28" s="131"/>
      <c r="K28" s="131"/>
      <c r="L28" s="131"/>
      <c r="M28" s="651"/>
      <c r="N28" s="651"/>
      <c r="O28" s="131"/>
      <c r="P28" s="131"/>
      <c r="Q28" s="131"/>
    </row>
    <row r="29" spans="1:19">
      <c r="A29" s="654" t="s">
        <v>620</v>
      </c>
      <c r="B29" s="1131">
        <f t="shared" si="5"/>
        <v>407.65658162925354</v>
      </c>
      <c r="C29" s="636">
        <f>G21</f>
        <v>79.274525811713545</v>
      </c>
      <c r="D29" s="1132">
        <f t="shared" si="4"/>
        <v>486.93110744096708</v>
      </c>
      <c r="E29" s="540">
        <f t="shared" si="2"/>
        <v>7.3039666116145057</v>
      </c>
      <c r="F29" s="540">
        <f t="shared" si="3"/>
        <v>7.3039666116145057</v>
      </c>
      <c r="G29" s="905"/>
      <c r="H29" s="131"/>
      <c r="I29" s="133"/>
      <c r="J29" s="131"/>
      <c r="K29" s="131"/>
      <c r="L29" s="131"/>
      <c r="M29" s="651"/>
      <c r="N29" s="651"/>
      <c r="O29" s="131"/>
      <c r="P29" s="131"/>
      <c r="Q29" s="131"/>
    </row>
    <row r="30" spans="1:19">
      <c r="A30" s="654" t="s">
        <v>622</v>
      </c>
      <c r="B30" s="1131">
        <f t="shared" si="5"/>
        <v>486.93110744096708</v>
      </c>
      <c r="C30" s="636">
        <f>H21</f>
        <v>96.508069321001983</v>
      </c>
      <c r="D30" s="1132">
        <f t="shared" si="4"/>
        <v>583.43917676196907</v>
      </c>
      <c r="E30" s="540">
        <f t="shared" si="2"/>
        <v>8.751587651429535</v>
      </c>
      <c r="F30" s="540">
        <f t="shared" si="3"/>
        <v>8.751587651429535</v>
      </c>
      <c r="G30" s="905"/>
      <c r="H30" s="131"/>
      <c r="I30" s="133"/>
      <c r="J30" s="131"/>
      <c r="K30" s="131"/>
      <c r="L30" s="131"/>
      <c r="M30" s="651"/>
      <c r="N30" s="651"/>
      <c r="O30" s="651"/>
      <c r="P30" s="131"/>
      <c r="Q30" s="131"/>
    </row>
    <row r="31" spans="1:19">
      <c r="A31" s="654" t="s">
        <v>621</v>
      </c>
      <c r="B31" s="1131">
        <f t="shared" si="5"/>
        <v>583.43917676196907</v>
      </c>
      <c r="C31" s="636">
        <f>I21</f>
        <v>83.414225759361329</v>
      </c>
      <c r="D31" s="1132">
        <f t="shared" si="4"/>
        <v>666.85340252133039</v>
      </c>
      <c r="E31" s="540">
        <f t="shared" si="2"/>
        <v>10.002801037819955</v>
      </c>
      <c r="F31" s="540">
        <f t="shared" si="3"/>
        <v>10.002801037819955</v>
      </c>
      <c r="G31" s="905"/>
      <c r="H31" s="131"/>
      <c r="I31" s="133"/>
      <c r="J31" s="131"/>
      <c r="K31" s="131"/>
      <c r="L31" s="131"/>
      <c r="M31" s="651"/>
      <c r="N31" s="651"/>
      <c r="O31" s="651"/>
      <c r="P31" s="131"/>
      <c r="Q31" s="131"/>
    </row>
    <row r="32" spans="1:19">
      <c r="A32" s="146" t="s">
        <v>162</v>
      </c>
      <c r="B32" s="1131">
        <f t="shared" si="5"/>
        <v>666.85340252133039</v>
      </c>
      <c r="C32" s="636">
        <f>J21</f>
        <v>155.56337062119201</v>
      </c>
      <c r="D32" s="1132">
        <f t="shared" si="4"/>
        <v>822.4167731425224</v>
      </c>
      <c r="E32" s="540">
        <f>(D32+B32)/2*E12</f>
        <v>44.678105269915584</v>
      </c>
      <c r="F32" s="540">
        <f t="shared" ref="F32:F38" si="6">E32</f>
        <v>44.678105269915584</v>
      </c>
      <c r="G32" s="905"/>
      <c r="H32" s="131"/>
      <c r="I32" s="133"/>
      <c r="J32" s="131"/>
      <c r="K32" s="131"/>
      <c r="L32" s="131"/>
      <c r="M32" s="651"/>
      <c r="N32" s="651"/>
      <c r="O32" s="651"/>
      <c r="P32" s="131"/>
      <c r="Q32" s="131"/>
    </row>
    <row r="33" spans="1:19">
      <c r="A33" s="146" t="s">
        <v>163</v>
      </c>
      <c r="B33" s="1131">
        <f t="shared" si="5"/>
        <v>822.4167731425224</v>
      </c>
      <c r="C33" s="636">
        <f>K21</f>
        <v>-311.74425897135598</v>
      </c>
      <c r="D33" s="1132">
        <f t="shared" si="4"/>
        <v>510.67251417116643</v>
      </c>
      <c r="E33" s="540">
        <f t="shared" ref="E33:E39" si="7">(D33+B33)/2*$E$12</f>
        <v>39.992678619410661</v>
      </c>
      <c r="F33" s="540">
        <f t="shared" si="6"/>
        <v>39.992678619410661</v>
      </c>
      <c r="G33" s="905"/>
      <c r="H33" s="131"/>
      <c r="I33" s="133"/>
      <c r="J33" s="131"/>
      <c r="K33" s="131"/>
      <c r="L33" s="131"/>
      <c r="M33" s="651"/>
      <c r="N33" s="651"/>
      <c r="O33" s="651"/>
      <c r="P33" s="131"/>
      <c r="Q33" s="131"/>
    </row>
    <row r="34" spans="1:19">
      <c r="A34" s="146" t="s">
        <v>164</v>
      </c>
      <c r="B34" s="1131">
        <f t="shared" si="5"/>
        <v>510.67251417116643</v>
      </c>
      <c r="C34" s="636">
        <f>L21</f>
        <v>-418.5974544585049</v>
      </c>
      <c r="D34" s="1132">
        <f t="shared" si="4"/>
        <v>92.075059712661528</v>
      </c>
      <c r="E34" s="540">
        <f t="shared" si="7"/>
        <v>18.082427216514837</v>
      </c>
      <c r="F34" s="540">
        <f t="shared" si="6"/>
        <v>18.082427216514837</v>
      </c>
      <c r="G34" s="905"/>
      <c r="H34" s="131"/>
      <c r="I34" s="133"/>
      <c r="J34" s="131"/>
      <c r="K34" s="131"/>
      <c r="L34" s="131"/>
      <c r="M34" s="651"/>
      <c r="N34" s="651"/>
      <c r="O34" s="651"/>
      <c r="P34" s="131"/>
      <c r="Q34" s="131"/>
    </row>
    <row r="35" spans="1:19">
      <c r="A35" s="146" t="s">
        <v>190</v>
      </c>
      <c r="B35" s="1131">
        <f t="shared" si="5"/>
        <v>92.075059712661528</v>
      </c>
      <c r="C35" s="636">
        <f>M21</f>
        <v>-92.075059712661528</v>
      </c>
      <c r="D35" s="1132">
        <f t="shared" si="4"/>
        <v>0</v>
      </c>
      <c r="E35" s="540">
        <f t="shared" si="7"/>
        <v>2.7622517913798457</v>
      </c>
      <c r="F35" s="1133">
        <f t="shared" si="6"/>
        <v>2.7622517913798457</v>
      </c>
      <c r="G35" s="906"/>
      <c r="H35" s="131"/>
      <c r="I35" s="133"/>
      <c r="J35" s="131"/>
      <c r="K35" s="131"/>
      <c r="L35" s="131"/>
      <c r="M35" s="651"/>
      <c r="N35" s="651"/>
      <c r="O35" s="651"/>
      <c r="P35" s="131"/>
      <c r="Q35" s="131"/>
    </row>
    <row r="36" spans="1:19">
      <c r="A36" s="146" t="s">
        <v>191</v>
      </c>
      <c r="B36" s="1131">
        <f t="shared" si="5"/>
        <v>0</v>
      </c>
      <c r="C36" s="636">
        <f>N21</f>
        <v>0</v>
      </c>
      <c r="D36" s="1132">
        <f t="shared" si="4"/>
        <v>0</v>
      </c>
      <c r="E36" s="540">
        <f t="shared" si="7"/>
        <v>0</v>
      </c>
      <c r="F36" s="1133">
        <f t="shared" si="6"/>
        <v>0</v>
      </c>
      <c r="G36" s="906"/>
      <c r="H36" s="131"/>
      <c r="I36" s="133"/>
      <c r="J36" s="131"/>
      <c r="K36" s="131"/>
      <c r="L36" s="131"/>
      <c r="M36" s="651"/>
      <c r="N36" s="651"/>
      <c r="O36" s="651"/>
      <c r="P36" s="131"/>
      <c r="Q36" s="131"/>
    </row>
    <row r="37" spans="1:19">
      <c r="A37" s="146" t="s">
        <v>192</v>
      </c>
      <c r="B37" s="1131">
        <f t="shared" si="5"/>
        <v>0</v>
      </c>
      <c r="C37" s="636">
        <f>O21</f>
        <v>0</v>
      </c>
      <c r="D37" s="1134">
        <f t="shared" si="4"/>
        <v>0</v>
      </c>
      <c r="E37" s="540">
        <f t="shared" si="7"/>
        <v>0</v>
      </c>
      <c r="F37" s="134">
        <f t="shared" si="6"/>
        <v>0</v>
      </c>
      <c r="G37" s="906"/>
      <c r="H37" s="131"/>
      <c r="I37" s="133"/>
      <c r="J37" s="131"/>
      <c r="K37" s="131"/>
      <c r="L37" s="131"/>
      <c r="M37" s="651"/>
      <c r="N37" s="651"/>
      <c r="O37" s="651"/>
      <c r="P37" s="131"/>
      <c r="Q37" s="131"/>
    </row>
    <row r="38" spans="1:19">
      <c r="A38" s="146" t="s">
        <v>193</v>
      </c>
      <c r="B38" s="1131">
        <f t="shared" si="5"/>
        <v>0</v>
      </c>
      <c r="C38" s="636">
        <f>P21</f>
        <v>0</v>
      </c>
      <c r="D38" s="641">
        <f t="shared" si="4"/>
        <v>0</v>
      </c>
      <c r="E38" s="540">
        <f t="shared" si="7"/>
        <v>0</v>
      </c>
      <c r="F38" s="134">
        <f t="shared" si="6"/>
        <v>0</v>
      </c>
      <c r="G38" s="906"/>
      <c r="H38" s="131"/>
      <c r="I38" s="133"/>
      <c r="J38" s="131"/>
      <c r="K38" s="131"/>
      <c r="L38" s="131"/>
      <c r="M38" s="131"/>
      <c r="N38" s="131"/>
      <c r="O38" s="131"/>
      <c r="P38" s="131"/>
      <c r="Q38" s="131"/>
    </row>
    <row r="39" spans="1:19">
      <c r="A39" s="146" t="s">
        <v>194</v>
      </c>
      <c r="B39" s="1131">
        <f t="shared" si="5"/>
        <v>0</v>
      </c>
      <c r="C39" s="636">
        <f>Q21</f>
        <v>0</v>
      </c>
      <c r="D39" s="641">
        <f t="shared" si="4"/>
        <v>0</v>
      </c>
      <c r="E39" s="540">
        <f t="shared" si="7"/>
        <v>0</v>
      </c>
      <c r="F39" s="134">
        <f>E39</f>
        <v>0</v>
      </c>
      <c r="G39" s="906"/>
      <c r="H39" s="131"/>
      <c r="I39" s="133"/>
      <c r="J39" s="131"/>
      <c r="K39" s="131"/>
      <c r="L39" s="131"/>
      <c r="M39" s="131"/>
      <c r="N39" s="131"/>
      <c r="O39" s="131"/>
      <c r="P39" s="131"/>
      <c r="Q39" s="131"/>
    </row>
    <row r="40" spans="1:19">
      <c r="A40" s="653" t="s">
        <v>6</v>
      </c>
      <c r="B40" s="1135"/>
      <c r="C40" s="1136">
        <f>SUM(C24:C39)</f>
        <v>0</v>
      </c>
      <c r="D40" s="1136"/>
      <c r="E40" s="1136">
        <f>SUM(E24:E39)</f>
        <v>148.76560029008914</v>
      </c>
      <c r="F40" s="1136">
        <f>SUM(F24:F39)</f>
        <v>148.76560029008914</v>
      </c>
      <c r="G40" s="907"/>
      <c r="H40" s="638"/>
      <c r="I40" s="638"/>
      <c r="J40" s="638"/>
      <c r="K40" s="638"/>
      <c r="L40" s="639"/>
      <c r="M40" s="642"/>
      <c r="N40" s="639"/>
      <c r="O40" s="639"/>
      <c r="P40" s="639"/>
      <c r="Q40" s="644"/>
      <c r="R40" s="634"/>
      <c r="S40" s="634"/>
    </row>
    <row r="41" spans="1:19">
      <c r="A41" s="135"/>
      <c r="H41" s="634"/>
      <c r="I41" s="634"/>
      <c r="J41" s="634"/>
      <c r="K41" s="634"/>
    </row>
    <row r="42" spans="1:19">
      <c r="A42" s="135"/>
      <c r="H42" s="634"/>
      <c r="I42" s="634"/>
      <c r="J42" s="634"/>
      <c r="K42" s="634"/>
    </row>
    <row r="43" spans="1:19">
      <c r="A43" s="135"/>
      <c r="H43" s="634"/>
      <c r="I43" s="634"/>
      <c r="J43" s="634"/>
      <c r="K43" s="634"/>
    </row>
    <row r="44" spans="1:19">
      <c r="A44" s="120" t="s">
        <v>81</v>
      </c>
      <c r="B44" s="135"/>
      <c r="C44" s="135"/>
      <c r="D44" s="135"/>
      <c r="E44" s="135"/>
      <c r="F44" s="135"/>
      <c r="G44" s="649"/>
      <c r="H44" s="135"/>
      <c r="I44" s="135"/>
      <c r="J44" s="135"/>
      <c r="K44" s="135"/>
      <c r="L44" s="635"/>
      <c r="M44" s="635"/>
      <c r="N44" s="121"/>
      <c r="O44" s="121"/>
      <c r="P44" s="121"/>
      <c r="Q44" s="121"/>
      <c r="R44" s="121"/>
    </row>
    <row r="45" spans="1:19">
      <c r="L45" s="634" t="s">
        <v>80</v>
      </c>
    </row>
  </sheetData>
  <mergeCells count="4">
    <mergeCell ref="A2:S2"/>
    <mergeCell ref="B18:E18"/>
    <mergeCell ref="F18:I18"/>
    <mergeCell ref="A16:I16"/>
  </mergeCells>
  <hyperlinks>
    <hyperlink ref="A4" location="Index!A1" display="BACK TO INDEX"/>
    <hyperlink ref="A44" location="Index!A1" display="BACK TO INDEX"/>
  </hyperlinks>
  <pageMargins left="0.17" right="0.23" top="0.54" bottom="0.4" header="0.31496062992126" footer="0.19"/>
  <pageSetup orientation="landscape" r:id="rId1"/>
  <headerFooter>
    <oddFooter>&amp;A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codeName="Sheet9">
    <pageSetUpPr fitToPage="1"/>
  </sheetPr>
  <dimension ref="A1:U42"/>
  <sheetViews>
    <sheetView topLeftCell="A6" zoomScale="70" zoomScaleNormal="70" workbookViewId="0">
      <selection activeCell="C10" sqref="C10"/>
    </sheetView>
  </sheetViews>
  <sheetFormatPr defaultRowHeight="15"/>
  <cols>
    <col min="1" max="1" width="35" style="45" bestFit="1" customWidth="1"/>
    <col min="2" max="6" width="10" style="45" customWidth="1"/>
    <col min="7" max="12" width="9.42578125" style="45" customWidth="1"/>
    <col min="13" max="13" width="10.140625" style="45" customWidth="1"/>
    <col min="14" max="14" width="9.7109375" style="45" customWidth="1"/>
    <col min="15" max="15" width="9.85546875" style="45" customWidth="1"/>
    <col min="16" max="16" width="10.140625" style="45" customWidth="1"/>
    <col min="17" max="17" width="9.7109375" style="45" customWidth="1"/>
    <col min="18" max="18" width="10.42578125" style="45" bestFit="1" customWidth="1"/>
    <col min="19" max="19" width="10.140625" style="45" bestFit="1" customWidth="1"/>
    <col min="20" max="20" width="9.140625" style="45"/>
    <col min="21" max="21" width="13.28515625" style="45" bestFit="1" customWidth="1"/>
    <col min="22" max="16384" width="9.140625" style="45"/>
  </cols>
  <sheetData>
    <row r="1" spans="1:18">
      <c r="A1" s="1345" t="s">
        <v>102</v>
      </c>
      <c r="B1" s="1345"/>
      <c r="C1" s="1345"/>
      <c r="D1" s="1345"/>
      <c r="E1" s="1345"/>
      <c r="F1" s="1345"/>
      <c r="G1" s="1345"/>
      <c r="H1" s="1345"/>
      <c r="I1" s="1345"/>
      <c r="J1" s="1345"/>
      <c r="K1" s="1345"/>
      <c r="L1" s="1345"/>
      <c r="M1" s="1345"/>
      <c r="N1" s="1345"/>
      <c r="O1" s="1345"/>
      <c r="P1" s="1345"/>
      <c r="Q1" s="1345"/>
      <c r="R1" s="1345"/>
    </row>
    <row r="2" spans="1:18">
      <c r="A2" s="71"/>
    </row>
    <row r="3" spans="1:18">
      <c r="A3" s="44" t="s">
        <v>81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4" spans="1:18">
      <c r="A4" s="43" t="s">
        <v>101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</row>
    <row r="5" spans="1:18">
      <c r="A5" s="43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</row>
    <row r="6" spans="1:18">
      <c r="B6" s="70"/>
      <c r="C6" s="1346" t="s">
        <v>156</v>
      </c>
      <c r="D6" s="1346"/>
      <c r="E6" s="1346"/>
      <c r="F6" s="1346"/>
      <c r="G6" s="1346" t="s">
        <v>157</v>
      </c>
      <c r="H6" s="1346"/>
      <c r="I6" s="1346"/>
      <c r="J6" s="1346"/>
      <c r="K6" s="70" t="str">
        <f>'Fin Smmry'!J2</f>
        <v>Year 3</v>
      </c>
      <c r="L6" s="70" t="str">
        <f>'Fin Smmry'!K2</f>
        <v>Year 4</v>
      </c>
      <c r="M6" s="70" t="str">
        <f>'Fin Smmry'!L2</f>
        <v>Year 5</v>
      </c>
      <c r="N6" s="70" t="str">
        <f>'Fin Smmry'!M2</f>
        <v>Year 6</v>
      </c>
      <c r="O6" s="70" t="str">
        <f>'Fin Smmry'!N2</f>
        <v>Year 7</v>
      </c>
      <c r="P6" s="70" t="str">
        <f>'Fin Smmry'!O2</f>
        <v>Year 8</v>
      </c>
      <c r="Q6" s="70" t="str">
        <f>'Fin Smmry'!P2</f>
        <v>Year 9</v>
      </c>
      <c r="R6" s="70" t="str">
        <f>'Fin Smmry'!Q2</f>
        <v>Year 10</v>
      </c>
    </row>
    <row r="7" spans="1:18" s="53" customFormat="1">
      <c r="B7" s="69"/>
      <c r="C7" s="626" t="s">
        <v>608</v>
      </c>
      <c r="D7" s="626" t="s">
        <v>609</v>
      </c>
      <c r="E7" s="626" t="s">
        <v>610</v>
      </c>
      <c r="F7" s="626" t="s">
        <v>611</v>
      </c>
      <c r="G7" s="626" t="s">
        <v>608</v>
      </c>
      <c r="H7" s="626" t="s">
        <v>609</v>
      </c>
      <c r="I7" s="626" t="s">
        <v>610</v>
      </c>
      <c r="J7" s="626" t="s">
        <v>611</v>
      </c>
      <c r="K7" s="69"/>
      <c r="L7" s="69"/>
      <c r="M7" s="69"/>
      <c r="N7" s="69"/>
      <c r="O7" s="69"/>
      <c r="P7" s="69"/>
      <c r="Q7" s="69"/>
    </row>
    <row r="8" spans="1:18">
      <c r="A8" s="62" t="s">
        <v>100</v>
      </c>
      <c r="B8" s="68"/>
      <c r="C8" s="68"/>
      <c r="D8" s="68"/>
      <c r="E8" s="68"/>
      <c r="F8" s="68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</row>
    <row r="9" spans="1:18">
      <c r="A9" s="61" t="s">
        <v>99</v>
      </c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</row>
    <row r="10" spans="1:18">
      <c r="A10" s="59" t="s">
        <v>44</v>
      </c>
      <c r="B10" s="51"/>
      <c r="C10" s="51">
        <f>'Fin Smmry'!B59</f>
        <v>1.1865267879329622E-8</v>
      </c>
      <c r="D10" s="51">
        <f>'Fin Smmry'!C59</f>
        <v>7.2615762292116415E-8</v>
      </c>
      <c r="E10" s="51">
        <f>'Fin Smmry'!D59</f>
        <v>2.5913925583154196E-7</v>
      </c>
      <c r="F10" s="51">
        <f>'Fin Smmry'!E59</f>
        <v>7.0432963639177615E-7</v>
      </c>
      <c r="G10" s="51">
        <f>'Fin Smmry'!F59</f>
        <v>1.6205826227633224E-6</v>
      </c>
      <c r="H10" s="51">
        <f>'Fin Smmry'!G59</f>
        <v>3.3206816851816257E-6</v>
      </c>
      <c r="I10" s="51">
        <f>'Fin Smmry'!H59</f>
        <v>6.2402540947914531E-6</v>
      </c>
      <c r="J10" s="51">
        <f>'Fin Smmry'!I59</f>
        <v>1.0961795396724483E-5</v>
      </c>
      <c r="K10" s="51">
        <f>'Fin Smmry'!J59</f>
        <v>4.0313072020126128E-5</v>
      </c>
      <c r="L10" s="51">
        <f>'Fin Smmry'!K59</f>
        <v>4.1255638734583044E-5</v>
      </c>
      <c r="M10" s="51">
        <f>'Fin Smmry'!L59</f>
        <v>-1.7558271395046177E-4</v>
      </c>
      <c r="N10" s="51">
        <f>'Fin Smmry'!M59</f>
        <v>327.50735082823758</v>
      </c>
      <c r="O10" s="51">
        <f>'Fin Smmry'!N59</f>
        <v>736.8215302174965</v>
      </c>
      <c r="P10" s="51">
        <f>'Fin Smmry'!O59</f>
        <v>1233.7198473868875</v>
      </c>
      <c r="Q10" s="51">
        <f>'Fin Smmry'!P59</f>
        <v>1878.5702329210242</v>
      </c>
      <c r="R10" s="51">
        <f>'Fin Smmry'!Q59</f>
        <v>2761.1735278252972</v>
      </c>
    </row>
    <row r="11" spans="1:18">
      <c r="A11" s="59" t="s">
        <v>98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</row>
    <row r="12" spans="1:18">
      <c r="A12" s="59" t="s">
        <v>97</v>
      </c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</row>
    <row r="13" spans="1:18">
      <c r="A13" s="59" t="s">
        <v>96</v>
      </c>
      <c r="B13" s="51"/>
      <c r="C13" s="51">
        <f>'Fin Smmry'!B58</f>
        <v>41.818566666666669</v>
      </c>
      <c r="D13" s="51">
        <f>'Fin Smmry'!C58</f>
        <v>56.960466666666662</v>
      </c>
      <c r="E13" s="51">
        <f>'Fin Smmry'!D58</f>
        <v>68.572366666666682</v>
      </c>
      <c r="F13" s="51">
        <f>'Fin Smmry'!E58</f>
        <v>80.184266666666673</v>
      </c>
      <c r="G13" s="51">
        <f>'Fin Smmry'!F58</f>
        <v>117.61379666666672</v>
      </c>
      <c r="H13" s="51">
        <f>'Fin Smmry'!G58</f>
        <v>130.80400666666668</v>
      </c>
      <c r="I13" s="51">
        <f>'Fin Smmry'!H58</f>
        <v>146.97169666666667</v>
      </c>
      <c r="J13" s="51">
        <f>'Fin Smmry'!I58</f>
        <v>159.25638666666669</v>
      </c>
      <c r="K13" s="51">
        <f>'Fin Smmry'!J58</f>
        <v>225.3644946666667</v>
      </c>
      <c r="L13" s="51">
        <f>'Fin Smmry'!K58</f>
        <v>283.84449573333347</v>
      </c>
      <c r="M13" s="51">
        <f>'Fin Smmry'!L58</f>
        <v>364.40202990666677</v>
      </c>
      <c r="N13" s="51">
        <f>'Fin Smmry'!M58</f>
        <v>443.22510246933354</v>
      </c>
      <c r="O13" s="51">
        <f>'Fin Smmry'!N58</f>
        <v>523.50117683586677</v>
      </c>
      <c r="P13" s="51">
        <f>'Fin Smmry'!O58</f>
        <v>630.76574051481339</v>
      </c>
      <c r="Q13" s="51">
        <f>'Fin Smmry'!P58</f>
        <v>754.46291602519079</v>
      </c>
      <c r="R13" s="51">
        <f>'Fin Smmry'!Q58</f>
        <v>887.73163725626523</v>
      </c>
    </row>
    <row r="14" spans="1:18">
      <c r="A14" s="61" t="s">
        <v>95</v>
      </c>
      <c r="B14" s="51"/>
      <c r="C14" s="51">
        <f>SUM(C10:C13)</f>
        <v>41.818566678531937</v>
      </c>
      <c r="D14" s="51">
        <f>SUM(D10:D13)</f>
        <v>56.960466739282424</v>
      </c>
      <c r="E14" s="51">
        <f>SUM(E10:E13)</f>
        <v>68.572366925805937</v>
      </c>
      <c r="F14" s="51">
        <f>SUM(F10:F13)</f>
        <v>80.184267370996309</v>
      </c>
      <c r="G14" s="51">
        <f t="shared" ref="G14:Q14" si="0">SUM(G10:G13)</f>
        <v>117.61379828724934</v>
      </c>
      <c r="H14" s="51">
        <f t="shared" si="0"/>
        <v>130.80400998734837</v>
      </c>
      <c r="I14" s="51">
        <f t="shared" si="0"/>
        <v>146.97170290692077</v>
      </c>
      <c r="J14" s="51">
        <f t="shared" si="0"/>
        <v>159.25639762846208</v>
      </c>
      <c r="K14" s="51">
        <f t="shared" si="0"/>
        <v>225.36453497973872</v>
      </c>
      <c r="L14" s="51">
        <f t="shared" si="0"/>
        <v>283.84453698897221</v>
      </c>
      <c r="M14" s="51">
        <f t="shared" si="0"/>
        <v>364.40185432395282</v>
      </c>
      <c r="N14" s="51">
        <f t="shared" si="0"/>
        <v>770.73245329757106</v>
      </c>
      <c r="O14" s="51">
        <f t="shared" si="0"/>
        <v>1260.3227070533633</v>
      </c>
      <c r="P14" s="51">
        <f t="shared" si="0"/>
        <v>1864.4855879017009</v>
      </c>
      <c r="Q14" s="51">
        <f t="shared" si="0"/>
        <v>2633.0331489462151</v>
      </c>
      <c r="R14" s="51">
        <f>SUM(R10:R13)</f>
        <v>3648.9051650815627</v>
      </c>
    </row>
    <row r="15" spans="1:18">
      <c r="A15" s="61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</row>
    <row r="16" spans="1:18">
      <c r="A16" s="52" t="s">
        <v>94</v>
      </c>
      <c r="B16" s="51"/>
      <c r="C16" s="51">
        <f>'Depreciation '!C40</f>
        <v>45.636728963499998</v>
      </c>
      <c r="D16" s="51">
        <f>'Depreciation '!D40</f>
        <v>66.8857289635</v>
      </c>
      <c r="E16" s="51">
        <f>'Depreciation '!E40</f>
        <v>82.204728963500003</v>
      </c>
      <c r="F16" s="51">
        <f>'Depreciation '!F40</f>
        <v>97.523728963500005</v>
      </c>
      <c r="G16" s="51">
        <f>'Depreciation '!G40</f>
        <v>135.10312896349998</v>
      </c>
      <c r="H16" s="51">
        <f>'Depreciation '!H40</f>
        <v>151.95402896349998</v>
      </c>
      <c r="I16" s="51">
        <f>'Depreciation '!I40</f>
        <v>175.32792896349997</v>
      </c>
      <c r="J16" s="51">
        <f>'Depreciation '!J40</f>
        <v>192.1788289635</v>
      </c>
      <c r="K16" s="51">
        <f>'Depreciation '!K40</f>
        <v>315.02398896350002</v>
      </c>
      <c r="L16" s="51">
        <f>'Depreciation '!L40</f>
        <v>372.90385496350001</v>
      </c>
      <c r="M16" s="51">
        <f>'Depreciation '!M40</f>
        <v>449.58721851350003</v>
      </c>
      <c r="N16" s="51">
        <f>'Depreciation '!N40</f>
        <v>519.62185637350001</v>
      </c>
      <c r="O16" s="51">
        <f>'Depreciation '!O40</f>
        <v>556.69265607900002</v>
      </c>
      <c r="P16" s="51">
        <f>'Depreciation '!P40</f>
        <v>641.43456788959998</v>
      </c>
      <c r="Q16" s="51">
        <f>'Depreciation '!Q40</f>
        <v>734.65067088126011</v>
      </c>
      <c r="R16" s="51">
        <f>'Depreciation '!R40</f>
        <v>823.20575436445597</v>
      </c>
    </row>
    <row r="17" spans="1:21">
      <c r="A17" s="52" t="s">
        <v>158</v>
      </c>
      <c r="B17" s="51"/>
      <c r="C17" s="51">
        <f>'Depreciation '!C42</f>
        <v>9.9955593891011496</v>
      </c>
      <c r="D17" s="51">
        <f>'Depreciation '!D42</f>
        <v>22.372954053097814</v>
      </c>
      <c r="E17" s="51">
        <f>'Depreciation '!E42</f>
        <v>35.14241579042281</v>
      </c>
      <c r="F17" s="51">
        <f>'Depreciation '!F42</f>
        <v>48.257757650095492</v>
      </c>
      <c r="G17" s="51">
        <f>'Depreciation '!G42</f>
        <v>66.974988174252459</v>
      </c>
      <c r="H17" s="51">
        <f>'Depreciation '!H42</f>
        <v>84.839838758376601</v>
      </c>
      <c r="I17" s="51">
        <f>'Depreciation '!I42</f>
        <v>103.71378897462795</v>
      </c>
      <c r="J17" s="51">
        <f>'Depreciation '!J42</f>
        <v>121.87835075310144</v>
      </c>
      <c r="K17" s="51">
        <f>'Depreciation '!K42</f>
        <v>164.41772322250944</v>
      </c>
      <c r="L17" s="51">
        <f>'Depreciation '!L42</f>
        <v>209.1925434618463</v>
      </c>
      <c r="M17" s="51">
        <f>'Depreciation '!M42</f>
        <v>260.90508971563946</v>
      </c>
      <c r="N17" s="51">
        <f>'Depreciation '!N42</f>
        <v>315.61527450022641</v>
      </c>
      <c r="O17" s="51">
        <f>'Depreciation '!O42</f>
        <v>365.22530440221567</v>
      </c>
      <c r="P17" s="51">
        <f>'Depreciation '!P42</f>
        <v>422.07039875035264</v>
      </c>
      <c r="Q17" s="51">
        <f>'Depreciation '!Q42</f>
        <v>486.24919620842149</v>
      </c>
      <c r="R17" s="51">
        <f>'Depreciation '!R42</f>
        <v>554.83714468541132</v>
      </c>
    </row>
    <row r="18" spans="1:21" s="50" customFormat="1">
      <c r="A18" s="61" t="s">
        <v>93</v>
      </c>
      <c r="B18" s="64"/>
      <c r="C18" s="64">
        <f t="shared" ref="C18:J18" si="1">C16-C17</f>
        <v>35.641169574398845</v>
      </c>
      <c r="D18" s="64">
        <f t="shared" si="1"/>
        <v>44.512774910402186</v>
      </c>
      <c r="E18" s="64">
        <f t="shared" si="1"/>
        <v>47.062313173077193</v>
      </c>
      <c r="F18" s="64">
        <f t="shared" si="1"/>
        <v>49.265971313404513</v>
      </c>
      <c r="G18" s="64">
        <f t="shared" si="1"/>
        <v>68.128140789247524</v>
      </c>
      <c r="H18" s="64">
        <f t="shared" si="1"/>
        <v>67.114190205123379</v>
      </c>
      <c r="I18" s="64">
        <f t="shared" si="1"/>
        <v>71.614139988872026</v>
      </c>
      <c r="J18" s="64">
        <f t="shared" si="1"/>
        <v>70.300478210398552</v>
      </c>
      <c r="K18" s="64">
        <f t="shared" ref="K18:Q18" si="2">K16-K17</f>
        <v>150.60626574099058</v>
      </c>
      <c r="L18" s="64">
        <f t="shared" si="2"/>
        <v>163.71131150165371</v>
      </c>
      <c r="M18" s="64">
        <f t="shared" si="2"/>
        <v>188.68212879786057</v>
      </c>
      <c r="N18" s="64">
        <f t="shared" si="2"/>
        <v>204.0065818732736</v>
      </c>
      <c r="O18" s="64">
        <f t="shared" si="2"/>
        <v>191.46735167678435</v>
      </c>
      <c r="P18" s="64">
        <f t="shared" si="2"/>
        <v>219.36416913924734</v>
      </c>
      <c r="Q18" s="64">
        <f t="shared" si="2"/>
        <v>248.40147467283862</v>
      </c>
      <c r="R18" s="64">
        <f>R16-R17</f>
        <v>268.36860967904465</v>
      </c>
    </row>
    <row r="19" spans="1:21" s="50" customFormat="1">
      <c r="A19" s="61" t="s">
        <v>734</v>
      </c>
      <c r="B19" s="51"/>
      <c r="C19" s="51">
        <f>Amortisation!C19</f>
        <v>195.73877855967504</v>
      </c>
      <c r="D19" s="51">
        <f>Amortisation!D19</f>
        <v>185.43673758285004</v>
      </c>
      <c r="E19" s="51">
        <f>Amortisation!E19</f>
        <v>175.13469660602505</v>
      </c>
      <c r="F19" s="51">
        <f>Amortisation!F19</f>
        <v>164.83265562920005</v>
      </c>
      <c r="G19" s="51">
        <f>Amortisation!G19</f>
        <v>154.53061465237505</v>
      </c>
      <c r="H19" s="51">
        <f>Amortisation!H19</f>
        <v>144.22857367555005</v>
      </c>
      <c r="I19" s="51">
        <f>Amortisation!I19</f>
        <v>133.92653269872505</v>
      </c>
      <c r="J19" s="51">
        <f>Amortisation!J19</f>
        <v>123.62449172190006</v>
      </c>
      <c r="K19" s="51">
        <f>Amortisation!K19</f>
        <v>82.416327814600052</v>
      </c>
      <c r="L19" s="51">
        <f>Amortisation!L19</f>
        <v>41.208163907300047</v>
      </c>
      <c r="M19" s="51">
        <f>Amortisation!M19</f>
        <v>0</v>
      </c>
      <c r="N19" s="51">
        <f>Amortisation!N19</f>
        <v>0</v>
      </c>
      <c r="O19" s="51">
        <f>Amortisation!O19</f>
        <v>0</v>
      </c>
      <c r="P19" s="51">
        <f>Amortisation!P19</f>
        <v>0</v>
      </c>
      <c r="Q19" s="51">
        <f>Amortisation!Q19</f>
        <v>0</v>
      </c>
      <c r="R19" s="51">
        <f>Amortisation!R19</f>
        <v>0</v>
      </c>
    </row>
    <row r="20" spans="1:21">
      <c r="A20" s="52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</row>
    <row r="21" spans="1:21">
      <c r="A21" s="340" t="s">
        <v>92</v>
      </c>
      <c r="B21" s="350"/>
      <c r="C21" s="350">
        <f t="shared" ref="C21:J21" si="3">C14+C18+C19</f>
        <v>273.19851481260582</v>
      </c>
      <c r="D21" s="350">
        <f t="shared" si="3"/>
        <v>286.90997923253462</v>
      </c>
      <c r="E21" s="350">
        <f t="shared" si="3"/>
        <v>290.76937670490815</v>
      </c>
      <c r="F21" s="350">
        <f t="shared" si="3"/>
        <v>294.28289431360088</v>
      </c>
      <c r="G21" s="350">
        <f t="shared" si="3"/>
        <v>340.27255372887191</v>
      </c>
      <c r="H21" s="350">
        <f t="shared" si="3"/>
        <v>342.1467738680218</v>
      </c>
      <c r="I21" s="350">
        <f t="shared" si="3"/>
        <v>352.51237559451783</v>
      </c>
      <c r="J21" s="350">
        <f t="shared" si="3"/>
        <v>353.18136756076069</v>
      </c>
      <c r="K21" s="350">
        <f t="shared" ref="K21:R21" si="4">K14+K18+K19</f>
        <v>458.38712853532934</v>
      </c>
      <c r="L21" s="350">
        <f t="shared" si="4"/>
        <v>488.76401239792597</v>
      </c>
      <c r="M21" s="350">
        <f t="shared" si="4"/>
        <v>553.08398312181339</v>
      </c>
      <c r="N21" s="350">
        <f t="shared" si="4"/>
        <v>974.73903517084466</v>
      </c>
      <c r="O21" s="350">
        <f t="shared" si="4"/>
        <v>1451.7900587301476</v>
      </c>
      <c r="P21" s="350">
        <f t="shared" si="4"/>
        <v>2083.8497570409481</v>
      </c>
      <c r="Q21" s="350">
        <f t="shared" si="4"/>
        <v>2881.4346236190536</v>
      </c>
      <c r="R21" s="350">
        <f t="shared" si="4"/>
        <v>3917.2737747606075</v>
      </c>
    </row>
    <row r="22" spans="1:21"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</row>
    <row r="23" spans="1:21">
      <c r="A23" s="62" t="s">
        <v>91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</row>
    <row r="24" spans="1:21">
      <c r="A24" s="61" t="s">
        <v>90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</row>
    <row r="25" spans="1:21">
      <c r="A25" s="59" t="s">
        <v>89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</row>
    <row r="26" spans="1:21">
      <c r="A26" s="59" t="s">
        <v>88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</row>
    <row r="27" spans="1:21" s="53" customFormat="1">
      <c r="A27" s="58" t="s">
        <v>87</v>
      </c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</row>
    <row r="28" spans="1:21" s="53" customFormat="1">
      <c r="A28" s="55" t="s">
        <v>159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</row>
    <row r="29" spans="1:21" s="53" customFormat="1">
      <c r="A29" s="55" t="s">
        <v>86</v>
      </c>
      <c r="B29" s="51"/>
      <c r="C29" s="51">
        <f>'Interest-Principal'!C9</f>
        <v>92.291983937595887</v>
      </c>
      <c r="D29" s="51">
        <f>'Interest-Principal'!D9</f>
        <v>159.22127817090995</v>
      </c>
      <c r="E29" s="51">
        <f>'Interest-Principal'!E9</f>
        <v>214.60638665729286</v>
      </c>
      <c r="F29" s="51">
        <f>'Interest-Principal'!F9</f>
        <v>272.34257573856172</v>
      </c>
      <c r="G29" s="51">
        <f>'Interest-Principal'!G9</f>
        <v>407.65658162925354</v>
      </c>
      <c r="H29" s="51">
        <f>'Interest-Principal'!H9</f>
        <v>486.93110744096708</v>
      </c>
      <c r="I29" s="51">
        <f>'Interest-Principal'!I9</f>
        <v>583.43917676196907</v>
      </c>
      <c r="J29" s="51">
        <f>'Interest-Principal'!J9</f>
        <v>666.85340252133039</v>
      </c>
      <c r="K29" s="51">
        <f>'Interest-Principal'!K9</f>
        <v>822.4167731425224</v>
      </c>
      <c r="L29" s="51">
        <f>'Interest-Principal'!L9</f>
        <v>510.67251417116643</v>
      </c>
      <c r="M29" s="51">
        <f>'Interest-Principal'!M9</f>
        <v>92.075059712661528</v>
      </c>
      <c r="N29" s="51">
        <f>'Interest-Principal'!N9</f>
        <v>0</v>
      </c>
      <c r="O29" s="51">
        <f>'Interest-Principal'!O9</f>
        <v>0</v>
      </c>
      <c r="P29" s="51">
        <f>'Interest-Principal'!P9</f>
        <v>0</v>
      </c>
      <c r="Q29" s="51">
        <f>'Interest-Principal'!Q9</f>
        <v>0</v>
      </c>
      <c r="R29" s="51">
        <f>'Interest-Principal'!R9</f>
        <v>0</v>
      </c>
    </row>
    <row r="30" spans="1:21" s="53" customFormat="1">
      <c r="A30" s="55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</row>
    <row r="31" spans="1:21">
      <c r="A31" s="340" t="s">
        <v>85</v>
      </c>
      <c r="B31" s="350"/>
      <c r="C31" s="350">
        <f t="shared" ref="C31:Q31" si="5">C28+C29</f>
        <v>92.291983937595887</v>
      </c>
      <c r="D31" s="350">
        <f t="shared" si="5"/>
        <v>159.22127817090995</v>
      </c>
      <c r="E31" s="350">
        <f t="shared" si="5"/>
        <v>214.60638665729286</v>
      </c>
      <c r="F31" s="350">
        <f t="shared" si="5"/>
        <v>272.34257573856172</v>
      </c>
      <c r="G31" s="350">
        <f t="shared" si="5"/>
        <v>407.65658162925354</v>
      </c>
      <c r="H31" s="350">
        <f t="shared" si="5"/>
        <v>486.93110744096708</v>
      </c>
      <c r="I31" s="350">
        <f t="shared" si="5"/>
        <v>583.43917676196907</v>
      </c>
      <c r="J31" s="350">
        <f t="shared" si="5"/>
        <v>666.85340252133039</v>
      </c>
      <c r="K31" s="350">
        <f t="shared" si="5"/>
        <v>822.4167731425224</v>
      </c>
      <c r="L31" s="350">
        <f t="shared" si="5"/>
        <v>510.67251417116643</v>
      </c>
      <c r="M31" s="350">
        <f t="shared" si="5"/>
        <v>92.075059712661528</v>
      </c>
      <c r="N31" s="350">
        <f t="shared" si="5"/>
        <v>0</v>
      </c>
      <c r="O31" s="350">
        <f t="shared" si="5"/>
        <v>0</v>
      </c>
      <c r="P31" s="350">
        <f t="shared" si="5"/>
        <v>0</v>
      </c>
      <c r="Q31" s="350">
        <f t="shared" si="5"/>
        <v>0</v>
      </c>
      <c r="R31" s="350">
        <f>R28+R29</f>
        <v>0</v>
      </c>
    </row>
    <row r="32" spans="1:21">
      <c r="U32" s="51"/>
    </row>
    <row r="33" spans="1:21">
      <c r="A33" s="52" t="s">
        <v>25</v>
      </c>
      <c r="B33" s="51"/>
      <c r="C33" s="51">
        <f>'Fin Smmry'!B46</f>
        <v>244.35854850000004</v>
      </c>
      <c r="D33" s="51">
        <f>'Fin Smmry'!C46</f>
        <v>264.35854850000004</v>
      </c>
      <c r="E33" s="51">
        <f>'Fin Smmry'!D46</f>
        <v>284.35854850000004</v>
      </c>
      <c r="F33" s="51">
        <f>'Fin Smmry'!E46</f>
        <v>304.35854850000004</v>
      </c>
      <c r="G33" s="51">
        <f>'Fin Smmry'!F46</f>
        <v>324.35854850000004</v>
      </c>
      <c r="H33" s="51">
        <f>'Fin Smmry'!G46</f>
        <v>344.35854850000004</v>
      </c>
      <c r="I33" s="51">
        <f>'Fin Smmry'!H46</f>
        <v>364.35854850000004</v>
      </c>
      <c r="J33" s="51">
        <f>'Fin Smmry'!I46</f>
        <v>384.35854850000004</v>
      </c>
      <c r="K33" s="51">
        <f>'Fin Smmry'!J46</f>
        <v>394.35854850000004</v>
      </c>
      <c r="L33" s="51">
        <f>'Fin Smmry'!K46</f>
        <v>394.35854850000004</v>
      </c>
      <c r="M33" s="51">
        <f>'Fin Smmry'!L46</f>
        <v>394.35854850000004</v>
      </c>
      <c r="N33" s="51">
        <f>'Fin Smmry'!M46</f>
        <v>394.35854850000004</v>
      </c>
      <c r="O33" s="51">
        <f>'Fin Smmry'!N46</f>
        <v>394.35854850000004</v>
      </c>
      <c r="P33" s="51">
        <f>'Fin Smmry'!O46</f>
        <v>394.35854850000004</v>
      </c>
      <c r="Q33" s="51">
        <f>'Fin Smmry'!P46</f>
        <v>394.35854850000004</v>
      </c>
      <c r="R33" s="51">
        <f>'Fin Smmry'!Q46</f>
        <v>394.35854850000004</v>
      </c>
      <c r="U33" s="51"/>
    </row>
    <row r="34" spans="1:21">
      <c r="A34" s="52" t="s">
        <v>50</v>
      </c>
      <c r="B34" s="52"/>
      <c r="C34" s="51">
        <f>'Fin Smmry'!B47</f>
        <v>0</v>
      </c>
      <c r="D34" s="51">
        <f>'Fin Smmry'!C47</f>
        <v>0</v>
      </c>
      <c r="E34" s="51">
        <f>'Fin Smmry'!D47</f>
        <v>0</v>
      </c>
      <c r="F34" s="51">
        <f>'Fin Smmry'!E47</f>
        <v>0</v>
      </c>
      <c r="G34" s="51">
        <f>'Fin Smmry'!F47</f>
        <v>0</v>
      </c>
      <c r="H34" s="51">
        <f>'Fin Smmry'!G47</f>
        <v>0</v>
      </c>
      <c r="I34" s="51">
        <f>'Fin Smmry'!H47</f>
        <v>0</v>
      </c>
      <c r="J34" s="51">
        <f>'Fin Smmry'!I47</f>
        <v>0</v>
      </c>
      <c r="K34" s="51">
        <f>'Fin Smmry'!J47</f>
        <v>0</v>
      </c>
      <c r="L34" s="51">
        <f>'Fin Smmry'!K47</f>
        <v>0</v>
      </c>
      <c r="M34" s="51">
        <f>'Fin Smmry'!L47</f>
        <v>0</v>
      </c>
      <c r="N34" s="51">
        <f>'Fin Smmry'!M47</f>
        <v>0</v>
      </c>
      <c r="O34" s="51">
        <f>'Fin Smmry'!N47</f>
        <v>0</v>
      </c>
      <c r="P34" s="51">
        <f>'Fin Smmry'!O47</f>
        <v>0</v>
      </c>
      <c r="Q34" s="51">
        <f>'Fin Smmry'!P47</f>
        <v>0</v>
      </c>
      <c r="R34" s="51">
        <f>'Fin Smmry'!Q47</f>
        <v>0</v>
      </c>
      <c r="U34" s="51"/>
    </row>
    <row r="35" spans="1:21">
      <c r="A35" s="707" t="str">
        <f>'Fin Smmry'!A81</f>
        <v>MDA from NSDC</v>
      </c>
      <c r="B35" s="707"/>
      <c r="C35" s="51">
        <f>'Fin Smmry'!B48</f>
        <v>4.2625000000000002</v>
      </c>
      <c r="D35" s="51">
        <f>'Fin Smmry'!C48</f>
        <v>9.5375000000000014</v>
      </c>
      <c r="E35" s="51">
        <f>'Fin Smmry'!D48</f>
        <v>15.825000000000001</v>
      </c>
      <c r="F35" s="51">
        <f>'Fin Smmry'!E48</f>
        <v>23.125</v>
      </c>
      <c r="G35" s="51">
        <f>'Fin Smmry'!F48</f>
        <v>32.018749999999997</v>
      </c>
      <c r="H35" s="51">
        <f>'Fin Smmry'!G48</f>
        <v>42.026249999999997</v>
      </c>
      <c r="I35" s="51">
        <f>'Fin Smmry'!H48</f>
        <v>53.147500000000001</v>
      </c>
      <c r="J35" s="51">
        <f>'Fin Smmry'!I48</f>
        <v>65.382500000000007</v>
      </c>
      <c r="K35" s="51">
        <f>'Fin Smmry'!J48</f>
        <v>137.81850000000003</v>
      </c>
      <c r="L35" s="51">
        <f>'Fin Smmry'!K48</f>
        <v>233.06030000000004</v>
      </c>
      <c r="M35" s="51">
        <f>'Fin Smmry'!L48</f>
        <v>361.54470000000003</v>
      </c>
      <c r="N35" s="51">
        <f>'Fin Smmry'!M48</f>
        <v>361.54470000000003</v>
      </c>
      <c r="O35" s="51">
        <f>'Fin Smmry'!N48</f>
        <v>289.14470000000006</v>
      </c>
      <c r="P35" s="51">
        <f>'Fin Smmry'!O48</f>
        <v>216.74470000000005</v>
      </c>
      <c r="Q35" s="51">
        <f>'Fin Smmry'!P48</f>
        <v>108.14470000000006</v>
      </c>
      <c r="R35" s="51">
        <f>'Fin Smmry'!Q48</f>
        <v>-0.4552999999999372</v>
      </c>
      <c r="S35" s="707"/>
      <c r="U35" s="51"/>
    </row>
    <row r="36" spans="1:21">
      <c r="A36" s="52" t="s">
        <v>84</v>
      </c>
      <c r="B36" s="51"/>
      <c r="C36" s="51">
        <f>'P&amp;L Statement'!B22</f>
        <v>-67.71451762499008</v>
      </c>
      <c r="D36" s="51">
        <f>'P&amp;L Statement'!C22+C36</f>
        <v>-146.20734743837539</v>
      </c>
      <c r="E36" s="51">
        <f>'P&amp;L Statement'!D22+D36</f>
        <v>-224.02055845238476</v>
      </c>
      <c r="F36" s="51">
        <f>'P&amp;L Statement'!E22+E36</f>
        <v>-305.54322992496088</v>
      </c>
      <c r="G36" s="51">
        <f>F36+'P&amp;L Statement'!F22</f>
        <v>-423.76132640038168</v>
      </c>
      <c r="H36" s="51">
        <f>G36+'P&amp;L Statement'!G22</f>
        <v>-531.16913207294533</v>
      </c>
      <c r="I36" s="51">
        <f>H36+'P&amp;L Statement'!H22</f>
        <v>-648.43284966745125</v>
      </c>
      <c r="J36" s="51">
        <f>I36+'P&amp;L Statement'!I22</f>
        <v>-763.41308346056974</v>
      </c>
      <c r="K36" s="51">
        <f>J36+'P&amp;L Statement'!J22</f>
        <v>-896.20669310719313</v>
      </c>
      <c r="L36" s="51">
        <f>K36+'P&amp;L Statement'!K22</f>
        <v>-649.32735027324054</v>
      </c>
      <c r="M36" s="51">
        <f>L36+'P&amp;L Statement'!L22</f>
        <v>-294.8943250908481</v>
      </c>
      <c r="N36" s="51">
        <f>M36+'P&amp;L Statement'!M22</f>
        <v>218.8357866708447</v>
      </c>
      <c r="O36" s="51">
        <f>N36+'P&amp;L Statement'!N22</f>
        <v>768.28681023014747</v>
      </c>
      <c r="P36" s="51">
        <f>O36+'P&amp;L Statement'!O22</f>
        <v>1472.7465085409478</v>
      </c>
      <c r="Q36" s="51">
        <f>P36+'P&amp;L Statement'!P22</f>
        <v>2378.9313751190534</v>
      </c>
      <c r="R36" s="51">
        <f>Q36+'P&amp;L Statement'!Q22</f>
        <v>3523.3705262606068</v>
      </c>
    </row>
    <row r="37" spans="1:21">
      <c r="A37" s="50" t="s">
        <v>83</v>
      </c>
      <c r="B37" s="49"/>
      <c r="C37" s="49">
        <f t="shared" ref="C37:J37" si="6">SUM(C33:C36)</f>
        <v>180.90653087500993</v>
      </c>
      <c r="D37" s="49">
        <f t="shared" si="6"/>
        <v>127.68870106162467</v>
      </c>
      <c r="E37" s="49">
        <f t="shared" si="6"/>
        <v>76.162990047615267</v>
      </c>
      <c r="F37" s="49">
        <f t="shared" si="6"/>
        <v>21.940318575039157</v>
      </c>
      <c r="G37" s="49">
        <f t="shared" si="6"/>
        <v>-67.384027900381625</v>
      </c>
      <c r="H37" s="49">
        <f t="shared" si="6"/>
        <v>-144.78433357294529</v>
      </c>
      <c r="I37" s="49">
        <f t="shared" si="6"/>
        <v>-230.92680116745123</v>
      </c>
      <c r="J37" s="49">
        <f t="shared" si="6"/>
        <v>-313.6720349605697</v>
      </c>
      <c r="K37" s="49">
        <f t="shared" ref="K37:Q37" si="7">SUM(K33:K36)</f>
        <v>-364.02964460719306</v>
      </c>
      <c r="L37" s="49">
        <f t="shared" si="7"/>
        <v>-21.908501773240459</v>
      </c>
      <c r="M37" s="49">
        <f t="shared" si="7"/>
        <v>461.00892340915192</v>
      </c>
      <c r="N37" s="49">
        <f t="shared" si="7"/>
        <v>974.73903517084477</v>
      </c>
      <c r="O37" s="49">
        <f t="shared" si="7"/>
        <v>1451.7900587301476</v>
      </c>
      <c r="P37" s="49">
        <f t="shared" si="7"/>
        <v>2083.8497570409481</v>
      </c>
      <c r="Q37" s="49">
        <f t="shared" si="7"/>
        <v>2881.4346236190536</v>
      </c>
      <c r="R37" s="49">
        <f>SUM(R33:R36)</f>
        <v>3917.273774760607</v>
      </c>
    </row>
    <row r="38" spans="1:2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</row>
    <row r="39" spans="1:21">
      <c r="A39" s="340" t="s">
        <v>82</v>
      </c>
      <c r="B39" s="350">
        <f>B31+B37-0.1</f>
        <v>-0.1</v>
      </c>
      <c r="C39" s="350">
        <f t="shared" ref="C39:J39" si="8">C31+C37</f>
        <v>273.19851481260582</v>
      </c>
      <c r="D39" s="350">
        <f t="shared" si="8"/>
        <v>286.90997923253462</v>
      </c>
      <c r="E39" s="350">
        <f t="shared" si="8"/>
        <v>290.76937670490815</v>
      </c>
      <c r="F39" s="350">
        <f t="shared" si="8"/>
        <v>294.28289431360088</v>
      </c>
      <c r="G39" s="350">
        <f t="shared" si="8"/>
        <v>340.27255372887191</v>
      </c>
      <c r="H39" s="350">
        <f t="shared" si="8"/>
        <v>342.1467738680218</v>
      </c>
      <c r="I39" s="350">
        <f t="shared" si="8"/>
        <v>352.51237559451783</v>
      </c>
      <c r="J39" s="350">
        <f t="shared" si="8"/>
        <v>353.18136756076069</v>
      </c>
      <c r="K39" s="350">
        <f t="shared" ref="K39:Q39" si="9">K31+K37</f>
        <v>458.38712853532934</v>
      </c>
      <c r="L39" s="350">
        <f t="shared" si="9"/>
        <v>488.76401239792597</v>
      </c>
      <c r="M39" s="350">
        <f t="shared" si="9"/>
        <v>553.08398312181339</v>
      </c>
      <c r="N39" s="350">
        <f t="shared" si="9"/>
        <v>974.73903517084477</v>
      </c>
      <c r="O39" s="350">
        <f t="shared" si="9"/>
        <v>1451.7900587301476</v>
      </c>
      <c r="P39" s="350">
        <f>P31+P37</f>
        <v>2083.8497570409481</v>
      </c>
      <c r="Q39" s="350">
        <f t="shared" si="9"/>
        <v>2881.4346236190536</v>
      </c>
      <c r="R39" s="350">
        <f>R31+R37</f>
        <v>3917.273774760607</v>
      </c>
    </row>
    <row r="40" spans="1:21">
      <c r="B40" s="369">
        <f t="shared" ref="B40:R40" si="10">B39-B21</f>
        <v>-0.1</v>
      </c>
      <c r="C40" s="369">
        <f t="shared" si="10"/>
        <v>0</v>
      </c>
      <c r="D40" s="369">
        <f t="shared" si="10"/>
        <v>0</v>
      </c>
      <c r="E40" s="369">
        <f t="shared" si="10"/>
        <v>0</v>
      </c>
      <c r="F40" s="369">
        <f t="shared" si="10"/>
        <v>0</v>
      </c>
      <c r="G40" s="369">
        <f>G39-G21</f>
        <v>0</v>
      </c>
      <c r="H40" s="369">
        <f>H39-H21</f>
        <v>0</v>
      </c>
      <c r="I40" s="369">
        <f>I39-I21</f>
        <v>0</v>
      </c>
      <c r="J40" s="369">
        <f>J39-J21</f>
        <v>0</v>
      </c>
      <c r="K40" s="369">
        <f t="shared" si="10"/>
        <v>0</v>
      </c>
      <c r="L40" s="369">
        <f t="shared" si="10"/>
        <v>0</v>
      </c>
      <c r="M40" s="369">
        <f t="shared" si="10"/>
        <v>0</v>
      </c>
      <c r="N40" s="369">
        <f>N39-N21</f>
        <v>0</v>
      </c>
      <c r="O40" s="369">
        <f t="shared" si="10"/>
        <v>0</v>
      </c>
      <c r="P40" s="369">
        <f t="shared" si="10"/>
        <v>0</v>
      </c>
      <c r="Q40" s="369">
        <f t="shared" si="10"/>
        <v>0</v>
      </c>
      <c r="R40" s="369">
        <f t="shared" si="10"/>
        <v>0</v>
      </c>
      <c r="S40" s="276"/>
    </row>
    <row r="41" spans="1:21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</row>
    <row r="42" spans="1:21">
      <c r="A42" s="44" t="s">
        <v>81</v>
      </c>
    </row>
  </sheetData>
  <mergeCells count="3">
    <mergeCell ref="A1:R1"/>
    <mergeCell ref="C6:F6"/>
    <mergeCell ref="G6:J6"/>
  </mergeCells>
  <hyperlinks>
    <hyperlink ref="A3" location="Index!A1" display="BACK TO INDEX"/>
    <hyperlink ref="A42" location="Index!A1" display="BACK TO INDEX"/>
  </hyperlinks>
  <pageMargins left="0.7" right="0.7" top="0.75" bottom="0.75" header="0.3" footer="0.3"/>
  <pageSetup scale="84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 codeName="Sheet10">
    <pageSetUpPr fitToPage="1"/>
  </sheetPr>
  <dimension ref="A1:U26"/>
  <sheetViews>
    <sheetView topLeftCell="A4" zoomScale="90" zoomScaleNormal="90" workbookViewId="0">
      <selection activeCell="B20" sqref="B20"/>
    </sheetView>
  </sheetViews>
  <sheetFormatPr defaultRowHeight="15"/>
  <cols>
    <col min="1" max="1" width="36.140625" style="45" customWidth="1"/>
    <col min="2" max="2" width="8" style="45" customWidth="1"/>
    <col min="3" max="3" width="8.140625" style="45" customWidth="1"/>
    <col min="4" max="5" width="7.7109375" style="45" bestFit="1" customWidth="1"/>
    <col min="6" max="6" width="9.140625" style="45" customWidth="1"/>
    <col min="7" max="7" width="8.7109375" style="45" customWidth="1"/>
    <col min="8" max="8" width="8.42578125" style="45" customWidth="1"/>
    <col min="9" max="9" width="8.7109375" style="45" customWidth="1"/>
    <col min="10" max="10" width="9.7109375" style="45" customWidth="1"/>
    <col min="11" max="11" width="9.85546875" style="45" customWidth="1"/>
    <col min="12" max="12" width="10.42578125" style="45" customWidth="1"/>
    <col min="13" max="13" width="10" style="45" customWidth="1"/>
    <col min="14" max="14" width="9.7109375" style="45" customWidth="1"/>
    <col min="15" max="15" width="9.85546875" style="45" customWidth="1"/>
    <col min="16" max="17" width="10" style="45" customWidth="1"/>
    <col min="18" max="18" width="9.28515625" style="45" bestFit="1" customWidth="1"/>
    <col min="19" max="19" width="0" style="45" hidden="1" customWidth="1"/>
    <col min="20" max="20" width="9.85546875" style="45" hidden="1" customWidth="1"/>
    <col min="21" max="23" width="0" style="45" hidden="1" customWidth="1"/>
    <col min="24" max="16384" width="9.140625" style="45"/>
  </cols>
  <sheetData>
    <row r="1" spans="1:18">
      <c r="A1" s="1345" t="s">
        <v>111</v>
      </c>
      <c r="B1" s="1345"/>
      <c r="C1" s="1345"/>
      <c r="D1" s="1345"/>
      <c r="E1" s="1345"/>
      <c r="F1" s="1345"/>
      <c r="G1" s="1345"/>
      <c r="H1" s="1345"/>
      <c r="I1" s="1345"/>
      <c r="J1" s="1345"/>
      <c r="K1" s="1345"/>
      <c r="L1" s="1345"/>
      <c r="M1" s="1345"/>
      <c r="N1" s="1345"/>
      <c r="O1" s="1345"/>
      <c r="P1" s="1345"/>
      <c r="Q1" s="1345"/>
    </row>
    <row r="2" spans="1:18">
      <c r="A2" s="71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18">
      <c r="A3" s="44" t="s">
        <v>81</v>
      </c>
    </row>
    <row r="4" spans="1:18">
      <c r="A4" s="43" t="s">
        <v>101</v>
      </c>
      <c r="B4" s="73"/>
      <c r="C4" s="73"/>
      <c r="D4" s="73"/>
      <c r="E4" s="73"/>
    </row>
    <row r="5" spans="1:18">
      <c r="A5" s="43"/>
      <c r="B5" s="1347" t="s">
        <v>156</v>
      </c>
      <c r="C5" s="1347"/>
      <c r="D5" s="1347"/>
      <c r="E5" s="1347"/>
      <c r="F5" s="1346" t="s">
        <v>157</v>
      </c>
      <c r="G5" s="1346"/>
      <c r="H5" s="1346"/>
      <c r="I5" s="1346"/>
      <c r="J5" s="70" t="str">
        <f>'Balance Sheet'!K6</f>
        <v>Year 3</v>
      </c>
      <c r="K5" s="70" t="str">
        <f>'Balance Sheet'!L6</f>
        <v>Year 4</v>
      </c>
      <c r="L5" s="70" t="str">
        <f>'Balance Sheet'!M6</f>
        <v>Year 5</v>
      </c>
      <c r="M5" s="70" t="str">
        <f>'Balance Sheet'!N6</f>
        <v>Year 6</v>
      </c>
      <c r="N5" s="70" t="str">
        <f>'Balance Sheet'!O6</f>
        <v>Year 7</v>
      </c>
      <c r="O5" s="70" t="str">
        <f>'Balance Sheet'!P6</f>
        <v>Year 8</v>
      </c>
      <c r="P5" s="70" t="str">
        <f>'Balance Sheet'!Q6</f>
        <v>Year 9</v>
      </c>
      <c r="Q5" s="70" t="str">
        <f>'Balance Sheet'!R6</f>
        <v>Year 10</v>
      </c>
    </row>
    <row r="6" spans="1:18" s="53" customFormat="1">
      <c r="A6" s="72"/>
      <c r="B6" s="626" t="s">
        <v>608</v>
      </c>
      <c r="C6" s="626" t="s">
        <v>609</v>
      </c>
      <c r="D6" s="626" t="s">
        <v>610</v>
      </c>
      <c r="E6" s="626" t="s">
        <v>611</v>
      </c>
      <c r="F6" s="626" t="s">
        <v>608</v>
      </c>
      <c r="G6" s="626" t="s">
        <v>609</v>
      </c>
      <c r="H6" s="626" t="s">
        <v>610</v>
      </c>
      <c r="I6" s="626" t="s">
        <v>611</v>
      </c>
    </row>
    <row r="7" spans="1:18">
      <c r="A7" s="52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</row>
    <row r="8" spans="1:18">
      <c r="A8" s="340" t="s">
        <v>110</v>
      </c>
      <c r="B8" s="1097">
        <f>'Revenue Schedule'!C18</f>
        <v>14.9203125</v>
      </c>
      <c r="C8" s="1097">
        <f>'Revenue Schedule'!D18</f>
        <v>34.640625</v>
      </c>
      <c r="D8" s="1097">
        <f>'Revenue Schedule'!E18</f>
        <v>49.560937500000001</v>
      </c>
      <c r="E8" s="1097">
        <f>'Revenue Schedule'!F18</f>
        <v>64.481250000000003</v>
      </c>
      <c r="F8" s="1097">
        <f>'Revenue Schedule'!G18</f>
        <v>103.18171875000002</v>
      </c>
      <c r="G8" s="1097">
        <f>'Revenue Schedule'!H18</f>
        <v>119.59406249999999</v>
      </c>
      <c r="H8" s="1097">
        <f>'Revenue Schedule'!I18</f>
        <v>141.28640625</v>
      </c>
      <c r="I8" s="1097">
        <f>'Revenue Schedule'!J18</f>
        <v>157.69874999999999</v>
      </c>
      <c r="J8" s="1097">
        <f>'Revenue Schedule'!K18</f>
        <v>1355.0790000000004</v>
      </c>
      <c r="K8" s="1097">
        <f>'Revenue Schedule'!L18</f>
        <v>2033.8744800000006</v>
      </c>
      <c r="L8" s="1097">
        <f>'Revenue Schedule'!M18</f>
        <v>2585.9227020000008</v>
      </c>
      <c r="M8" s="1097">
        <f>'Revenue Schedule'!N18</f>
        <v>3270.1727652000013</v>
      </c>
      <c r="N8" s="1097">
        <f>'Revenue Schedule'!O18</f>
        <v>3880.0374709800017</v>
      </c>
      <c r="O8" s="1097">
        <f>'Revenue Schedule'!P18</f>
        <v>4783.0871476080019</v>
      </c>
      <c r="P8" s="1097">
        <f>'Revenue Schedule'!Q18</f>
        <v>5827.9463848518044</v>
      </c>
      <c r="Q8" s="1097">
        <f>'Revenue Schedule'!R18</f>
        <v>6972.2626864717267</v>
      </c>
      <c r="R8" s="1098">
        <f>SUM(B8:Q8)</f>
        <v>31393.746699611536</v>
      </c>
    </row>
    <row r="9" spans="1:18">
      <c r="A9" s="52"/>
      <c r="B9" s="1099"/>
      <c r="C9" s="1099"/>
      <c r="D9" s="1099"/>
      <c r="E9" s="1099"/>
      <c r="F9" s="1099"/>
      <c r="G9" s="1099"/>
      <c r="H9" s="1099"/>
      <c r="I9" s="1099"/>
      <c r="J9" s="1099"/>
      <c r="K9" s="1099"/>
      <c r="L9" s="1099"/>
      <c r="M9" s="1099"/>
      <c r="N9" s="1099"/>
      <c r="O9" s="1099"/>
      <c r="P9" s="1100"/>
      <c r="Q9" s="1100"/>
      <c r="R9" s="1100"/>
    </row>
    <row r="10" spans="1:18">
      <c r="A10" s="340" t="s">
        <v>109</v>
      </c>
      <c r="B10" s="1097">
        <f>'Operational Expenses'!C17</f>
        <v>60.952849999999998</v>
      </c>
      <c r="C10" s="1097">
        <f>'Operational Expenses'!D17</f>
        <v>88.065699999999993</v>
      </c>
      <c r="D10" s="1097">
        <f>'Operational Expenses'!E17</f>
        <v>101.08355</v>
      </c>
      <c r="E10" s="1097">
        <f>'Operational Expenses'!F17</f>
        <v>118.50139999999999</v>
      </c>
      <c r="F10" s="1097">
        <f>'Operational Expenses'!G17</f>
        <v>186.26569500000005</v>
      </c>
      <c r="G10" s="1097">
        <f>'Operational Expenses'!H17</f>
        <v>191.53100999999998</v>
      </c>
      <c r="H10" s="1097">
        <f>'Operational Expenses'!I17</f>
        <v>220.62254500000003</v>
      </c>
      <c r="I10" s="1097">
        <f>'Operational Expenses'!J17</f>
        <v>234.20958000000002</v>
      </c>
      <c r="J10" s="1097">
        <f>'Operational Expenses'!K17</f>
        <v>1359.4469680000002</v>
      </c>
      <c r="K10" s="1097">
        <f>'Operational Expenses'!L17</f>
        <v>1661.0194744000005</v>
      </c>
      <c r="L10" s="1097">
        <f>'Operational Expenses'!M17</f>
        <v>2120.4865394400003</v>
      </c>
      <c r="M10" s="1097">
        <f>'Operational Expenses'!N17</f>
        <v>2601.1114998160006</v>
      </c>
      <c r="N10" s="1097">
        <f>'Operational Expenses'!O17</f>
        <v>3035.2740061152008</v>
      </c>
      <c r="O10" s="1097">
        <f>'Operational Expenses'!P17</f>
        <v>3706.7634739388805</v>
      </c>
      <c r="P10" s="1097">
        <f>'Operational Expenses'!Q17</f>
        <v>4452.3567819261443</v>
      </c>
      <c r="Q10" s="1097">
        <f>'Operational Expenses'!R17</f>
        <v>5247.4675728115917</v>
      </c>
      <c r="R10" s="1098">
        <f>SUM(B10:Q10)</f>
        <v>25385.158646447821</v>
      </c>
    </row>
    <row r="11" spans="1:18" s="53" customFormat="1">
      <c r="B11" s="1101"/>
      <c r="C11" s="1101"/>
      <c r="D11" s="1101"/>
      <c r="E11" s="1101"/>
      <c r="F11" s="1101"/>
      <c r="G11" s="1101"/>
      <c r="H11" s="1101"/>
      <c r="I11" s="1101"/>
      <c r="J11" s="1101"/>
      <c r="K11" s="1101"/>
      <c r="L11" s="1101"/>
      <c r="M11" s="1101"/>
      <c r="N11" s="1101"/>
      <c r="O11" s="1101"/>
      <c r="P11" s="1101"/>
      <c r="Q11" s="1101"/>
      <c r="R11" s="1102"/>
    </row>
    <row r="12" spans="1:18" ht="47.25" customHeight="1">
      <c r="A12" s="349" t="s">
        <v>108</v>
      </c>
      <c r="B12" s="1097">
        <f t="shared" ref="B12:I12" si="0">B8-B10</f>
        <v>-46.032537499999997</v>
      </c>
      <c r="C12" s="1097">
        <f t="shared" si="0"/>
        <v>-53.425074999999993</v>
      </c>
      <c r="D12" s="1097">
        <f t="shared" si="0"/>
        <v>-51.522612500000001</v>
      </c>
      <c r="E12" s="1097">
        <f t="shared" si="0"/>
        <v>-54.020149999999987</v>
      </c>
      <c r="F12" s="1097">
        <f t="shared" si="0"/>
        <v>-83.083976250000035</v>
      </c>
      <c r="G12" s="1097">
        <f t="shared" si="0"/>
        <v>-71.936947499999988</v>
      </c>
      <c r="H12" s="1097">
        <f t="shared" si="0"/>
        <v>-79.336138750000032</v>
      </c>
      <c r="I12" s="1097">
        <f t="shared" si="0"/>
        <v>-76.510830000000027</v>
      </c>
      <c r="J12" s="1097">
        <f t="shared" ref="J12:P12" si="1">J8-J10</f>
        <v>-4.3679679999997916</v>
      </c>
      <c r="K12" s="1097">
        <f t="shared" si="1"/>
        <v>372.85500560000014</v>
      </c>
      <c r="L12" s="1097">
        <f t="shared" si="1"/>
        <v>465.43616256000041</v>
      </c>
      <c r="M12" s="1097">
        <f t="shared" si="1"/>
        <v>669.06126538400076</v>
      </c>
      <c r="N12" s="1097">
        <f t="shared" si="1"/>
        <v>844.76346486480088</v>
      </c>
      <c r="O12" s="1097">
        <f t="shared" si="1"/>
        <v>1076.3236736691215</v>
      </c>
      <c r="P12" s="1097">
        <f t="shared" si="1"/>
        <v>1375.5896029256601</v>
      </c>
      <c r="Q12" s="1097">
        <f>Q8-Q10</f>
        <v>1724.795113660135</v>
      </c>
      <c r="R12" s="1098">
        <f>SUM(B12:Q12)</f>
        <v>6008.5880531637195</v>
      </c>
    </row>
    <row r="13" spans="1:18">
      <c r="A13" s="52" t="s">
        <v>30</v>
      </c>
      <c r="B13" s="1103">
        <f>'Depreciation '!C41</f>
        <v>9.9955593891011496</v>
      </c>
      <c r="C13" s="1103">
        <f>'Depreciation '!D41</f>
        <v>12.377394663996666</v>
      </c>
      <c r="D13" s="1103">
        <f>'Depreciation '!E41</f>
        <v>12.769461737324994</v>
      </c>
      <c r="E13" s="1103">
        <f>'Depreciation '!F41</f>
        <v>13.115341859672684</v>
      </c>
      <c r="F13" s="1103">
        <f>'Depreciation '!G41</f>
        <v>18.717230524156967</v>
      </c>
      <c r="G13" s="1103">
        <f>'Depreciation '!H41</f>
        <v>17.864850584124138</v>
      </c>
      <c r="H13" s="1103">
        <f>'Depreciation '!I41</f>
        <v>18.873950216251341</v>
      </c>
      <c r="I13" s="1103">
        <f>'Depreciation '!J41</f>
        <v>18.164561778473505</v>
      </c>
      <c r="J13" s="1103">
        <f>'Depreciation '!K41</f>
        <v>42.539372469408008</v>
      </c>
      <c r="K13" s="1103">
        <f>'Depreciation '!L41</f>
        <v>44.774820239336862</v>
      </c>
      <c r="L13" s="1103">
        <f>'Depreciation '!M41</f>
        <v>51.71254625379315</v>
      </c>
      <c r="M13" s="1103">
        <f>'Depreciation '!N41</f>
        <v>54.710184784586922</v>
      </c>
      <c r="N13" s="1103">
        <f>'Depreciation '!O41</f>
        <v>49.610029901989236</v>
      </c>
      <c r="O13" s="1103">
        <f>'Depreciation '!P41</f>
        <v>56.845094348136946</v>
      </c>
      <c r="P13" s="1103">
        <f>'Depreciation '!Q41</f>
        <v>64.178797458068829</v>
      </c>
      <c r="Q13" s="1103">
        <f>'Depreciation '!R41</f>
        <v>68.587948476989794</v>
      </c>
      <c r="R13" s="1098">
        <f>SUM(B13:Q13)</f>
        <v>554.83714468541132</v>
      </c>
    </row>
    <row r="14" spans="1:18">
      <c r="A14" s="52" t="s">
        <v>107</v>
      </c>
      <c r="B14" s="1103">
        <f>Amortisation!C17</f>
        <v>10.302040976825001</v>
      </c>
      <c r="C14" s="1103">
        <f>Amortisation!D17</f>
        <v>10.302040976825001</v>
      </c>
      <c r="D14" s="1103">
        <f>Amortisation!E17</f>
        <v>10.302040976825001</v>
      </c>
      <c r="E14" s="1103">
        <f>Amortisation!F17</f>
        <v>10.302040976825001</v>
      </c>
      <c r="F14" s="1103">
        <f>Amortisation!G17</f>
        <v>10.302040976825001</v>
      </c>
      <c r="G14" s="1103">
        <f>Amortisation!H17</f>
        <v>10.302040976825001</v>
      </c>
      <c r="H14" s="1103">
        <f>Amortisation!I17</f>
        <v>10.302040976825001</v>
      </c>
      <c r="I14" s="1103">
        <f>Amortisation!J17</f>
        <v>10.302040976825001</v>
      </c>
      <c r="J14" s="1103">
        <f>Amortisation!K17</f>
        <v>41.208163907300005</v>
      </c>
      <c r="K14" s="1103">
        <f>Amortisation!L17</f>
        <v>41.208163907300005</v>
      </c>
      <c r="L14" s="1103">
        <f>Amortisation!M17</f>
        <v>41.208163907300005</v>
      </c>
      <c r="M14" s="1103">
        <f>Amortisation!N17</f>
        <v>0</v>
      </c>
      <c r="N14" s="1103">
        <f>Amortisation!O17</f>
        <v>0</v>
      </c>
      <c r="O14" s="1103">
        <f>Amortisation!P17</f>
        <v>0</v>
      </c>
      <c r="P14" s="1103">
        <f>Amortisation!Q17</f>
        <v>0</v>
      </c>
      <c r="Q14" s="1103">
        <f>Amortisation!R17</f>
        <v>0</v>
      </c>
      <c r="R14" s="1098">
        <f>SUM(B14:Q14)</f>
        <v>206.04081953650001</v>
      </c>
    </row>
    <row r="15" spans="1:18">
      <c r="A15" s="52"/>
      <c r="B15" s="1103"/>
      <c r="C15" s="1103"/>
      <c r="D15" s="1103"/>
      <c r="E15" s="1103"/>
      <c r="F15" s="1103"/>
      <c r="G15" s="1103"/>
      <c r="H15" s="1103"/>
      <c r="I15" s="1103"/>
      <c r="J15" s="1103"/>
      <c r="K15" s="1103"/>
      <c r="L15" s="1103"/>
      <c r="M15" s="1103"/>
      <c r="N15" s="1103"/>
      <c r="O15" s="1103"/>
      <c r="P15" s="1100"/>
      <c r="Q15" s="1100"/>
      <c r="R15" s="1100"/>
    </row>
    <row r="16" spans="1:18">
      <c r="A16" s="340" t="s">
        <v>106</v>
      </c>
      <c r="B16" s="1097">
        <f t="shared" ref="B16:I16" si="2">B12-B13-B14</f>
        <v>-66.330137865926147</v>
      </c>
      <c r="C16" s="1097">
        <f t="shared" si="2"/>
        <v>-76.104510640821658</v>
      </c>
      <c r="D16" s="1097">
        <f t="shared" si="2"/>
        <v>-74.594115214149994</v>
      </c>
      <c r="E16" s="1097">
        <f t="shared" si="2"/>
        <v>-77.437532836497667</v>
      </c>
      <c r="F16" s="1097">
        <f t="shared" si="2"/>
        <v>-112.10324775098201</v>
      </c>
      <c r="G16" s="1097">
        <f t="shared" si="2"/>
        <v>-100.10383906094913</v>
      </c>
      <c r="H16" s="1097">
        <f t="shared" si="2"/>
        <v>-108.51212994307637</v>
      </c>
      <c r="I16" s="1097">
        <f t="shared" si="2"/>
        <v>-104.97743275529854</v>
      </c>
      <c r="J16" s="1097">
        <f t="shared" ref="J16:P16" si="3">J12-J13-J14</f>
        <v>-88.115504376707804</v>
      </c>
      <c r="K16" s="1097">
        <f t="shared" si="3"/>
        <v>286.87202145336329</v>
      </c>
      <c r="L16" s="1097">
        <f t="shared" si="3"/>
        <v>372.51545239890726</v>
      </c>
      <c r="M16" s="1097">
        <f t="shared" si="3"/>
        <v>614.35108059941388</v>
      </c>
      <c r="N16" s="1097">
        <f t="shared" si="3"/>
        <v>795.15343496281162</v>
      </c>
      <c r="O16" s="1097">
        <f t="shared" si="3"/>
        <v>1019.4785793209845</v>
      </c>
      <c r="P16" s="1097">
        <f t="shared" si="3"/>
        <v>1311.4108054675912</v>
      </c>
      <c r="Q16" s="1097">
        <f>Q12-Q13-Q14</f>
        <v>1656.2071651831452</v>
      </c>
      <c r="R16" s="1098">
        <f>SUM(B16:Q16)</f>
        <v>5247.710088941807</v>
      </c>
    </row>
    <row r="17" spans="1:21">
      <c r="A17" s="52" t="s">
        <v>105</v>
      </c>
      <c r="B17" s="1103">
        <f>'Interest-Principal'!C15</f>
        <v>1.3843797590639382</v>
      </c>
      <c r="C17" s="1103">
        <f>'Interest-Principal'!D15</f>
        <v>2.3883191725636492</v>
      </c>
      <c r="D17" s="1103">
        <f>'Interest-Principal'!E15</f>
        <v>3.2190957998593928</v>
      </c>
      <c r="E17" s="1103">
        <f>'Interest-Principal'!F15</f>
        <v>4.0851386360784261</v>
      </c>
      <c r="F17" s="1103">
        <f>'Interest-Principal'!G15</f>
        <v>6.1148487244388026</v>
      </c>
      <c r="G17" s="1103">
        <f>'Interest-Principal'!H15</f>
        <v>7.3039666116145057</v>
      </c>
      <c r="H17" s="1103">
        <f>'Interest-Principal'!I15</f>
        <v>8.751587651429535</v>
      </c>
      <c r="I17" s="1103">
        <f>'Interest-Principal'!J15</f>
        <v>10.002801037819955</v>
      </c>
      <c r="J17" s="1103">
        <f>'Interest-Principal'!K15</f>
        <v>44.678105269915584</v>
      </c>
      <c r="K17" s="1103">
        <f>'Interest-Principal'!L15</f>
        <v>39.992678619410661</v>
      </c>
      <c r="L17" s="1103">
        <f>'Interest-Principal'!M15</f>
        <v>18.082427216514837</v>
      </c>
      <c r="M17" s="1103">
        <f>'Interest-Principal'!N15</f>
        <v>2.7622517913798457</v>
      </c>
      <c r="N17" s="1103">
        <f>'Interest-Principal'!O15</f>
        <v>0</v>
      </c>
      <c r="O17" s="1103">
        <f>'Interest-Principal'!P15</f>
        <v>0</v>
      </c>
      <c r="P17" s="1103">
        <f>'Interest-Principal'!Q15</f>
        <v>0</v>
      </c>
      <c r="Q17" s="1103">
        <f>'Interest-Principal'!R15</f>
        <v>0</v>
      </c>
      <c r="R17" s="1098">
        <f>SUM(B17:Q17)</f>
        <v>148.76560029008914</v>
      </c>
    </row>
    <row r="18" spans="1:21">
      <c r="A18" s="52"/>
      <c r="B18" s="1103"/>
      <c r="C18" s="1103"/>
      <c r="D18" s="1103"/>
      <c r="E18" s="1103"/>
      <c r="F18" s="1103"/>
      <c r="G18" s="1103"/>
      <c r="H18" s="1103"/>
      <c r="I18" s="1103"/>
      <c r="J18" s="1103"/>
      <c r="K18" s="1103"/>
      <c r="L18" s="1103"/>
      <c r="M18" s="1103"/>
      <c r="N18" s="1103"/>
      <c r="O18" s="1103"/>
      <c r="P18" s="1100"/>
      <c r="Q18" s="1100"/>
      <c r="R18" s="1100"/>
    </row>
    <row r="19" spans="1:21">
      <c r="A19" s="340" t="s">
        <v>104</v>
      </c>
      <c r="B19" s="1097">
        <f t="shared" ref="B19:O19" si="4">B16-B17</f>
        <v>-67.71451762499008</v>
      </c>
      <c r="C19" s="1097">
        <f t="shared" si="4"/>
        <v>-78.492829813385313</v>
      </c>
      <c r="D19" s="1097">
        <f t="shared" si="4"/>
        <v>-77.813211014009383</v>
      </c>
      <c r="E19" s="1097">
        <f t="shared" si="4"/>
        <v>-81.522671472576093</v>
      </c>
      <c r="F19" s="1097">
        <f>F16-F17</f>
        <v>-118.21809647542081</v>
      </c>
      <c r="G19" s="1097">
        <f>G16-G17</f>
        <v>-107.40780567256363</v>
      </c>
      <c r="H19" s="1097">
        <f>H16-H17</f>
        <v>-117.26371759450591</v>
      </c>
      <c r="I19" s="1097">
        <f>I16-I17</f>
        <v>-114.98023379311849</v>
      </c>
      <c r="J19" s="1097">
        <f t="shared" si="4"/>
        <v>-132.79360964662339</v>
      </c>
      <c r="K19" s="1097">
        <f t="shared" si="4"/>
        <v>246.87934283395262</v>
      </c>
      <c r="L19" s="1097">
        <f t="shared" si="4"/>
        <v>354.43302518239244</v>
      </c>
      <c r="M19" s="1097">
        <f t="shared" si="4"/>
        <v>611.58882880803401</v>
      </c>
      <c r="N19" s="1097">
        <f t="shared" si="4"/>
        <v>795.15343496281162</v>
      </c>
      <c r="O19" s="1097">
        <f t="shared" si="4"/>
        <v>1019.4785793209845</v>
      </c>
      <c r="P19" s="1097">
        <f>P16-P17</f>
        <v>1311.4108054675912</v>
      </c>
      <c r="Q19" s="1097">
        <f>Q16-Q17</f>
        <v>1656.2071651831452</v>
      </c>
      <c r="R19" s="1098">
        <f>SUM(B19:Q19)</f>
        <v>5098.9444886517185</v>
      </c>
      <c r="T19" s="194">
        <f>SUM(B19:P19)*0.3*1.03-R20</f>
        <v>-511.76812943932282</v>
      </c>
    </row>
    <row r="20" spans="1:21">
      <c r="A20" s="45" t="s">
        <v>34</v>
      </c>
      <c r="B20" s="1104">
        <f>'Fin Smmry'!B36</f>
        <v>0</v>
      </c>
      <c r="C20" s="1104">
        <f>'Fin Smmry'!C36</f>
        <v>0</v>
      </c>
      <c r="D20" s="1104">
        <f>'Fin Smmry'!D36</f>
        <v>0</v>
      </c>
      <c r="E20" s="1104">
        <f>'Fin Smmry'!E36</f>
        <v>0</v>
      </c>
      <c r="F20" s="1104">
        <f>'Fin Smmry'!F36</f>
        <v>0</v>
      </c>
      <c r="G20" s="1104">
        <f>'Fin Smmry'!G36</f>
        <v>0</v>
      </c>
      <c r="H20" s="1104">
        <f>'Fin Smmry'!H36</f>
        <v>0</v>
      </c>
      <c r="I20" s="1104">
        <f>'Fin Smmry'!I36</f>
        <v>0</v>
      </c>
      <c r="J20" s="1104">
        <f>'Fin Smmry'!J36</f>
        <v>0</v>
      </c>
      <c r="K20" s="1104">
        <f>'Fin Smmry'!K36</f>
        <v>0</v>
      </c>
      <c r="L20" s="1104">
        <f>'Fin Smmry'!L36</f>
        <v>0</v>
      </c>
      <c r="M20" s="1104">
        <f>'Fin Smmry'!M36</f>
        <v>97.858717046341184</v>
      </c>
      <c r="N20" s="1104">
        <f>'Fin Smmry'!N36</f>
        <v>245.70241140350879</v>
      </c>
      <c r="O20" s="1104">
        <f>'Fin Smmry'!O36</f>
        <v>315.0188810101842</v>
      </c>
      <c r="P20" s="1104">
        <f>'Fin Smmry'!P36</f>
        <v>405.22593888948569</v>
      </c>
      <c r="Q20" s="1104">
        <f>'Fin Smmry'!Q36</f>
        <v>511.76801404159187</v>
      </c>
      <c r="R20" s="1098">
        <f>SUM(B20:Q20)</f>
        <v>1575.5739623911118</v>
      </c>
      <c r="S20" s="191" t="s">
        <v>283</v>
      </c>
      <c r="T20" s="191"/>
      <c r="U20" s="191"/>
    </row>
    <row r="21" spans="1:21">
      <c r="B21" s="1105"/>
      <c r="C21" s="1105"/>
      <c r="D21" s="1105"/>
      <c r="E21" s="1105"/>
      <c r="F21" s="1105"/>
      <c r="G21" s="1105"/>
      <c r="H21" s="1105"/>
      <c r="I21" s="1105"/>
      <c r="J21" s="1105"/>
      <c r="K21" s="1105"/>
      <c r="L21" s="1105"/>
      <c r="M21" s="1105"/>
      <c r="N21" s="1105"/>
      <c r="O21" s="1105"/>
      <c r="P21" s="1100"/>
      <c r="Q21" s="1100"/>
      <c r="R21" s="1100"/>
    </row>
    <row r="22" spans="1:21">
      <c r="A22" s="340" t="s">
        <v>103</v>
      </c>
      <c r="B22" s="1097">
        <f t="shared" ref="B22:P22" si="5">B19-B20</f>
        <v>-67.71451762499008</v>
      </c>
      <c r="C22" s="1097">
        <f t="shared" si="5"/>
        <v>-78.492829813385313</v>
      </c>
      <c r="D22" s="1097">
        <f t="shared" si="5"/>
        <v>-77.813211014009383</v>
      </c>
      <c r="E22" s="1097">
        <f t="shared" si="5"/>
        <v>-81.522671472576093</v>
      </c>
      <c r="F22" s="1097">
        <f>F19-F20</f>
        <v>-118.21809647542081</v>
      </c>
      <c r="G22" s="1097">
        <f>G19-G20</f>
        <v>-107.40780567256363</v>
      </c>
      <c r="H22" s="1097">
        <f>H19-H20</f>
        <v>-117.26371759450591</v>
      </c>
      <c r="I22" s="1097">
        <f>I19-I20</f>
        <v>-114.98023379311849</v>
      </c>
      <c r="J22" s="1097">
        <f t="shared" si="5"/>
        <v>-132.79360964662339</v>
      </c>
      <c r="K22" s="1097">
        <f t="shared" si="5"/>
        <v>246.87934283395262</v>
      </c>
      <c r="L22" s="1097">
        <f t="shared" si="5"/>
        <v>354.43302518239244</v>
      </c>
      <c r="M22" s="1097">
        <f t="shared" si="5"/>
        <v>513.7301117616928</v>
      </c>
      <c r="N22" s="1097">
        <f t="shared" si="5"/>
        <v>549.45102355930283</v>
      </c>
      <c r="O22" s="1097">
        <f t="shared" si="5"/>
        <v>704.45969831080038</v>
      </c>
      <c r="P22" s="1097">
        <f t="shared" si="5"/>
        <v>906.18486657810558</v>
      </c>
      <c r="Q22" s="1097">
        <f>Q19-Q20</f>
        <v>1144.4391511415533</v>
      </c>
      <c r="R22" s="1098">
        <f>SUM(B22:Q22)</f>
        <v>3523.3705262606068</v>
      </c>
    </row>
    <row r="23" spans="1:21">
      <c r="B23" s="1100">
        <f>B22-'Fin Smmry'!B38</f>
        <v>1.1865296301039052E-8</v>
      </c>
      <c r="C23" s="1100">
        <f>C22-'Fin Smmry'!C38</f>
        <v>6.0750423358513217E-8</v>
      </c>
      <c r="D23" s="1100">
        <f>D22-'Fin Smmry'!D38</f>
        <v>1.8652349353942554E-7</v>
      </c>
      <c r="E23" s="1100">
        <f>E22-'Fin Smmry'!E38</f>
        <v>4.4519049424707191E-7</v>
      </c>
      <c r="F23" s="1100">
        <f>F22-'Fin Smmry'!F38</f>
        <v>9.1625291531727271E-7</v>
      </c>
      <c r="G23" s="1100">
        <f>G22-'Fin Smmry'!G38</f>
        <v>1.7000990624183032E-6</v>
      </c>
      <c r="H23" s="1100">
        <f>H22-'Fin Smmry'!H38</f>
        <v>2.9195724664532463E-6</v>
      </c>
      <c r="I23" s="1100">
        <f>I22-'Fin Smmry'!I38</f>
        <v>4.7215413587764488E-6</v>
      </c>
      <c r="J23" s="1100">
        <f>J22-'Fin Smmry'!J38</f>
        <v>2.9351276623401645E-5</v>
      </c>
      <c r="K23" s="1100">
        <f>K22-'Fin Smmry'!K38</f>
        <v>9.4256674287862552E-7</v>
      </c>
      <c r="L23" s="1100">
        <f>L22-'Fin Smmry'!L38</f>
        <v>-2.1683835262820139E-4</v>
      </c>
      <c r="M23" s="1100">
        <f>M22-'Fin Smmry'!M38</f>
        <v>-1.9787272549365298E-4</v>
      </c>
      <c r="N23" s="1100">
        <f>N22-'Fin Smmry'!N38</f>
        <v>0</v>
      </c>
      <c r="O23" s="1100">
        <f>O22-'Fin Smmry'!O38</f>
        <v>0</v>
      </c>
      <c r="P23" s="1100">
        <f>P22-'Fin Smmry'!P38</f>
        <v>0</v>
      </c>
      <c r="Q23" s="1100">
        <f>Q22-'Fin Smmry'!Q38</f>
        <v>0</v>
      </c>
      <c r="R23" s="1098">
        <f>SUM(B23:Q23)</f>
        <v>-3.7345543924516278E-4</v>
      </c>
    </row>
    <row r="24" spans="1:21">
      <c r="A24" s="44" t="s">
        <v>81</v>
      </c>
    </row>
    <row r="26" spans="1:21">
      <c r="A26" s="45" t="s">
        <v>769</v>
      </c>
      <c r="B26" s="1100">
        <f>B22</f>
        <v>-67.71451762499008</v>
      </c>
      <c r="C26" s="1100">
        <f>B26+C22</f>
        <v>-146.20734743837539</v>
      </c>
      <c r="D26" s="1100">
        <f t="shared" ref="D26:Q26" si="6">C26+D22</f>
        <v>-224.02055845238476</v>
      </c>
      <c r="E26" s="1100">
        <f t="shared" si="6"/>
        <v>-305.54322992496088</v>
      </c>
      <c r="F26" s="1100">
        <f t="shared" si="6"/>
        <v>-423.76132640038168</v>
      </c>
      <c r="G26" s="1100">
        <f t="shared" si="6"/>
        <v>-531.16913207294533</v>
      </c>
      <c r="H26" s="1100">
        <f t="shared" si="6"/>
        <v>-648.43284966745125</v>
      </c>
      <c r="I26" s="1100">
        <f t="shared" si="6"/>
        <v>-763.41308346056974</v>
      </c>
      <c r="J26" s="1100">
        <f t="shared" si="6"/>
        <v>-896.20669310719313</v>
      </c>
      <c r="K26" s="1100">
        <f t="shared" si="6"/>
        <v>-649.32735027324054</v>
      </c>
      <c r="L26" s="1100">
        <f t="shared" si="6"/>
        <v>-294.8943250908481</v>
      </c>
      <c r="M26" s="1100">
        <f t="shared" si="6"/>
        <v>218.8357866708447</v>
      </c>
      <c r="N26" s="1100">
        <f t="shared" si="6"/>
        <v>768.28681023014747</v>
      </c>
      <c r="O26" s="1100">
        <f t="shared" si="6"/>
        <v>1472.7465085409478</v>
      </c>
      <c r="P26" s="1100">
        <f t="shared" si="6"/>
        <v>2378.9313751190534</v>
      </c>
      <c r="Q26" s="1100">
        <f t="shared" si="6"/>
        <v>3523.3705262606068</v>
      </c>
    </row>
  </sheetData>
  <mergeCells count="3">
    <mergeCell ref="A1:Q1"/>
    <mergeCell ref="B5:E5"/>
    <mergeCell ref="F5:I5"/>
  </mergeCells>
  <hyperlinks>
    <hyperlink ref="A3" location="Index!A1" display="BACK TO INDEX"/>
    <hyperlink ref="A24" location="Index!A1" display="BACK TO INDEX"/>
  </hyperlinks>
  <pageMargins left="0.54" right="0.51" top="0.75" bottom="0.75" header="0.3" footer="0.3"/>
  <pageSetup scale="71" orientation="landscape" horizontalDpi="300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 codeName="Sheet11">
    <pageSetUpPr fitToPage="1"/>
  </sheetPr>
  <dimension ref="A1:S41"/>
  <sheetViews>
    <sheetView topLeftCell="A10" zoomScale="80" zoomScaleNormal="80" workbookViewId="0">
      <selection activeCell="R38" sqref="R38"/>
    </sheetView>
  </sheetViews>
  <sheetFormatPr defaultRowHeight="15"/>
  <cols>
    <col min="1" max="1" width="37.42578125" style="45" customWidth="1"/>
    <col min="2" max="2" width="18.85546875" style="45" bestFit="1" customWidth="1"/>
    <col min="3" max="6" width="9.42578125" style="45" customWidth="1"/>
    <col min="7" max="10" width="10" style="45" customWidth="1"/>
    <col min="11" max="11" width="10.140625" style="45" customWidth="1"/>
    <col min="12" max="12" width="9.85546875" style="45" customWidth="1"/>
    <col min="13" max="13" width="10.42578125" style="45" customWidth="1"/>
    <col min="14" max="14" width="9.7109375" style="45" customWidth="1"/>
    <col min="15" max="15" width="10.28515625" style="45" customWidth="1"/>
    <col min="16" max="16" width="10.42578125" style="45" customWidth="1"/>
    <col min="17" max="17" width="10.140625" style="45" customWidth="1"/>
    <col min="18" max="19" width="11.42578125" style="45" bestFit="1" customWidth="1"/>
    <col min="20" max="16384" width="9.140625" style="45"/>
  </cols>
  <sheetData>
    <row r="1" spans="1:19">
      <c r="A1" s="1345" t="s">
        <v>127</v>
      </c>
      <c r="B1" s="1345"/>
      <c r="C1" s="1345"/>
      <c r="D1" s="1345"/>
      <c r="E1" s="1345"/>
      <c r="F1" s="1345"/>
      <c r="G1" s="1345"/>
      <c r="H1" s="1345"/>
      <c r="I1" s="1345"/>
      <c r="J1" s="1345"/>
      <c r="K1" s="1345"/>
      <c r="L1" s="1345"/>
      <c r="M1" s="1345"/>
      <c r="N1" s="1345"/>
      <c r="O1" s="1345"/>
      <c r="P1" s="1345"/>
      <c r="Q1" s="1345"/>
      <c r="R1" s="1345"/>
    </row>
    <row r="2" spans="1:19">
      <c r="A2" s="71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19">
      <c r="A3" s="903" t="s">
        <v>81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spans="1:19">
      <c r="A4" s="847" t="s">
        <v>101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spans="1:19">
      <c r="A5" s="847"/>
      <c r="B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spans="1:19" s="53" customFormat="1">
      <c r="A6" s="71"/>
      <c r="B6" s="904"/>
      <c r="C6" s="1348" t="s">
        <v>156</v>
      </c>
      <c r="D6" s="1348"/>
      <c r="E6" s="1348"/>
      <c r="F6" s="1348"/>
      <c r="G6" s="1348" t="s">
        <v>157</v>
      </c>
      <c r="H6" s="1348"/>
      <c r="I6" s="1348"/>
      <c r="J6" s="1348"/>
      <c r="K6" s="904" t="str">
        <f>'Balance Sheet'!K6</f>
        <v>Year 3</v>
      </c>
      <c r="L6" s="904" t="str">
        <f>'Balance Sheet'!L6</f>
        <v>Year 4</v>
      </c>
      <c r="M6" s="904" t="str">
        <f>'Balance Sheet'!M6</f>
        <v>Year 5</v>
      </c>
      <c r="N6" s="904" t="str">
        <f>'Balance Sheet'!N6</f>
        <v>Year 6</v>
      </c>
      <c r="O6" s="904" t="str">
        <f>'Balance Sheet'!O6</f>
        <v>Year 7</v>
      </c>
      <c r="P6" s="904" t="str">
        <f>'Balance Sheet'!P6</f>
        <v>Year 8</v>
      </c>
      <c r="Q6" s="904" t="str">
        <f>'Balance Sheet'!Q6</f>
        <v>Year 9</v>
      </c>
      <c r="R6" s="904" t="str">
        <f>'Balance Sheet'!R6</f>
        <v>Year 10</v>
      </c>
    </row>
    <row r="7" spans="1:19">
      <c r="B7" s="77"/>
      <c r="C7" s="618" t="s">
        <v>608</v>
      </c>
      <c r="D7" s="618" t="s">
        <v>609</v>
      </c>
      <c r="E7" s="618" t="s">
        <v>610</v>
      </c>
      <c r="F7" s="618" t="s">
        <v>611</v>
      </c>
      <c r="G7" s="618" t="s">
        <v>608</v>
      </c>
      <c r="H7" s="618" t="s">
        <v>609</v>
      </c>
      <c r="I7" s="618" t="s">
        <v>610</v>
      </c>
      <c r="J7" s="618" t="s">
        <v>611</v>
      </c>
      <c r="K7" s="77"/>
      <c r="L7" s="77"/>
      <c r="M7" s="77"/>
      <c r="N7" s="77"/>
      <c r="O7" s="77"/>
      <c r="P7" s="77"/>
      <c r="Q7" s="77"/>
    </row>
    <row r="8" spans="1:19">
      <c r="A8" s="80" t="s">
        <v>126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</row>
    <row r="9" spans="1:19">
      <c r="A9" s="59" t="s">
        <v>35</v>
      </c>
      <c r="B9" s="77"/>
      <c r="C9" s="77">
        <f>'Fin Smmry'!B38</f>
        <v>-67.714517636855376</v>
      </c>
      <c r="D9" s="77">
        <f>'Fin Smmry'!C38</f>
        <v>-78.492829874135737</v>
      </c>
      <c r="E9" s="77">
        <f>'Fin Smmry'!D38</f>
        <v>-77.813211200532876</v>
      </c>
      <c r="F9" s="77">
        <f>'Fin Smmry'!E38</f>
        <v>-81.522671917766587</v>
      </c>
      <c r="G9" s="77">
        <f>'Fin Smmry'!F38</f>
        <v>-118.21809739167372</v>
      </c>
      <c r="H9" s="77">
        <f>'Fin Smmry'!G38</f>
        <v>-107.40780737266269</v>
      </c>
      <c r="I9" s="77">
        <f>'Fin Smmry'!H38</f>
        <v>-117.26372051407837</v>
      </c>
      <c r="J9" s="77">
        <f>'Fin Smmry'!I38</f>
        <v>-114.98023851465985</v>
      </c>
      <c r="K9" s="77">
        <f>'Fin Smmry'!J38</f>
        <v>-132.79363899790002</v>
      </c>
      <c r="L9" s="77">
        <f>'Fin Smmry'!K38</f>
        <v>246.87934189138588</v>
      </c>
      <c r="M9" s="77">
        <f>'Fin Smmry'!L38</f>
        <v>354.43324202074507</v>
      </c>
      <c r="N9" s="77">
        <f>'Fin Smmry'!M38</f>
        <v>513.73030963441829</v>
      </c>
      <c r="O9" s="77">
        <f>'Fin Smmry'!N38</f>
        <v>549.45102355930283</v>
      </c>
      <c r="P9" s="77">
        <f>'Fin Smmry'!O38</f>
        <v>704.45969831080038</v>
      </c>
      <c r="Q9" s="77">
        <f>'Fin Smmry'!P38</f>
        <v>906.18486657810558</v>
      </c>
      <c r="R9" s="77">
        <f>'Fin Smmry'!Q38</f>
        <v>1144.4391511415533</v>
      </c>
    </row>
    <row r="10" spans="1:19">
      <c r="A10" s="59" t="s">
        <v>125</v>
      </c>
      <c r="B10" s="77"/>
      <c r="C10" s="77">
        <f>'Depreciation '!C41</f>
        <v>9.9955593891011496</v>
      </c>
      <c r="D10" s="77">
        <f>'Depreciation '!D41</f>
        <v>12.377394663996666</v>
      </c>
      <c r="E10" s="77">
        <f>'Depreciation '!E41</f>
        <v>12.769461737324994</v>
      </c>
      <c r="F10" s="77">
        <f>'Depreciation '!F41</f>
        <v>13.115341859672684</v>
      </c>
      <c r="G10" s="77">
        <f>'Depreciation '!G41</f>
        <v>18.717230524156967</v>
      </c>
      <c r="H10" s="77">
        <f>'Depreciation '!H41</f>
        <v>17.864850584124138</v>
      </c>
      <c r="I10" s="77">
        <f>'Depreciation '!I41</f>
        <v>18.873950216251341</v>
      </c>
      <c r="J10" s="77">
        <f>'Depreciation '!J41</f>
        <v>18.164561778473505</v>
      </c>
      <c r="K10" s="77">
        <f>'Depreciation '!K41</f>
        <v>42.539372469408008</v>
      </c>
      <c r="L10" s="77">
        <f>'Depreciation '!L41</f>
        <v>44.774820239336862</v>
      </c>
      <c r="M10" s="77">
        <f>'Depreciation '!M41</f>
        <v>51.71254625379315</v>
      </c>
      <c r="N10" s="77">
        <f>'Depreciation '!N41</f>
        <v>54.710184784586922</v>
      </c>
      <c r="O10" s="77">
        <f>'Depreciation '!O41</f>
        <v>49.610029901989236</v>
      </c>
      <c r="P10" s="77">
        <f>'Depreciation '!P41</f>
        <v>56.845094348136946</v>
      </c>
      <c r="Q10" s="77">
        <f>'Depreciation '!Q41</f>
        <v>64.178797458068829</v>
      </c>
      <c r="R10" s="77">
        <f>'Depreciation '!R41</f>
        <v>68.587948476989794</v>
      </c>
      <c r="S10" s="77"/>
    </row>
    <row r="11" spans="1:19">
      <c r="A11" s="59" t="s">
        <v>770</v>
      </c>
      <c r="B11" s="77"/>
      <c r="C11" s="77">
        <f>'Fin Smmry'!B31</f>
        <v>1.3843797709292254</v>
      </c>
      <c r="D11" s="77">
        <f>'Fin Smmry'!C31</f>
        <v>2.3883192333140828</v>
      </c>
      <c r="E11" s="77">
        <f>'Fin Smmry'!D31</f>
        <v>3.2190959863828863</v>
      </c>
      <c r="F11" s="77">
        <f>'Fin Smmry'!E31</f>
        <v>4.0851390812689132</v>
      </c>
      <c r="G11" s="77">
        <f>'Fin Smmry'!F31</f>
        <v>6.1148496406917223</v>
      </c>
      <c r="H11" s="77">
        <f>'Fin Smmry'!G31</f>
        <v>7.3039683117135636</v>
      </c>
      <c r="I11" s="77">
        <f>'Fin Smmry'!H31</f>
        <v>8.7515905710019961</v>
      </c>
      <c r="J11" s="77">
        <f>'Fin Smmry'!I31</f>
        <v>10.002805759361307</v>
      </c>
      <c r="K11" s="77">
        <f>'Fin Smmry'!J31</f>
        <v>44.678134621192214</v>
      </c>
      <c r="L11" s="77">
        <f>'Fin Smmry'!K31</f>
        <v>39.992679561977397</v>
      </c>
      <c r="M11" s="77">
        <f>'Fin Smmry'!L31</f>
        <v>18.082210378162163</v>
      </c>
      <c r="N11" s="77">
        <f>'Fin Smmry'!M31</f>
        <v>2.7620539186543716</v>
      </c>
      <c r="O11" s="77">
        <f>'Fin Smmry'!N31</f>
        <v>0</v>
      </c>
      <c r="P11" s="77">
        <f>'Fin Smmry'!O31</f>
        <v>0</v>
      </c>
      <c r="Q11" s="77">
        <f>'Fin Smmry'!P31</f>
        <v>0</v>
      </c>
      <c r="R11" s="77">
        <f>'Fin Smmry'!Q31</f>
        <v>0</v>
      </c>
      <c r="S11" s="77"/>
    </row>
    <row r="12" spans="1:19">
      <c r="A12" s="59" t="s">
        <v>124</v>
      </c>
      <c r="B12" s="77"/>
      <c r="C12" s="77">
        <f>Amortisation!C17</f>
        <v>10.302040976825001</v>
      </c>
      <c r="D12" s="77">
        <f>Amortisation!D17</f>
        <v>10.302040976825001</v>
      </c>
      <c r="E12" s="77">
        <f>Amortisation!E17</f>
        <v>10.302040976825001</v>
      </c>
      <c r="F12" s="77">
        <f>Amortisation!F17</f>
        <v>10.302040976825001</v>
      </c>
      <c r="G12" s="77">
        <f>Amortisation!G17</f>
        <v>10.302040976825001</v>
      </c>
      <c r="H12" s="77">
        <f>Amortisation!H17</f>
        <v>10.302040976825001</v>
      </c>
      <c r="I12" s="77">
        <f>Amortisation!I17</f>
        <v>10.302040976825001</v>
      </c>
      <c r="J12" s="77">
        <f>Amortisation!J17</f>
        <v>10.302040976825001</v>
      </c>
      <c r="K12" s="77">
        <f>Amortisation!K17</f>
        <v>41.208163907300005</v>
      </c>
      <c r="L12" s="77">
        <f>Amortisation!L17</f>
        <v>41.208163907300005</v>
      </c>
      <c r="M12" s="77">
        <f>Amortisation!M17</f>
        <v>41.208163907300005</v>
      </c>
      <c r="N12" s="77">
        <f>Amortisation!N17</f>
        <v>0</v>
      </c>
      <c r="O12" s="77">
        <f>Amortisation!O17</f>
        <v>0</v>
      </c>
      <c r="P12" s="77">
        <f>Amortisation!P17</f>
        <v>0</v>
      </c>
      <c r="Q12" s="77">
        <f>Amortisation!Q17</f>
        <v>0</v>
      </c>
      <c r="R12" s="77">
        <f>Amortisation!R17</f>
        <v>0</v>
      </c>
    </row>
    <row r="13" spans="1:19">
      <c r="A13" s="59" t="s">
        <v>730</v>
      </c>
      <c r="B13" s="77"/>
      <c r="C13" s="77">
        <f>'Fin Smmry'!B97</f>
        <v>-41.818566666666669</v>
      </c>
      <c r="D13" s="77">
        <f>'Fin Smmry'!C97</f>
        <v>-15.141899999999993</v>
      </c>
      <c r="E13" s="77">
        <f>'Fin Smmry'!D97</f>
        <v>-11.61190000000002</v>
      </c>
      <c r="F13" s="77">
        <f>'Fin Smmry'!E97</f>
        <v>-11.611899999999991</v>
      </c>
      <c r="G13" s="77">
        <f>'Fin Smmry'!F97</f>
        <v>-37.429530000000042</v>
      </c>
      <c r="H13" s="77">
        <f>'Fin Smmry'!G97</f>
        <v>-13.190209999999965</v>
      </c>
      <c r="I13" s="77">
        <f>'Fin Smmry'!H97</f>
        <v>-16.167689999999993</v>
      </c>
      <c r="J13" s="77">
        <f>'Fin Smmry'!I97</f>
        <v>-12.284690000000012</v>
      </c>
      <c r="K13" s="77">
        <f>'Fin Smmry'!J97</f>
        <v>-66.108108000000016</v>
      </c>
      <c r="L13" s="77">
        <f>'Fin Smmry'!K97</f>
        <v>-58.480001066666773</v>
      </c>
      <c r="M13" s="77">
        <f>'Fin Smmry'!L97</f>
        <v>-80.557534173333295</v>
      </c>
      <c r="N13" s="77">
        <f>'Fin Smmry'!M97</f>
        <v>-78.823072562666766</v>
      </c>
      <c r="O13" s="77">
        <f>'Fin Smmry'!N97</f>
        <v>-80.276074366533237</v>
      </c>
      <c r="P13" s="77">
        <f>'Fin Smmry'!O97</f>
        <v>-107.26456367894662</v>
      </c>
      <c r="Q13" s="77">
        <f>'Fin Smmry'!P97</f>
        <v>-123.69717551037741</v>
      </c>
      <c r="R13" s="77">
        <f>'Fin Smmry'!Q97</f>
        <v>-133.26872123107444</v>
      </c>
      <c r="S13" s="77"/>
    </row>
    <row r="14" spans="1:19">
      <c r="A14" s="340" t="s">
        <v>123</v>
      </c>
      <c r="B14" s="348"/>
      <c r="C14" s="348">
        <f t="shared" ref="C14:R14" si="0">SUM(C9:C13)</f>
        <v>-87.851104166666673</v>
      </c>
      <c r="D14" s="348">
        <f t="shared" si="0"/>
        <v>-68.566974999999971</v>
      </c>
      <c r="E14" s="348">
        <f t="shared" si="0"/>
        <v>-63.134512500000014</v>
      </c>
      <c r="F14" s="348">
        <f t="shared" si="0"/>
        <v>-65.632049999999992</v>
      </c>
      <c r="G14" s="348">
        <f t="shared" si="0"/>
        <v>-120.51350625000008</v>
      </c>
      <c r="H14" s="348">
        <f t="shared" si="0"/>
        <v>-85.127157499999953</v>
      </c>
      <c r="I14" s="348">
        <f t="shared" si="0"/>
        <v>-95.503828750000025</v>
      </c>
      <c r="J14" s="348">
        <f t="shared" si="0"/>
        <v>-88.795520000000039</v>
      </c>
      <c r="K14" s="348">
        <f t="shared" si="0"/>
        <v>-70.476075999999807</v>
      </c>
      <c r="L14" s="348">
        <f t="shared" si="0"/>
        <v>314.37500453333337</v>
      </c>
      <c r="M14" s="348">
        <f t="shared" si="0"/>
        <v>384.87862838666712</v>
      </c>
      <c r="N14" s="348">
        <f t="shared" si="0"/>
        <v>492.37947577499278</v>
      </c>
      <c r="O14" s="348">
        <f t="shared" si="0"/>
        <v>518.78497909475891</v>
      </c>
      <c r="P14" s="348">
        <f t="shared" si="0"/>
        <v>654.04022897999073</v>
      </c>
      <c r="Q14" s="348">
        <f t="shared" si="0"/>
        <v>846.66648852579704</v>
      </c>
      <c r="R14" s="348">
        <f t="shared" si="0"/>
        <v>1079.7583783874688</v>
      </c>
      <c r="S14" s="75">
        <f>SUM(C14:R14)</f>
        <v>3545.2824535163422</v>
      </c>
    </row>
    <row r="15" spans="1:19"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77"/>
      <c r="N15" s="77"/>
      <c r="O15" s="77"/>
      <c r="P15" s="77"/>
      <c r="Q15" s="77"/>
    </row>
    <row r="16" spans="1:19">
      <c r="A16" s="80" t="s">
        <v>122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</row>
    <row r="17" spans="1:19">
      <c r="A17" s="52" t="s">
        <v>121</v>
      </c>
      <c r="B17" s="77"/>
      <c r="C17" s="77">
        <f>'Fin Smmry'!B83</f>
        <v>-45.636728963499998</v>
      </c>
      <c r="D17" s="77">
        <f>'Fin Smmry'!C83</f>
        <v>-21.248999999999999</v>
      </c>
      <c r="E17" s="77">
        <f>'Fin Smmry'!D83</f>
        <v>-15.319000000000001</v>
      </c>
      <c r="F17" s="77">
        <f>'Fin Smmry'!E83</f>
        <v>-15.319000000000001</v>
      </c>
      <c r="G17" s="77">
        <f>'Fin Smmry'!F83</f>
        <v>-37.5794</v>
      </c>
      <c r="H17" s="77">
        <f>'Fin Smmry'!G83</f>
        <v>-16.850900000000003</v>
      </c>
      <c r="I17" s="77">
        <f>'Fin Smmry'!H83</f>
        <v>-23.373899999999999</v>
      </c>
      <c r="J17" s="77">
        <f>'Fin Smmry'!I83</f>
        <v>-16.850900000000003</v>
      </c>
      <c r="K17" s="77">
        <f>'Fin Smmry'!J83</f>
        <v>-122.84516000000002</v>
      </c>
      <c r="L17" s="77">
        <f>'Fin Smmry'!K83</f>
        <v>-57.879866000000007</v>
      </c>
      <c r="M17" s="77">
        <f>'Fin Smmry'!L83</f>
        <v>-76.68336355000001</v>
      </c>
      <c r="N17" s="77">
        <f>'Fin Smmry'!M83</f>
        <v>-70.034637860000018</v>
      </c>
      <c r="O17" s="77">
        <f>'Fin Smmry'!N83</f>
        <v>-37.070799705500008</v>
      </c>
      <c r="P17" s="77">
        <f>'Fin Smmry'!O83</f>
        <v>-84.741911810600016</v>
      </c>
      <c r="Q17" s="77">
        <f>'Fin Smmry'!P83</f>
        <v>-93.216102991660009</v>
      </c>
      <c r="R17" s="77">
        <f>'Fin Smmry'!Q83</f>
        <v>-88.555083483195986</v>
      </c>
    </row>
    <row r="18" spans="1:19">
      <c r="A18" s="52" t="s">
        <v>800</v>
      </c>
      <c r="B18" s="77"/>
      <c r="C18" s="77">
        <f>-'Fin Smmry'!B107</f>
        <v>-206.04081953650004</v>
      </c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</row>
    <row r="19" spans="1:19">
      <c r="A19" s="340" t="s">
        <v>120</v>
      </c>
      <c r="B19" s="348"/>
      <c r="C19" s="348">
        <f t="shared" ref="C19:R19" si="1">SUM(C17:C18)</f>
        <v>-251.67754850000003</v>
      </c>
      <c r="D19" s="348">
        <f t="shared" si="1"/>
        <v>-21.248999999999999</v>
      </c>
      <c r="E19" s="348">
        <f t="shared" si="1"/>
        <v>-15.319000000000001</v>
      </c>
      <c r="F19" s="348">
        <f t="shared" si="1"/>
        <v>-15.319000000000001</v>
      </c>
      <c r="G19" s="348">
        <f t="shared" si="1"/>
        <v>-37.5794</v>
      </c>
      <c r="H19" s="348">
        <f t="shared" si="1"/>
        <v>-16.850900000000003</v>
      </c>
      <c r="I19" s="348">
        <f t="shared" si="1"/>
        <v>-23.373899999999999</v>
      </c>
      <c r="J19" s="348">
        <f t="shared" si="1"/>
        <v>-16.850900000000003</v>
      </c>
      <c r="K19" s="348">
        <f t="shared" si="1"/>
        <v>-122.84516000000002</v>
      </c>
      <c r="L19" s="348">
        <f t="shared" si="1"/>
        <v>-57.879866000000007</v>
      </c>
      <c r="M19" s="348">
        <f t="shared" si="1"/>
        <v>-76.68336355000001</v>
      </c>
      <c r="N19" s="348">
        <f t="shared" si="1"/>
        <v>-70.034637860000018</v>
      </c>
      <c r="O19" s="348">
        <f t="shared" si="1"/>
        <v>-37.070799705500008</v>
      </c>
      <c r="P19" s="348">
        <f t="shared" si="1"/>
        <v>-84.741911810600016</v>
      </c>
      <c r="Q19" s="348">
        <f t="shared" si="1"/>
        <v>-93.216102991660009</v>
      </c>
      <c r="R19" s="348">
        <f t="shared" si="1"/>
        <v>-88.555083483195986</v>
      </c>
      <c r="S19" s="1138">
        <f>SUM(C19:R19)</f>
        <v>-1029.246573900956</v>
      </c>
    </row>
    <row r="20" spans="1:19"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</row>
    <row r="21" spans="1:19">
      <c r="A21" s="80" t="s">
        <v>119</v>
      </c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</row>
    <row r="22" spans="1:19">
      <c r="A22" s="52" t="s">
        <v>118</v>
      </c>
      <c r="B22" s="56"/>
      <c r="C22" s="56">
        <f>'Fin Smmry'!B79</f>
        <v>244.35854850000004</v>
      </c>
      <c r="D22" s="56">
        <f>'Fin Smmry'!C79</f>
        <v>20</v>
      </c>
      <c r="E22" s="56">
        <f>'Fin Smmry'!D79</f>
        <v>20</v>
      </c>
      <c r="F22" s="56">
        <f>'Fin Smmry'!E79</f>
        <v>20</v>
      </c>
      <c r="G22" s="56">
        <f>'Fin Smmry'!F79</f>
        <v>20</v>
      </c>
      <c r="H22" s="56">
        <f>'Fin Smmry'!G79</f>
        <v>20</v>
      </c>
      <c r="I22" s="56">
        <f>'Fin Smmry'!H79</f>
        <v>20</v>
      </c>
      <c r="J22" s="56">
        <f>'Fin Smmry'!I79</f>
        <v>20</v>
      </c>
      <c r="K22" s="56">
        <f>'Fin Smmry'!J79</f>
        <v>10</v>
      </c>
      <c r="L22" s="56">
        <f>'Fin Smmry'!K79</f>
        <v>0</v>
      </c>
      <c r="M22" s="56">
        <f>'Fin Smmry'!L79</f>
        <v>0</v>
      </c>
      <c r="N22" s="56">
        <f>'Fin Smmry'!M79</f>
        <v>0</v>
      </c>
      <c r="O22" s="56">
        <f>'Fin Smmry'!N79</f>
        <v>0</v>
      </c>
      <c r="P22" s="56">
        <f>'Fin Smmry'!O79</f>
        <v>0</v>
      </c>
      <c r="Q22" s="56">
        <f>'Fin Smmry'!P79</f>
        <v>0</v>
      </c>
      <c r="R22" s="56">
        <f>'Fin Smmry'!Q79</f>
        <v>0</v>
      </c>
    </row>
    <row r="23" spans="1:19">
      <c r="A23" s="52" t="s">
        <v>50</v>
      </c>
      <c r="B23" s="56"/>
      <c r="C23" s="56">
        <f>'Balance Sheet'!C34</f>
        <v>0</v>
      </c>
      <c r="D23" s="56">
        <f>'Balance Sheet'!D34-'Balance Sheet'!C34</f>
        <v>0</v>
      </c>
      <c r="E23" s="56">
        <f>'Balance Sheet'!E34-'Balance Sheet'!D34</f>
        <v>0</v>
      </c>
      <c r="F23" s="56">
        <f>'Balance Sheet'!F34-'Balance Sheet'!E34</f>
        <v>0</v>
      </c>
      <c r="G23" s="56">
        <f>'Balance Sheet'!G34-'Balance Sheet'!F34</f>
        <v>0</v>
      </c>
      <c r="H23" s="56">
        <f>'Balance Sheet'!H34-'Balance Sheet'!G34</f>
        <v>0</v>
      </c>
      <c r="I23" s="56">
        <f>'Balance Sheet'!I34-'Balance Sheet'!H34</f>
        <v>0</v>
      </c>
      <c r="J23" s="56">
        <f>'Balance Sheet'!J34-'Balance Sheet'!I34</f>
        <v>0</v>
      </c>
      <c r="K23" s="56">
        <f>'Balance Sheet'!K34-'Balance Sheet'!J34</f>
        <v>0</v>
      </c>
      <c r="L23" s="56">
        <f>'Balance Sheet'!L34-'Balance Sheet'!K34</f>
        <v>0</v>
      </c>
      <c r="M23" s="56">
        <f>'Balance Sheet'!M34-'Balance Sheet'!L34</f>
        <v>0</v>
      </c>
      <c r="N23" s="56">
        <f>'Balance Sheet'!N34-'Balance Sheet'!M34</f>
        <v>0</v>
      </c>
      <c r="O23" s="56">
        <f>'Balance Sheet'!O34-'Balance Sheet'!N34</f>
        <v>0</v>
      </c>
      <c r="P23" s="56">
        <f>'Balance Sheet'!P34-'Balance Sheet'!O34</f>
        <v>0</v>
      </c>
      <c r="Q23" s="56">
        <f>'Balance Sheet'!Q34-'Balance Sheet'!P34</f>
        <v>0</v>
      </c>
      <c r="R23" s="56">
        <f>'Balance Sheet'!R34-'Balance Sheet'!Q34</f>
        <v>0</v>
      </c>
    </row>
    <row r="24" spans="1:19">
      <c r="A24" s="52" t="s">
        <v>639</v>
      </c>
      <c r="B24" s="56"/>
      <c r="C24" s="56">
        <f>'Fin Smmry'!B81</f>
        <v>4.2625000000000002</v>
      </c>
      <c r="D24" s="56">
        <f>'Fin Smmry'!C81</f>
        <v>5.2750000000000004</v>
      </c>
      <c r="E24" s="56">
        <f>'Fin Smmry'!D81</f>
        <v>6.2874999999999996</v>
      </c>
      <c r="F24" s="56">
        <f>'Fin Smmry'!E81</f>
        <v>7.3000000000000007</v>
      </c>
      <c r="G24" s="56">
        <f>'Fin Smmry'!F81</f>
        <v>8.8937500000000007</v>
      </c>
      <c r="H24" s="56">
        <f>'Fin Smmry'!G81</f>
        <v>10.0075</v>
      </c>
      <c r="I24" s="56">
        <f>'Fin Smmry'!H81</f>
        <v>11.121250000000002</v>
      </c>
      <c r="J24" s="56">
        <f>'Fin Smmry'!I81</f>
        <v>12.235000000000001</v>
      </c>
      <c r="K24" s="56">
        <f>'Fin Smmry'!J81</f>
        <v>72.436000000000007</v>
      </c>
      <c r="L24" s="56">
        <f>'Fin Smmry'!K81</f>
        <v>95.241800000000012</v>
      </c>
      <c r="M24" s="56">
        <f>'Fin Smmry'!L81</f>
        <v>128.48440000000002</v>
      </c>
      <c r="N24" s="56">
        <f>'Fin Smmry'!M81</f>
        <v>0</v>
      </c>
      <c r="O24" s="56">
        <f>'Fin Smmry'!N81</f>
        <v>-72.400000000000006</v>
      </c>
      <c r="P24" s="56">
        <f>'Fin Smmry'!O81</f>
        <v>-72.400000000000006</v>
      </c>
      <c r="Q24" s="56">
        <f>'Fin Smmry'!P81</f>
        <v>-108.6</v>
      </c>
      <c r="R24" s="56">
        <f>'Fin Smmry'!Q81</f>
        <v>-108.6</v>
      </c>
    </row>
    <row r="25" spans="1:19">
      <c r="A25" s="52" t="s">
        <v>117</v>
      </c>
      <c r="B25" s="56"/>
      <c r="C25" s="56">
        <f>'Loan-Int'!C24</f>
        <v>92.291983937595887</v>
      </c>
      <c r="D25" s="56">
        <f>'Loan-Int'!C25</f>
        <v>66.929294233314067</v>
      </c>
      <c r="E25" s="56">
        <f>'Loan-Int'!C26</f>
        <v>55.385108486382904</v>
      </c>
      <c r="F25" s="56">
        <f>'Loan-Int'!C27</f>
        <v>57.736189081268861</v>
      </c>
      <c r="G25" s="56">
        <f>'Loan-Int'!C28</f>
        <v>135.31400589069182</v>
      </c>
      <c r="H25" s="56">
        <f>'Loan-Int'!C29</f>
        <v>79.274525811713545</v>
      </c>
      <c r="I25" s="56">
        <f>'Loan-Int'!C30</f>
        <v>96.508069321001983</v>
      </c>
      <c r="J25" s="56">
        <f>'Loan-Int'!C31</f>
        <v>83.414225759361329</v>
      </c>
      <c r="K25" s="56">
        <f>'Loan-Int'!C32</f>
        <v>155.56337062119201</v>
      </c>
      <c r="L25" s="56">
        <f>'Loan-Int'!C33</f>
        <v>-311.74425897135598</v>
      </c>
      <c r="M25" s="56">
        <f>'Loan-Int'!C34</f>
        <v>-418.5974544585049</v>
      </c>
      <c r="N25" s="56">
        <f>'Loan-Int'!C35</f>
        <v>-92.075059712661528</v>
      </c>
      <c r="O25" s="56">
        <f>'Loan-Int'!C36</f>
        <v>0</v>
      </c>
      <c r="P25" s="56">
        <f>'Loan-Int'!C37</f>
        <v>0</v>
      </c>
      <c r="Q25" s="56">
        <f>'Loan-Int'!C38</f>
        <v>0</v>
      </c>
      <c r="R25" s="56">
        <f>'Loan-Int'!C39</f>
        <v>0</v>
      </c>
    </row>
    <row r="26" spans="1:19">
      <c r="A26" s="52" t="s">
        <v>771</v>
      </c>
      <c r="B26" s="56"/>
      <c r="C26" s="56">
        <f>'Fin Smmry'!B31</f>
        <v>1.3843797709292254</v>
      </c>
      <c r="D26" s="56">
        <f>'Fin Smmry'!C31</f>
        <v>2.3883192333140828</v>
      </c>
      <c r="E26" s="56">
        <f>'Fin Smmry'!D31</f>
        <v>3.2190959863828863</v>
      </c>
      <c r="F26" s="56">
        <f>'Fin Smmry'!E31</f>
        <v>4.0851390812689132</v>
      </c>
      <c r="G26" s="56">
        <f>'Fin Smmry'!F31</f>
        <v>6.1148496406917223</v>
      </c>
      <c r="H26" s="56">
        <f>'Fin Smmry'!G31</f>
        <v>7.3039683117135636</v>
      </c>
      <c r="I26" s="56">
        <f>'Fin Smmry'!H31</f>
        <v>8.7515905710019961</v>
      </c>
      <c r="J26" s="56">
        <f>'Fin Smmry'!I31</f>
        <v>10.002805759361307</v>
      </c>
      <c r="K26" s="56">
        <f>'Fin Smmry'!J31</f>
        <v>44.678134621192214</v>
      </c>
      <c r="L26" s="56">
        <f>'Fin Smmry'!K31</f>
        <v>39.992679561977397</v>
      </c>
      <c r="M26" s="56">
        <f>'Fin Smmry'!L31</f>
        <v>18.082210378162163</v>
      </c>
      <c r="N26" s="56">
        <f>'Fin Smmry'!M31</f>
        <v>2.7620539186543716</v>
      </c>
      <c r="O26" s="56">
        <f>'Fin Smmry'!N31</f>
        <v>0</v>
      </c>
      <c r="P26" s="56">
        <f>'Fin Smmry'!O31</f>
        <v>0</v>
      </c>
      <c r="Q26" s="56">
        <f>'Fin Smmry'!P31</f>
        <v>0</v>
      </c>
      <c r="R26" s="56">
        <f>'Fin Smmry'!Q31</f>
        <v>0</v>
      </c>
    </row>
    <row r="27" spans="1:19">
      <c r="A27" s="78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</row>
    <row r="28" spans="1:19">
      <c r="A28" s="340" t="s">
        <v>116</v>
      </c>
      <c r="B28" s="348"/>
      <c r="C28" s="348">
        <f>SUM(C22:C25)-C26</f>
        <v>339.52865266666669</v>
      </c>
      <c r="D28" s="348">
        <f t="shared" ref="D28:R28" si="2">SUM(D22:D25)-D26</f>
        <v>89.815974999999995</v>
      </c>
      <c r="E28" s="348">
        <f t="shared" si="2"/>
        <v>78.453512500000016</v>
      </c>
      <c r="F28" s="348">
        <f t="shared" si="2"/>
        <v>80.951049999999952</v>
      </c>
      <c r="G28" s="348">
        <f t="shared" si="2"/>
        <v>158.09290625000011</v>
      </c>
      <c r="H28" s="348">
        <f t="shared" si="2"/>
        <v>101.97805749999998</v>
      </c>
      <c r="I28" s="348">
        <f>SUM(I22:I25)-I26</f>
        <v>118.87772874999999</v>
      </c>
      <c r="J28" s="348">
        <f t="shared" si="2"/>
        <v>105.64642000000002</v>
      </c>
      <c r="K28" s="348">
        <f t="shared" si="2"/>
        <v>193.3212359999998</v>
      </c>
      <c r="L28" s="348">
        <f t="shared" si="2"/>
        <v>-256.49513853333337</v>
      </c>
      <c r="M28" s="348">
        <f t="shared" si="2"/>
        <v>-308.19526483666704</v>
      </c>
      <c r="N28" s="348">
        <f t="shared" si="2"/>
        <v>-94.837113631315901</v>
      </c>
      <c r="O28" s="348">
        <f t="shared" si="2"/>
        <v>-72.400000000000006</v>
      </c>
      <c r="P28" s="348">
        <f t="shared" si="2"/>
        <v>-72.400000000000006</v>
      </c>
      <c r="Q28" s="348">
        <f t="shared" si="2"/>
        <v>-108.6</v>
      </c>
      <c r="R28" s="348">
        <f t="shared" si="2"/>
        <v>-108.6</v>
      </c>
      <c r="S28" s="1138">
        <f>SUM(C28:R28)</f>
        <v>245.13802166535029</v>
      </c>
    </row>
    <row r="29" spans="1:19"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</row>
    <row r="30" spans="1:19">
      <c r="A30" s="340" t="s">
        <v>115</v>
      </c>
      <c r="B30" s="348"/>
      <c r="C30" s="348">
        <f t="shared" ref="C30:R30" si="3">C14+C19+C28</f>
        <v>0</v>
      </c>
      <c r="D30" s="348">
        <f t="shared" si="3"/>
        <v>0</v>
      </c>
      <c r="E30" s="348">
        <f t="shared" si="3"/>
        <v>0</v>
      </c>
      <c r="F30" s="348">
        <f t="shared" si="3"/>
        <v>0</v>
      </c>
      <c r="G30" s="348">
        <f t="shared" si="3"/>
        <v>0</v>
      </c>
      <c r="H30" s="348">
        <f t="shared" si="3"/>
        <v>0</v>
      </c>
      <c r="I30" s="348">
        <f t="shared" si="3"/>
        <v>0</v>
      </c>
      <c r="J30" s="348">
        <f t="shared" si="3"/>
        <v>0</v>
      </c>
      <c r="K30" s="348">
        <f t="shared" si="3"/>
        <v>0</v>
      </c>
      <c r="L30" s="348">
        <f t="shared" si="3"/>
        <v>0</v>
      </c>
      <c r="M30" s="348">
        <f t="shared" si="3"/>
        <v>0</v>
      </c>
      <c r="N30" s="348">
        <f t="shared" si="3"/>
        <v>327.50772428367685</v>
      </c>
      <c r="O30" s="348">
        <f t="shared" si="3"/>
        <v>409.31417938925892</v>
      </c>
      <c r="P30" s="348">
        <f t="shared" si="3"/>
        <v>496.89831716939068</v>
      </c>
      <c r="Q30" s="348">
        <f t="shared" si="3"/>
        <v>644.85038553413699</v>
      </c>
      <c r="R30" s="348">
        <f t="shared" si="3"/>
        <v>882.60329490427284</v>
      </c>
    </row>
    <row r="31" spans="1:19"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</row>
    <row r="32" spans="1:19">
      <c r="A32" s="340" t="s">
        <v>114</v>
      </c>
      <c r="B32" s="348"/>
      <c r="C32" s="348">
        <f>C30</f>
        <v>0</v>
      </c>
      <c r="D32" s="348">
        <f t="shared" ref="D32:K32" si="4">C32+D30</f>
        <v>0</v>
      </c>
      <c r="E32" s="348">
        <f t="shared" si="4"/>
        <v>0</v>
      </c>
      <c r="F32" s="348">
        <f t="shared" si="4"/>
        <v>0</v>
      </c>
      <c r="G32" s="348">
        <f t="shared" si="4"/>
        <v>0</v>
      </c>
      <c r="H32" s="348">
        <f t="shared" si="4"/>
        <v>0</v>
      </c>
      <c r="I32" s="348">
        <f t="shared" si="4"/>
        <v>0</v>
      </c>
      <c r="J32" s="348">
        <f t="shared" si="4"/>
        <v>0</v>
      </c>
      <c r="K32" s="348">
        <f t="shared" si="4"/>
        <v>0</v>
      </c>
      <c r="L32" s="348">
        <f t="shared" ref="L32:R32" si="5">K32+L30</f>
        <v>0</v>
      </c>
      <c r="M32" s="348">
        <f t="shared" si="5"/>
        <v>0</v>
      </c>
      <c r="N32" s="348">
        <f t="shared" si="5"/>
        <v>327.50772428367685</v>
      </c>
      <c r="O32" s="348">
        <f t="shared" si="5"/>
        <v>736.82190367293583</v>
      </c>
      <c r="P32" s="348">
        <f t="shared" si="5"/>
        <v>1233.7202208423264</v>
      </c>
      <c r="Q32" s="348">
        <f t="shared" si="5"/>
        <v>1878.5706063764633</v>
      </c>
      <c r="R32" s="348">
        <f t="shared" si="5"/>
        <v>2761.1739012807361</v>
      </c>
    </row>
    <row r="33" spans="1:18">
      <c r="B33" s="76"/>
      <c r="C33" s="76">
        <f>C32-'Balance Sheet'!C10</f>
        <v>-1.1865267879329622E-8</v>
      </c>
      <c r="D33" s="76">
        <f>D32-'Balance Sheet'!D10</f>
        <v>-7.2615762292116415E-8</v>
      </c>
      <c r="E33" s="76">
        <f>E32-'Balance Sheet'!E10</f>
        <v>-2.5913925583154196E-7</v>
      </c>
      <c r="F33" s="76">
        <f>F32-'Balance Sheet'!F10</f>
        <v>-7.0432963639177615E-7</v>
      </c>
      <c r="G33" s="76">
        <f>G32-'Balance Sheet'!G10</f>
        <v>-1.6205826227633224E-6</v>
      </c>
      <c r="H33" s="76">
        <f>H32-'Balance Sheet'!H10</f>
        <v>-3.3206816851816257E-6</v>
      </c>
      <c r="I33" s="76">
        <f>I32-'Balance Sheet'!I10</f>
        <v>-6.2402540947914531E-6</v>
      </c>
      <c r="J33" s="76">
        <f>J32-'Balance Sheet'!J10</f>
        <v>-1.0961795396724483E-5</v>
      </c>
      <c r="K33" s="76">
        <f>K32-'Balance Sheet'!K10</f>
        <v>-4.0313072020126128E-5</v>
      </c>
      <c r="L33" s="76">
        <f>L32-'Balance Sheet'!L10</f>
        <v>-4.1255638734583044E-5</v>
      </c>
      <c r="M33" s="76">
        <f>M32-'Balance Sheet'!M10</f>
        <v>1.7558271395046177E-4</v>
      </c>
      <c r="N33" s="76">
        <f>N32-'Balance Sheet'!N10</f>
        <v>3.7345543927358449E-4</v>
      </c>
      <c r="O33" s="76">
        <f>O32-'Balance Sheet'!O10</f>
        <v>3.7345543933042791E-4</v>
      </c>
      <c r="P33" s="76">
        <f>P32-'Balance Sheet'!P10</f>
        <v>3.7345543887568056E-4</v>
      </c>
      <c r="Q33" s="76">
        <f>Q32-'Balance Sheet'!Q10</f>
        <v>3.7345543910305423E-4</v>
      </c>
      <c r="R33" s="76">
        <f>R32-'Balance Sheet'!R10</f>
        <v>3.7345543887568056E-4</v>
      </c>
    </row>
    <row r="34" spans="1:18">
      <c r="A34" s="45" t="s">
        <v>80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</row>
    <row r="35" spans="1:18"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</row>
    <row r="36" spans="1:18">
      <c r="A36" s="47" t="s">
        <v>113</v>
      </c>
      <c r="B36" s="75"/>
      <c r="C36" s="75">
        <f t="shared" ref="C36:R36" si="6">C14+C19</f>
        <v>-339.52865266666669</v>
      </c>
      <c r="D36" s="75">
        <f t="shared" si="6"/>
        <v>-89.815974999999966</v>
      </c>
      <c r="E36" s="75">
        <f t="shared" si="6"/>
        <v>-78.453512500000016</v>
      </c>
      <c r="F36" s="75">
        <f t="shared" si="6"/>
        <v>-80.951049999999995</v>
      </c>
      <c r="G36" s="75">
        <f t="shared" si="6"/>
        <v>-158.09290625000008</v>
      </c>
      <c r="H36" s="75">
        <f t="shared" si="6"/>
        <v>-101.97805749999995</v>
      </c>
      <c r="I36" s="75">
        <f t="shared" si="6"/>
        <v>-118.87772875000002</v>
      </c>
      <c r="J36" s="75">
        <f t="shared" si="6"/>
        <v>-105.64642000000003</v>
      </c>
      <c r="K36" s="75">
        <f t="shared" si="6"/>
        <v>-193.32123599999983</v>
      </c>
      <c r="L36" s="75">
        <f t="shared" si="6"/>
        <v>256.49513853333337</v>
      </c>
      <c r="M36" s="75">
        <f t="shared" si="6"/>
        <v>308.19526483666709</v>
      </c>
      <c r="N36" s="75">
        <f t="shared" si="6"/>
        <v>422.34483791499275</v>
      </c>
      <c r="O36" s="75">
        <f t="shared" si="6"/>
        <v>481.7141793892589</v>
      </c>
      <c r="P36" s="75">
        <f t="shared" si="6"/>
        <v>569.29831716939066</v>
      </c>
      <c r="Q36" s="75">
        <f t="shared" si="6"/>
        <v>753.45038553413701</v>
      </c>
      <c r="R36" s="75">
        <f t="shared" si="6"/>
        <v>991.20329490427287</v>
      </c>
    </row>
    <row r="37" spans="1:18">
      <c r="B37" s="56"/>
      <c r="C37" s="56"/>
      <c r="D37" s="56"/>
      <c r="E37" s="56"/>
      <c r="F37" s="56"/>
      <c r="G37" s="56"/>
      <c r="H37" s="56"/>
      <c r="I37" s="56">
        <f>SUM(C36:F36)</f>
        <v>-588.74919016666672</v>
      </c>
      <c r="J37" s="723">
        <f>SUM(G36:J36)</f>
        <v>-484.59511250000008</v>
      </c>
      <c r="K37" s="723">
        <f t="shared" ref="K37:Q37" si="7">K36</f>
        <v>-193.32123599999983</v>
      </c>
      <c r="L37" s="723">
        <f t="shared" si="7"/>
        <v>256.49513853333337</v>
      </c>
      <c r="M37" s="723">
        <f t="shared" si="7"/>
        <v>308.19526483666709</v>
      </c>
      <c r="N37" s="723">
        <f t="shared" si="7"/>
        <v>422.34483791499275</v>
      </c>
      <c r="O37" s="723">
        <f t="shared" si="7"/>
        <v>481.7141793892589</v>
      </c>
      <c r="P37" s="723">
        <f t="shared" si="7"/>
        <v>569.29831716939066</v>
      </c>
      <c r="Q37" s="723">
        <f t="shared" si="7"/>
        <v>753.45038553413701</v>
      </c>
      <c r="R37" s="723">
        <f>R36</f>
        <v>991.20329490427287</v>
      </c>
    </row>
    <row r="38" spans="1:18">
      <c r="A38" s="47" t="s">
        <v>112</v>
      </c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4"/>
      <c r="R38" s="74">
        <f>IRR(C36:R36,0.01)</f>
        <v>0.12234756562006428</v>
      </c>
    </row>
    <row r="39" spans="1:18"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 t="s">
        <v>677</v>
      </c>
      <c r="O39" s="56"/>
      <c r="P39" s="56"/>
      <c r="Q39" s="56"/>
      <c r="R39" s="724">
        <f>IRR(I37:R37)</f>
        <v>0.20522877845959156</v>
      </c>
    </row>
    <row r="40" spans="1:18">
      <c r="A40" s="903" t="s">
        <v>81</v>
      </c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</row>
    <row r="41" spans="1:18"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</row>
  </sheetData>
  <mergeCells count="3">
    <mergeCell ref="A1:R1"/>
    <mergeCell ref="C6:F6"/>
    <mergeCell ref="G6:J6"/>
  </mergeCells>
  <hyperlinks>
    <hyperlink ref="A3" location="Index!A1" display="BACK TO INDEX"/>
    <hyperlink ref="A40" location="Index!A1" display="BACK TO INDEX"/>
  </hyperlinks>
  <pageMargins left="0.55000000000000004" right="0.56000000000000005" top="0.45" bottom="0.52" header="0.3" footer="0.3"/>
  <pageSetup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2:S24"/>
  <sheetViews>
    <sheetView topLeftCell="A10" workbookViewId="0">
      <selection activeCell="R21" sqref="R21"/>
    </sheetView>
  </sheetViews>
  <sheetFormatPr defaultRowHeight="15"/>
  <cols>
    <col min="1" max="2" width="9.140625" style="169"/>
    <col min="3" max="3" width="16.28515625" style="169" customWidth="1"/>
    <col min="4" max="16384" width="9.140625" style="169"/>
  </cols>
  <sheetData>
    <row r="2" spans="3:19">
      <c r="S2" s="170" t="s">
        <v>263</v>
      </c>
    </row>
    <row r="3" spans="3:19">
      <c r="C3" s="171" t="s">
        <v>264</v>
      </c>
      <c r="D3" s="169">
        <v>2008</v>
      </c>
      <c r="E3" s="169">
        <v>2009</v>
      </c>
      <c r="F3" s="169">
        <v>2010</v>
      </c>
      <c r="G3" s="169">
        <v>2011</v>
      </c>
      <c r="H3" s="172">
        <v>2012</v>
      </c>
      <c r="I3" s="169">
        <v>2013</v>
      </c>
      <c r="J3" s="169">
        <v>2014</v>
      </c>
      <c r="K3" s="169">
        <v>2015</v>
      </c>
      <c r="L3" s="169">
        <v>2016</v>
      </c>
      <c r="M3" s="169">
        <v>2017</v>
      </c>
      <c r="N3" s="173">
        <v>2018</v>
      </c>
      <c r="O3" s="169">
        <v>2019</v>
      </c>
      <c r="P3" s="169">
        <v>2020</v>
      </c>
      <c r="Q3" s="169">
        <v>2021</v>
      </c>
      <c r="R3" s="169">
        <v>2022</v>
      </c>
      <c r="S3" s="170"/>
    </row>
    <row r="4" spans="3:19">
      <c r="C4" s="171"/>
      <c r="H4" s="172"/>
      <c r="N4" s="173"/>
      <c r="S4" s="170"/>
    </row>
    <row r="5" spans="3:19">
      <c r="C5" s="171" t="s">
        <v>265</v>
      </c>
      <c r="D5" s="169">
        <v>7.7</v>
      </c>
      <c r="E5" s="169">
        <f>D5</f>
        <v>7.7</v>
      </c>
      <c r="F5" s="169">
        <f t="shared" ref="F5:R6" si="0">E5</f>
        <v>7.7</v>
      </c>
      <c r="G5" s="169">
        <f t="shared" si="0"/>
        <v>7.7</v>
      </c>
      <c r="H5" s="172">
        <f t="shared" si="0"/>
        <v>7.7</v>
      </c>
      <c r="I5" s="169">
        <v>5.7</v>
      </c>
      <c r="J5" s="169">
        <f t="shared" si="0"/>
        <v>5.7</v>
      </c>
      <c r="K5" s="169">
        <f t="shared" si="0"/>
        <v>5.7</v>
      </c>
      <c r="L5" s="169">
        <f t="shared" si="0"/>
        <v>5.7</v>
      </c>
      <c r="M5" s="169">
        <f t="shared" si="0"/>
        <v>5.7</v>
      </c>
      <c r="N5" s="173">
        <f t="shared" si="0"/>
        <v>5.7</v>
      </c>
      <c r="O5" s="169">
        <v>4.7</v>
      </c>
      <c r="P5" s="169">
        <f t="shared" si="0"/>
        <v>4.7</v>
      </c>
      <c r="Q5" s="169">
        <f t="shared" si="0"/>
        <v>4.7</v>
      </c>
      <c r="R5" s="169">
        <f t="shared" si="0"/>
        <v>4.7</v>
      </c>
      <c r="S5" s="170"/>
    </row>
    <row r="6" spans="3:19">
      <c r="C6" s="171"/>
      <c r="D6" s="169">
        <v>7.7</v>
      </c>
      <c r="E6" s="169">
        <f>D6</f>
        <v>7.7</v>
      </c>
      <c r="F6" s="169">
        <f t="shared" si="0"/>
        <v>7.7</v>
      </c>
      <c r="G6" s="169">
        <f t="shared" si="0"/>
        <v>7.7</v>
      </c>
      <c r="H6" s="172">
        <f t="shared" si="0"/>
        <v>7.7</v>
      </c>
      <c r="I6" s="169">
        <v>5.7</v>
      </c>
      <c r="J6" s="169">
        <f t="shared" si="0"/>
        <v>5.7</v>
      </c>
      <c r="K6" s="169">
        <f t="shared" si="0"/>
        <v>5.7</v>
      </c>
      <c r="L6" s="169">
        <f t="shared" si="0"/>
        <v>5.7</v>
      </c>
      <c r="M6" s="169">
        <f t="shared" si="0"/>
        <v>5.7</v>
      </c>
      <c r="N6" s="173">
        <f t="shared" si="0"/>
        <v>5.7</v>
      </c>
      <c r="O6" s="169">
        <v>4.7</v>
      </c>
      <c r="P6" s="169">
        <f t="shared" si="0"/>
        <v>4.7</v>
      </c>
      <c r="Q6" s="169">
        <f t="shared" si="0"/>
        <v>4.7</v>
      </c>
      <c r="R6" s="169">
        <f t="shared" si="0"/>
        <v>4.7</v>
      </c>
      <c r="S6" s="170"/>
    </row>
    <row r="7" spans="3:19">
      <c r="C7" s="171"/>
      <c r="H7" s="172"/>
      <c r="N7" s="173"/>
      <c r="S7" s="170"/>
    </row>
    <row r="8" spans="3:19">
      <c r="C8" s="171"/>
      <c r="H8" s="172"/>
      <c r="N8" s="173"/>
      <c r="S8" s="170"/>
    </row>
    <row r="9" spans="3:19" ht="45">
      <c r="C9" s="171" t="s">
        <v>266</v>
      </c>
      <c r="D9" s="174">
        <v>36</v>
      </c>
      <c r="E9" s="176">
        <f>(D9*D5%)+D9</f>
        <v>38.771999999999998</v>
      </c>
      <c r="F9" s="176">
        <f>(E9*E5%)+E9</f>
        <v>41.757444</v>
      </c>
      <c r="G9" s="176">
        <f t="shared" ref="F9:R10" si="1">(F9*F5%)+F9</f>
        <v>44.972767187999999</v>
      </c>
      <c r="H9" s="177">
        <f t="shared" si="1"/>
        <v>48.435670261475998</v>
      </c>
      <c r="I9" s="176">
        <f t="shared" si="1"/>
        <v>52.165216871609651</v>
      </c>
      <c r="J9" s="176">
        <f t="shared" si="1"/>
        <v>55.138634233291398</v>
      </c>
      <c r="K9" s="176">
        <f t="shared" si="1"/>
        <v>58.28153638458901</v>
      </c>
      <c r="L9" s="176">
        <f t="shared" si="1"/>
        <v>61.603583958510583</v>
      </c>
      <c r="M9" s="176">
        <f t="shared" si="1"/>
        <v>65.114988244145692</v>
      </c>
      <c r="N9" s="178">
        <f t="shared" si="1"/>
        <v>68.826542574062003</v>
      </c>
      <c r="O9" s="176">
        <f t="shared" si="1"/>
        <v>72.749655500783533</v>
      </c>
      <c r="P9" s="176">
        <f t="shared" si="1"/>
        <v>76.168889309320363</v>
      </c>
      <c r="Q9" s="176">
        <f t="shared" si="1"/>
        <v>79.748827106858414</v>
      </c>
      <c r="R9" s="176">
        <f t="shared" si="1"/>
        <v>83.49702198088076</v>
      </c>
      <c r="S9" s="175">
        <f>R9-D9</f>
        <v>47.49702198088076</v>
      </c>
    </row>
    <row r="10" spans="3:19" ht="45">
      <c r="C10" s="171" t="s">
        <v>267</v>
      </c>
      <c r="D10" s="176">
        <v>0.89664568901064179</v>
      </c>
      <c r="E10" s="176">
        <f>(D10*D6%)+D10</f>
        <v>0.96568740706446121</v>
      </c>
      <c r="F10" s="176">
        <f t="shared" si="1"/>
        <v>1.0400453374084246</v>
      </c>
      <c r="G10" s="176">
        <f t="shared" si="1"/>
        <v>1.1201288283888733</v>
      </c>
      <c r="H10" s="177">
        <f t="shared" si="1"/>
        <v>1.2063787481748165</v>
      </c>
      <c r="I10" s="176">
        <f t="shared" si="1"/>
        <v>1.2992699117842774</v>
      </c>
      <c r="J10" s="176">
        <f t="shared" si="1"/>
        <v>1.3733282967559812</v>
      </c>
      <c r="K10" s="176">
        <f t="shared" si="1"/>
        <v>1.4516080096710722</v>
      </c>
      <c r="L10" s="176">
        <f t="shared" si="1"/>
        <v>1.5343496662223233</v>
      </c>
      <c r="M10" s="176">
        <f t="shared" si="1"/>
        <v>1.6218075971969956</v>
      </c>
      <c r="N10" s="178">
        <f t="shared" si="1"/>
        <v>1.7142506302372245</v>
      </c>
      <c r="O10" s="176">
        <f t="shared" si="1"/>
        <v>1.8119629161607462</v>
      </c>
      <c r="P10" s="176">
        <f t="shared" si="1"/>
        <v>1.8971251732203014</v>
      </c>
      <c r="Q10" s="176">
        <f t="shared" si="1"/>
        <v>1.9862900563616555</v>
      </c>
      <c r="R10" s="179">
        <f t="shared" si="1"/>
        <v>2.0796456890106532</v>
      </c>
      <c r="S10" s="175">
        <f>R10-D10</f>
        <v>1.1830000000000114</v>
      </c>
    </row>
    <row r="11" spans="3:19">
      <c r="S11" s="170"/>
    </row>
    <row r="12" spans="3:19">
      <c r="S12" s="170"/>
    </row>
    <row r="13" spans="3:19">
      <c r="D13" s="179"/>
      <c r="E13" s="176"/>
    </row>
    <row r="15" spans="3:19">
      <c r="D15" s="180" t="e">
        <f>D9*10-#REF!</f>
        <v>#REF!</v>
      </c>
      <c r="E15" s="180" t="e">
        <f>E9*10-#REF!</f>
        <v>#REF!</v>
      </c>
      <c r="F15" s="180" t="e">
        <f>F9*10-#REF!</f>
        <v>#REF!</v>
      </c>
      <c r="G15" s="180" t="e">
        <f>G9*10-#REF!</f>
        <v>#REF!</v>
      </c>
      <c r="H15" s="180" t="e">
        <f>H9*10-#REF!</f>
        <v>#REF!</v>
      </c>
      <c r="I15" s="180" t="e">
        <f>I9*10-#REF!</f>
        <v>#REF!</v>
      </c>
      <c r="J15" s="180" t="e">
        <f>J9*10-#REF!</f>
        <v>#REF!</v>
      </c>
      <c r="K15" s="180" t="e">
        <f>K9*10-#REF!</f>
        <v>#REF!</v>
      </c>
      <c r="L15" s="180" t="e">
        <f>L9*10-#REF!</f>
        <v>#REF!</v>
      </c>
      <c r="M15" s="180" t="e">
        <f>M9*10-#REF!</f>
        <v>#REF!</v>
      </c>
      <c r="N15" s="180" t="e">
        <f>N9*10-#REF!</f>
        <v>#REF!</v>
      </c>
      <c r="O15" s="180" t="e">
        <f>O9*10-#REF!</f>
        <v>#REF!</v>
      </c>
      <c r="P15" s="180" t="e">
        <f>P9*10-#REF!</f>
        <v>#REF!</v>
      </c>
      <c r="Q15" s="180" t="e">
        <f>Q9*10-#REF!</f>
        <v>#REF!</v>
      </c>
      <c r="R15" s="180" t="e">
        <f>R9*10-#REF!</f>
        <v>#REF!</v>
      </c>
    </row>
    <row r="17" spans="3:18">
      <c r="D17" s="180" t="e">
        <f>D10*10-#REF!</f>
        <v>#REF!</v>
      </c>
      <c r="E17" s="180" t="e">
        <f>E10*10-#REF!</f>
        <v>#REF!</v>
      </c>
      <c r="F17" s="180" t="e">
        <f>F10*10-#REF!</f>
        <v>#REF!</v>
      </c>
      <c r="G17" s="180" t="e">
        <f>G10*10-#REF!</f>
        <v>#REF!</v>
      </c>
      <c r="H17" s="180" t="e">
        <f>H10*10-#REF!</f>
        <v>#REF!</v>
      </c>
      <c r="I17" s="180" t="e">
        <f>I10*10-#REF!</f>
        <v>#REF!</v>
      </c>
      <c r="J17" s="180" t="e">
        <f>J10*10-#REF!</f>
        <v>#REF!</v>
      </c>
      <c r="K17" s="180" t="e">
        <f>K10*10-#REF!</f>
        <v>#REF!</v>
      </c>
      <c r="L17" s="180" t="e">
        <f>L10*10-#REF!</f>
        <v>#REF!</v>
      </c>
      <c r="M17" s="180" t="e">
        <f>M10*10-#REF!</f>
        <v>#REF!</v>
      </c>
      <c r="N17" s="180" t="e">
        <f>N10*10-#REF!</f>
        <v>#REF!</v>
      </c>
      <c r="O17" s="180" t="e">
        <f>O10*10-#REF!</f>
        <v>#REF!</v>
      </c>
      <c r="P17" s="180" t="e">
        <f>P10*10-#REF!</f>
        <v>#REF!</v>
      </c>
      <c r="Q17" s="180" t="e">
        <f>Q10*10-#REF!</f>
        <v>#REF!</v>
      </c>
      <c r="R17" s="180" t="e">
        <f>R10*10-#REF!</f>
        <v>#REF!</v>
      </c>
    </row>
    <row r="19" spans="3:18">
      <c r="C19" s="188" t="s">
        <v>270</v>
      </c>
    </row>
    <row r="21" spans="3:18" ht="60">
      <c r="C21" s="171" t="s">
        <v>271</v>
      </c>
      <c r="D21" s="169">
        <v>0.5</v>
      </c>
      <c r="E21" s="180">
        <f>D21*(1+$D$22)</f>
        <v>0.51749999999999996</v>
      </c>
      <c r="F21" s="180">
        <f t="shared" ref="F21:R21" si="2">E21*(1+$D$22)</f>
        <v>0.53561249999999994</v>
      </c>
      <c r="G21" s="180">
        <f t="shared" si="2"/>
        <v>0.55435893749999987</v>
      </c>
      <c r="H21" s="180">
        <f t="shared" si="2"/>
        <v>0.57376150031249984</v>
      </c>
      <c r="I21" s="180">
        <f t="shared" si="2"/>
        <v>0.59384315282343725</v>
      </c>
      <c r="J21" s="180">
        <f t="shared" si="2"/>
        <v>0.61462766317225748</v>
      </c>
      <c r="K21" s="180">
        <f t="shared" si="2"/>
        <v>0.63613963138328644</v>
      </c>
      <c r="L21" s="180">
        <f t="shared" si="2"/>
        <v>0.65840451848170145</v>
      </c>
      <c r="M21" s="180">
        <f t="shared" si="2"/>
        <v>0.6814486766285609</v>
      </c>
      <c r="N21" s="180">
        <f t="shared" si="2"/>
        <v>0.7052993803105605</v>
      </c>
      <c r="O21" s="180">
        <f t="shared" si="2"/>
        <v>0.72998485862143003</v>
      </c>
      <c r="P21" s="180">
        <f t="shared" si="2"/>
        <v>0.75553432867318004</v>
      </c>
      <c r="Q21" s="180">
        <f t="shared" si="2"/>
        <v>0.78197803017674128</v>
      </c>
      <c r="R21" s="190">
        <f t="shared" si="2"/>
        <v>0.80934726123292711</v>
      </c>
    </row>
    <row r="22" spans="3:18">
      <c r="C22" s="188" t="s">
        <v>272</v>
      </c>
      <c r="D22" s="189">
        <v>3.5000000000000003E-2</v>
      </c>
    </row>
    <row r="24" spans="3:18">
      <c r="C24" s="188" t="s">
        <v>273</v>
      </c>
      <c r="D24" s="176">
        <f>D10+D21</f>
        <v>1.3966456890106418</v>
      </c>
      <c r="E24" s="176">
        <f t="shared" ref="E24:R24" si="3">E10+E21</f>
        <v>1.4831874070644613</v>
      </c>
      <c r="F24" s="176">
        <f t="shared" si="3"/>
        <v>1.5756578374084245</v>
      </c>
      <c r="G24" s="176">
        <f t="shared" si="3"/>
        <v>1.6744877658888733</v>
      </c>
      <c r="H24" s="176">
        <f t="shared" si="3"/>
        <v>1.7801402484873163</v>
      </c>
      <c r="I24" s="176">
        <f t="shared" si="3"/>
        <v>1.8931130646077148</v>
      </c>
      <c r="J24" s="176">
        <f t="shared" si="3"/>
        <v>1.9879559599282386</v>
      </c>
      <c r="K24" s="176">
        <f t="shared" si="3"/>
        <v>2.0877476410543587</v>
      </c>
      <c r="L24" s="176">
        <f t="shared" si="3"/>
        <v>2.1927541847040248</v>
      </c>
      <c r="M24" s="176">
        <f t="shared" si="3"/>
        <v>2.3032562738255566</v>
      </c>
      <c r="N24" s="176">
        <f t="shared" si="3"/>
        <v>2.419550010547785</v>
      </c>
      <c r="O24" s="176">
        <f t="shared" si="3"/>
        <v>2.5419477747821762</v>
      </c>
      <c r="P24" s="176">
        <f t="shared" si="3"/>
        <v>2.6526595018934813</v>
      </c>
      <c r="Q24" s="176">
        <f t="shared" si="3"/>
        <v>2.7682680865383968</v>
      </c>
      <c r="R24" s="176">
        <f t="shared" si="3"/>
        <v>2.8889929502435803</v>
      </c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 codeName="Sheet12">
    <pageSetUpPr fitToPage="1"/>
  </sheetPr>
  <dimension ref="A1:S22"/>
  <sheetViews>
    <sheetView topLeftCell="A2" zoomScale="80" zoomScaleNormal="80" workbookViewId="0">
      <selection activeCell="G23" sqref="G23"/>
    </sheetView>
  </sheetViews>
  <sheetFormatPr defaultRowHeight="15"/>
  <cols>
    <col min="1" max="1" width="40.7109375" style="35" customWidth="1"/>
    <col min="2" max="6" width="9.85546875" style="35" customWidth="1"/>
    <col min="7" max="10" width="10.28515625" style="35" customWidth="1"/>
    <col min="11" max="12" width="9.85546875" style="35" customWidth="1"/>
    <col min="13" max="13" width="9.7109375" style="35" customWidth="1"/>
    <col min="14" max="14" width="10.28515625" style="35" customWidth="1"/>
    <col min="15" max="15" width="9.42578125" style="35" customWidth="1"/>
    <col min="16" max="16" width="9.85546875" style="35" customWidth="1"/>
    <col min="17" max="18" width="10.140625" style="35" customWidth="1"/>
    <col min="19" max="19" width="9.85546875" style="35" bestFit="1" customWidth="1"/>
    <col min="20" max="16384" width="9.140625" style="35"/>
  </cols>
  <sheetData>
    <row r="1" spans="1:18">
      <c r="A1" s="1351" t="s">
        <v>131</v>
      </c>
      <c r="B1" s="1351"/>
      <c r="C1" s="1351"/>
      <c r="D1" s="1351"/>
      <c r="E1" s="1351"/>
      <c r="F1" s="1351"/>
      <c r="G1" s="1351"/>
      <c r="H1" s="1351"/>
      <c r="I1" s="1351"/>
      <c r="J1" s="1351"/>
      <c r="K1" s="1351"/>
      <c r="L1" s="1351"/>
      <c r="M1" s="1351"/>
      <c r="N1" s="1351"/>
      <c r="O1" s="1351"/>
      <c r="P1" s="1351"/>
      <c r="Q1" s="1351"/>
      <c r="R1" s="1351"/>
    </row>
    <row r="2" spans="1:18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</row>
    <row r="3" spans="1:18">
      <c r="A3" s="83" t="s">
        <v>81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</row>
    <row r="4" spans="1:18">
      <c r="A4" s="43" t="s">
        <v>130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</row>
    <row r="5" spans="1:18">
      <c r="A5" s="43"/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</row>
    <row r="6" spans="1:18">
      <c r="B6" s="70"/>
      <c r="C6" s="1350" t="s">
        <v>156</v>
      </c>
      <c r="D6" s="1350"/>
      <c r="E6" s="1350"/>
      <c r="F6" s="1350"/>
      <c r="G6" s="1350" t="s">
        <v>157</v>
      </c>
      <c r="H6" s="1350"/>
      <c r="I6" s="1350"/>
      <c r="J6" s="1350"/>
      <c r="K6" s="70" t="str">
        <f>'Balance Sheet'!K6</f>
        <v>Year 3</v>
      </c>
      <c r="L6" s="70" t="str">
        <f>'Balance Sheet'!L6</f>
        <v>Year 4</v>
      </c>
      <c r="M6" s="70" t="str">
        <f>'Balance Sheet'!M6</f>
        <v>Year 5</v>
      </c>
      <c r="N6" s="70" t="str">
        <f>'Balance Sheet'!N6</f>
        <v>Year 6</v>
      </c>
      <c r="O6" s="70" t="str">
        <f>'Balance Sheet'!O6</f>
        <v>Year 7</v>
      </c>
      <c r="P6" s="70" t="str">
        <f>'Balance Sheet'!P6</f>
        <v>Year 8</v>
      </c>
      <c r="Q6" s="70" t="str">
        <f>'Balance Sheet'!Q6</f>
        <v>Year 9</v>
      </c>
      <c r="R6" s="70" t="str">
        <f>'Balance Sheet'!R6</f>
        <v>Year 10</v>
      </c>
    </row>
    <row r="7" spans="1:18">
      <c r="B7" s="37"/>
      <c r="C7" s="619" t="s">
        <v>608</v>
      </c>
      <c r="D7" s="619" t="s">
        <v>609</v>
      </c>
      <c r="E7" s="619" t="s">
        <v>610</v>
      </c>
      <c r="F7" s="619" t="s">
        <v>611</v>
      </c>
      <c r="G7" s="619" t="s">
        <v>608</v>
      </c>
      <c r="H7" s="619" t="s">
        <v>609</v>
      </c>
      <c r="I7" s="619" t="s">
        <v>610</v>
      </c>
      <c r="J7" s="619" t="s">
        <v>611</v>
      </c>
      <c r="K7" s="37"/>
      <c r="L7" s="37"/>
      <c r="M7" s="37"/>
      <c r="N7" s="37"/>
      <c r="O7" s="37"/>
      <c r="P7" s="37"/>
      <c r="Q7" s="37"/>
      <c r="R7" s="37"/>
    </row>
    <row r="8" spans="1:18" s="36" customFormat="1">
      <c r="A8" s="91" t="s">
        <v>129</v>
      </c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</row>
    <row r="9" spans="1:18" ht="25.5" customHeight="1">
      <c r="A9" s="475" t="str">
        <f>'Fin Smmry'!A4</f>
        <v>Certification fee - 76 days course</v>
      </c>
      <c r="B9" s="89"/>
      <c r="C9" s="89">
        <f>'Fin Smmry'!B4</f>
        <v>2.8125</v>
      </c>
      <c r="D9" s="89">
        <f>'Fin Smmry'!C4</f>
        <v>5.625</v>
      </c>
      <c r="E9" s="89">
        <f>'Fin Smmry'!D4</f>
        <v>8.4375</v>
      </c>
      <c r="F9" s="89">
        <f>'Fin Smmry'!E4</f>
        <v>11.25</v>
      </c>
      <c r="G9" s="89">
        <f>'Fin Smmry'!F4</f>
        <v>15.46875</v>
      </c>
      <c r="H9" s="89">
        <f>'Fin Smmry'!G4</f>
        <v>18.5625</v>
      </c>
      <c r="I9" s="89">
        <f>'Fin Smmry'!H4</f>
        <v>21.65625</v>
      </c>
      <c r="J9" s="89">
        <f>'Fin Smmry'!I4</f>
        <v>24.75</v>
      </c>
      <c r="K9" s="89">
        <f>'Fin Smmry'!J4</f>
        <v>217.80000000000004</v>
      </c>
      <c r="L9" s="89">
        <f>'Fin Smmry'!K4</f>
        <v>319.44000000000005</v>
      </c>
      <c r="M9" s="89">
        <f>'Fin Smmry'!L4</f>
        <v>439.23000000000013</v>
      </c>
      <c r="N9" s="89">
        <f>'Fin Smmry'!M4</f>
        <v>579.78360000000032</v>
      </c>
      <c r="O9" s="89">
        <f>'Fin Smmry'!N4</f>
        <v>744.05562000000043</v>
      </c>
      <c r="P9" s="89">
        <f>'Fin Smmry'!O4</f>
        <v>935.38420800000051</v>
      </c>
      <c r="Q9" s="89">
        <f>'Fin Smmry'!P4</f>
        <v>1157.5379574000008</v>
      </c>
      <c r="R9" s="89">
        <f>'Fin Smmry'!Q4</f>
        <v>1414.7686146000012</v>
      </c>
    </row>
    <row r="10" spans="1:18" ht="25.5" customHeight="1">
      <c r="A10" s="475" t="str">
        <f>'Fin Smmry'!A5</f>
        <v>Certification fee - 30 days course</v>
      </c>
      <c r="B10" s="89"/>
      <c r="C10" s="89">
        <f>'Fin Smmry'!B5</f>
        <v>1.6875</v>
      </c>
      <c r="D10" s="89">
        <f>'Fin Smmry'!C5</f>
        <v>3.375</v>
      </c>
      <c r="E10" s="89">
        <f>'Fin Smmry'!D5</f>
        <v>5.0625</v>
      </c>
      <c r="F10" s="89">
        <f>'Fin Smmry'!E5</f>
        <v>6.75</v>
      </c>
      <c r="G10" s="89">
        <f>'Fin Smmry'!F5</f>
        <v>9.28125</v>
      </c>
      <c r="H10" s="89">
        <f>'Fin Smmry'!G5</f>
        <v>11.137499999999999</v>
      </c>
      <c r="I10" s="89">
        <f>'Fin Smmry'!H5</f>
        <v>12.99375</v>
      </c>
      <c r="J10" s="89">
        <f>'Fin Smmry'!I5</f>
        <v>14.85</v>
      </c>
      <c r="K10" s="89">
        <f>'Fin Smmry'!J5</f>
        <v>130.68</v>
      </c>
      <c r="L10" s="89">
        <f>'Fin Smmry'!K5</f>
        <v>191.66400000000004</v>
      </c>
      <c r="M10" s="89">
        <f>'Fin Smmry'!L5</f>
        <v>263.53800000000007</v>
      </c>
      <c r="N10" s="89">
        <f>'Fin Smmry'!M5</f>
        <v>347.87016000000017</v>
      </c>
      <c r="O10" s="89">
        <f>'Fin Smmry'!N5</f>
        <v>446.43337200000019</v>
      </c>
      <c r="P10" s="89">
        <f>'Fin Smmry'!O5</f>
        <v>561.23052480000024</v>
      </c>
      <c r="Q10" s="89">
        <f>'Fin Smmry'!P5</f>
        <v>694.52277444000038</v>
      </c>
      <c r="R10" s="89">
        <f>'Fin Smmry'!Q5</f>
        <v>848.86116876000062</v>
      </c>
    </row>
    <row r="11" spans="1:18" ht="25.5" customHeight="1">
      <c r="A11" s="475" t="str">
        <f>'Fin Smmry'!A6</f>
        <v>Certification fee - 7 days course</v>
      </c>
      <c r="B11" s="89"/>
      <c r="C11" s="89">
        <f>'Fin Smmry'!B6</f>
        <v>0.75</v>
      </c>
      <c r="D11" s="89">
        <f>'Fin Smmry'!C6</f>
        <v>1.5</v>
      </c>
      <c r="E11" s="89">
        <f>'Fin Smmry'!D6</f>
        <v>2.25</v>
      </c>
      <c r="F11" s="89">
        <f>'Fin Smmry'!E6</f>
        <v>3</v>
      </c>
      <c r="G11" s="89">
        <f>'Fin Smmry'!F6</f>
        <v>4.125</v>
      </c>
      <c r="H11" s="89">
        <f>'Fin Smmry'!G6</f>
        <v>4.95</v>
      </c>
      <c r="I11" s="89">
        <f>'Fin Smmry'!H6</f>
        <v>5.7750000000000004</v>
      </c>
      <c r="J11" s="89">
        <f>'Fin Smmry'!I6</f>
        <v>6.6</v>
      </c>
      <c r="K11" s="89">
        <f>'Fin Smmry'!J6</f>
        <v>130.68</v>
      </c>
      <c r="L11" s="89">
        <f>'Fin Smmry'!K6</f>
        <v>191.66399999999999</v>
      </c>
      <c r="M11" s="89">
        <f>'Fin Smmry'!L6</f>
        <v>263.53800000000001</v>
      </c>
      <c r="N11" s="89">
        <f>'Fin Smmry'!M6</f>
        <v>347.87016000000006</v>
      </c>
      <c r="O11" s="89">
        <f>'Fin Smmry'!N6</f>
        <v>446.43337200000008</v>
      </c>
      <c r="P11" s="89">
        <f>'Fin Smmry'!O6</f>
        <v>561.23052480000013</v>
      </c>
      <c r="Q11" s="89">
        <f>'Fin Smmry'!P6</f>
        <v>694.52277444000026</v>
      </c>
      <c r="R11" s="89">
        <f>'Fin Smmry'!Q6</f>
        <v>848.86116876000028</v>
      </c>
    </row>
    <row r="12" spans="1:18" ht="25.5" customHeight="1">
      <c r="A12" s="475" t="str">
        <f>'Fin Smmry'!A7</f>
        <v>Mobile Repairing Course: 75 days</v>
      </c>
      <c r="B12" s="89"/>
      <c r="C12" s="89">
        <f>'Fin Smmry'!B7</f>
        <v>3.1</v>
      </c>
      <c r="D12" s="89">
        <f>'Fin Smmry'!C7</f>
        <v>7.75</v>
      </c>
      <c r="E12" s="89">
        <f>'Fin Smmry'!D7</f>
        <v>10.85</v>
      </c>
      <c r="F12" s="89">
        <f>'Fin Smmry'!E7</f>
        <v>13.95</v>
      </c>
      <c r="G12" s="89">
        <f>'Fin Smmry'!F7</f>
        <v>23.87</v>
      </c>
      <c r="H12" s="89">
        <f>'Fin Smmry'!G7</f>
        <v>27.28</v>
      </c>
      <c r="I12" s="89">
        <f>'Fin Smmry'!H7</f>
        <v>32.395000000000003</v>
      </c>
      <c r="J12" s="89">
        <f>'Fin Smmry'!I7</f>
        <v>35.805</v>
      </c>
      <c r="K12" s="89">
        <f>'Fin Smmry'!J7</f>
        <v>247.56600000000003</v>
      </c>
      <c r="L12" s="89">
        <f>'Fin Smmry'!K7</f>
        <v>376.30032000000017</v>
      </c>
      <c r="M12" s="89">
        <f>'Fin Smmry'!L7</f>
        <v>457.5019680000002</v>
      </c>
      <c r="N12" s="89">
        <f>'Fin Smmry'!M7</f>
        <v>563.1631368000003</v>
      </c>
      <c r="O12" s="89">
        <f>'Fin Smmry'!N7</f>
        <v>632.65986432000045</v>
      </c>
      <c r="P12" s="89">
        <f>'Fin Smmry'!O7</f>
        <v>768.41812687200058</v>
      </c>
      <c r="Q12" s="89">
        <f>'Fin Smmry'!P7</f>
        <v>925.00144329120064</v>
      </c>
      <c r="R12" s="89">
        <f>'Fin Smmry'!Q7</f>
        <v>1087.674110904481</v>
      </c>
    </row>
    <row r="13" spans="1:18" ht="25.5" customHeight="1">
      <c r="A13" s="475" t="str">
        <f>'Fin Smmry'!A8</f>
        <v>Hospitality Assisstance: 50 days</v>
      </c>
      <c r="B13" s="89"/>
      <c r="C13" s="89">
        <f>'Fin Smmry'!B8</f>
        <v>3.25</v>
      </c>
      <c r="D13" s="89">
        <f>'Fin Smmry'!C8</f>
        <v>8.125</v>
      </c>
      <c r="E13" s="89">
        <f>'Fin Smmry'!D8</f>
        <v>11.375</v>
      </c>
      <c r="F13" s="89">
        <f>'Fin Smmry'!E8</f>
        <v>14.625</v>
      </c>
      <c r="G13" s="89">
        <f>'Fin Smmry'!F8</f>
        <v>25.024999999999999</v>
      </c>
      <c r="H13" s="89">
        <f>'Fin Smmry'!G8</f>
        <v>28.6</v>
      </c>
      <c r="I13" s="89">
        <f>'Fin Smmry'!H8</f>
        <v>33.962499999999999</v>
      </c>
      <c r="J13" s="89">
        <f>'Fin Smmry'!I8</f>
        <v>37.537500000000001</v>
      </c>
      <c r="K13" s="89">
        <f>'Fin Smmry'!J8</f>
        <v>311.45400000000006</v>
      </c>
      <c r="L13" s="89">
        <f>'Fin Smmry'!K8</f>
        <v>473.41008000000016</v>
      </c>
      <c r="M13" s="89">
        <f>'Fin Smmry'!L8</f>
        <v>575.56699200000014</v>
      </c>
      <c r="N13" s="89">
        <f>'Fin Smmry'!M8</f>
        <v>708.49555920000034</v>
      </c>
      <c r="O13" s="89">
        <f>'Fin Smmry'!N8</f>
        <v>795.92692608000038</v>
      </c>
      <c r="P13" s="89">
        <f>'Fin Smmry'!O8</f>
        <v>966.71957896800052</v>
      </c>
      <c r="Q13" s="89">
        <f>'Fin Smmry'!P8</f>
        <v>1163.7114931728008</v>
      </c>
      <c r="R13" s="89">
        <f>'Fin Smmry'!Q8</f>
        <v>1368.364204041121</v>
      </c>
    </row>
    <row r="14" spans="1:18" ht="25.5" customHeight="1">
      <c r="A14" s="475" t="str">
        <f>'Fin Smmry'!A9</f>
        <v>Sales Associate: 50 days</v>
      </c>
      <c r="B14" s="89"/>
      <c r="C14" s="89">
        <f>'Fin Smmry'!B9</f>
        <v>3.25</v>
      </c>
      <c r="D14" s="89">
        <f>'Fin Smmry'!C9</f>
        <v>8.125</v>
      </c>
      <c r="E14" s="89">
        <f>'Fin Smmry'!D9</f>
        <v>11.375</v>
      </c>
      <c r="F14" s="89">
        <f>'Fin Smmry'!E9</f>
        <v>14.625</v>
      </c>
      <c r="G14" s="89">
        <f>'Fin Smmry'!F9</f>
        <v>25.024999999999999</v>
      </c>
      <c r="H14" s="89">
        <f>'Fin Smmry'!G9</f>
        <v>28.6</v>
      </c>
      <c r="I14" s="89">
        <f>'Fin Smmry'!H9</f>
        <v>33.962499999999999</v>
      </c>
      <c r="J14" s="89">
        <f>'Fin Smmry'!I9</f>
        <v>37.537500000000001</v>
      </c>
      <c r="K14" s="89">
        <f>'Fin Smmry'!J9</f>
        <v>311.45400000000006</v>
      </c>
      <c r="L14" s="89">
        <f>'Fin Smmry'!K9</f>
        <v>473.41008000000016</v>
      </c>
      <c r="M14" s="89">
        <f>'Fin Smmry'!L9</f>
        <v>575.56699200000014</v>
      </c>
      <c r="N14" s="89">
        <f>'Fin Smmry'!M9</f>
        <v>708.49555920000034</v>
      </c>
      <c r="O14" s="89">
        <f>'Fin Smmry'!N9</f>
        <v>795.92692608000038</v>
      </c>
      <c r="P14" s="89">
        <f>'Fin Smmry'!O9</f>
        <v>966.71957896800052</v>
      </c>
      <c r="Q14" s="89">
        <f>'Fin Smmry'!P9</f>
        <v>1163.7114931728008</v>
      </c>
      <c r="R14" s="89">
        <f>'Fin Smmry'!Q9</f>
        <v>1368.364204041121</v>
      </c>
    </row>
    <row r="15" spans="1:18" ht="25.5" customHeight="1">
      <c r="A15" s="475" t="str">
        <f>'Fin Smmry'!A11</f>
        <v>Registration charges of trained worker</v>
      </c>
      <c r="B15" s="89"/>
      <c r="C15" s="89">
        <f>'Fin Smmry'!B11</f>
        <v>7.03125E-2</v>
      </c>
      <c r="D15" s="89">
        <f>'Fin Smmry'!C11</f>
        <v>0.140625</v>
      </c>
      <c r="E15" s="89">
        <f>'Fin Smmry'!D11</f>
        <v>0.2109375</v>
      </c>
      <c r="F15" s="89">
        <f>'Fin Smmry'!E11</f>
        <v>0.28125</v>
      </c>
      <c r="G15" s="89">
        <f>'Fin Smmry'!F11</f>
        <v>0.38671875</v>
      </c>
      <c r="H15" s="89">
        <f>'Fin Smmry'!G11</f>
        <v>0.4640625000000001</v>
      </c>
      <c r="I15" s="89">
        <f>'Fin Smmry'!H11</f>
        <v>0.54140625000000009</v>
      </c>
      <c r="J15" s="89">
        <f>'Fin Smmry'!I11</f>
        <v>0.61875000000000002</v>
      </c>
      <c r="K15" s="89">
        <f>'Fin Smmry'!J11</f>
        <v>5.4450000000000012</v>
      </c>
      <c r="L15" s="89">
        <f>'Fin Smmry'!K11</f>
        <v>7.9860000000000015</v>
      </c>
      <c r="M15" s="89">
        <f>'Fin Smmry'!L11</f>
        <v>10.980750000000002</v>
      </c>
      <c r="N15" s="89">
        <f>'Fin Smmry'!M11</f>
        <v>14.494590000000001</v>
      </c>
      <c r="O15" s="89">
        <f>'Fin Smmry'!N11</f>
        <v>18.601390500000004</v>
      </c>
      <c r="P15" s="89">
        <f>'Fin Smmry'!O11</f>
        <v>23.384605199999999</v>
      </c>
      <c r="Q15" s="89">
        <f>'Fin Smmry'!P11</f>
        <v>28.938448935000004</v>
      </c>
      <c r="R15" s="89">
        <f>'Fin Smmry'!Q11</f>
        <v>35.369215365000002</v>
      </c>
    </row>
    <row r="16" spans="1:18" ht="25.5" customHeight="1">
      <c r="A16" s="475" t="str">
        <f>'Fin Smmry'!A12</f>
        <v>Placement charges of trained worker</v>
      </c>
      <c r="B16" s="89"/>
      <c r="C16" s="89">
        <f>'Fin Smmry'!B12</f>
        <v>0</v>
      </c>
      <c r="D16" s="89">
        <f>'Fin Smmry'!C12</f>
        <v>0</v>
      </c>
      <c r="E16" s="89">
        <f>'Fin Smmry'!D12</f>
        <v>0</v>
      </c>
      <c r="F16" s="89">
        <f>'Fin Smmry'!E12</f>
        <v>0</v>
      </c>
      <c r="G16" s="89">
        <f>'Fin Smmry'!F12</f>
        <v>0</v>
      </c>
      <c r="H16" s="89">
        <f>'Fin Smmry'!G12</f>
        <v>0</v>
      </c>
      <c r="I16" s="89">
        <f>'Fin Smmry'!H12</f>
        <v>0</v>
      </c>
      <c r="J16" s="89">
        <f>'Fin Smmry'!I12</f>
        <v>0</v>
      </c>
      <c r="K16" s="89">
        <f>'Fin Smmry'!J12</f>
        <v>0</v>
      </c>
      <c r="L16" s="89">
        <f>'Fin Smmry'!K12</f>
        <v>0</v>
      </c>
      <c r="M16" s="89">
        <f>'Fin Smmry'!L12</f>
        <v>0</v>
      </c>
      <c r="N16" s="89">
        <f>'Fin Smmry'!M12</f>
        <v>0</v>
      </c>
      <c r="O16" s="89">
        <f>'Fin Smmry'!N12</f>
        <v>0</v>
      </c>
      <c r="P16" s="89">
        <f>'Fin Smmry'!O12</f>
        <v>0</v>
      </c>
      <c r="Q16" s="89">
        <f>'Fin Smmry'!P12</f>
        <v>0</v>
      </c>
      <c r="R16" s="89">
        <f>'Fin Smmry'!Q12</f>
        <v>0</v>
      </c>
    </row>
    <row r="17" spans="1:19">
      <c r="A17" s="87"/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</row>
    <row r="18" spans="1:19" s="36" customFormat="1">
      <c r="A18" s="340" t="s">
        <v>128</v>
      </c>
      <c r="B18" s="347"/>
      <c r="C18" s="347">
        <f t="shared" ref="C18:R18" si="0">SUM(C9:C17)</f>
        <v>14.9203125</v>
      </c>
      <c r="D18" s="347">
        <f t="shared" si="0"/>
        <v>34.640625</v>
      </c>
      <c r="E18" s="347">
        <f t="shared" si="0"/>
        <v>49.560937500000001</v>
      </c>
      <c r="F18" s="347">
        <f t="shared" si="0"/>
        <v>64.481250000000003</v>
      </c>
      <c r="G18" s="347">
        <f t="shared" si="0"/>
        <v>103.18171875000002</v>
      </c>
      <c r="H18" s="347">
        <f t="shared" si="0"/>
        <v>119.59406249999999</v>
      </c>
      <c r="I18" s="347">
        <f t="shared" si="0"/>
        <v>141.28640625</v>
      </c>
      <c r="J18" s="347">
        <f t="shared" si="0"/>
        <v>157.69874999999999</v>
      </c>
      <c r="K18" s="347">
        <f t="shared" si="0"/>
        <v>1355.0790000000004</v>
      </c>
      <c r="L18" s="347">
        <f t="shared" si="0"/>
        <v>2033.8744800000006</v>
      </c>
      <c r="M18" s="347">
        <f t="shared" si="0"/>
        <v>2585.9227020000008</v>
      </c>
      <c r="N18" s="347">
        <f t="shared" si="0"/>
        <v>3270.1727652000013</v>
      </c>
      <c r="O18" s="347">
        <f t="shared" si="0"/>
        <v>3880.0374709800017</v>
      </c>
      <c r="P18" s="347">
        <f t="shared" si="0"/>
        <v>4783.0871476080019</v>
      </c>
      <c r="Q18" s="347">
        <f t="shared" si="0"/>
        <v>5827.9463848518044</v>
      </c>
      <c r="R18" s="347">
        <f t="shared" si="0"/>
        <v>6972.2626864717267</v>
      </c>
      <c r="S18" s="192">
        <f>SUM(C18:R18)-'Fin Smmry'!R14</f>
        <v>0</v>
      </c>
    </row>
    <row r="19" spans="1:19">
      <c r="A19" s="85"/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</row>
    <row r="20" spans="1:19">
      <c r="A20" s="1349"/>
      <c r="B20" s="1349"/>
      <c r="C20" s="616"/>
      <c r="D20" s="616"/>
      <c r="E20" s="616"/>
      <c r="F20" s="616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</row>
    <row r="21" spans="1:19">
      <c r="A21" s="84"/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</row>
    <row r="22" spans="1:19">
      <c r="A22" s="83" t="s">
        <v>81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</row>
  </sheetData>
  <mergeCells count="4">
    <mergeCell ref="A20:B20"/>
    <mergeCell ref="C6:F6"/>
    <mergeCell ref="G6:J6"/>
    <mergeCell ref="A1:R1"/>
  </mergeCells>
  <hyperlinks>
    <hyperlink ref="A3" location="Index!A1" display="BACK TO INDEX"/>
    <hyperlink ref="A22" location="Index!A1" display="BACK TO INDEX"/>
  </hyperlinks>
  <pageMargins left="0.5" right="0.5" top="0.75" bottom="0.75" header="0.3" footer="0.3"/>
  <pageSetup scale="87" orientation="landscape" horizontalDpi="3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 codeName="Sheet13">
    <pageSetUpPr fitToPage="1"/>
  </sheetPr>
  <dimension ref="A1:S20"/>
  <sheetViews>
    <sheetView topLeftCell="E1" zoomScale="90" zoomScaleNormal="90" workbookViewId="0">
      <selection activeCell="P11" sqref="P11"/>
    </sheetView>
  </sheetViews>
  <sheetFormatPr defaultRowHeight="15"/>
  <cols>
    <col min="1" max="1" width="48.5703125" style="36" customWidth="1"/>
    <col min="2" max="2" width="9.85546875" style="36" hidden="1" customWidth="1"/>
    <col min="3" max="6" width="9.85546875" style="36" customWidth="1"/>
    <col min="7" max="10" width="10.28515625" style="36" customWidth="1"/>
    <col min="11" max="11" width="9.7109375" style="36" customWidth="1"/>
    <col min="12" max="12" width="9.42578125" style="36" customWidth="1"/>
    <col min="13" max="14" width="10.28515625" style="36" customWidth="1"/>
    <col min="15" max="15" width="9.5703125" style="36" customWidth="1"/>
    <col min="16" max="16" width="10" style="36" customWidth="1"/>
    <col min="17" max="17" width="10.42578125" style="36" customWidth="1"/>
    <col min="18" max="18" width="10.140625" style="36" bestFit="1" customWidth="1"/>
    <col min="19" max="19" width="9.7109375" style="36" bestFit="1" customWidth="1"/>
    <col min="20" max="16384" width="9.140625" style="36"/>
  </cols>
  <sheetData>
    <row r="1" spans="1:18">
      <c r="A1" s="1351" t="s">
        <v>135</v>
      </c>
      <c r="B1" s="1351"/>
      <c r="C1" s="1351"/>
      <c r="D1" s="1351"/>
      <c r="E1" s="1351"/>
      <c r="F1" s="1351"/>
      <c r="G1" s="1351"/>
      <c r="H1" s="1351"/>
      <c r="I1" s="1351"/>
      <c r="J1" s="1351"/>
      <c r="K1" s="1351"/>
      <c r="L1" s="1351"/>
      <c r="M1" s="1351"/>
      <c r="N1" s="1351"/>
      <c r="O1" s="1351"/>
      <c r="P1" s="1351"/>
      <c r="Q1" s="1351"/>
      <c r="R1" s="1351"/>
    </row>
    <row r="2" spans="1:18">
      <c r="A2" s="85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</row>
    <row r="3" spans="1:18">
      <c r="A3" s="93" t="s">
        <v>81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</row>
    <row r="4" spans="1:18">
      <c r="A4" s="43" t="s">
        <v>134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</row>
    <row r="5" spans="1:18">
      <c r="A5" s="93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</row>
    <row r="6" spans="1:18">
      <c r="B6" s="70">
        <f>'Revenue Schedule'!B6</f>
        <v>0</v>
      </c>
      <c r="C6" s="1352" t="s">
        <v>156</v>
      </c>
      <c r="D6" s="1352"/>
      <c r="E6" s="1352"/>
      <c r="F6" s="1352"/>
      <c r="G6" s="1352" t="s">
        <v>157</v>
      </c>
      <c r="H6" s="1352"/>
      <c r="I6" s="1352"/>
      <c r="J6" s="1352"/>
      <c r="K6" s="70" t="str">
        <f>'Revenue Schedule'!K6</f>
        <v>Year 3</v>
      </c>
      <c r="L6" s="70" t="str">
        <f>'Revenue Schedule'!L6</f>
        <v>Year 4</v>
      </c>
      <c r="M6" s="70" t="str">
        <f>'Revenue Schedule'!M6</f>
        <v>Year 5</v>
      </c>
      <c r="N6" s="70" t="str">
        <f>'Revenue Schedule'!N6</f>
        <v>Year 6</v>
      </c>
      <c r="O6" s="70" t="str">
        <f>'Revenue Schedule'!O6</f>
        <v>Year 7</v>
      </c>
      <c r="P6" s="70" t="str">
        <f>'Revenue Schedule'!P6</f>
        <v>Year 8</v>
      </c>
      <c r="Q6" s="70" t="str">
        <f>'Revenue Schedule'!Q6</f>
        <v>Year 9</v>
      </c>
      <c r="R6" s="70" t="str">
        <f>'Revenue Schedule'!R6</f>
        <v>Year 10</v>
      </c>
    </row>
    <row r="7" spans="1:18">
      <c r="B7" s="98"/>
      <c r="C7" s="619" t="s">
        <v>608</v>
      </c>
      <c r="D7" s="619" t="s">
        <v>609</v>
      </c>
      <c r="E7" s="619" t="s">
        <v>610</v>
      </c>
      <c r="F7" s="619" t="s">
        <v>611</v>
      </c>
      <c r="G7" s="619" t="s">
        <v>608</v>
      </c>
      <c r="H7" s="619" t="s">
        <v>609</v>
      </c>
      <c r="I7" s="619" t="s">
        <v>610</v>
      </c>
      <c r="J7" s="619" t="s">
        <v>611</v>
      </c>
      <c r="K7" s="98"/>
      <c r="L7" s="98"/>
      <c r="M7" s="98"/>
      <c r="N7" s="98"/>
      <c r="O7" s="98"/>
      <c r="P7" s="98"/>
      <c r="Q7" s="98"/>
    </row>
    <row r="8" spans="1:18">
      <c r="A8" s="91" t="s">
        <v>133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</row>
    <row r="9" spans="1:18">
      <c r="A9" s="228"/>
      <c r="B9" s="97" t="e">
        <f>'Fin Smmry'!#REF!</f>
        <v>#REF!</v>
      </c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</row>
    <row r="10" spans="1:18">
      <c r="A10" s="228" t="str">
        <f>'Fin Smmry'!A17</f>
        <v>Cost of training of Trainers</v>
      </c>
      <c r="B10" s="97" t="e">
        <f>'Fin Smmry'!#REF!</f>
        <v>#REF!</v>
      </c>
      <c r="C10" s="97">
        <f>'Fin Smmry'!B17</f>
        <v>3.6</v>
      </c>
      <c r="D10" s="97">
        <f>'Fin Smmry'!C17</f>
        <v>4.5</v>
      </c>
      <c r="E10" s="97">
        <f>'Fin Smmry'!D17</f>
        <v>3.6</v>
      </c>
      <c r="F10" s="97">
        <f>'Fin Smmry'!E17</f>
        <v>3.6</v>
      </c>
      <c r="G10" s="97">
        <f>'Fin Smmry'!F17</f>
        <v>6.9300000000000006</v>
      </c>
      <c r="H10" s="97">
        <f>'Fin Smmry'!G17</f>
        <v>3.9600000000000004</v>
      </c>
      <c r="I10" s="97">
        <f>'Fin Smmry'!H17</f>
        <v>4.95</v>
      </c>
      <c r="J10" s="97">
        <f>'Fin Smmry'!I17</f>
        <v>3.9600000000000004</v>
      </c>
      <c r="K10" s="97">
        <f>'Fin Smmry'!J17</f>
        <v>21.780000000000005</v>
      </c>
      <c r="L10" s="97">
        <f>'Fin Smmry'!K17</f>
        <v>0</v>
      </c>
      <c r="M10" s="97">
        <f>'Fin Smmry'!L17</f>
        <v>0</v>
      </c>
      <c r="N10" s="97">
        <f>'Fin Smmry'!M17</f>
        <v>0</v>
      </c>
      <c r="O10" s="97">
        <f>'Fin Smmry'!N17</f>
        <v>0</v>
      </c>
      <c r="P10" s="97">
        <f>'Fin Smmry'!O17</f>
        <v>0</v>
      </c>
      <c r="Q10" s="97">
        <f>'Fin Smmry'!P17</f>
        <v>0</v>
      </c>
      <c r="R10" s="97">
        <f>'Fin Smmry'!Q17</f>
        <v>0</v>
      </c>
    </row>
    <row r="11" spans="1:18">
      <c r="A11" s="228" t="str">
        <f>'Fin Smmry'!A18</f>
        <v xml:space="preserve">Salaries </v>
      </c>
      <c r="B11" s="97" t="e">
        <f>'Fin Smmry'!#REF!</f>
        <v>#REF!</v>
      </c>
      <c r="C11" s="97">
        <f>'Fin Smmry'!B18</f>
        <v>27.905999999999999</v>
      </c>
      <c r="D11" s="97">
        <f>'Fin Smmry'!C18</f>
        <v>40.631999999999998</v>
      </c>
      <c r="E11" s="97">
        <f>'Fin Smmry'!D18</f>
        <v>50.628</v>
      </c>
      <c r="F11" s="97">
        <f>'Fin Smmry'!E18</f>
        <v>60.623999999999995</v>
      </c>
      <c r="G11" s="97">
        <f>'Fin Smmry'!F18</f>
        <v>87.972720000000024</v>
      </c>
      <c r="H11" s="97">
        <f>'Fin Smmry'!G18</f>
        <v>100.3266</v>
      </c>
      <c r="I11" s="97">
        <f>'Fin Smmry'!H18</f>
        <v>114.32520000000001</v>
      </c>
      <c r="J11" s="97">
        <f>'Fin Smmry'!I18</f>
        <v>125.32080000000001</v>
      </c>
      <c r="K11" s="97">
        <f>'Fin Smmry'!J18</f>
        <v>693.24288000000001</v>
      </c>
      <c r="L11" s="97">
        <f>'Fin Smmry'!K18</f>
        <v>888.82437600000026</v>
      </c>
      <c r="M11" s="97">
        <f>'Fin Smmry'!L18</f>
        <v>1158.1974122399999</v>
      </c>
      <c r="N11" s="97">
        <f>'Fin Smmry'!M18</f>
        <v>1414.0686489600002</v>
      </c>
      <c r="O11" s="97">
        <f>'Fin Smmry'!N18</f>
        <v>1665.1072173120003</v>
      </c>
      <c r="P11" s="97">
        <f>'Fin Smmry'!O18</f>
        <v>2023.3249324728004</v>
      </c>
      <c r="Q11" s="97">
        <f>'Fin Smmry'!P18</f>
        <v>2436.5351184926403</v>
      </c>
      <c r="R11" s="97">
        <f>'Fin Smmry'!Q18</f>
        <v>2881.2354786599999</v>
      </c>
    </row>
    <row r="12" spans="1:18">
      <c r="A12" s="228" t="str">
        <f>'Fin Smmry'!A19</f>
        <v>Lab Set up Expenses</v>
      </c>
      <c r="B12" s="97" t="e">
        <f>'Fin Smmry'!#REF!</f>
        <v>#REF!</v>
      </c>
      <c r="C12" s="97">
        <f>'Fin Smmry'!B19</f>
        <v>7</v>
      </c>
      <c r="D12" s="97">
        <f>'Fin Smmry'!C19</f>
        <v>10.5</v>
      </c>
      <c r="E12" s="97">
        <f>'Fin Smmry'!D19</f>
        <v>7</v>
      </c>
      <c r="F12" s="97">
        <f>'Fin Smmry'!E19</f>
        <v>7</v>
      </c>
      <c r="G12" s="97">
        <f>'Fin Smmry'!F19</f>
        <v>19.250000000000004</v>
      </c>
      <c r="H12" s="97">
        <f>'Fin Smmry'!G19</f>
        <v>7.7</v>
      </c>
      <c r="I12" s="97">
        <f>'Fin Smmry'!H19</f>
        <v>11.55</v>
      </c>
      <c r="J12" s="97">
        <f>'Fin Smmry'!I19</f>
        <v>7.7</v>
      </c>
      <c r="K12" s="97">
        <f>'Fin Smmry'!J19</f>
        <v>50.820000000000014</v>
      </c>
      <c r="L12" s="97">
        <f>'Fin Smmry'!K19</f>
        <v>23.292500000000004</v>
      </c>
      <c r="M12" s="97">
        <f>'Fin Smmry'!L19</f>
        <v>20.497400000000003</v>
      </c>
      <c r="N12" s="97">
        <f>'Fin Smmry'!M19</f>
        <v>28.183925000000006</v>
      </c>
      <c r="O12" s="97">
        <f>'Fin Smmry'!N19</f>
        <v>6.2004635000000006</v>
      </c>
      <c r="P12" s="97">
        <f>'Fin Smmry'!O19</f>
        <v>34.102549250000003</v>
      </c>
      <c r="Q12" s="97">
        <f>'Fin Smmry'!P19</f>
        <v>37.512804174999999</v>
      </c>
      <c r="R12" s="97">
        <f>'Fin Smmry'!Q19</f>
        <v>33.011267674000003</v>
      </c>
    </row>
    <row r="13" spans="1:18">
      <c r="A13" s="228" t="str">
        <f>'Fin Smmry'!A20</f>
        <v>Admin</v>
      </c>
      <c r="B13" s="97"/>
      <c r="C13" s="97">
        <f>'Fin Smmry'!B20</f>
        <v>22.446850000000001</v>
      </c>
      <c r="D13" s="97">
        <f>'Fin Smmry'!C20</f>
        <v>32.433700000000002</v>
      </c>
      <c r="E13" s="97">
        <f>'Fin Smmry'!D20</f>
        <v>39.855550000000008</v>
      </c>
      <c r="F13" s="97">
        <f>'Fin Smmry'!E20</f>
        <v>47.2774</v>
      </c>
      <c r="G13" s="97">
        <f>'Fin Smmry'!F20</f>
        <v>72.112975000000006</v>
      </c>
      <c r="H13" s="97">
        <f>'Fin Smmry'!G20</f>
        <v>79.544409999999999</v>
      </c>
      <c r="I13" s="97">
        <f>'Fin Smmry'!H20</f>
        <v>89.797345000000007</v>
      </c>
      <c r="J13" s="97">
        <f>'Fin Smmry'!I20</f>
        <v>97.228780000000015</v>
      </c>
      <c r="K13" s="97">
        <f>'Fin Smmry'!J20</f>
        <v>593.60408800000005</v>
      </c>
      <c r="L13" s="97">
        <f>'Fin Smmry'!K20</f>
        <v>748.90259840000022</v>
      </c>
      <c r="M13" s="97">
        <f>'Fin Smmry'!L20</f>
        <v>941.7917272000002</v>
      </c>
      <c r="N13" s="97">
        <f>'Fin Smmry'!M20</f>
        <v>1158.8589258560003</v>
      </c>
      <c r="O13" s="97">
        <f>'Fin Smmry'!N20</f>
        <v>1363.9663253032002</v>
      </c>
      <c r="P13" s="97">
        <f>'Fin Smmry'!O20</f>
        <v>1649.3359922160803</v>
      </c>
      <c r="Q13" s="97">
        <f>'Fin Smmry'!P20</f>
        <v>1978.3088592585041</v>
      </c>
      <c r="R13" s="97">
        <f>'Fin Smmry'!Q20</f>
        <v>2333.2208264775918</v>
      </c>
    </row>
    <row r="14" spans="1:18">
      <c r="A14" s="228"/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</row>
    <row r="15" spans="1:18">
      <c r="A15" s="96"/>
      <c r="B15" s="95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</row>
    <row r="16" spans="1:18">
      <c r="A16" s="96"/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</row>
    <row r="17" spans="1:19">
      <c r="A17" s="340" t="s">
        <v>132</v>
      </c>
      <c r="B17" s="346" t="e">
        <f t="shared" ref="B17:R17" si="0">SUM(B9:B16)</f>
        <v>#REF!</v>
      </c>
      <c r="C17" s="346">
        <f t="shared" si="0"/>
        <v>60.952849999999998</v>
      </c>
      <c r="D17" s="346">
        <f t="shared" si="0"/>
        <v>88.065699999999993</v>
      </c>
      <c r="E17" s="346">
        <f t="shared" si="0"/>
        <v>101.08355</v>
      </c>
      <c r="F17" s="346">
        <f t="shared" si="0"/>
        <v>118.50139999999999</v>
      </c>
      <c r="G17" s="346">
        <f>SUM(G9:G16)</f>
        <v>186.26569500000005</v>
      </c>
      <c r="H17" s="346">
        <f>SUM(H9:H16)</f>
        <v>191.53100999999998</v>
      </c>
      <c r="I17" s="346">
        <f>SUM(I9:I16)</f>
        <v>220.62254500000003</v>
      </c>
      <c r="J17" s="346">
        <f>SUM(J9:J16)</f>
        <v>234.20958000000002</v>
      </c>
      <c r="K17" s="346">
        <f t="shared" si="0"/>
        <v>1359.4469680000002</v>
      </c>
      <c r="L17" s="346">
        <f t="shared" si="0"/>
        <v>1661.0194744000005</v>
      </c>
      <c r="M17" s="346">
        <f t="shared" si="0"/>
        <v>2120.4865394400003</v>
      </c>
      <c r="N17" s="346">
        <f t="shared" si="0"/>
        <v>2601.1114998160006</v>
      </c>
      <c r="O17" s="346">
        <f t="shared" si="0"/>
        <v>3035.2740061152008</v>
      </c>
      <c r="P17" s="346">
        <f t="shared" si="0"/>
        <v>3706.7634739388805</v>
      </c>
      <c r="Q17" s="346">
        <f t="shared" si="0"/>
        <v>4452.3567819261443</v>
      </c>
      <c r="R17" s="346">
        <f t="shared" si="0"/>
        <v>5247.4675728115917</v>
      </c>
      <c r="S17" s="852">
        <f>SUM(C17:R17)</f>
        <v>25385.158646447821</v>
      </c>
    </row>
    <row r="18" spans="1:19">
      <c r="A18" s="94"/>
      <c r="B18" s="82" t="e">
        <f>B17-'Fin Smmry'!#REF!</f>
        <v>#REF!</v>
      </c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</row>
    <row r="19" spans="1:19"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</row>
    <row r="20" spans="1:19">
      <c r="A20" s="93" t="s">
        <v>81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</row>
  </sheetData>
  <mergeCells count="3">
    <mergeCell ref="C6:F6"/>
    <mergeCell ref="G6:J6"/>
    <mergeCell ref="A1:R1"/>
  </mergeCells>
  <hyperlinks>
    <hyperlink ref="A3" location="Index!A1" display="BACK TO INDEX"/>
    <hyperlink ref="A20" location="Index!A1" display="BACK TO INDEX"/>
  </hyperlinks>
  <pageMargins left="0.48" right="0.53" top="0.75" bottom="0.75" header="0.3" footer="0.3"/>
  <pageSetup scale="87" orientation="landscape" horizontalDpi="300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 codeName="Sheet14">
    <pageSetUpPr fitToPage="1"/>
  </sheetPr>
  <dimension ref="A1:T46"/>
  <sheetViews>
    <sheetView topLeftCell="A12" zoomScale="80" zoomScaleNormal="80" workbookViewId="0">
      <selection activeCell="U38" sqref="U38"/>
    </sheetView>
  </sheetViews>
  <sheetFormatPr defaultRowHeight="15"/>
  <cols>
    <col min="1" max="1" width="30.7109375" style="36" customWidth="1"/>
    <col min="2" max="2" width="9.42578125" style="36" hidden="1" customWidth="1"/>
    <col min="3" max="6" width="9.42578125" style="36" customWidth="1"/>
    <col min="7" max="10" width="9.7109375" style="36" customWidth="1"/>
    <col min="11" max="11" width="9.28515625" style="36" customWidth="1"/>
    <col min="12" max="12" width="9.42578125" style="36" customWidth="1"/>
    <col min="13" max="13" width="9.7109375" style="36" customWidth="1"/>
    <col min="14" max="14" width="9.42578125" style="36" customWidth="1"/>
    <col min="15" max="15" width="9.7109375" style="36" customWidth="1"/>
    <col min="16" max="16" width="9.42578125" style="36" customWidth="1"/>
    <col min="17" max="17" width="10.140625" style="36" customWidth="1"/>
    <col min="18" max="18" width="9.42578125" style="36" bestFit="1" customWidth="1"/>
    <col min="19" max="16384" width="9.140625" style="36"/>
  </cols>
  <sheetData>
    <row r="1" spans="1:19">
      <c r="A1" s="1354" t="s">
        <v>146</v>
      </c>
      <c r="B1" s="1354"/>
      <c r="C1" s="1354"/>
      <c r="D1" s="1354"/>
      <c r="E1" s="1354"/>
      <c r="F1" s="1354"/>
      <c r="G1" s="1354"/>
      <c r="H1" s="1354"/>
      <c r="I1" s="1354"/>
      <c r="J1" s="1354"/>
      <c r="K1" s="1354"/>
      <c r="L1" s="1354"/>
      <c r="M1" s="1354"/>
      <c r="N1" s="1354"/>
      <c r="O1" s="1354"/>
      <c r="P1" s="1354"/>
      <c r="Q1" s="1354"/>
      <c r="R1" s="1354"/>
    </row>
    <row r="2" spans="1:19">
      <c r="A2" s="844"/>
    </row>
    <row r="3" spans="1:19">
      <c r="A3" s="846" t="s">
        <v>81</v>
      </c>
    </row>
    <row r="4" spans="1:19">
      <c r="A4" s="851" t="s">
        <v>145</v>
      </c>
    </row>
    <row r="5" spans="1:19">
      <c r="A5" s="846"/>
    </row>
    <row r="6" spans="1:19">
      <c r="A6" s="848"/>
      <c r="B6" s="849"/>
      <c r="C6" s="1353" t="s">
        <v>156</v>
      </c>
      <c r="D6" s="1353"/>
      <c r="E6" s="1353"/>
      <c r="F6" s="1353"/>
      <c r="G6" s="1353" t="s">
        <v>157</v>
      </c>
      <c r="H6" s="1353"/>
      <c r="I6" s="1353"/>
      <c r="J6" s="1353"/>
      <c r="K6" s="849" t="str">
        <f>'Operational Expenses'!K6</f>
        <v>Year 3</v>
      </c>
      <c r="L6" s="849" t="str">
        <f>'Operational Expenses'!L6</f>
        <v>Year 4</v>
      </c>
      <c r="M6" s="849" t="str">
        <f>'Operational Expenses'!M6</f>
        <v>Year 5</v>
      </c>
      <c r="N6" s="849" t="str">
        <f>'Operational Expenses'!N6</f>
        <v>Year 6</v>
      </c>
      <c r="O6" s="849" t="str">
        <f>'Operational Expenses'!O6</f>
        <v>Year 7</v>
      </c>
      <c r="P6" s="849" t="str">
        <f>'Operational Expenses'!P6</f>
        <v>Year 8</v>
      </c>
      <c r="Q6" s="849" t="str">
        <f>'Operational Expenses'!Q6</f>
        <v>Year 9</v>
      </c>
      <c r="R6" s="849" t="str">
        <f>'Operational Expenses'!R6</f>
        <v>Year 10</v>
      </c>
    </row>
    <row r="7" spans="1:19">
      <c r="C7" s="850" t="s">
        <v>608</v>
      </c>
      <c r="D7" s="850" t="s">
        <v>609</v>
      </c>
      <c r="E7" s="850" t="s">
        <v>610</v>
      </c>
      <c r="F7" s="850" t="s">
        <v>611</v>
      </c>
      <c r="G7" s="850" t="s">
        <v>608</v>
      </c>
      <c r="H7" s="850" t="s">
        <v>609</v>
      </c>
      <c r="I7" s="850" t="s">
        <v>610</v>
      </c>
      <c r="J7" s="850" t="s">
        <v>611</v>
      </c>
    </row>
    <row r="8" spans="1:19">
      <c r="A8" s="845" t="s">
        <v>144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</row>
    <row r="9" spans="1:19"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</row>
    <row r="10" spans="1:19">
      <c r="A10" s="35" t="s">
        <v>719</v>
      </c>
      <c r="B10" s="107"/>
      <c r="C10" s="838">
        <f>Capex!C10+Capex!C19</f>
        <v>0.11260273399999998</v>
      </c>
      <c r="D10" s="838">
        <f>C10+Capex!D10</f>
        <v>0.11260273399999998</v>
      </c>
      <c r="E10" s="838">
        <f>D10+Capex!E10</f>
        <v>0.11260273399999998</v>
      </c>
      <c r="F10" s="838">
        <f>E10+Capex!F10</f>
        <v>0.11260273399999998</v>
      </c>
      <c r="G10" s="838">
        <f>F10+Capex!G10</f>
        <v>0.11260273399999998</v>
      </c>
      <c r="H10" s="838">
        <f>G10+Capex!H10</f>
        <v>0.11260273399999998</v>
      </c>
      <c r="I10" s="838">
        <f>H10+Capex!I10</f>
        <v>0.11260273399999998</v>
      </c>
      <c r="J10" s="838">
        <f>I10+Capex!J10</f>
        <v>0.11260273399999998</v>
      </c>
      <c r="K10" s="838">
        <f>J10+Capex!K10</f>
        <v>0.11260273399999998</v>
      </c>
      <c r="L10" s="838">
        <f>K10+Capex!L10</f>
        <v>0.11260273399999998</v>
      </c>
      <c r="M10" s="838">
        <f>L10+Capex!M10</f>
        <v>0.11260273399999998</v>
      </c>
      <c r="N10" s="838">
        <f>M10+Capex!N10</f>
        <v>0.11260273399999998</v>
      </c>
      <c r="O10" s="838">
        <f>N10+Capex!O10</f>
        <v>0.11260273399999998</v>
      </c>
      <c r="P10" s="838">
        <f>O10+Capex!P10</f>
        <v>0.11260273399999998</v>
      </c>
      <c r="Q10" s="838">
        <f>P10+Capex!Q10</f>
        <v>0.11260273399999998</v>
      </c>
      <c r="R10" s="838">
        <f>Q10+Capex!R10</f>
        <v>0.11260273399999998</v>
      </c>
    </row>
    <row r="11" spans="1:19">
      <c r="A11" s="345" t="str">
        <f>Capex!A10</f>
        <v>IT Software</v>
      </c>
      <c r="B11" s="107">
        <f>Capex!B10</f>
        <v>0</v>
      </c>
      <c r="C11" s="838">
        <f>Capex!C10+Capex!C19</f>
        <v>0.11260273399999998</v>
      </c>
      <c r="D11" s="838">
        <f>C14+Capex!D10</f>
        <v>8.3449886167399984E-2</v>
      </c>
      <c r="E11" s="838">
        <f>D14+Capex!E10</f>
        <v>6.1844710638660122E-2</v>
      </c>
      <c r="F11" s="838">
        <f>E14+Capex!F10</f>
        <v>4.5833115054311008E-2</v>
      </c>
      <c r="G11" s="838">
        <f>F14+Capex!G10</f>
        <v>3.396692156674988E-2</v>
      </c>
      <c r="H11" s="838">
        <f>G14+Capex!H10</f>
        <v>2.5172885573118337E-2</v>
      </c>
      <c r="I11" s="838">
        <f>H14+Capex!I10</f>
        <v>1.8655625498238002E-2</v>
      </c>
      <c r="J11" s="838">
        <f>I14+Capex!J10</f>
        <v>1.3825684056744184E-2</v>
      </c>
      <c r="K11" s="838">
        <f>J14+Capex!K10</f>
        <v>1.0246214454453118E-2</v>
      </c>
      <c r="L11" s="838">
        <f>K14+Capex!L10</f>
        <v>7.59346953219521E-3</v>
      </c>
      <c r="M11" s="838">
        <f>L14+Capex!M10</f>
        <v>5.6275202703098687E-3</v>
      </c>
      <c r="N11" s="838">
        <f>M14+Capex!N10</f>
        <v>4.1705552723266398E-3</v>
      </c>
      <c r="O11" s="838">
        <f>N14+Capex!O10</f>
        <v>3.0907985123212744E-3</v>
      </c>
      <c r="P11" s="838">
        <f>O14+Capex!P10</f>
        <v>2.2905907774812967E-3</v>
      </c>
      <c r="Q11" s="838">
        <f>P14+Capex!Q10</f>
        <v>1.6975568251913903E-3</v>
      </c>
      <c r="R11" s="838">
        <f>Q14+Capex!R10</f>
        <v>1.2580593631493359E-3</v>
      </c>
    </row>
    <row r="12" spans="1:19">
      <c r="A12" s="35" t="s">
        <v>715</v>
      </c>
      <c r="B12" s="88" t="e">
        <f>'Fin Smmry'!#REF!</f>
        <v>#REF!</v>
      </c>
      <c r="C12" s="839">
        <f>C11*25.89%</f>
        <v>2.9152847832599998E-2</v>
      </c>
      <c r="D12" s="839">
        <f t="shared" ref="D12:R12" si="0">D11*25.89%</f>
        <v>2.1605175528739858E-2</v>
      </c>
      <c r="E12" s="839">
        <f t="shared" si="0"/>
        <v>1.6011595584349107E-2</v>
      </c>
      <c r="F12" s="839">
        <f t="shared" si="0"/>
        <v>1.1866193487561121E-2</v>
      </c>
      <c r="G12" s="839">
        <f t="shared" si="0"/>
        <v>8.7940359936315455E-3</v>
      </c>
      <c r="H12" s="839">
        <f t="shared" si="0"/>
        <v>6.5172600748803376E-3</v>
      </c>
      <c r="I12" s="839">
        <f t="shared" si="0"/>
        <v>4.8299414414938189E-3</v>
      </c>
      <c r="J12" s="839">
        <f t="shared" si="0"/>
        <v>3.5794696022910695E-3</v>
      </c>
      <c r="K12" s="839">
        <f t="shared" si="0"/>
        <v>2.6527449222579122E-3</v>
      </c>
      <c r="L12" s="839">
        <f t="shared" si="0"/>
        <v>1.9659492618853401E-3</v>
      </c>
      <c r="M12" s="839">
        <f t="shared" si="0"/>
        <v>1.4569649979832252E-3</v>
      </c>
      <c r="N12" s="839">
        <f t="shared" si="0"/>
        <v>1.0797567600053671E-3</v>
      </c>
      <c r="O12" s="839">
        <f t="shared" si="0"/>
        <v>8.0020773483997797E-4</v>
      </c>
      <c r="P12" s="839">
        <f t="shared" si="0"/>
        <v>5.9303395228990771E-4</v>
      </c>
      <c r="Q12" s="839">
        <f t="shared" si="0"/>
        <v>4.3949746204205095E-4</v>
      </c>
      <c r="R12" s="839">
        <f t="shared" si="0"/>
        <v>3.2571156911936309E-4</v>
      </c>
    </row>
    <row r="13" spans="1:19">
      <c r="A13" s="35" t="s">
        <v>43</v>
      </c>
      <c r="B13" s="107" t="e">
        <f>B12</f>
        <v>#REF!</v>
      </c>
      <c r="C13" s="838">
        <f>C12</f>
        <v>2.9152847832599998E-2</v>
      </c>
      <c r="D13" s="838">
        <f>C13+D12</f>
        <v>5.075802336133986E-2</v>
      </c>
      <c r="E13" s="838">
        <f t="shared" ref="E13:R13" si="1">D13+E12</f>
        <v>6.6769618945688974E-2</v>
      </c>
      <c r="F13" s="838">
        <f t="shared" si="1"/>
        <v>7.8635812433250102E-2</v>
      </c>
      <c r="G13" s="838">
        <f t="shared" si="1"/>
        <v>8.7429848426881646E-2</v>
      </c>
      <c r="H13" s="838">
        <f t="shared" si="1"/>
        <v>9.3947108501761981E-2</v>
      </c>
      <c r="I13" s="838">
        <f t="shared" si="1"/>
        <v>9.8777049943255799E-2</v>
      </c>
      <c r="J13" s="838">
        <f t="shared" si="1"/>
        <v>0.10235651954554686</v>
      </c>
      <c r="K13" s="838">
        <f t="shared" si="1"/>
        <v>0.10500926446780477</v>
      </c>
      <c r="L13" s="838">
        <f t="shared" si="1"/>
        <v>0.10697521372969011</v>
      </c>
      <c r="M13" s="838">
        <f t="shared" si="1"/>
        <v>0.10843217872767334</v>
      </c>
      <c r="N13" s="838">
        <f t="shared" si="1"/>
        <v>0.10951193548767871</v>
      </c>
      <c r="O13" s="838">
        <f t="shared" si="1"/>
        <v>0.11031214322251869</v>
      </c>
      <c r="P13" s="838">
        <f t="shared" si="1"/>
        <v>0.11090517717480859</v>
      </c>
      <c r="Q13" s="838">
        <f t="shared" si="1"/>
        <v>0.11134467463685065</v>
      </c>
      <c r="R13" s="838">
        <f t="shared" si="1"/>
        <v>0.11167038620597002</v>
      </c>
    </row>
    <row r="14" spans="1:19">
      <c r="A14" s="35" t="s">
        <v>93</v>
      </c>
      <c r="B14" s="107" t="e">
        <f>B11-B13</f>
        <v>#REF!</v>
      </c>
      <c r="C14" s="838">
        <f>C10-C13</f>
        <v>8.3449886167399984E-2</v>
      </c>
      <c r="D14" s="838">
        <f t="shared" ref="D14:R14" si="2">D10-D13</f>
        <v>6.1844710638660122E-2</v>
      </c>
      <c r="E14" s="838">
        <f t="shared" si="2"/>
        <v>4.5833115054311008E-2</v>
      </c>
      <c r="F14" s="838">
        <f t="shared" si="2"/>
        <v>3.396692156674988E-2</v>
      </c>
      <c r="G14" s="838">
        <f t="shared" si="2"/>
        <v>2.5172885573118337E-2</v>
      </c>
      <c r="H14" s="838">
        <f t="shared" si="2"/>
        <v>1.8655625498238002E-2</v>
      </c>
      <c r="I14" s="838">
        <f t="shared" si="2"/>
        <v>1.3825684056744184E-2</v>
      </c>
      <c r="J14" s="838">
        <f t="shared" si="2"/>
        <v>1.0246214454453118E-2</v>
      </c>
      <c r="K14" s="838">
        <f t="shared" si="2"/>
        <v>7.59346953219521E-3</v>
      </c>
      <c r="L14" s="838">
        <f t="shared" si="2"/>
        <v>5.6275202703098687E-3</v>
      </c>
      <c r="M14" s="838">
        <f t="shared" si="2"/>
        <v>4.1705552723266398E-3</v>
      </c>
      <c r="N14" s="838">
        <f t="shared" si="2"/>
        <v>3.0907985123212744E-3</v>
      </c>
      <c r="O14" s="838">
        <f t="shared" si="2"/>
        <v>2.2905907774812967E-3</v>
      </c>
      <c r="P14" s="838">
        <f t="shared" si="2"/>
        <v>1.6975568251913903E-3</v>
      </c>
      <c r="Q14" s="838">
        <f t="shared" si="2"/>
        <v>1.2580593631493359E-3</v>
      </c>
      <c r="R14" s="838">
        <f t="shared" si="2"/>
        <v>9.3234779402996681E-4</v>
      </c>
      <c r="S14" s="838"/>
    </row>
    <row r="15" spans="1:19">
      <c r="A15" s="35"/>
      <c r="B15" s="107"/>
      <c r="C15" s="838"/>
      <c r="D15" s="838"/>
      <c r="E15" s="838"/>
      <c r="F15" s="838"/>
      <c r="G15" s="838"/>
      <c r="H15" s="838"/>
      <c r="I15" s="838"/>
      <c r="J15" s="838"/>
      <c r="K15" s="838"/>
      <c r="L15" s="838"/>
      <c r="M15" s="838"/>
      <c r="N15" s="838"/>
      <c r="O15" s="838"/>
      <c r="P15" s="838"/>
      <c r="Q15" s="838"/>
      <c r="R15" s="838"/>
      <c r="S15" s="838"/>
    </row>
    <row r="16" spans="1:19">
      <c r="A16" s="35" t="s">
        <v>720</v>
      </c>
      <c r="B16" s="108"/>
      <c r="C16" s="839">
        <f>Capex!C11+Capex!C20</f>
        <v>5.5053459999999994</v>
      </c>
      <c r="D16" s="839">
        <f>C16+Capex!D11</f>
        <v>10.455345999999999</v>
      </c>
      <c r="E16" s="839">
        <f>D16+Capex!E11</f>
        <v>14.005345999999999</v>
      </c>
      <c r="F16" s="839">
        <f>E16+Capex!F11</f>
        <v>17.555346</v>
      </c>
      <c r="G16" s="839">
        <f>F16+Capex!G11</f>
        <v>26.930346</v>
      </c>
      <c r="H16" s="839">
        <f>G16+Capex!H11</f>
        <v>30.835346000000001</v>
      </c>
      <c r="I16" s="839">
        <f>H16+Capex!I11</f>
        <v>36.280346000000002</v>
      </c>
      <c r="J16" s="839">
        <f>I16+Capex!J11</f>
        <v>40.185346000000003</v>
      </c>
      <c r="K16" s="839">
        <f>J16+Capex!K11</f>
        <v>64.143346000000008</v>
      </c>
      <c r="L16" s="839">
        <f>K16+Capex!L11</f>
        <v>77.45334600000001</v>
      </c>
      <c r="M16" s="839">
        <f>L16+Capex!M11</f>
        <v>91.289091000000013</v>
      </c>
      <c r="N16" s="839">
        <f>M16+Capex!N11</f>
        <v>107.39419100000001</v>
      </c>
      <c r="O16" s="839">
        <f>N16+Capex!O11</f>
        <v>116.69488625000001</v>
      </c>
      <c r="P16" s="839">
        <f>O16+Capex!P11</f>
        <v>136.18205725000001</v>
      </c>
      <c r="Q16" s="839">
        <f>P16+Capex!Q11</f>
        <v>157.61794535000001</v>
      </c>
      <c r="R16" s="839">
        <f>Q16+Capex!R11</f>
        <v>177.89629549260002</v>
      </c>
    </row>
    <row r="17" spans="1:19">
      <c r="A17" s="345" t="str">
        <f>Capex!A11</f>
        <v>IT Equipments</v>
      </c>
      <c r="B17" s="88">
        <f>Capex!B11</f>
        <v>0</v>
      </c>
      <c r="C17" s="839">
        <f>Capex!C11+Capex!C20</f>
        <v>5.5053459999999994</v>
      </c>
      <c r="D17" s="838">
        <f>C20+Capex!D11</f>
        <v>8.2532075999999996</v>
      </c>
      <c r="E17" s="838">
        <f>D20+Capex!E11</f>
        <v>8.5019245599999991</v>
      </c>
      <c r="F17" s="838">
        <f>E20+Capex!F11</f>
        <v>8.6511547359999987</v>
      </c>
      <c r="G17" s="838">
        <f>F20+Capex!G11</f>
        <v>14.565692841600002</v>
      </c>
      <c r="H17" s="838">
        <f>G20+Capex!H11</f>
        <v>12.64441570496</v>
      </c>
      <c r="I17" s="838">
        <f>H20+Capex!I11</f>
        <v>13.031649422975999</v>
      </c>
      <c r="J17" s="838">
        <f>I20+Capex!J11</f>
        <v>11.723989653785601</v>
      </c>
      <c r="K17" s="838">
        <f>J20+Capex!K11</f>
        <v>30.992393792271365</v>
      </c>
      <c r="L17" s="838">
        <f>K20+Capex!L11</f>
        <v>31.905436275362817</v>
      </c>
      <c r="M17" s="838">
        <f>L20+Capex!M11</f>
        <v>32.97900676521769</v>
      </c>
      <c r="N17" s="838">
        <f>M20+Capex!N11</f>
        <v>35.892504059130609</v>
      </c>
      <c r="O17" s="838">
        <f>N20+Capex!O11</f>
        <v>30.83619768547835</v>
      </c>
      <c r="P17" s="838">
        <f>O20+Capex!P11</f>
        <v>37.988889611287021</v>
      </c>
      <c r="Q17" s="838">
        <f>P20+Capex!Q11</f>
        <v>44.229221866772207</v>
      </c>
      <c r="R17" s="838">
        <f>Q20+Capex!R11</f>
        <v>46.815883262663334</v>
      </c>
    </row>
    <row r="18" spans="1:19">
      <c r="A18" s="35" t="s">
        <v>716</v>
      </c>
      <c r="B18" s="88" t="e">
        <f>'Fin Smmry'!#REF!</f>
        <v>#REF!</v>
      </c>
      <c r="C18" s="839">
        <f>C17*40%</f>
        <v>2.2021383999999999</v>
      </c>
      <c r="D18" s="839">
        <f t="shared" ref="D18:R18" si="3">D17*40%</f>
        <v>3.3012830399999999</v>
      </c>
      <c r="E18" s="839">
        <f t="shared" si="3"/>
        <v>3.4007698239999997</v>
      </c>
      <c r="F18" s="839">
        <f t="shared" si="3"/>
        <v>3.4604618943999998</v>
      </c>
      <c r="G18" s="839">
        <f t="shared" si="3"/>
        <v>5.8262771366400017</v>
      </c>
      <c r="H18" s="839">
        <f t="shared" si="3"/>
        <v>5.0577662819840006</v>
      </c>
      <c r="I18" s="839">
        <f t="shared" si="3"/>
        <v>5.2126597691903998</v>
      </c>
      <c r="J18" s="839">
        <f t="shared" si="3"/>
        <v>4.689595861514241</v>
      </c>
      <c r="K18" s="839">
        <f t="shared" si="3"/>
        <v>12.396957516908547</v>
      </c>
      <c r="L18" s="839">
        <f t="shared" si="3"/>
        <v>12.762174510145128</v>
      </c>
      <c r="M18" s="839">
        <f t="shared" si="3"/>
        <v>13.191602706087076</v>
      </c>
      <c r="N18" s="839">
        <f t="shared" si="3"/>
        <v>14.357001623652245</v>
      </c>
      <c r="O18" s="839">
        <f t="shared" si="3"/>
        <v>12.334479074191341</v>
      </c>
      <c r="P18" s="839">
        <f t="shared" si="3"/>
        <v>15.195555844514809</v>
      </c>
      <c r="Q18" s="839">
        <f t="shared" si="3"/>
        <v>17.691688746708884</v>
      </c>
      <c r="R18" s="839">
        <f t="shared" si="3"/>
        <v>18.726353305065334</v>
      </c>
    </row>
    <row r="19" spans="1:19">
      <c r="A19" s="35" t="s">
        <v>43</v>
      </c>
      <c r="B19" s="88" t="e">
        <f>B18</f>
        <v>#REF!</v>
      </c>
      <c r="C19" s="839">
        <f>C18</f>
        <v>2.2021383999999999</v>
      </c>
      <c r="D19" s="839">
        <f>C19+D18</f>
        <v>5.5034214400000003</v>
      </c>
      <c r="E19" s="839">
        <f t="shared" ref="E19:R19" si="4">D19+E18</f>
        <v>8.9041912639999996</v>
      </c>
      <c r="F19" s="839">
        <f t="shared" si="4"/>
        <v>12.364653158399999</v>
      </c>
      <c r="G19" s="839">
        <f t="shared" si="4"/>
        <v>18.190930295040001</v>
      </c>
      <c r="H19" s="839">
        <f t="shared" si="4"/>
        <v>23.248696577024003</v>
      </c>
      <c r="I19" s="839">
        <f t="shared" si="4"/>
        <v>28.461356346214401</v>
      </c>
      <c r="J19" s="839">
        <f t="shared" si="4"/>
        <v>33.150952207728643</v>
      </c>
      <c r="K19" s="839">
        <f t="shared" si="4"/>
        <v>45.547909724637194</v>
      </c>
      <c r="L19" s="839">
        <f t="shared" si="4"/>
        <v>58.310084234782323</v>
      </c>
      <c r="M19" s="839">
        <f t="shared" si="4"/>
        <v>71.501686940869405</v>
      </c>
      <c r="N19" s="839">
        <f t="shared" si="4"/>
        <v>85.858688564521657</v>
      </c>
      <c r="O19" s="839">
        <f t="shared" si="4"/>
        <v>98.193167638712993</v>
      </c>
      <c r="P19" s="839">
        <f t="shared" si="4"/>
        <v>113.38872348322781</v>
      </c>
      <c r="Q19" s="839">
        <f t="shared" si="4"/>
        <v>131.08041222993668</v>
      </c>
      <c r="R19" s="839">
        <f t="shared" si="4"/>
        <v>149.80676553500203</v>
      </c>
    </row>
    <row r="20" spans="1:19">
      <c r="A20" s="35" t="s">
        <v>93</v>
      </c>
      <c r="B20" s="88" t="e">
        <f>B17-B19</f>
        <v>#REF!</v>
      </c>
      <c r="C20" s="839">
        <f>C17-C19</f>
        <v>3.3032075999999995</v>
      </c>
      <c r="D20" s="839">
        <f>D16-D19</f>
        <v>4.9519245599999984</v>
      </c>
      <c r="E20" s="839">
        <f t="shared" ref="E20:R20" si="5">E16-E19</f>
        <v>5.1011547359999998</v>
      </c>
      <c r="F20" s="839">
        <f t="shared" si="5"/>
        <v>5.1906928416000007</v>
      </c>
      <c r="G20" s="839">
        <f t="shared" si="5"/>
        <v>8.739415704959999</v>
      </c>
      <c r="H20" s="839">
        <f t="shared" si="5"/>
        <v>7.5866494229759986</v>
      </c>
      <c r="I20" s="839">
        <f t="shared" si="5"/>
        <v>7.8189896537856001</v>
      </c>
      <c r="J20" s="839">
        <f t="shared" si="5"/>
        <v>7.0343937922713593</v>
      </c>
      <c r="K20" s="839">
        <f t="shared" si="5"/>
        <v>18.595436275362815</v>
      </c>
      <c r="L20" s="839">
        <f t="shared" si="5"/>
        <v>19.143261765217687</v>
      </c>
      <c r="M20" s="839">
        <f t="shared" si="5"/>
        <v>19.787404059130608</v>
      </c>
      <c r="N20" s="839">
        <f t="shared" si="5"/>
        <v>21.53550243547835</v>
      </c>
      <c r="O20" s="839">
        <f t="shared" si="5"/>
        <v>18.501718611287018</v>
      </c>
      <c r="P20" s="839">
        <f t="shared" si="5"/>
        <v>22.793333766772207</v>
      </c>
      <c r="Q20" s="839">
        <f t="shared" si="5"/>
        <v>26.53753312006333</v>
      </c>
      <c r="R20" s="839">
        <f t="shared" si="5"/>
        <v>28.089529957597989</v>
      </c>
    </row>
    <row r="21" spans="1:19">
      <c r="A21" s="35"/>
      <c r="B21" s="88"/>
      <c r="C21" s="839"/>
      <c r="D21" s="839"/>
      <c r="E21" s="839"/>
      <c r="F21" s="839"/>
      <c r="G21" s="839"/>
      <c r="H21" s="839"/>
      <c r="I21" s="839"/>
      <c r="J21" s="839"/>
      <c r="K21" s="839"/>
      <c r="L21" s="839"/>
      <c r="M21" s="839"/>
      <c r="N21" s="839"/>
      <c r="O21" s="839"/>
      <c r="P21" s="839"/>
      <c r="Q21" s="839"/>
      <c r="R21" s="839"/>
    </row>
    <row r="22" spans="1:19">
      <c r="A22" s="36" t="s">
        <v>721</v>
      </c>
      <c r="C22" s="838">
        <f>Capex!C12+Capex!C21</f>
        <v>7.5683410125000004</v>
      </c>
      <c r="D22" s="838">
        <f>C22+Capex!D12</f>
        <v>9.5183410125000005</v>
      </c>
      <c r="E22" s="838">
        <f>D22+Capex!E12</f>
        <v>11.4683410125</v>
      </c>
      <c r="F22" s="838">
        <f>E22+Capex!F12</f>
        <v>13.418341012499999</v>
      </c>
      <c r="G22" s="838">
        <f>F22+Capex!G12</f>
        <v>15.563341012499999</v>
      </c>
      <c r="H22" s="838">
        <f>G22+Capex!H12</f>
        <v>17.7083410125</v>
      </c>
      <c r="I22" s="838">
        <f>H22+Capex!I12</f>
        <v>19.8533410125</v>
      </c>
      <c r="J22" s="838">
        <f>I22+Capex!J12</f>
        <v>21.998341012499999</v>
      </c>
      <c r="K22" s="838">
        <f>J22+Capex!K12</f>
        <v>31.436341012500002</v>
      </c>
      <c r="L22" s="838">
        <f>K22+Capex!L12</f>
        <v>41.8181410125</v>
      </c>
      <c r="M22" s="838">
        <f>L22+Capex!M12</f>
        <v>53.238121012500002</v>
      </c>
      <c r="N22" s="838">
        <f>M22+Capex!N12</f>
        <v>65.800099012499999</v>
      </c>
      <c r="O22" s="838">
        <f>N22+Capex!O12</f>
        <v>79.618274812500005</v>
      </c>
      <c r="P22" s="838">
        <f>O22+Capex!P12</f>
        <v>94.8182681925</v>
      </c>
      <c r="Q22" s="838">
        <f>P22+Capex!Q12</f>
        <v>111.5382609105</v>
      </c>
      <c r="R22" s="838">
        <f>Q22+Capex!R12</f>
        <v>129.93025290029999</v>
      </c>
    </row>
    <row r="23" spans="1:19">
      <c r="A23" s="345" t="s">
        <v>458</v>
      </c>
      <c r="B23" s="108">
        <f>Capex!B12</f>
        <v>0</v>
      </c>
      <c r="C23" s="839">
        <f>Capex!C12+Capex!C21</f>
        <v>7.5683410125000004</v>
      </c>
      <c r="D23" s="838">
        <f>C26+Capex!D12</f>
        <v>8.4655847776612507</v>
      </c>
      <c r="E23" s="838">
        <f>D26+Capex!E12</f>
        <v>9.2380219350885699</v>
      </c>
      <c r="F23" s="838">
        <f>E26+Capex!F12</f>
        <v>9.9030130839177488</v>
      </c>
      <c r="G23" s="838">
        <f>F26+Capex!G12</f>
        <v>10.670503963944789</v>
      </c>
      <c r="H23" s="838">
        <f>G26+Capex!H12</f>
        <v>11.331236862560068</v>
      </c>
      <c r="I23" s="838">
        <f>H26+Capex!I12</f>
        <v>11.900061814977965</v>
      </c>
      <c r="J23" s="838">
        <f>I26+Capex!J12</f>
        <v>12.389763216514529</v>
      </c>
      <c r="K23" s="838">
        <f>J26+Capex!K12</f>
        <v>20.104347153097358</v>
      </c>
      <c r="L23" s="838">
        <f>K26+Capex!L12</f>
        <v>27.689632464101521</v>
      </c>
      <c r="M23" s="838">
        <f>L26+Capex!M12</f>
        <v>35.257984588344996</v>
      </c>
      <c r="N23" s="838">
        <f>M26+Capex!N12</f>
        <v>42.915576932106205</v>
      </c>
      <c r="O23" s="838">
        <f>N26+Capex!O12</f>
        <v>50.764195980850232</v>
      </c>
      <c r="P23" s="838">
        <f>O26+Capex!P12</f>
        <v>58.90288969991397</v>
      </c>
      <c r="Q23" s="838">
        <f>P26+Capex!Q12</f>
        <v>67.429490460655941</v>
      </c>
      <c r="R23" s="838">
        <f>Q26+Capex!R12</f>
        <v>76.442040327378692</v>
      </c>
    </row>
    <row r="24" spans="1:19">
      <c r="A24" s="35" t="s">
        <v>717</v>
      </c>
      <c r="B24" s="88" t="e">
        <f>'Fin Smmry'!#REF!</f>
        <v>#REF!</v>
      </c>
      <c r="C24" s="839">
        <f>C23*13.91%</f>
        <v>1.05275623483875</v>
      </c>
      <c r="D24" s="839">
        <f t="shared" ref="D24:R24" si="6">D23*13.91%</f>
        <v>1.1775628425726801</v>
      </c>
      <c r="E24" s="839">
        <f t="shared" si="6"/>
        <v>1.2850088511708202</v>
      </c>
      <c r="F24" s="839">
        <f t="shared" si="6"/>
        <v>1.3775091199729588</v>
      </c>
      <c r="G24" s="839">
        <f t="shared" si="6"/>
        <v>1.4842671013847202</v>
      </c>
      <c r="H24" s="839">
        <f t="shared" si="6"/>
        <v>1.5761750475821055</v>
      </c>
      <c r="I24" s="839">
        <f t="shared" si="6"/>
        <v>1.655298598463435</v>
      </c>
      <c r="J24" s="839">
        <f t="shared" si="6"/>
        <v>1.7234160634171711</v>
      </c>
      <c r="K24" s="839">
        <f t="shared" si="6"/>
        <v>2.7965146889958423</v>
      </c>
      <c r="L24" s="839">
        <f t="shared" si="6"/>
        <v>3.8516278757565217</v>
      </c>
      <c r="M24" s="839">
        <f t="shared" si="6"/>
        <v>4.9043856562387891</v>
      </c>
      <c r="N24" s="839">
        <f t="shared" si="6"/>
        <v>5.9695567512559728</v>
      </c>
      <c r="O24" s="839">
        <f t="shared" si="6"/>
        <v>7.0612996609362675</v>
      </c>
      <c r="P24" s="839">
        <f t="shared" si="6"/>
        <v>8.1933919572580329</v>
      </c>
      <c r="Q24" s="839">
        <f t="shared" si="6"/>
        <v>9.3794421230772418</v>
      </c>
      <c r="R24" s="839">
        <f t="shared" si="6"/>
        <v>10.633087809538376</v>
      </c>
    </row>
    <row r="25" spans="1:19">
      <c r="A25" s="35" t="s">
        <v>43</v>
      </c>
      <c r="B25" s="108" t="e">
        <f>B24</f>
        <v>#REF!</v>
      </c>
      <c r="C25" s="839">
        <f>C24</f>
        <v>1.05275623483875</v>
      </c>
      <c r="D25" s="839">
        <f>C25+D24</f>
        <v>2.2303190774114299</v>
      </c>
      <c r="E25" s="839">
        <f t="shared" ref="E25:R25" si="7">D25+E24</f>
        <v>3.5153279285822503</v>
      </c>
      <c r="F25" s="839">
        <f t="shared" si="7"/>
        <v>4.8928370485552088</v>
      </c>
      <c r="G25" s="839">
        <f t="shared" si="7"/>
        <v>6.377104149939929</v>
      </c>
      <c r="H25" s="839">
        <f t="shared" si="7"/>
        <v>7.9532791975220345</v>
      </c>
      <c r="I25" s="839">
        <f t="shared" si="7"/>
        <v>9.6085777959854699</v>
      </c>
      <c r="J25" s="839">
        <f t="shared" si="7"/>
        <v>11.33199385940264</v>
      </c>
      <c r="K25" s="839">
        <f t="shared" si="7"/>
        <v>14.128508548398482</v>
      </c>
      <c r="L25" s="839">
        <f t="shared" si="7"/>
        <v>17.980136424155003</v>
      </c>
      <c r="M25" s="839">
        <f t="shared" si="7"/>
        <v>22.884522080393793</v>
      </c>
      <c r="N25" s="839">
        <f t="shared" si="7"/>
        <v>28.854078831649765</v>
      </c>
      <c r="O25" s="839">
        <f t="shared" si="7"/>
        <v>35.915378492586029</v>
      </c>
      <c r="P25" s="839">
        <f t="shared" si="7"/>
        <v>44.108770449844059</v>
      </c>
      <c r="Q25" s="839">
        <f t="shared" si="7"/>
        <v>53.488212572921299</v>
      </c>
      <c r="R25" s="839">
        <f t="shared" si="7"/>
        <v>64.12130038245968</v>
      </c>
    </row>
    <row r="26" spans="1:19">
      <c r="A26" s="35" t="s">
        <v>93</v>
      </c>
      <c r="B26" s="107" t="e">
        <f>B23-B25</f>
        <v>#REF!</v>
      </c>
      <c r="C26" s="838">
        <f>C23-C25</f>
        <v>6.5155847776612505</v>
      </c>
      <c r="D26" s="838">
        <f>D22-D25</f>
        <v>7.2880219350885707</v>
      </c>
      <c r="E26" s="838">
        <f t="shared" ref="E26:R26" si="8">E22-E25</f>
        <v>7.9530130839177495</v>
      </c>
      <c r="F26" s="838">
        <f t="shared" si="8"/>
        <v>8.5255039639447894</v>
      </c>
      <c r="G26" s="838">
        <f t="shared" si="8"/>
        <v>9.1862368625600688</v>
      </c>
      <c r="H26" s="838">
        <f t="shared" si="8"/>
        <v>9.7550618149779655</v>
      </c>
      <c r="I26" s="838">
        <f t="shared" si="8"/>
        <v>10.24476321651453</v>
      </c>
      <c r="J26" s="838">
        <f t="shared" si="8"/>
        <v>10.666347153097359</v>
      </c>
      <c r="K26" s="838">
        <f t="shared" si="8"/>
        <v>17.307832464101519</v>
      </c>
      <c r="L26" s="838">
        <f t="shared" si="8"/>
        <v>23.838004588344997</v>
      </c>
      <c r="M26" s="838">
        <f t="shared" si="8"/>
        <v>30.353598932106209</v>
      </c>
      <c r="N26" s="838">
        <f t="shared" si="8"/>
        <v>36.946020180850233</v>
      </c>
      <c r="O26" s="838">
        <f t="shared" si="8"/>
        <v>43.702896319913975</v>
      </c>
      <c r="P26" s="838">
        <f t="shared" si="8"/>
        <v>50.709497742655941</v>
      </c>
      <c r="Q26" s="838">
        <f t="shared" si="8"/>
        <v>58.050048337578701</v>
      </c>
      <c r="R26" s="838">
        <f t="shared" si="8"/>
        <v>65.808952517840311</v>
      </c>
    </row>
    <row r="27" spans="1:19">
      <c r="A27" s="35"/>
      <c r="B27" s="107"/>
      <c r="C27" s="838"/>
      <c r="D27" s="838"/>
      <c r="E27" s="838"/>
      <c r="F27" s="838"/>
      <c r="G27" s="838"/>
      <c r="H27" s="838"/>
      <c r="I27" s="838"/>
      <c r="J27" s="838"/>
      <c r="K27" s="838"/>
      <c r="L27" s="838"/>
      <c r="M27" s="838"/>
      <c r="N27" s="838"/>
      <c r="O27" s="838"/>
      <c r="P27" s="838"/>
      <c r="Q27" s="838"/>
      <c r="R27" s="838"/>
    </row>
    <row r="28" spans="1:19">
      <c r="A28" s="35" t="s">
        <v>722</v>
      </c>
      <c r="C28" s="838">
        <f>Capex!C13+Capex!C22</f>
        <v>21.693283784999998</v>
      </c>
      <c r="D28" s="838">
        <f>C28+Capex!D13</f>
        <v>36.042283784999995</v>
      </c>
      <c r="E28" s="838">
        <f>D28+Capex!E13</f>
        <v>45.861283784999998</v>
      </c>
      <c r="F28" s="838">
        <f>E28+Capex!F13</f>
        <v>55.680283785</v>
      </c>
      <c r="G28" s="838">
        <f>F28+Capex!G13</f>
        <v>81.739683784999997</v>
      </c>
      <c r="H28" s="838">
        <f>G28+Capex!H13</f>
        <v>92.540583784999995</v>
      </c>
      <c r="I28" s="838">
        <f>H28+Capex!I13</f>
        <v>108.324483785</v>
      </c>
      <c r="J28" s="838">
        <f>I28+Capex!J13</f>
        <v>119.125383785</v>
      </c>
      <c r="K28" s="838">
        <f>J28+Capex!K13</f>
        <v>188.574543785</v>
      </c>
      <c r="L28" s="838">
        <f>K28+Capex!L13</f>
        <v>222.762609785</v>
      </c>
      <c r="M28" s="838">
        <f>L28+Capex!M13</f>
        <v>254.19024833500001</v>
      </c>
      <c r="N28" s="838">
        <f>M28+Capex!N13</f>
        <v>295.55780819500001</v>
      </c>
      <c r="O28" s="838">
        <f>N28+Capex!O13</f>
        <v>309.50973685050002</v>
      </c>
      <c r="P28" s="838">
        <f>O28+Capex!P13</f>
        <v>359.56448428110002</v>
      </c>
      <c r="Q28" s="838">
        <f>P28+Capex!Q13</f>
        <v>414.62470645476003</v>
      </c>
      <c r="R28" s="838">
        <f>Q28+Capex!R13</f>
        <v>464.50944780555602</v>
      </c>
    </row>
    <row r="29" spans="1:19">
      <c r="A29" s="474" t="str">
        <f>Capex!A13</f>
        <v>Furniture &amp; Fixture</v>
      </c>
      <c r="B29" s="88">
        <f>Capex!B13</f>
        <v>0</v>
      </c>
      <c r="C29" s="839">
        <f>Capex!C13+Capex!C22</f>
        <v>21.693283784999998</v>
      </c>
      <c r="D29" s="838">
        <f>C32+Capex!D13</f>
        <v>32.115799419915</v>
      </c>
      <c r="E29" s="838">
        <f>D32+Capex!E13</f>
        <v>36.12183972491038</v>
      </c>
      <c r="F29" s="838">
        <f>E32+Capex!F13</f>
        <v>39.402786734701607</v>
      </c>
      <c r="G29" s="838">
        <f>F32+Capex!G13</f>
        <v>58.330282335720611</v>
      </c>
      <c r="H29" s="838">
        <f>G32+Capex!H13</f>
        <v>58.573401232955177</v>
      </c>
      <c r="I29" s="838">
        <f>H32+Capex!I13</f>
        <v>63.755515609790294</v>
      </c>
      <c r="J29" s="838">
        <f>I32+Capex!J13</f>
        <v>63.016667284418247</v>
      </c>
      <c r="K29" s="838">
        <f>J32+Capex!K13</f>
        <v>121.05981050593854</v>
      </c>
      <c r="L29" s="838">
        <f>K32+Capex!L13</f>
        <v>133.33605080436365</v>
      </c>
      <c r="M29" s="838">
        <f>L32+Capex!M13</f>
        <v>140.62986415877384</v>
      </c>
      <c r="N29" s="838">
        <f>M32+Capex!N13</f>
        <v>156.5434186060358</v>
      </c>
      <c r="O29" s="838">
        <f>N32+Capex!O13</f>
        <v>142.16098849384329</v>
      </c>
      <c r="P29" s="838">
        <f>O32+Capex!P13</f>
        <v>166.48459700705769</v>
      </c>
      <c r="Q29" s="838">
        <f>P32+Capex!Q13</f>
        <v>191.41110712244023</v>
      </c>
      <c r="R29" s="838">
        <f>Q32+Capex!R13</f>
        <v>206.65043808407455</v>
      </c>
      <c r="S29" s="88"/>
    </row>
    <row r="30" spans="1:19">
      <c r="A30" s="35" t="s">
        <v>718</v>
      </c>
      <c r="B30" s="88" t="e">
        <f>'Fin Smmry'!#REF!</f>
        <v>#REF!</v>
      </c>
      <c r="C30" s="839">
        <f>C29*18.1%</f>
        <v>3.9264843650850003</v>
      </c>
      <c r="D30" s="839">
        <f t="shared" ref="D30:R30" si="9">D29*18.1%</f>
        <v>5.8129596950046158</v>
      </c>
      <c r="E30" s="839">
        <f t="shared" si="9"/>
        <v>6.5380529902087794</v>
      </c>
      <c r="F30" s="839">
        <f t="shared" si="9"/>
        <v>7.1319043989809918</v>
      </c>
      <c r="G30" s="839">
        <f t="shared" si="9"/>
        <v>10.557781102765432</v>
      </c>
      <c r="H30" s="839">
        <f t="shared" si="9"/>
        <v>10.601785623164888</v>
      </c>
      <c r="I30" s="839">
        <f t="shared" si="9"/>
        <v>11.539748325372045</v>
      </c>
      <c r="J30" s="839">
        <f t="shared" si="9"/>
        <v>11.406016778479705</v>
      </c>
      <c r="K30" s="839">
        <f t="shared" si="9"/>
        <v>21.91182570157488</v>
      </c>
      <c r="L30" s="839">
        <f t="shared" si="9"/>
        <v>24.133825195589825</v>
      </c>
      <c r="M30" s="839">
        <f t="shared" si="9"/>
        <v>25.45400541273807</v>
      </c>
      <c r="N30" s="839">
        <f t="shared" si="9"/>
        <v>28.334358767692482</v>
      </c>
      <c r="O30" s="839">
        <f t="shared" si="9"/>
        <v>25.731138917385639</v>
      </c>
      <c r="P30" s="839">
        <f t="shared" si="9"/>
        <v>30.133712058277446</v>
      </c>
      <c r="Q30" s="839">
        <f t="shared" si="9"/>
        <v>34.645410389161682</v>
      </c>
      <c r="R30" s="839">
        <f t="shared" si="9"/>
        <v>37.403729293217495</v>
      </c>
      <c r="S30" s="88"/>
    </row>
    <row r="31" spans="1:19">
      <c r="A31" s="35" t="s">
        <v>43</v>
      </c>
      <c r="B31" s="88" t="e">
        <f>B30</f>
        <v>#REF!</v>
      </c>
      <c r="C31" s="839">
        <f>C30</f>
        <v>3.9264843650850003</v>
      </c>
      <c r="D31" s="839">
        <f>C31+D30</f>
        <v>9.7394440600896157</v>
      </c>
      <c r="E31" s="839">
        <f t="shared" ref="E31:R31" si="10">D31+E30</f>
        <v>16.277497050298393</v>
      </c>
      <c r="F31" s="839">
        <f t="shared" si="10"/>
        <v>23.409401449279386</v>
      </c>
      <c r="G31" s="839">
        <f t="shared" si="10"/>
        <v>33.967182552044818</v>
      </c>
      <c r="H31" s="839">
        <f t="shared" si="10"/>
        <v>44.568968175209704</v>
      </c>
      <c r="I31" s="839">
        <f t="shared" si="10"/>
        <v>56.10871650058175</v>
      </c>
      <c r="J31" s="839">
        <f t="shared" si="10"/>
        <v>67.51473327906146</v>
      </c>
      <c r="K31" s="839">
        <f t="shared" si="10"/>
        <v>89.426558980636344</v>
      </c>
      <c r="L31" s="839">
        <f t="shared" si="10"/>
        <v>113.56038417622617</v>
      </c>
      <c r="M31" s="839">
        <f t="shared" si="10"/>
        <v>139.01438958896424</v>
      </c>
      <c r="N31" s="839">
        <f t="shared" si="10"/>
        <v>167.34874835665673</v>
      </c>
      <c r="O31" s="839">
        <f t="shared" si="10"/>
        <v>193.07988727404236</v>
      </c>
      <c r="P31" s="839">
        <f t="shared" si="10"/>
        <v>223.2135993323198</v>
      </c>
      <c r="Q31" s="839">
        <f t="shared" si="10"/>
        <v>257.85900972148147</v>
      </c>
      <c r="R31" s="839">
        <f t="shared" si="10"/>
        <v>295.26273901469898</v>
      </c>
      <c r="S31" s="88"/>
    </row>
    <row r="32" spans="1:19">
      <c r="A32" s="35" t="s">
        <v>93</v>
      </c>
      <c r="B32" s="88" t="e">
        <f>B29-B31</f>
        <v>#REF!</v>
      </c>
      <c r="C32" s="839">
        <f>C29-C31</f>
        <v>17.766799419914999</v>
      </c>
      <c r="D32" s="839">
        <f>D28-D31</f>
        <v>26.302839724910378</v>
      </c>
      <c r="E32" s="839">
        <f t="shared" ref="E32:R32" si="11">E28-E31</f>
        <v>29.583786734701604</v>
      </c>
      <c r="F32" s="839">
        <f t="shared" si="11"/>
        <v>32.270882335720614</v>
      </c>
      <c r="G32" s="839">
        <f t="shared" si="11"/>
        <v>47.772501232955179</v>
      </c>
      <c r="H32" s="839">
        <f t="shared" si="11"/>
        <v>47.971615609790291</v>
      </c>
      <c r="I32" s="839">
        <f t="shared" si="11"/>
        <v>52.215767284418249</v>
      </c>
      <c r="J32" s="839">
        <f t="shared" si="11"/>
        <v>51.610650505938537</v>
      </c>
      <c r="K32" s="839">
        <f t="shared" si="11"/>
        <v>99.147984804363659</v>
      </c>
      <c r="L32" s="839">
        <f t="shared" si="11"/>
        <v>109.20222560877383</v>
      </c>
      <c r="M32" s="839">
        <f t="shared" si="11"/>
        <v>115.17585874603577</v>
      </c>
      <c r="N32" s="839">
        <f t="shared" si="11"/>
        <v>128.20905983834328</v>
      </c>
      <c r="O32" s="839">
        <f t="shared" si="11"/>
        <v>116.42984957645766</v>
      </c>
      <c r="P32" s="839">
        <f t="shared" si="11"/>
        <v>136.35088494878022</v>
      </c>
      <c r="Q32" s="839">
        <f t="shared" si="11"/>
        <v>156.76569673327856</v>
      </c>
      <c r="R32" s="839">
        <f t="shared" si="11"/>
        <v>169.24670879085704</v>
      </c>
      <c r="S32" s="88"/>
    </row>
    <row r="33" spans="1:20">
      <c r="A33" s="35"/>
      <c r="B33" s="88"/>
      <c r="C33" s="839"/>
      <c r="D33" s="839"/>
      <c r="E33" s="839"/>
      <c r="F33" s="839"/>
      <c r="G33" s="839"/>
      <c r="H33" s="839"/>
      <c r="I33" s="839"/>
      <c r="J33" s="839"/>
      <c r="K33" s="839"/>
      <c r="L33" s="839"/>
      <c r="M33" s="839"/>
      <c r="N33" s="839"/>
      <c r="O33" s="839"/>
      <c r="P33" s="839"/>
      <c r="Q33" s="839"/>
      <c r="R33" s="839"/>
      <c r="S33" s="88"/>
    </row>
    <row r="34" spans="1:20">
      <c r="A34" s="35" t="s">
        <v>723</v>
      </c>
      <c r="B34" s="88"/>
      <c r="C34" s="839">
        <f>Capex!C14+Capex!C23</f>
        <v>10.757155431999999</v>
      </c>
      <c r="D34" s="838">
        <f>C34+Capex!D14</f>
        <v>10.757155431999999</v>
      </c>
      <c r="E34" s="838">
        <f>D34+Capex!E14</f>
        <v>10.757155431999999</v>
      </c>
      <c r="F34" s="838">
        <f>E34+Capex!F14</f>
        <v>10.757155431999999</v>
      </c>
      <c r="G34" s="838">
        <f>F34+Capex!G14</f>
        <v>10.757155431999999</v>
      </c>
      <c r="H34" s="838">
        <f>G34+Capex!H14</f>
        <v>10.757155431999999</v>
      </c>
      <c r="I34" s="838">
        <f>H34+Capex!I14</f>
        <v>10.757155431999999</v>
      </c>
      <c r="J34" s="838">
        <f>I34+Capex!J14</f>
        <v>10.757155431999999</v>
      </c>
      <c r="K34" s="838">
        <f>J34+Capex!K14</f>
        <v>30.757155431999998</v>
      </c>
      <c r="L34" s="838">
        <f>K34+Capex!L14</f>
        <v>30.757155431999998</v>
      </c>
      <c r="M34" s="838">
        <f>L34+Capex!M14</f>
        <v>50.757155431999998</v>
      </c>
      <c r="N34" s="838">
        <f>M34+Capex!N14</f>
        <v>50.757155431999998</v>
      </c>
      <c r="O34" s="838">
        <f>N34+Capex!O14</f>
        <v>50.757155431999998</v>
      </c>
      <c r="P34" s="838">
        <f>O34+Capex!P14</f>
        <v>50.757155431999998</v>
      </c>
      <c r="Q34" s="838">
        <f>P34+Capex!Q14</f>
        <v>50.757155431999998</v>
      </c>
      <c r="R34" s="838">
        <f>Q34+Capex!R14</f>
        <v>50.757155431999998</v>
      </c>
      <c r="S34" s="88"/>
    </row>
    <row r="35" spans="1:20">
      <c r="A35" s="474" t="str">
        <f>Capex!A14</f>
        <v>Vehicles</v>
      </c>
      <c r="B35" s="88">
        <f>Capex!B14</f>
        <v>0</v>
      </c>
      <c r="C35" s="852">
        <f>Capex!C14+Capex!C23</f>
        <v>10.757155431999999</v>
      </c>
      <c r="D35" s="852">
        <f>C38+Capex!D14</f>
        <v>7.9721278906551998</v>
      </c>
      <c r="E35" s="852">
        <f>D38+Capex!E14</f>
        <v>5.9081439797645681</v>
      </c>
      <c r="F35" s="852">
        <f>E38+Capex!F14</f>
        <v>4.3785255034035213</v>
      </c>
      <c r="G35" s="852">
        <f>F38+Capex!G14</f>
        <v>3.2449252505723498</v>
      </c>
      <c r="H35" s="852">
        <f>G38+Capex!H14</f>
        <v>2.4048141031991683</v>
      </c>
      <c r="I35" s="852">
        <f>H38+Capex!I14</f>
        <v>1.782207731880904</v>
      </c>
      <c r="J35" s="852">
        <f>I38+Capex!J14</f>
        <v>1.3207941500969387</v>
      </c>
      <c r="K35" s="852">
        <f>J38+Capex!K14</f>
        <v>20.978840544636839</v>
      </c>
      <c r="L35" s="852">
        <f>K38+Capex!L14</f>
        <v>15.547418727630362</v>
      </c>
      <c r="M35" s="852">
        <f>L38+Capex!M14</f>
        <v>31.522192019046862</v>
      </c>
      <c r="N35" s="852">
        <f>M38+Capex!N14</f>
        <v>23.361096505315629</v>
      </c>
      <c r="O35" s="852">
        <f>N38+Capex!O14</f>
        <v>17.312908620089409</v>
      </c>
      <c r="P35" s="852">
        <f>O38+Capex!P14</f>
        <v>12.830596578348263</v>
      </c>
      <c r="Q35" s="852">
        <f>P38+Capex!Q14</f>
        <v>9.5087551242138986</v>
      </c>
      <c r="R35" s="852">
        <f>Q38+Capex!R14</f>
        <v>7.0469384225549234</v>
      </c>
      <c r="S35" s="88"/>
    </row>
    <row r="36" spans="1:20">
      <c r="A36" s="35" t="s">
        <v>715</v>
      </c>
      <c r="B36" s="88" t="e">
        <f>'Fin Smmry'!#REF!</f>
        <v>#REF!</v>
      </c>
      <c r="C36" s="839">
        <f>C35*25.89%</f>
        <v>2.7850275413448</v>
      </c>
      <c r="D36" s="839">
        <f t="shared" ref="D36:R36" si="12">D35*25.89%</f>
        <v>2.0639839108906313</v>
      </c>
      <c r="E36" s="839">
        <f t="shared" si="12"/>
        <v>1.5296184763610468</v>
      </c>
      <c r="F36" s="839">
        <f t="shared" si="12"/>
        <v>1.1336002528311717</v>
      </c>
      <c r="G36" s="839">
        <f t="shared" si="12"/>
        <v>0.84011114737318138</v>
      </c>
      <c r="H36" s="839">
        <f t="shared" si="12"/>
        <v>0.62260637131826468</v>
      </c>
      <c r="I36" s="839">
        <f t="shared" si="12"/>
        <v>0.46141358178396608</v>
      </c>
      <c r="J36" s="839">
        <f t="shared" si="12"/>
        <v>0.34195360546009745</v>
      </c>
      <c r="K36" s="839">
        <f t="shared" si="12"/>
        <v>5.4314218170064779</v>
      </c>
      <c r="L36" s="839">
        <f t="shared" si="12"/>
        <v>4.0252267085835012</v>
      </c>
      <c r="M36" s="839">
        <f t="shared" si="12"/>
        <v>8.1610955137312331</v>
      </c>
      <c r="N36" s="839">
        <f t="shared" si="12"/>
        <v>6.0481878852262172</v>
      </c>
      <c r="O36" s="839">
        <f t="shared" si="12"/>
        <v>4.4823120417411486</v>
      </c>
      <c r="P36" s="839">
        <f t="shared" si="12"/>
        <v>3.3218414541343657</v>
      </c>
      <c r="Q36" s="839">
        <f t="shared" si="12"/>
        <v>2.4618167016589787</v>
      </c>
      <c r="R36" s="839">
        <f t="shared" si="12"/>
        <v>1.8244523575994698</v>
      </c>
      <c r="S36" s="88"/>
    </row>
    <row r="37" spans="1:20">
      <c r="A37" s="35" t="s">
        <v>43</v>
      </c>
      <c r="B37" s="88" t="e">
        <f>B36</f>
        <v>#REF!</v>
      </c>
      <c r="C37" s="839">
        <f>C36</f>
        <v>2.7850275413448</v>
      </c>
      <c r="D37" s="839">
        <f>C37+D36</f>
        <v>4.8490114522354313</v>
      </c>
      <c r="E37" s="839">
        <f t="shared" ref="E37:R37" si="13">D37+E36</f>
        <v>6.378629928596478</v>
      </c>
      <c r="F37" s="839">
        <f t="shared" si="13"/>
        <v>7.5122301814276495</v>
      </c>
      <c r="G37" s="839">
        <f t="shared" si="13"/>
        <v>8.352341328800831</v>
      </c>
      <c r="H37" s="839">
        <f t="shared" si="13"/>
        <v>8.9749477001190954</v>
      </c>
      <c r="I37" s="839">
        <f t="shared" si="13"/>
        <v>9.4363612819030607</v>
      </c>
      <c r="J37" s="839">
        <f t="shared" si="13"/>
        <v>9.7783148873631589</v>
      </c>
      <c r="K37" s="839">
        <f t="shared" si="13"/>
        <v>15.209736704369636</v>
      </c>
      <c r="L37" s="839">
        <f t="shared" si="13"/>
        <v>19.234963412953135</v>
      </c>
      <c r="M37" s="839">
        <f t="shared" si="13"/>
        <v>27.396058926684368</v>
      </c>
      <c r="N37" s="839">
        <f t="shared" si="13"/>
        <v>33.444246811910588</v>
      </c>
      <c r="O37" s="839">
        <f t="shared" si="13"/>
        <v>37.926558853651734</v>
      </c>
      <c r="P37" s="839">
        <f t="shared" si="13"/>
        <v>41.248400307786099</v>
      </c>
      <c r="Q37" s="839">
        <f t="shared" si="13"/>
        <v>43.710217009445074</v>
      </c>
      <c r="R37" s="839">
        <f t="shared" si="13"/>
        <v>45.534669367044543</v>
      </c>
      <c r="S37" s="88"/>
    </row>
    <row r="38" spans="1:20">
      <c r="A38" s="35" t="s">
        <v>93</v>
      </c>
      <c r="B38" s="88" t="e">
        <f>B35-B37</f>
        <v>#REF!</v>
      </c>
      <c r="C38" s="839">
        <f>C34-C37</f>
        <v>7.9721278906551998</v>
      </c>
      <c r="D38" s="839">
        <f>D34-D37</f>
        <v>5.9081439797645681</v>
      </c>
      <c r="E38" s="839">
        <f t="shared" ref="E38:R38" si="14">E34-E37</f>
        <v>4.3785255034035213</v>
      </c>
      <c r="F38" s="839">
        <f t="shared" si="14"/>
        <v>3.2449252505723498</v>
      </c>
      <c r="G38" s="839">
        <f t="shared" si="14"/>
        <v>2.4048141031991683</v>
      </c>
      <c r="H38" s="839">
        <f t="shared" si="14"/>
        <v>1.782207731880904</v>
      </c>
      <c r="I38" s="839">
        <f t="shared" si="14"/>
        <v>1.3207941500969387</v>
      </c>
      <c r="J38" s="839">
        <f t="shared" si="14"/>
        <v>0.97884054463684045</v>
      </c>
      <c r="K38" s="839">
        <f t="shared" si="14"/>
        <v>15.547418727630362</v>
      </c>
      <c r="L38" s="839">
        <f t="shared" si="14"/>
        <v>11.522192019046862</v>
      </c>
      <c r="M38" s="839">
        <f t="shared" si="14"/>
        <v>23.361096505315629</v>
      </c>
      <c r="N38" s="839">
        <f t="shared" si="14"/>
        <v>17.312908620089409</v>
      </c>
      <c r="O38" s="839">
        <f t="shared" si="14"/>
        <v>12.830596578348263</v>
      </c>
      <c r="P38" s="839">
        <f t="shared" si="14"/>
        <v>9.5087551242138986</v>
      </c>
      <c r="Q38" s="839">
        <f t="shared" si="14"/>
        <v>7.0469384225549234</v>
      </c>
      <c r="R38" s="839">
        <f t="shared" si="14"/>
        <v>5.2224860649554543</v>
      </c>
      <c r="S38" s="88"/>
    </row>
    <row r="39" spans="1:20">
      <c r="A39" s="35"/>
      <c r="C39" s="838"/>
      <c r="D39" s="838"/>
      <c r="E39" s="838"/>
      <c r="F39" s="838"/>
      <c r="G39" s="838"/>
      <c r="H39" s="838"/>
      <c r="I39" s="838"/>
      <c r="J39" s="838"/>
      <c r="K39" s="838"/>
      <c r="L39" s="838"/>
      <c r="M39" s="838"/>
      <c r="N39" s="838"/>
      <c r="O39" s="838"/>
      <c r="P39" s="838"/>
      <c r="Q39" s="838"/>
      <c r="R39" s="838"/>
    </row>
    <row r="40" spans="1:20">
      <c r="A40" s="845" t="s">
        <v>724</v>
      </c>
      <c r="B40" s="853">
        <f>B11+B17+B23+B29+B35</f>
        <v>0</v>
      </c>
      <c r="C40" s="854">
        <f>C10+C16+C22+C28+C34</f>
        <v>45.636728963499998</v>
      </c>
      <c r="D40" s="854">
        <f t="shared" ref="D40:R40" si="15">D10+D16+D22+D28+D34</f>
        <v>66.8857289635</v>
      </c>
      <c r="E40" s="854">
        <f t="shared" si="15"/>
        <v>82.204728963500003</v>
      </c>
      <c r="F40" s="854">
        <f t="shared" si="15"/>
        <v>97.523728963500005</v>
      </c>
      <c r="G40" s="854">
        <f t="shared" si="15"/>
        <v>135.10312896349998</v>
      </c>
      <c r="H40" s="854">
        <f t="shared" si="15"/>
        <v>151.95402896349998</v>
      </c>
      <c r="I40" s="854">
        <f t="shared" si="15"/>
        <v>175.32792896349997</v>
      </c>
      <c r="J40" s="854">
        <f t="shared" si="15"/>
        <v>192.1788289635</v>
      </c>
      <c r="K40" s="854">
        <f t="shared" si="15"/>
        <v>315.02398896350002</v>
      </c>
      <c r="L40" s="854">
        <f t="shared" si="15"/>
        <v>372.90385496350001</v>
      </c>
      <c r="M40" s="854">
        <f t="shared" si="15"/>
        <v>449.58721851350003</v>
      </c>
      <c r="N40" s="854">
        <f t="shared" si="15"/>
        <v>519.62185637350001</v>
      </c>
      <c r="O40" s="854">
        <f t="shared" si="15"/>
        <v>556.69265607900002</v>
      </c>
      <c r="P40" s="854">
        <f t="shared" si="15"/>
        <v>641.43456788959998</v>
      </c>
      <c r="Q40" s="854">
        <f t="shared" si="15"/>
        <v>734.65067088126011</v>
      </c>
      <c r="R40" s="854">
        <f t="shared" si="15"/>
        <v>823.20575436445597</v>
      </c>
      <c r="T40" s="852"/>
    </row>
    <row r="41" spans="1:20">
      <c r="A41" s="845" t="s">
        <v>143</v>
      </c>
      <c r="B41" s="344" t="e">
        <f>B24+B12+B36+B30+B18</f>
        <v>#REF!</v>
      </c>
      <c r="C41" s="344">
        <f>C24+C12+C36+C30+C18</f>
        <v>9.9955593891011496</v>
      </c>
      <c r="D41" s="344">
        <f t="shared" ref="D41:R41" si="16">D24+D12+D36+D30+D18</f>
        <v>12.377394663996666</v>
      </c>
      <c r="E41" s="344">
        <f t="shared" si="16"/>
        <v>12.769461737324994</v>
      </c>
      <c r="F41" s="344">
        <f t="shared" si="16"/>
        <v>13.115341859672684</v>
      </c>
      <c r="G41" s="344">
        <f t="shared" si="16"/>
        <v>18.717230524156967</v>
      </c>
      <c r="H41" s="344">
        <f t="shared" si="16"/>
        <v>17.864850584124138</v>
      </c>
      <c r="I41" s="344">
        <f t="shared" si="16"/>
        <v>18.873950216251341</v>
      </c>
      <c r="J41" s="344">
        <f t="shared" si="16"/>
        <v>18.164561778473505</v>
      </c>
      <c r="K41" s="344">
        <f t="shared" si="16"/>
        <v>42.539372469408008</v>
      </c>
      <c r="L41" s="344">
        <f t="shared" si="16"/>
        <v>44.774820239336862</v>
      </c>
      <c r="M41" s="344">
        <f t="shared" si="16"/>
        <v>51.71254625379315</v>
      </c>
      <c r="N41" s="344">
        <f t="shared" si="16"/>
        <v>54.710184784586922</v>
      </c>
      <c r="O41" s="344">
        <f t="shared" si="16"/>
        <v>49.610029901989236</v>
      </c>
      <c r="P41" s="344">
        <f t="shared" si="16"/>
        <v>56.845094348136946</v>
      </c>
      <c r="Q41" s="344">
        <f t="shared" si="16"/>
        <v>64.178797458068829</v>
      </c>
      <c r="R41" s="344">
        <f t="shared" si="16"/>
        <v>68.587948476989794</v>
      </c>
      <c r="S41" s="88">
        <f>SUM(C41:R41)</f>
        <v>554.83714468541132</v>
      </c>
    </row>
    <row r="42" spans="1:20">
      <c r="A42" s="845" t="s">
        <v>43</v>
      </c>
      <c r="B42" s="344" t="e">
        <f>B41</f>
        <v>#REF!</v>
      </c>
      <c r="C42" s="344">
        <f>C41</f>
        <v>9.9955593891011496</v>
      </c>
      <c r="D42" s="344">
        <f>C42+D41</f>
        <v>22.372954053097814</v>
      </c>
      <c r="E42" s="344">
        <f t="shared" ref="E42:R42" si="17">D42+E41</f>
        <v>35.14241579042281</v>
      </c>
      <c r="F42" s="344">
        <f t="shared" si="17"/>
        <v>48.257757650095492</v>
      </c>
      <c r="G42" s="344">
        <f t="shared" si="17"/>
        <v>66.974988174252459</v>
      </c>
      <c r="H42" s="344">
        <f t="shared" si="17"/>
        <v>84.839838758376601</v>
      </c>
      <c r="I42" s="344">
        <f t="shared" si="17"/>
        <v>103.71378897462795</v>
      </c>
      <c r="J42" s="344">
        <f t="shared" si="17"/>
        <v>121.87835075310144</v>
      </c>
      <c r="K42" s="344">
        <f t="shared" si="17"/>
        <v>164.41772322250944</v>
      </c>
      <c r="L42" s="344">
        <f t="shared" si="17"/>
        <v>209.1925434618463</v>
      </c>
      <c r="M42" s="344">
        <f t="shared" si="17"/>
        <v>260.90508971563946</v>
      </c>
      <c r="N42" s="344">
        <f t="shared" si="17"/>
        <v>315.61527450022641</v>
      </c>
      <c r="O42" s="344">
        <f t="shared" si="17"/>
        <v>365.22530440221567</v>
      </c>
      <c r="P42" s="344">
        <f t="shared" si="17"/>
        <v>422.07039875035264</v>
      </c>
      <c r="Q42" s="344">
        <f t="shared" si="17"/>
        <v>486.24919620842149</v>
      </c>
      <c r="R42" s="344">
        <f t="shared" si="17"/>
        <v>554.83714468541132</v>
      </c>
    </row>
    <row r="43" spans="1:20">
      <c r="A43" s="845" t="s">
        <v>725</v>
      </c>
      <c r="B43" s="845"/>
      <c r="C43" s="855">
        <f>C14+C20+C26+C32+C38</f>
        <v>35.641169574398852</v>
      </c>
      <c r="D43" s="855">
        <f t="shared" ref="D43:R43" si="18">D14+D20+D26+D32+D38</f>
        <v>44.512774910402172</v>
      </c>
      <c r="E43" s="855">
        <f t="shared" si="18"/>
        <v>47.062313173077186</v>
      </c>
      <c r="F43" s="855">
        <f t="shared" si="18"/>
        <v>49.265971313404506</v>
      </c>
      <c r="G43" s="855">
        <f t="shared" si="18"/>
        <v>68.128140789247539</v>
      </c>
      <c r="H43" s="855">
        <f t="shared" si="18"/>
        <v>67.114190205123393</v>
      </c>
      <c r="I43" s="855">
        <f t="shared" si="18"/>
        <v>71.614139988872068</v>
      </c>
      <c r="J43" s="855">
        <f t="shared" si="18"/>
        <v>70.300478210398538</v>
      </c>
      <c r="K43" s="855">
        <f t="shared" si="18"/>
        <v>150.60626574099058</v>
      </c>
      <c r="L43" s="855">
        <f t="shared" si="18"/>
        <v>163.71131150165368</v>
      </c>
      <c r="M43" s="855">
        <f t="shared" si="18"/>
        <v>188.68212879786054</v>
      </c>
      <c r="N43" s="855">
        <f t="shared" si="18"/>
        <v>204.0065818732736</v>
      </c>
      <c r="O43" s="855">
        <f t="shared" si="18"/>
        <v>191.4673516767844</v>
      </c>
      <c r="P43" s="855">
        <f t="shared" si="18"/>
        <v>219.36416913924745</v>
      </c>
      <c r="Q43" s="855">
        <f t="shared" si="18"/>
        <v>248.40147467283865</v>
      </c>
      <c r="R43" s="855">
        <f t="shared" si="18"/>
        <v>268.36860967904482</v>
      </c>
    </row>
    <row r="46" spans="1:20">
      <c r="B46" s="111"/>
      <c r="C46" s="111"/>
      <c r="D46" s="111"/>
      <c r="E46" s="111"/>
      <c r="F46" s="111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</row>
  </sheetData>
  <mergeCells count="3">
    <mergeCell ref="C6:F6"/>
    <mergeCell ref="G6:J6"/>
    <mergeCell ref="A1:R1"/>
  </mergeCells>
  <hyperlinks>
    <hyperlink ref="A3" location="Index!A1" display="BACK TO INDEX"/>
  </hyperlinks>
  <pageMargins left="0.7" right="0.7" top="0.75" bottom="0.75" header="0.3" footer="0.3"/>
  <pageSetup scale="98" orientation="landscape" horizontalDpi="300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 codeName="Sheet15"/>
  <dimension ref="A1:R30"/>
  <sheetViews>
    <sheetView workbookViewId="0">
      <selection activeCell="N15" sqref="N15"/>
    </sheetView>
  </sheetViews>
  <sheetFormatPr defaultRowHeight="15"/>
  <cols>
    <col min="1" max="1" width="31.7109375" style="36" customWidth="1"/>
    <col min="2" max="2" width="10.42578125" style="36" hidden="1" customWidth="1"/>
    <col min="3" max="6" width="10.42578125" style="36" customWidth="1"/>
    <col min="7" max="11" width="10" style="36" customWidth="1"/>
    <col min="12" max="12" width="9.7109375" style="36" customWidth="1"/>
    <col min="13" max="13" width="9.42578125" style="36" customWidth="1"/>
    <col min="14" max="15" width="10" style="36" customWidth="1"/>
    <col min="16" max="16" width="10.28515625" style="36" customWidth="1"/>
    <col min="17" max="17" width="10.42578125" style="36" customWidth="1"/>
    <col min="18" max="16384" width="9.140625" style="36"/>
  </cols>
  <sheetData>
    <row r="1" spans="1:18">
      <c r="A1" s="1351" t="s">
        <v>149</v>
      </c>
      <c r="B1" s="1351"/>
      <c r="C1" s="1351"/>
      <c r="D1" s="1351"/>
      <c r="E1" s="1351"/>
      <c r="F1" s="1351"/>
      <c r="G1" s="1351"/>
      <c r="H1" s="1351"/>
      <c r="I1" s="1351"/>
      <c r="J1" s="1351"/>
      <c r="K1" s="1351"/>
      <c r="L1" s="1351"/>
      <c r="M1" s="1351"/>
      <c r="N1" s="1351"/>
      <c r="O1" s="1351"/>
      <c r="P1" s="1351"/>
      <c r="Q1" s="1351"/>
      <c r="R1" s="1351"/>
    </row>
    <row r="2" spans="1:18">
      <c r="A2" s="85"/>
    </row>
    <row r="3" spans="1:18">
      <c r="A3" s="93" t="s">
        <v>81</v>
      </c>
    </row>
    <row r="4" spans="1:18">
      <c r="A4" s="43" t="s">
        <v>148</v>
      </c>
    </row>
    <row r="5" spans="1:18">
      <c r="A5" s="339" t="s">
        <v>147</v>
      </c>
    </row>
    <row r="6" spans="1:18">
      <c r="B6" s="70"/>
      <c r="C6" s="1355" t="s">
        <v>156</v>
      </c>
      <c r="D6" s="1355"/>
      <c r="E6" s="1355"/>
      <c r="F6" s="1355"/>
      <c r="G6" s="1355" t="s">
        <v>157</v>
      </c>
      <c r="H6" s="1355"/>
      <c r="I6" s="1355"/>
      <c r="J6" s="1355"/>
      <c r="K6" s="70" t="str">
        <f>'Depreciation '!K6</f>
        <v>Year 3</v>
      </c>
      <c r="L6" s="70" t="str">
        <f>'Depreciation '!L6</f>
        <v>Year 4</v>
      </c>
      <c r="M6" s="70" t="str">
        <f>'Depreciation '!M6</f>
        <v>Year 5</v>
      </c>
      <c r="N6" s="70" t="str">
        <f>'Depreciation '!N6</f>
        <v>Year 6</v>
      </c>
      <c r="O6" s="70" t="str">
        <f>'Depreciation '!O6</f>
        <v>Year 7</v>
      </c>
      <c r="P6" s="70" t="str">
        <f>'Depreciation '!P6</f>
        <v>Year 8</v>
      </c>
      <c r="Q6" s="70" t="str">
        <f>'Depreciation '!Q6</f>
        <v>Year 9</v>
      </c>
      <c r="R6" s="70" t="str">
        <f>'Depreciation '!R6</f>
        <v>Year 10</v>
      </c>
    </row>
    <row r="7" spans="1:18">
      <c r="B7" s="70"/>
      <c r="C7" s="619" t="s">
        <v>608</v>
      </c>
      <c r="D7" s="619" t="s">
        <v>609</v>
      </c>
      <c r="E7" s="619" t="s">
        <v>610</v>
      </c>
      <c r="F7" s="619" t="s">
        <v>611</v>
      </c>
      <c r="G7" s="619" t="s">
        <v>608</v>
      </c>
      <c r="H7" s="619" t="s">
        <v>609</v>
      </c>
      <c r="I7" s="619" t="s">
        <v>610</v>
      </c>
      <c r="J7" s="619" t="s">
        <v>611</v>
      </c>
      <c r="K7" s="70"/>
      <c r="L7" s="70"/>
      <c r="M7" s="70"/>
      <c r="N7" s="70"/>
      <c r="O7" s="70"/>
      <c r="P7" s="70"/>
      <c r="Q7" s="70"/>
      <c r="R7" s="70"/>
    </row>
    <row r="8" spans="1:18">
      <c r="A8" s="98" t="s">
        <v>800</v>
      </c>
      <c r="B8" s="70"/>
      <c r="C8" s="619"/>
      <c r="D8" s="619"/>
      <c r="E8" s="619"/>
      <c r="F8" s="619"/>
      <c r="G8" s="619"/>
      <c r="H8" s="619"/>
      <c r="I8" s="619"/>
      <c r="J8" s="619"/>
      <c r="K8" s="70"/>
      <c r="L8" s="70"/>
      <c r="M8" s="70"/>
      <c r="N8" s="70"/>
      <c r="O8" s="70"/>
      <c r="P8" s="70"/>
      <c r="Q8" s="70"/>
      <c r="R8" s="70"/>
    </row>
    <row r="9" spans="1:18">
      <c r="A9" s="36" t="s">
        <v>726</v>
      </c>
      <c r="B9" s="70"/>
      <c r="C9" s="1137">
        <f>'Content Development Cost'!$C13</f>
        <v>12</v>
      </c>
      <c r="D9" s="857"/>
      <c r="E9" s="857"/>
      <c r="F9" s="857"/>
      <c r="G9" s="857"/>
      <c r="H9" s="857"/>
      <c r="I9" s="857"/>
      <c r="J9" s="857"/>
      <c r="K9" s="857"/>
      <c r="L9" s="857"/>
      <c r="M9" s="857"/>
      <c r="N9" s="857"/>
      <c r="O9" s="70"/>
      <c r="P9" s="70"/>
      <c r="Q9" s="70"/>
      <c r="R9" s="70"/>
    </row>
    <row r="10" spans="1:18">
      <c r="A10" s="36" t="s">
        <v>801</v>
      </c>
      <c r="B10" s="70"/>
      <c r="C10" s="1137">
        <f>'Pre-operative cost'!J54</f>
        <v>194.04081953650004</v>
      </c>
      <c r="D10" s="857"/>
      <c r="E10" s="857"/>
      <c r="F10" s="857"/>
      <c r="G10" s="857"/>
      <c r="H10" s="857"/>
      <c r="I10" s="857"/>
      <c r="J10" s="857"/>
      <c r="K10" s="857"/>
      <c r="L10" s="857"/>
      <c r="M10" s="857"/>
      <c r="N10" s="857"/>
      <c r="O10" s="70"/>
      <c r="P10" s="70"/>
      <c r="Q10" s="70"/>
      <c r="R10" s="70"/>
    </row>
    <row r="11" spans="1:18">
      <c r="A11" s="36" t="s">
        <v>808</v>
      </c>
      <c r="B11" s="70"/>
      <c r="C11" s="857">
        <f>SUM(C9:C10)</f>
        <v>206.04081953650004</v>
      </c>
      <c r="D11" s="857">
        <f>C19</f>
        <v>195.73877855967504</v>
      </c>
      <c r="E11" s="857">
        <f t="shared" ref="E11:M11" si="0">D19</f>
        <v>185.43673758285004</v>
      </c>
      <c r="F11" s="857">
        <f t="shared" si="0"/>
        <v>175.13469660602505</v>
      </c>
      <c r="G11" s="857">
        <f t="shared" si="0"/>
        <v>164.83265562920005</v>
      </c>
      <c r="H11" s="857">
        <f t="shared" si="0"/>
        <v>154.53061465237505</v>
      </c>
      <c r="I11" s="857">
        <f t="shared" si="0"/>
        <v>144.22857367555005</v>
      </c>
      <c r="J11" s="857">
        <f t="shared" si="0"/>
        <v>133.92653269872505</v>
      </c>
      <c r="K11" s="857">
        <f t="shared" si="0"/>
        <v>123.62449172190006</v>
      </c>
      <c r="L11" s="857">
        <f t="shared" si="0"/>
        <v>82.416327814600052</v>
      </c>
      <c r="M11" s="857">
        <f t="shared" si="0"/>
        <v>41.208163907300047</v>
      </c>
      <c r="N11" s="70"/>
      <c r="O11" s="70"/>
      <c r="P11" s="70"/>
      <c r="Q11" s="70"/>
      <c r="R11" s="70"/>
    </row>
    <row r="12" spans="1:18">
      <c r="B12" s="70"/>
      <c r="C12" s="857"/>
      <c r="D12" s="857"/>
      <c r="E12" s="857"/>
      <c r="F12" s="857"/>
      <c r="G12" s="857"/>
      <c r="H12" s="857"/>
      <c r="I12" s="857"/>
      <c r="J12" s="857"/>
      <c r="K12" s="858"/>
      <c r="L12" s="858"/>
      <c r="M12" s="858"/>
      <c r="N12" s="70"/>
      <c r="O12" s="70"/>
      <c r="P12" s="70"/>
      <c r="Q12" s="70"/>
      <c r="R12" s="70"/>
    </row>
    <row r="13" spans="1:18">
      <c r="A13" s="186" t="s">
        <v>809</v>
      </c>
      <c r="B13" s="70"/>
      <c r="C13" s="1137"/>
      <c r="D13" s="1137"/>
      <c r="E13" s="1137"/>
      <c r="F13" s="1137"/>
      <c r="G13" s="1137"/>
      <c r="H13" s="1137"/>
      <c r="I13" s="1137"/>
      <c r="J13" s="1137"/>
      <c r="K13" s="1137"/>
      <c r="L13" s="1137"/>
      <c r="M13" s="1137"/>
      <c r="N13" s="858"/>
      <c r="O13" s="858"/>
      <c r="P13" s="858"/>
      <c r="Q13" s="858"/>
      <c r="R13" s="858"/>
    </row>
    <row r="14" spans="1:18">
      <c r="A14" s="36" t="s">
        <v>726</v>
      </c>
      <c r="B14" s="70"/>
      <c r="C14" s="1137">
        <f>('Content Development Cost'!$C13/5)/4</f>
        <v>0.6</v>
      </c>
      <c r="D14" s="1137">
        <f>('Content Development Cost'!$C13/5)/4</f>
        <v>0.6</v>
      </c>
      <c r="E14" s="1137">
        <f>('Content Development Cost'!$C13/5)/4</f>
        <v>0.6</v>
      </c>
      <c r="F14" s="1137">
        <f>('Content Development Cost'!$C13/5)/4</f>
        <v>0.6</v>
      </c>
      <c r="G14" s="1137">
        <f>('Content Development Cost'!$C13/5)/4</f>
        <v>0.6</v>
      </c>
      <c r="H14" s="1137">
        <f>('Content Development Cost'!$C13/5)/4</f>
        <v>0.6</v>
      </c>
      <c r="I14" s="1137">
        <f>('Content Development Cost'!$C13/5)/4</f>
        <v>0.6</v>
      </c>
      <c r="J14" s="1137">
        <f>('Content Development Cost'!$C13/5)/4</f>
        <v>0.6</v>
      </c>
      <c r="K14" s="1137">
        <f>('Content Development Cost'!$C13/5)</f>
        <v>2.4</v>
      </c>
      <c r="L14" s="1137">
        <f>('Content Development Cost'!$C13/5)</f>
        <v>2.4</v>
      </c>
      <c r="M14" s="1137">
        <f>('Content Development Cost'!$C13/5)</f>
        <v>2.4</v>
      </c>
      <c r="N14" s="858"/>
      <c r="O14" s="858"/>
      <c r="P14" s="858"/>
      <c r="Q14" s="858"/>
      <c r="R14" s="858"/>
    </row>
    <row r="15" spans="1:18">
      <c r="A15" s="36" t="s">
        <v>801</v>
      </c>
      <c r="B15" s="70"/>
      <c r="C15" s="1137">
        <f>($C$10/5)/4</f>
        <v>9.7020409768250016</v>
      </c>
      <c r="D15" s="1137">
        <f t="shared" ref="D15:J15" si="1">($C$10/5)/4</f>
        <v>9.7020409768250016</v>
      </c>
      <c r="E15" s="1137">
        <f t="shared" si="1"/>
        <v>9.7020409768250016</v>
      </c>
      <c r="F15" s="1137">
        <f t="shared" si="1"/>
        <v>9.7020409768250016</v>
      </c>
      <c r="G15" s="1137">
        <f t="shared" si="1"/>
        <v>9.7020409768250016</v>
      </c>
      <c r="H15" s="1137">
        <f t="shared" si="1"/>
        <v>9.7020409768250016</v>
      </c>
      <c r="I15" s="1137">
        <f t="shared" si="1"/>
        <v>9.7020409768250016</v>
      </c>
      <c r="J15" s="1137">
        <f t="shared" si="1"/>
        <v>9.7020409768250016</v>
      </c>
      <c r="K15" s="1137">
        <f>($C$10/5)</f>
        <v>38.808163907300006</v>
      </c>
      <c r="L15" s="1137">
        <f>($C$10/5)</f>
        <v>38.808163907300006</v>
      </c>
      <c r="M15" s="1137">
        <f>($C$10/5)</f>
        <v>38.808163907300006</v>
      </c>
      <c r="N15" s="858"/>
      <c r="O15" s="858"/>
      <c r="P15" s="858"/>
      <c r="Q15" s="858"/>
      <c r="R15" s="858"/>
    </row>
    <row r="16" spans="1:18">
      <c r="A16" s="98"/>
      <c r="B16" s="112"/>
      <c r="C16" s="859"/>
      <c r="D16" s="859"/>
      <c r="E16" s="859"/>
      <c r="F16" s="859"/>
      <c r="G16" s="859"/>
      <c r="H16" s="859"/>
      <c r="I16" s="859"/>
      <c r="J16" s="859"/>
      <c r="K16" s="859"/>
      <c r="L16" s="859"/>
      <c r="M16" s="859"/>
      <c r="N16" s="859"/>
      <c r="O16" s="859"/>
      <c r="P16" s="859"/>
      <c r="Q16" s="859"/>
      <c r="R16" s="852"/>
    </row>
    <row r="17" spans="1:18">
      <c r="A17" s="856" t="s">
        <v>727</v>
      </c>
      <c r="B17" s="343" t="e">
        <f>'Fin Smmry'!#REF!</f>
        <v>#REF!</v>
      </c>
      <c r="C17" s="855">
        <f>SUM(C13:C15)</f>
        <v>10.302040976825001</v>
      </c>
      <c r="D17" s="855">
        <f t="shared" ref="D17:M17" si="2">SUM(D13:D15)</f>
        <v>10.302040976825001</v>
      </c>
      <c r="E17" s="855">
        <f t="shared" si="2"/>
        <v>10.302040976825001</v>
      </c>
      <c r="F17" s="855">
        <f t="shared" si="2"/>
        <v>10.302040976825001</v>
      </c>
      <c r="G17" s="855">
        <f t="shared" si="2"/>
        <v>10.302040976825001</v>
      </c>
      <c r="H17" s="855">
        <f t="shared" si="2"/>
        <v>10.302040976825001</v>
      </c>
      <c r="I17" s="855">
        <f t="shared" si="2"/>
        <v>10.302040976825001</v>
      </c>
      <c r="J17" s="855">
        <f t="shared" si="2"/>
        <v>10.302040976825001</v>
      </c>
      <c r="K17" s="855">
        <f t="shared" si="2"/>
        <v>41.208163907300005</v>
      </c>
      <c r="L17" s="855">
        <f t="shared" si="2"/>
        <v>41.208163907300005</v>
      </c>
      <c r="M17" s="855">
        <f t="shared" si="2"/>
        <v>41.208163907300005</v>
      </c>
      <c r="N17" s="855"/>
      <c r="O17" s="855"/>
      <c r="P17" s="855"/>
      <c r="Q17" s="855"/>
      <c r="R17" s="855"/>
    </row>
    <row r="18" spans="1:18">
      <c r="C18" s="852"/>
      <c r="D18" s="852"/>
      <c r="E18" s="852"/>
      <c r="F18" s="852"/>
      <c r="G18" s="852"/>
      <c r="H18" s="852"/>
      <c r="I18" s="852"/>
      <c r="J18" s="852"/>
      <c r="K18" s="852"/>
      <c r="L18" s="852"/>
      <c r="M18" s="852"/>
      <c r="N18" s="852"/>
      <c r="O18" s="852"/>
      <c r="P18" s="852"/>
      <c r="Q18" s="852"/>
      <c r="R18" s="852"/>
    </row>
    <row r="19" spans="1:18">
      <c r="A19" s="36" t="s">
        <v>728</v>
      </c>
      <c r="B19" s="88"/>
      <c r="C19" s="88">
        <f>C11-C17</f>
        <v>195.73877855967504</v>
      </c>
      <c r="D19" s="88">
        <f t="shared" ref="D19:M19" si="3">D11-D17</f>
        <v>185.43673758285004</v>
      </c>
      <c r="E19" s="88">
        <f t="shared" si="3"/>
        <v>175.13469660602505</v>
      </c>
      <c r="F19" s="88">
        <f t="shared" si="3"/>
        <v>164.83265562920005</v>
      </c>
      <c r="G19" s="88">
        <f t="shared" si="3"/>
        <v>154.53061465237505</v>
      </c>
      <c r="H19" s="88">
        <f t="shared" si="3"/>
        <v>144.22857367555005</v>
      </c>
      <c r="I19" s="88">
        <f t="shared" si="3"/>
        <v>133.92653269872505</v>
      </c>
      <c r="J19" s="88">
        <f t="shared" si="3"/>
        <v>123.62449172190006</v>
      </c>
      <c r="K19" s="88">
        <f t="shared" si="3"/>
        <v>82.416327814600052</v>
      </c>
      <c r="L19" s="88">
        <f t="shared" si="3"/>
        <v>41.208163907300047</v>
      </c>
      <c r="M19" s="88">
        <f t="shared" si="3"/>
        <v>0</v>
      </c>
      <c r="N19" s="88"/>
      <c r="O19" s="88"/>
      <c r="P19" s="88"/>
      <c r="Q19" s="88"/>
    </row>
    <row r="20" spans="1:18">
      <c r="B20" s="88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</row>
    <row r="23" spans="1:18"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</row>
    <row r="24" spans="1:18"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</row>
    <row r="26" spans="1:18">
      <c r="A26" s="93" t="s">
        <v>81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</row>
    <row r="27" spans="1:18"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</row>
    <row r="28" spans="1:18"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</row>
    <row r="29" spans="1:18"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</row>
    <row r="30" spans="1:18">
      <c r="B30" s="106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</row>
  </sheetData>
  <mergeCells count="3">
    <mergeCell ref="G6:J6"/>
    <mergeCell ref="C6:F6"/>
    <mergeCell ref="A1:R1"/>
  </mergeCells>
  <hyperlinks>
    <hyperlink ref="A3" location="Index!A1" display="BACK TO INDEX"/>
    <hyperlink ref="A26" location="Index!A1" display="BACK TO INDEX"/>
  </hyperlinks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 codeName="Sheet16"/>
  <dimension ref="A1:S34"/>
  <sheetViews>
    <sheetView zoomScale="80" zoomScaleNormal="80" workbookViewId="0">
      <selection activeCell="C15" sqref="C15"/>
    </sheetView>
  </sheetViews>
  <sheetFormatPr defaultRowHeight="15"/>
  <cols>
    <col min="1" max="1" width="20.5703125" style="36" customWidth="1"/>
    <col min="2" max="2" width="10" style="36" hidden="1" customWidth="1"/>
    <col min="3" max="6" width="10" style="36" customWidth="1"/>
    <col min="7" max="10" width="10.42578125" style="36" customWidth="1"/>
    <col min="11" max="11" width="9.7109375" style="36" customWidth="1"/>
    <col min="12" max="12" width="10.140625" style="36" customWidth="1"/>
    <col min="13" max="14" width="9.42578125" style="36" customWidth="1"/>
    <col min="15" max="15" width="10" style="36" customWidth="1"/>
    <col min="16" max="16" width="9.85546875" style="36" customWidth="1"/>
    <col min="17" max="18" width="10" style="36" customWidth="1"/>
    <col min="19" max="16384" width="9.140625" style="36"/>
  </cols>
  <sheetData>
    <row r="1" spans="1:19">
      <c r="A1" s="1351" t="s">
        <v>140</v>
      </c>
      <c r="B1" s="1351"/>
      <c r="C1" s="1351"/>
      <c r="D1" s="1351"/>
      <c r="E1" s="1351"/>
      <c r="F1" s="1351"/>
      <c r="G1" s="1351"/>
      <c r="H1" s="1351"/>
      <c r="I1" s="1351"/>
      <c r="J1" s="1351"/>
      <c r="K1" s="1351"/>
      <c r="L1" s="1351"/>
      <c r="M1" s="1351"/>
      <c r="N1" s="1351"/>
      <c r="O1" s="1351"/>
      <c r="P1" s="1351"/>
      <c r="Q1" s="1351"/>
      <c r="R1" s="1351"/>
    </row>
    <row r="2" spans="1:19">
      <c r="A2" s="85"/>
    </row>
    <row r="3" spans="1:19">
      <c r="A3" s="93" t="s">
        <v>81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</row>
    <row r="4" spans="1:19">
      <c r="A4" s="43" t="s">
        <v>139</v>
      </c>
    </row>
    <row r="5" spans="1:19">
      <c r="A5" s="43"/>
    </row>
    <row r="6" spans="1:19">
      <c r="A6" s="105"/>
      <c r="B6" s="70"/>
      <c r="C6" s="1352" t="s">
        <v>156</v>
      </c>
      <c r="D6" s="1352"/>
      <c r="E6" s="1352"/>
      <c r="F6" s="1352"/>
      <c r="G6" s="1352" t="s">
        <v>157</v>
      </c>
      <c r="H6" s="1352"/>
      <c r="I6" s="1352"/>
      <c r="J6" s="1352"/>
      <c r="K6" s="70" t="str">
        <f>Amortisation!K6</f>
        <v>Year 3</v>
      </c>
      <c r="L6" s="70" t="str">
        <f>Amortisation!L6</f>
        <v>Year 4</v>
      </c>
      <c r="M6" s="70" t="str">
        <f>Amortisation!M6</f>
        <v>Year 5</v>
      </c>
      <c r="N6" s="70" t="str">
        <f>Amortisation!N6</f>
        <v>Year 6</v>
      </c>
      <c r="O6" s="70" t="str">
        <f>Amortisation!O6</f>
        <v>Year 7</v>
      </c>
      <c r="P6" s="70" t="str">
        <f>Amortisation!P6</f>
        <v>Year 8</v>
      </c>
      <c r="Q6" s="70" t="str">
        <f>Amortisation!Q6</f>
        <v>Year 9</v>
      </c>
      <c r="R6" s="70" t="str">
        <f>Amortisation!R6</f>
        <v>Year 10</v>
      </c>
    </row>
    <row r="7" spans="1:19">
      <c r="A7" s="105"/>
      <c r="B7" s="98"/>
      <c r="C7" s="619" t="s">
        <v>608</v>
      </c>
      <c r="D7" s="619" t="s">
        <v>609</v>
      </c>
      <c r="E7" s="619" t="s">
        <v>610</v>
      </c>
      <c r="F7" s="619" t="s">
        <v>611</v>
      </c>
      <c r="G7" s="619" t="s">
        <v>608</v>
      </c>
      <c r="H7" s="619" t="s">
        <v>609</v>
      </c>
      <c r="I7" s="619" t="s">
        <v>610</v>
      </c>
      <c r="J7" s="619" t="s">
        <v>611</v>
      </c>
      <c r="K7" s="98"/>
      <c r="L7" s="98"/>
      <c r="M7" s="98"/>
      <c r="N7" s="98"/>
      <c r="O7" s="98"/>
      <c r="P7" s="98"/>
      <c r="Q7" s="98"/>
      <c r="R7" s="98"/>
    </row>
    <row r="8" spans="1:19">
      <c r="A8" s="105"/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</row>
    <row r="9" spans="1:19">
      <c r="A9" s="104" t="s">
        <v>138</v>
      </c>
      <c r="B9" s="88" t="e">
        <f>'Fin Smmry'!#REF!</f>
        <v>#REF!</v>
      </c>
      <c r="C9" s="88">
        <f>'Fin Smmry'!B50</f>
        <v>92.291983937595887</v>
      </c>
      <c r="D9" s="88">
        <f>'Fin Smmry'!C50</f>
        <v>159.22127817090995</v>
      </c>
      <c r="E9" s="88">
        <f>'Fin Smmry'!D50</f>
        <v>214.60638665729286</v>
      </c>
      <c r="F9" s="88">
        <f>'Fin Smmry'!E50</f>
        <v>272.34257573856172</v>
      </c>
      <c r="G9" s="88">
        <f>'Fin Smmry'!F50</f>
        <v>407.65658162925354</v>
      </c>
      <c r="H9" s="88">
        <f>'Fin Smmry'!G50</f>
        <v>486.93110744096708</v>
      </c>
      <c r="I9" s="88">
        <f>'Fin Smmry'!H50</f>
        <v>583.43917676196907</v>
      </c>
      <c r="J9" s="88">
        <f>'Fin Smmry'!I50</f>
        <v>666.85340252133039</v>
      </c>
      <c r="K9" s="88">
        <f>'Fin Smmry'!J50</f>
        <v>822.4167731425224</v>
      </c>
      <c r="L9" s="88">
        <f>'Fin Smmry'!K50</f>
        <v>510.67251417116643</v>
      </c>
      <c r="M9" s="88">
        <f>'Fin Smmry'!L50</f>
        <v>92.075059712661528</v>
      </c>
      <c r="N9" s="88">
        <f>'Fin Smmry'!M50</f>
        <v>0</v>
      </c>
      <c r="O9" s="88">
        <f>'Fin Smmry'!N50</f>
        <v>0</v>
      </c>
      <c r="P9" s="88">
        <f>'Fin Smmry'!O50</f>
        <v>0</v>
      </c>
      <c r="Q9" s="88">
        <f>'Fin Smmry'!P50</f>
        <v>0</v>
      </c>
      <c r="R9" s="88">
        <f>'Fin Smmry'!Q50</f>
        <v>0</v>
      </c>
    </row>
    <row r="10" spans="1:19">
      <c r="A10" s="101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</row>
    <row r="11" spans="1:19">
      <c r="A11" s="101"/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</row>
    <row r="12" spans="1:19">
      <c r="A12" s="101"/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</row>
    <row r="13" spans="1:19">
      <c r="A13" s="101"/>
      <c r="B13" s="88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</row>
    <row r="14" spans="1:19"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</row>
    <row r="15" spans="1:19">
      <c r="A15" s="340" t="s">
        <v>137</v>
      </c>
      <c r="B15" s="342" t="e">
        <f>'Loan-Int'!#REF!</f>
        <v>#REF!</v>
      </c>
      <c r="C15" s="342">
        <f>'Loan-Int'!E24</f>
        <v>1.3843797590639382</v>
      </c>
      <c r="D15" s="342">
        <f>'Loan-Int'!E25</f>
        <v>2.3883191725636492</v>
      </c>
      <c r="E15" s="342">
        <f>'Loan-Int'!E26</f>
        <v>3.2190957998593928</v>
      </c>
      <c r="F15" s="342">
        <f>'Loan-Int'!E27</f>
        <v>4.0851386360784261</v>
      </c>
      <c r="G15" s="342">
        <f>'Loan-Int'!E28</f>
        <v>6.1148487244388026</v>
      </c>
      <c r="H15" s="342">
        <f>'Loan-Int'!E29</f>
        <v>7.3039666116145057</v>
      </c>
      <c r="I15" s="342">
        <f>'Loan-Int'!E30</f>
        <v>8.751587651429535</v>
      </c>
      <c r="J15" s="342">
        <f>'Loan-Int'!E31</f>
        <v>10.002801037819955</v>
      </c>
      <c r="K15" s="342">
        <f>'Loan-Int'!E32</f>
        <v>44.678105269915584</v>
      </c>
      <c r="L15" s="342">
        <f>'Loan-Int'!E33</f>
        <v>39.992678619410661</v>
      </c>
      <c r="M15" s="342">
        <f>'Loan-Int'!E34</f>
        <v>18.082427216514837</v>
      </c>
      <c r="N15" s="342">
        <f>'Loan-Int'!E35</f>
        <v>2.7622517913798457</v>
      </c>
      <c r="O15" s="342">
        <f>'Loan-Int'!E36</f>
        <v>0</v>
      </c>
      <c r="P15" s="342">
        <f>'Loan-Int'!E37</f>
        <v>0</v>
      </c>
      <c r="Q15" s="342">
        <f>'Loan-Int'!E38</f>
        <v>0</v>
      </c>
      <c r="R15" s="342">
        <f>'Loan-Int'!F38</f>
        <v>0</v>
      </c>
      <c r="S15" s="193">
        <f>SUM(C15:R15)</f>
        <v>148.76560029008914</v>
      </c>
    </row>
    <row r="16" spans="1:19">
      <c r="A16" s="100"/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</row>
    <row r="17" spans="1:18">
      <c r="A17" s="340" t="s">
        <v>136</v>
      </c>
      <c r="B17" s="342">
        <v>0</v>
      </c>
      <c r="C17" s="342"/>
      <c r="D17" s="342">
        <f t="shared" ref="D17:K17" si="0">IF(C9-D9&lt;0,0,C9-D9)</f>
        <v>0</v>
      </c>
      <c r="E17" s="342">
        <f t="shared" si="0"/>
        <v>0</v>
      </c>
      <c r="F17" s="342">
        <f t="shared" si="0"/>
        <v>0</v>
      </c>
      <c r="G17" s="342">
        <f t="shared" si="0"/>
        <v>0</v>
      </c>
      <c r="H17" s="342">
        <f t="shared" si="0"/>
        <v>0</v>
      </c>
      <c r="I17" s="342">
        <f t="shared" si="0"/>
        <v>0</v>
      </c>
      <c r="J17" s="342">
        <f t="shared" si="0"/>
        <v>0</v>
      </c>
      <c r="K17" s="342">
        <f t="shared" si="0"/>
        <v>0</v>
      </c>
      <c r="L17" s="342">
        <f t="shared" ref="L17:R17" si="1">IF(K9-L9&lt;0,0,K9-L9)</f>
        <v>311.74425897135598</v>
      </c>
      <c r="M17" s="342">
        <f t="shared" si="1"/>
        <v>418.5974544585049</v>
      </c>
      <c r="N17" s="342">
        <f t="shared" si="1"/>
        <v>92.075059712661528</v>
      </c>
      <c r="O17" s="342">
        <f t="shared" si="1"/>
        <v>0</v>
      </c>
      <c r="P17" s="342">
        <f t="shared" si="1"/>
        <v>0</v>
      </c>
      <c r="Q17" s="342">
        <f t="shared" si="1"/>
        <v>0</v>
      </c>
      <c r="R17" s="342">
        <f t="shared" si="1"/>
        <v>0</v>
      </c>
    </row>
    <row r="18" spans="1:18">
      <c r="A18" s="100"/>
    </row>
    <row r="19" spans="1:18">
      <c r="A19" s="93" t="s">
        <v>81</v>
      </c>
      <c r="B19" s="100"/>
      <c r="C19" s="100"/>
      <c r="D19" s="100"/>
      <c r="E19" s="100"/>
      <c r="F19" s="100"/>
      <c r="G19" s="100"/>
      <c r="H19" s="100"/>
      <c r="I19" s="100"/>
      <c r="J19" s="100"/>
      <c r="K19" s="98"/>
      <c r="L19" s="98"/>
      <c r="M19" s="98"/>
      <c r="N19" s="98"/>
      <c r="O19" s="98"/>
      <c r="P19" s="98"/>
      <c r="Q19" s="98"/>
      <c r="R19" s="98"/>
    </row>
    <row r="20" spans="1:18">
      <c r="B20" s="186"/>
      <c r="C20" s="186"/>
      <c r="D20" s="186"/>
      <c r="E20" s="186"/>
      <c r="F20" s="186"/>
    </row>
    <row r="21" spans="1:18">
      <c r="B21" s="186"/>
      <c r="C21" s="186"/>
      <c r="D21" s="186"/>
      <c r="E21" s="186"/>
      <c r="F21" s="186"/>
    </row>
    <row r="22" spans="1:18">
      <c r="B22" s="186"/>
      <c r="C22" s="186"/>
      <c r="D22" s="186"/>
      <c r="E22" s="186"/>
      <c r="F22" s="186"/>
    </row>
    <row r="23" spans="1:18">
      <c r="B23" s="186"/>
      <c r="C23" s="186"/>
      <c r="D23" s="186"/>
      <c r="E23" s="186"/>
      <c r="F23" s="186"/>
    </row>
    <row r="24" spans="1:18">
      <c r="B24" s="186"/>
      <c r="C24" s="186"/>
      <c r="D24" s="186"/>
      <c r="E24" s="186"/>
      <c r="F24" s="186"/>
    </row>
    <row r="25" spans="1:18">
      <c r="B25" s="186"/>
      <c r="C25" s="186"/>
      <c r="D25" s="186"/>
      <c r="E25" s="186"/>
      <c r="F25" s="186"/>
    </row>
    <row r="26" spans="1:18">
      <c r="B26" s="186"/>
      <c r="C26" s="186"/>
      <c r="D26" s="186"/>
      <c r="E26" s="186"/>
      <c r="F26" s="186"/>
    </row>
    <row r="27" spans="1:18">
      <c r="B27" s="186"/>
      <c r="C27" s="186"/>
      <c r="D27" s="186"/>
      <c r="E27" s="186"/>
      <c r="F27" s="186"/>
    </row>
    <row r="28" spans="1:18">
      <c r="B28" s="186"/>
      <c r="C28" s="186"/>
      <c r="D28" s="186"/>
      <c r="E28" s="186"/>
      <c r="F28" s="186"/>
    </row>
    <row r="29" spans="1:18">
      <c r="B29" s="186"/>
      <c r="C29" s="186"/>
      <c r="D29" s="186"/>
      <c r="E29" s="186"/>
      <c r="F29" s="186"/>
    </row>
    <row r="30" spans="1:18">
      <c r="B30" s="186"/>
      <c r="C30" s="186"/>
      <c r="D30" s="186"/>
      <c r="E30" s="186"/>
      <c r="F30" s="186"/>
    </row>
    <row r="31" spans="1:18">
      <c r="B31" s="186"/>
      <c r="C31" s="186"/>
      <c r="D31" s="186"/>
      <c r="E31" s="186"/>
      <c r="F31" s="186"/>
    </row>
    <row r="32" spans="1:18">
      <c r="B32" s="186"/>
      <c r="C32" s="186"/>
      <c r="D32" s="186"/>
      <c r="E32" s="186"/>
      <c r="F32" s="186"/>
    </row>
    <row r="33" spans="2:6">
      <c r="B33" s="186"/>
      <c r="C33" s="186"/>
      <c r="D33" s="186"/>
      <c r="E33" s="186"/>
      <c r="F33" s="186"/>
    </row>
    <row r="34" spans="2:6">
      <c r="B34" s="186"/>
      <c r="C34" s="186"/>
      <c r="D34" s="186"/>
      <c r="E34" s="186"/>
      <c r="F34" s="186"/>
    </row>
  </sheetData>
  <mergeCells count="3">
    <mergeCell ref="C6:F6"/>
    <mergeCell ref="G6:J6"/>
    <mergeCell ref="A1:R1"/>
  </mergeCells>
  <hyperlinks>
    <hyperlink ref="A3" location="Index!A1" display="BACK TO INDEX"/>
    <hyperlink ref="A19" location="Index!A1" display="BACK TO INDEX"/>
  </hyperlinks>
  <pageMargins left="0.7" right="0.7" top="0.75" bottom="0.75" header="0.3" footer="0.3"/>
  <pageSetup orientation="portrait" horizontalDpi="300" r:id="rId1"/>
</worksheet>
</file>

<file path=xl/worksheets/sheet25.xml><?xml version="1.0" encoding="utf-8"?>
<worksheet xmlns="http://schemas.openxmlformats.org/spreadsheetml/2006/main" xmlns:r="http://schemas.openxmlformats.org/officeDocument/2006/relationships">
  <sheetPr codeName="Sheet17"/>
  <dimension ref="A1:T29"/>
  <sheetViews>
    <sheetView zoomScale="80" zoomScaleNormal="80" workbookViewId="0">
      <selection activeCell="E29" sqref="E29"/>
    </sheetView>
  </sheetViews>
  <sheetFormatPr defaultRowHeight="15"/>
  <cols>
    <col min="1" max="1" width="44.42578125" style="36" customWidth="1"/>
    <col min="2" max="6" width="9.85546875" style="36" customWidth="1"/>
    <col min="7" max="10" width="10.28515625" style="36" customWidth="1"/>
    <col min="11" max="11" width="9.42578125" style="36" customWidth="1"/>
    <col min="12" max="12" width="10.140625" style="36" customWidth="1"/>
    <col min="13" max="13" width="9.7109375" style="36" customWidth="1"/>
    <col min="14" max="14" width="9.5703125" style="36" customWidth="1"/>
    <col min="15" max="16" width="9.85546875" style="36" customWidth="1"/>
    <col min="17" max="17" width="9.7109375" style="36" customWidth="1"/>
    <col min="18" max="18" width="9.140625" style="36"/>
    <col min="19" max="19" width="13.85546875" style="36" bestFit="1" customWidth="1"/>
    <col min="20" max="16384" width="9.140625" style="36"/>
  </cols>
  <sheetData>
    <row r="1" spans="1:18">
      <c r="A1" s="1351" t="s">
        <v>142</v>
      </c>
      <c r="B1" s="1351"/>
      <c r="C1" s="1351"/>
      <c r="D1" s="1351"/>
      <c r="E1" s="1351"/>
      <c r="F1" s="1351"/>
      <c r="G1" s="1351"/>
      <c r="H1" s="1351"/>
      <c r="I1" s="1351"/>
      <c r="J1" s="1351"/>
      <c r="K1" s="1351"/>
      <c r="L1" s="1351"/>
      <c r="M1" s="1351"/>
      <c r="N1" s="1351"/>
      <c r="O1" s="1351"/>
      <c r="P1" s="1351"/>
      <c r="Q1" s="1351"/>
      <c r="R1" s="1351"/>
    </row>
    <row r="2" spans="1:18">
      <c r="A2" s="85"/>
    </row>
    <row r="3" spans="1:18">
      <c r="A3" s="93" t="s">
        <v>81</v>
      </c>
    </row>
    <row r="4" spans="1:18">
      <c r="A4" s="43" t="s">
        <v>141</v>
      </c>
      <c r="D4" s="70"/>
    </row>
    <row r="5" spans="1:18">
      <c r="A5" s="43"/>
      <c r="C5" s="1355" t="s">
        <v>156</v>
      </c>
      <c r="D5" s="1355"/>
      <c r="E5" s="1355"/>
      <c r="F5" s="1355"/>
      <c r="G5" s="1355" t="s">
        <v>157</v>
      </c>
      <c r="H5" s="1355"/>
      <c r="I5" s="1355"/>
      <c r="J5" s="1355"/>
      <c r="K5" s="70" t="str">
        <f>'Interest-Principal'!K6</f>
        <v>Year 3</v>
      </c>
      <c r="L5" s="70" t="str">
        <f>'Interest-Principal'!L6</f>
        <v>Year 4</v>
      </c>
      <c r="M5" s="70" t="str">
        <f>'Interest-Principal'!M6</f>
        <v>Year 5</v>
      </c>
      <c r="N5" s="70" t="str">
        <f>'Interest-Principal'!N6</f>
        <v>Year 6</v>
      </c>
      <c r="O5" s="70" t="str">
        <f>'Interest-Principal'!O6</f>
        <v>Year 7</v>
      </c>
      <c r="P5" s="70" t="str">
        <f>'Interest-Principal'!P6</f>
        <v>Year 8</v>
      </c>
      <c r="Q5" s="70" t="str">
        <f>'Interest-Principal'!Q6</f>
        <v>Year 9</v>
      </c>
      <c r="R5" s="70" t="str">
        <f>'Interest-Principal'!R6</f>
        <v>Year 10</v>
      </c>
    </row>
    <row r="6" spans="1:18">
      <c r="B6" s="70"/>
      <c r="C6" s="619" t="s">
        <v>608</v>
      </c>
      <c r="D6" s="619" t="s">
        <v>609</v>
      </c>
      <c r="E6" s="619" t="s">
        <v>610</v>
      </c>
      <c r="F6" s="619" t="s">
        <v>611</v>
      </c>
      <c r="G6" s="619" t="s">
        <v>608</v>
      </c>
      <c r="H6" s="619" t="s">
        <v>609</v>
      </c>
      <c r="I6" s="619" t="s">
        <v>610</v>
      </c>
      <c r="J6" s="619" t="s">
        <v>611</v>
      </c>
    </row>
    <row r="7" spans="1:18"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</row>
    <row r="8" spans="1:18">
      <c r="A8" s="110" t="s">
        <v>710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</row>
    <row r="9" spans="1:18">
      <c r="A9" s="98"/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</row>
    <row r="10" spans="1:18">
      <c r="A10" s="101" t="str">
        <f>'CAPEX Assumption'!B94</f>
        <v>IT Software</v>
      </c>
      <c r="B10" s="88"/>
      <c r="C10" s="840">
        <f>'CAPEX Assumption'!F94</f>
        <v>0.11260273399999998</v>
      </c>
      <c r="D10" s="840">
        <f>'CAPEX Assumption'!G94</f>
        <v>0</v>
      </c>
      <c r="E10" s="840">
        <f>'CAPEX Assumption'!H94</f>
        <v>0</v>
      </c>
      <c r="F10" s="840">
        <f>'CAPEX Assumption'!I94</f>
        <v>0</v>
      </c>
      <c r="G10" s="840">
        <f>'CAPEX Assumption'!J94</f>
        <v>0</v>
      </c>
      <c r="H10" s="840">
        <f>'CAPEX Assumption'!K94</f>
        <v>0</v>
      </c>
      <c r="I10" s="840">
        <f>'CAPEX Assumption'!L94</f>
        <v>0</v>
      </c>
      <c r="J10" s="840">
        <f>'CAPEX Assumption'!M94</f>
        <v>0</v>
      </c>
      <c r="K10" s="840">
        <f>'CAPEX Assumption'!N94</f>
        <v>0</v>
      </c>
      <c r="L10" s="840">
        <f>'CAPEX Assumption'!O94</f>
        <v>0</v>
      </c>
      <c r="M10" s="840">
        <f>'CAPEX Assumption'!P94</f>
        <v>0</v>
      </c>
      <c r="N10" s="840">
        <f>'CAPEX Assumption'!Q94</f>
        <v>0</v>
      </c>
      <c r="O10" s="840">
        <f>'CAPEX Assumption'!R94</f>
        <v>0</v>
      </c>
      <c r="P10" s="840">
        <f>'CAPEX Assumption'!S94</f>
        <v>0</v>
      </c>
      <c r="Q10" s="840">
        <f>'CAPEX Assumption'!T94</f>
        <v>0</v>
      </c>
      <c r="R10" s="840">
        <f>'CAPEX Assumption'!U94</f>
        <v>0</v>
      </c>
    </row>
    <row r="11" spans="1:18">
      <c r="A11" s="101" t="str">
        <f>'CAPEX Assumption'!B93</f>
        <v>IT Equipments</v>
      </c>
      <c r="B11" s="88"/>
      <c r="C11" s="840">
        <f>'CAPEX Assumption'!F93</f>
        <v>5.5053459999999994</v>
      </c>
      <c r="D11" s="840">
        <f>'CAPEX Assumption'!G93</f>
        <v>4.95</v>
      </c>
      <c r="E11" s="840">
        <f>'CAPEX Assumption'!H93</f>
        <v>3.55</v>
      </c>
      <c r="F11" s="840">
        <f>'CAPEX Assumption'!I93</f>
        <v>3.55</v>
      </c>
      <c r="G11" s="840">
        <f>'CAPEX Assumption'!J93</f>
        <v>9.3750000000000018</v>
      </c>
      <c r="H11" s="840">
        <f>'CAPEX Assumption'!K93</f>
        <v>3.9050000000000002</v>
      </c>
      <c r="I11" s="840">
        <f>'CAPEX Assumption'!L93</f>
        <v>5.4450000000000003</v>
      </c>
      <c r="J11" s="840">
        <f>'CAPEX Assumption'!M93</f>
        <v>3.9050000000000002</v>
      </c>
      <c r="K11" s="840">
        <f>'CAPEX Assumption'!N93</f>
        <v>23.958000000000006</v>
      </c>
      <c r="L11" s="840">
        <f>'CAPEX Assumption'!O93</f>
        <v>13.310000000000002</v>
      </c>
      <c r="M11" s="840">
        <f>'CAPEX Assumption'!P93</f>
        <v>13.835745000000003</v>
      </c>
      <c r="N11" s="840">
        <f>'CAPEX Assumption'!Q93</f>
        <v>16.1051</v>
      </c>
      <c r="O11" s="840">
        <f>'CAPEX Assumption'!R93</f>
        <v>9.3006952500000004</v>
      </c>
      <c r="P11" s="840">
        <f>'CAPEX Assumption'!S93</f>
        <v>19.487171000000004</v>
      </c>
      <c r="Q11" s="840">
        <f>'CAPEX Assumption'!T93</f>
        <v>21.4358881</v>
      </c>
      <c r="R11" s="840">
        <f>'CAPEX Assumption'!U93</f>
        <v>20.278350142600001</v>
      </c>
    </row>
    <row r="12" spans="1:18">
      <c r="A12" s="101" t="str">
        <f>'CAPEX Assumption'!B96</f>
        <v>Office Equipment</v>
      </c>
      <c r="B12" s="88"/>
      <c r="C12" s="840">
        <f>'CAPEX Assumption'!F96</f>
        <v>7.5683410125000004</v>
      </c>
      <c r="D12" s="840">
        <f>'CAPEX Assumption'!G96</f>
        <v>1.95</v>
      </c>
      <c r="E12" s="840">
        <f>'CAPEX Assumption'!H96</f>
        <v>1.95</v>
      </c>
      <c r="F12" s="840">
        <f>'CAPEX Assumption'!I96</f>
        <v>1.95</v>
      </c>
      <c r="G12" s="840">
        <f>'CAPEX Assumption'!J96</f>
        <v>2.145</v>
      </c>
      <c r="H12" s="840">
        <f>'CAPEX Assumption'!K96</f>
        <v>2.145</v>
      </c>
      <c r="I12" s="840">
        <f>'CAPEX Assumption'!L96</f>
        <v>2.145</v>
      </c>
      <c r="J12" s="840">
        <f>'CAPEX Assumption'!M96</f>
        <v>2.145</v>
      </c>
      <c r="K12" s="840">
        <f>'CAPEX Assumption'!N96</f>
        <v>9.4380000000000006</v>
      </c>
      <c r="L12" s="840">
        <f>'CAPEX Assumption'!O96</f>
        <v>10.3818</v>
      </c>
      <c r="M12" s="840">
        <f>'CAPEX Assumption'!P96</f>
        <v>11.419980000000001</v>
      </c>
      <c r="N12" s="840">
        <f>'CAPEX Assumption'!Q96</f>
        <v>12.561978</v>
      </c>
      <c r="O12" s="840">
        <f>'CAPEX Assumption'!R96</f>
        <v>13.818175800000001</v>
      </c>
      <c r="P12" s="840">
        <f>'CAPEX Assumption'!S96</f>
        <v>15.199993379999999</v>
      </c>
      <c r="Q12" s="840">
        <f>'CAPEX Assumption'!T96</f>
        <v>16.719992718</v>
      </c>
      <c r="R12" s="840">
        <f>'CAPEX Assumption'!U96</f>
        <v>18.391991989799997</v>
      </c>
    </row>
    <row r="13" spans="1:18">
      <c r="A13" s="473" t="str">
        <f>'CAPEX Assumption'!B95</f>
        <v>Furniture &amp; Fixture</v>
      </c>
      <c r="B13" s="88"/>
      <c r="C13" s="840">
        <f>'CAPEX Assumption'!F95</f>
        <v>21.693283784999998</v>
      </c>
      <c r="D13" s="840">
        <f>'CAPEX Assumption'!G95</f>
        <v>14.348999999999998</v>
      </c>
      <c r="E13" s="840">
        <f>'CAPEX Assumption'!H95</f>
        <v>9.8190000000000008</v>
      </c>
      <c r="F13" s="840">
        <f>'CAPEX Assumption'!I95</f>
        <v>9.8190000000000008</v>
      </c>
      <c r="G13" s="840">
        <f>'CAPEX Assumption'!J95</f>
        <v>26.059399999999997</v>
      </c>
      <c r="H13" s="840">
        <f>'CAPEX Assumption'!K95</f>
        <v>10.800900000000002</v>
      </c>
      <c r="I13" s="840">
        <f>'CAPEX Assumption'!L95</f>
        <v>15.783900000000001</v>
      </c>
      <c r="J13" s="840">
        <f>'CAPEX Assumption'!M95</f>
        <v>10.800900000000002</v>
      </c>
      <c r="K13" s="840">
        <f>'CAPEX Assumption'!N95</f>
        <v>69.449160000000006</v>
      </c>
      <c r="L13" s="840">
        <f>'CAPEX Assumption'!O95</f>
        <v>34.188066000000006</v>
      </c>
      <c r="M13" s="840">
        <f>'CAPEX Assumption'!P95</f>
        <v>31.427638550000005</v>
      </c>
      <c r="N13" s="840">
        <f>'CAPEX Assumption'!Q95</f>
        <v>41.367559860000014</v>
      </c>
      <c r="O13" s="840">
        <f>'CAPEX Assumption'!R95</f>
        <v>13.951928655500001</v>
      </c>
      <c r="P13" s="840">
        <f>'CAPEX Assumption'!S95</f>
        <v>50.054747430600017</v>
      </c>
      <c r="Q13" s="840">
        <f>'CAPEX Assumption'!T95</f>
        <v>55.060222173660009</v>
      </c>
      <c r="R13" s="840">
        <f>'CAPEX Assumption'!U95</f>
        <v>49.884741350795991</v>
      </c>
    </row>
    <row r="14" spans="1:18">
      <c r="A14" s="101" t="str">
        <f>'CAPEX Assumption'!B97</f>
        <v>Vehicles</v>
      </c>
      <c r="B14" s="88"/>
      <c r="C14" s="840">
        <f>'CAPEX Assumption'!F97</f>
        <v>10.757155431999999</v>
      </c>
      <c r="D14" s="840">
        <f>'CAPEX Assumption'!G97</f>
        <v>0</v>
      </c>
      <c r="E14" s="840">
        <f>'CAPEX Assumption'!H97</f>
        <v>0</v>
      </c>
      <c r="F14" s="840">
        <f>'CAPEX Assumption'!I97</f>
        <v>0</v>
      </c>
      <c r="G14" s="840">
        <f>'CAPEX Assumption'!J97</f>
        <v>0</v>
      </c>
      <c r="H14" s="840">
        <f>'CAPEX Assumption'!K97</f>
        <v>0</v>
      </c>
      <c r="I14" s="840">
        <f>'CAPEX Assumption'!L97</f>
        <v>0</v>
      </c>
      <c r="J14" s="840">
        <f>'CAPEX Assumption'!M97</f>
        <v>0</v>
      </c>
      <c r="K14" s="840">
        <f>'CAPEX Assumption'!N97</f>
        <v>20</v>
      </c>
      <c r="L14" s="840">
        <f>'CAPEX Assumption'!O97</f>
        <v>0</v>
      </c>
      <c r="M14" s="840">
        <f>'CAPEX Assumption'!P97</f>
        <v>20</v>
      </c>
      <c r="N14" s="840">
        <f>'CAPEX Assumption'!Q97</f>
        <v>0</v>
      </c>
      <c r="O14" s="840">
        <f>'CAPEX Assumption'!R97</f>
        <v>0</v>
      </c>
      <c r="P14" s="840">
        <f>'CAPEX Assumption'!S97</f>
        <v>0</v>
      </c>
      <c r="Q14" s="840">
        <f>'CAPEX Assumption'!T97</f>
        <v>0</v>
      </c>
      <c r="R14" s="840">
        <f>'CAPEX Assumption'!U97</f>
        <v>0</v>
      </c>
    </row>
    <row r="15" spans="1:18">
      <c r="A15" s="101"/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7"/>
    </row>
    <row r="16" spans="1:18"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106"/>
    </row>
    <row r="17" spans="1:20">
      <c r="A17" s="340" t="s">
        <v>714</v>
      </c>
      <c r="B17" s="341">
        <f t="shared" ref="B17:R17" si="0">SUM(B10:B16)</f>
        <v>0</v>
      </c>
      <c r="C17" s="841">
        <f t="shared" si="0"/>
        <v>45.636728963499998</v>
      </c>
      <c r="D17" s="841">
        <f t="shared" si="0"/>
        <v>21.248999999999999</v>
      </c>
      <c r="E17" s="841">
        <f t="shared" si="0"/>
        <v>15.319000000000001</v>
      </c>
      <c r="F17" s="841">
        <f t="shared" si="0"/>
        <v>15.319000000000001</v>
      </c>
      <c r="G17" s="841">
        <f>SUM(G10:G16)</f>
        <v>37.5794</v>
      </c>
      <c r="H17" s="841">
        <f>SUM(H10:H16)</f>
        <v>16.850900000000003</v>
      </c>
      <c r="I17" s="841">
        <f>SUM(I10:I16)</f>
        <v>23.373899999999999</v>
      </c>
      <c r="J17" s="841">
        <f>SUM(J10:J16)</f>
        <v>16.850900000000003</v>
      </c>
      <c r="K17" s="841">
        <f t="shared" si="0"/>
        <v>122.84516000000002</v>
      </c>
      <c r="L17" s="841">
        <f t="shared" si="0"/>
        <v>57.879866000000007</v>
      </c>
      <c r="M17" s="841">
        <f t="shared" si="0"/>
        <v>76.68336355000001</v>
      </c>
      <c r="N17" s="841">
        <f t="shared" si="0"/>
        <v>70.034637860000018</v>
      </c>
      <c r="O17" s="841">
        <f t="shared" si="0"/>
        <v>37.070799705500008</v>
      </c>
      <c r="P17" s="841">
        <f t="shared" si="0"/>
        <v>84.741911810600016</v>
      </c>
      <c r="Q17" s="841">
        <f t="shared" si="0"/>
        <v>93.216102991660009</v>
      </c>
      <c r="R17" s="841">
        <f t="shared" si="0"/>
        <v>88.555083483195986</v>
      </c>
      <c r="S17" s="840">
        <f>C17+D17+E17+F17+G17+H17+I17+J17+K17+L17+M17+N17+O17+P17+Q17+R17</f>
        <v>823.20575436445597</v>
      </c>
      <c r="T17" s="842"/>
    </row>
    <row r="18" spans="1:20">
      <c r="B18" s="107"/>
      <c r="C18" s="842"/>
      <c r="D18" s="842"/>
      <c r="E18" s="842"/>
      <c r="F18" s="842"/>
      <c r="G18" s="842"/>
      <c r="H18" s="842"/>
      <c r="I18" s="842"/>
      <c r="J18" s="842"/>
      <c r="K18" s="842"/>
      <c r="L18" s="842"/>
      <c r="M18" s="842"/>
      <c r="N18" s="842"/>
      <c r="O18" s="842"/>
      <c r="P18" s="842"/>
      <c r="Q18" s="842"/>
      <c r="R18" s="842"/>
      <c r="S18" s="842"/>
      <c r="T18" s="842"/>
    </row>
    <row r="19" spans="1:20">
      <c r="B19" s="107"/>
      <c r="C19" s="842"/>
      <c r="D19" s="842"/>
      <c r="E19" s="842"/>
      <c r="F19" s="842"/>
      <c r="G19" s="842"/>
      <c r="H19" s="842"/>
      <c r="I19" s="842"/>
      <c r="J19" s="842"/>
      <c r="K19" s="842"/>
      <c r="L19" s="842"/>
      <c r="M19" s="842"/>
      <c r="N19" s="842"/>
      <c r="O19" s="842"/>
      <c r="P19" s="842"/>
      <c r="Q19" s="842"/>
      <c r="R19" s="842"/>
      <c r="S19" s="842"/>
      <c r="T19" s="842"/>
    </row>
    <row r="20" spans="1:20">
      <c r="B20" s="107"/>
      <c r="C20" s="842"/>
      <c r="D20" s="842"/>
      <c r="E20" s="842"/>
      <c r="F20" s="842"/>
      <c r="G20" s="842"/>
      <c r="H20" s="842"/>
      <c r="I20" s="842"/>
      <c r="J20" s="842"/>
      <c r="K20" s="842"/>
      <c r="L20" s="842"/>
      <c r="M20" s="842"/>
      <c r="N20" s="842"/>
      <c r="O20" s="842"/>
      <c r="P20" s="842"/>
      <c r="Q20" s="842"/>
      <c r="R20" s="842"/>
      <c r="S20" s="842"/>
      <c r="T20" s="842"/>
    </row>
    <row r="21" spans="1:20">
      <c r="B21" s="107"/>
      <c r="C21" s="842"/>
      <c r="D21" s="842"/>
      <c r="E21" s="842"/>
      <c r="F21" s="842"/>
      <c r="G21" s="842"/>
      <c r="H21" s="842"/>
      <c r="I21" s="842"/>
      <c r="J21" s="842"/>
      <c r="K21" s="842"/>
      <c r="L21" s="842"/>
      <c r="M21" s="842"/>
      <c r="N21" s="842"/>
      <c r="O21" s="842"/>
      <c r="P21" s="842"/>
      <c r="Q21" s="842"/>
      <c r="R21" s="842"/>
      <c r="S21" s="842"/>
      <c r="T21" s="842"/>
    </row>
    <row r="22" spans="1:20">
      <c r="B22" s="107"/>
      <c r="C22" s="842"/>
      <c r="D22" s="842"/>
      <c r="E22" s="842"/>
      <c r="F22" s="842"/>
      <c r="G22" s="842"/>
      <c r="H22" s="842"/>
      <c r="I22" s="842"/>
      <c r="J22" s="842"/>
      <c r="K22" s="842"/>
      <c r="L22" s="842"/>
      <c r="M22" s="842"/>
      <c r="N22" s="842"/>
      <c r="O22" s="842"/>
      <c r="P22" s="842"/>
      <c r="Q22" s="842"/>
      <c r="R22" s="842"/>
      <c r="S22" s="842"/>
      <c r="T22" s="842"/>
    </row>
    <row r="23" spans="1:20">
      <c r="B23" s="107"/>
      <c r="C23" s="842"/>
      <c r="D23" s="842"/>
      <c r="E23" s="842"/>
      <c r="F23" s="842"/>
      <c r="G23" s="842"/>
      <c r="H23" s="842"/>
      <c r="I23" s="842"/>
      <c r="J23" s="842"/>
      <c r="K23" s="842"/>
      <c r="L23" s="842"/>
      <c r="M23" s="842"/>
      <c r="N23" s="842"/>
      <c r="O23" s="842"/>
      <c r="P23" s="842"/>
      <c r="Q23" s="842"/>
      <c r="R23" s="842"/>
      <c r="S23" s="842"/>
      <c r="T23" s="842"/>
    </row>
    <row r="24" spans="1:20">
      <c r="A24" s="88"/>
      <c r="B24" s="95"/>
      <c r="C24" s="843"/>
      <c r="D24" s="843"/>
      <c r="E24" s="843"/>
      <c r="F24" s="843"/>
      <c r="G24" s="843"/>
      <c r="H24" s="843"/>
      <c r="I24" s="843"/>
      <c r="J24" s="843"/>
      <c r="K24" s="843"/>
      <c r="L24" s="843"/>
      <c r="M24" s="843"/>
      <c r="N24" s="843"/>
      <c r="O24" s="843"/>
      <c r="P24" s="843"/>
      <c r="Q24" s="843"/>
      <c r="R24" s="842"/>
      <c r="S24" s="842"/>
      <c r="T24" s="842"/>
    </row>
    <row r="25" spans="1:20">
      <c r="A25" s="93" t="s">
        <v>81</v>
      </c>
      <c r="G25" s="106"/>
      <c r="H25" s="106"/>
      <c r="I25" s="106"/>
      <c r="J25" s="106"/>
      <c r="K25" s="106"/>
      <c r="L25" s="106"/>
    </row>
    <row r="29" spans="1:20" s="186" customFormat="1"/>
  </sheetData>
  <mergeCells count="3">
    <mergeCell ref="C5:F5"/>
    <mergeCell ref="G5:J5"/>
    <mergeCell ref="A1:R1"/>
  </mergeCells>
  <hyperlinks>
    <hyperlink ref="A3" location="Index!A1" display="BACK TO INDEX"/>
    <hyperlink ref="A25" location="Index!A1" display="BACK TO INDEX"/>
  </hyperlinks>
  <pageMargins left="0.7" right="0.7" top="0.75" bottom="0.75" header="0.3" footer="0.3"/>
  <pageSetup orientation="portrait" horizontalDpi="300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 codeName="Sheet18"/>
  <dimension ref="A1:R15"/>
  <sheetViews>
    <sheetView workbookViewId="0">
      <selection activeCell="N13" sqref="N13"/>
    </sheetView>
  </sheetViews>
  <sheetFormatPr defaultRowHeight="12.75"/>
  <cols>
    <col min="1" max="1" width="18.7109375" style="819" customWidth="1"/>
    <col min="2" max="2" width="8.140625" style="819" hidden="1" customWidth="1"/>
    <col min="3" max="6" width="8.140625" style="819" customWidth="1"/>
    <col min="7" max="16384" width="9.140625" style="819"/>
  </cols>
  <sheetData>
    <row r="1" spans="1:18" ht="15">
      <c r="A1" s="1358" t="s">
        <v>152</v>
      </c>
      <c r="B1" s="1358"/>
      <c r="C1" s="1358"/>
      <c r="D1" s="1358"/>
      <c r="E1" s="1358"/>
      <c r="F1" s="1358"/>
      <c r="G1" s="1358"/>
      <c r="H1" s="1358"/>
      <c r="I1" s="1358"/>
      <c r="J1" s="1358"/>
      <c r="K1" s="1358"/>
      <c r="L1" s="1358"/>
      <c r="M1" s="1358"/>
      <c r="N1" s="1358"/>
      <c r="O1" s="1358"/>
      <c r="P1" s="1358"/>
      <c r="Q1" s="1358"/>
      <c r="R1" s="1358"/>
    </row>
    <row r="2" spans="1:18" ht="15">
      <c r="A2" s="820"/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</row>
    <row r="3" spans="1:18" ht="15">
      <c r="A3" s="821" t="s">
        <v>81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</row>
    <row r="4" spans="1:18" ht="15">
      <c r="A4" s="822" t="s">
        <v>151</v>
      </c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</row>
    <row r="5" spans="1:18" ht="15">
      <c r="A5" s="821"/>
      <c r="B5" s="186"/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6"/>
    </row>
    <row r="6" spans="1:18" ht="15">
      <c r="A6" s="186"/>
      <c r="B6" s="823"/>
      <c r="C6" s="1356" t="s">
        <v>156</v>
      </c>
      <c r="D6" s="1356"/>
      <c r="E6" s="1356"/>
      <c r="F6" s="1356"/>
      <c r="G6" s="1357" t="s">
        <v>157</v>
      </c>
      <c r="H6" s="1357"/>
      <c r="I6" s="1357"/>
      <c r="J6" s="1357"/>
      <c r="K6" s="823" t="str">
        <f>Capex!K5</f>
        <v>Year 3</v>
      </c>
      <c r="L6" s="823" t="str">
        <f>Capex!L5</f>
        <v>Year 4</v>
      </c>
      <c r="M6" s="823" t="str">
        <f>Capex!M5</f>
        <v>Year 5</v>
      </c>
      <c r="N6" s="823" t="str">
        <f>Capex!N5</f>
        <v>Year 6</v>
      </c>
      <c r="O6" s="823" t="str">
        <f>Capex!O5</f>
        <v>Year 7</v>
      </c>
      <c r="P6" s="823" t="str">
        <f>Capex!P5</f>
        <v>Year 8</v>
      </c>
      <c r="Q6" s="823" t="str">
        <f>Capex!Q5</f>
        <v>Year 9</v>
      </c>
      <c r="R6" s="823" t="str">
        <f>Capex!R5</f>
        <v>Year 10</v>
      </c>
    </row>
    <row r="7" spans="1:18" ht="15">
      <c r="A7" s="186"/>
      <c r="B7" s="823"/>
      <c r="C7" s="824" t="s">
        <v>608</v>
      </c>
      <c r="D7" s="824" t="s">
        <v>609</v>
      </c>
      <c r="E7" s="824" t="s">
        <v>610</v>
      </c>
      <c r="F7" s="824" t="s">
        <v>611</v>
      </c>
      <c r="G7" s="824" t="s">
        <v>608</v>
      </c>
      <c r="H7" s="824" t="s">
        <v>609</v>
      </c>
      <c r="I7" s="824" t="s">
        <v>610</v>
      </c>
      <c r="J7" s="824" t="s">
        <v>611</v>
      </c>
      <c r="K7" s="823"/>
      <c r="L7" s="823"/>
      <c r="M7" s="823"/>
      <c r="N7" s="823"/>
      <c r="O7" s="823"/>
      <c r="P7" s="823"/>
      <c r="Q7" s="823"/>
      <c r="R7" s="823"/>
    </row>
    <row r="8" spans="1:18" s="830" customFormat="1" ht="15">
      <c r="A8" s="186" t="str">
        <f>'Fin Smmry'!A33</f>
        <v>Surplus/(Deficit)</v>
      </c>
      <c r="B8" s="831"/>
      <c r="C8" s="908"/>
      <c r="D8" s="908"/>
      <c r="E8" s="908"/>
      <c r="F8" s="908"/>
      <c r="G8" s="908"/>
      <c r="H8" s="908"/>
      <c r="I8" s="908"/>
      <c r="J8" s="908"/>
      <c r="K8" s="908"/>
      <c r="L8" s="908"/>
      <c r="M8" s="908"/>
      <c r="N8" s="908"/>
      <c r="O8" s="908"/>
      <c r="P8" s="908"/>
      <c r="Q8" s="908"/>
      <c r="R8" s="908"/>
    </row>
    <row r="9" spans="1:18" s="830" customFormat="1" ht="15">
      <c r="A9" s="186"/>
      <c r="B9" s="831"/>
      <c r="C9" s="908"/>
      <c r="D9" s="908"/>
      <c r="E9" s="908"/>
      <c r="F9" s="908"/>
      <c r="G9" s="908"/>
      <c r="H9" s="908"/>
      <c r="I9" s="908"/>
      <c r="J9" s="908"/>
      <c r="K9" s="908"/>
      <c r="L9" s="908"/>
      <c r="M9" s="908"/>
      <c r="N9" s="908"/>
      <c r="O9" s="908"/>
      <c r="P9" s="908"/>
      <c r="Q9" s="908"/>
      <c r="R9" s="908"/>
    </row>
    <row r="10" spans="1:18" ht="15">
      <c r="A10" s="827" t="s">
        <v>150</v>
      </c>
      <c r="B10" s="828" t="e">
        <f>'P&amp;L Statement'!#REF!</f>
        <v>#REF!</v>
      </c>
      <c r="C10" s="1187">
        <f>'Fin Smmry'!B96</f>
        <v>0</v>
      </c>
      <c r="D10" s="1187">
        <f>'Fin Smmry'!C96</f>
        <v>0</v>
      </c>
      <c r="E10" s="1187">
        <f>'Fin Smmry'!D96</f>
        <v>0</v>
      </c>
      <c r="F10" s="1187">
        <f>'Fin Smmry'!E96</f>
        <v>0</v>
      </c>
      <c r="G10" s="1187">
        <f>'Fin Smmry'!F96</f>
        <v>0</v>
      </c>
      <c r="H10" s="1187">
        <f>'Fin Smmry'!G96</f>
        <v>0</v>
      </c>
      <c r="I10" s="1187">
        <f>'Fin Smmry'!H96</f>
        <v>0</v>
      </c>
      <c r="J10" s="1187">
        <f>'Fin Smmry'!I96</f>
        <v>0</v>
      </c>
      <c r="K10" s="1187">
        <f>'Fin Smmry'!J96</f>
        <v>0</v>
      </c>
      <c r="L10" s="1187">
        <f>'Fin Smmry'!K96</f>
        <v>0</v>
      </c>
      <c r="M10" s="1187">
        <f>'Fin Smmry'!L96</f>
        <v>0</v>
      </c>
      <c r="N10" s="1187">
        <f>'Fin Smmry'!M96</f>
        <v>97.858717046341184</v>
      </c>
      <c r="O10" s="1187">
        <f>'Fin Smmry'!N96</f>
        <v>245.70241140350879</v>
      </c>
      <c r="P10" s="1187">
        <f>'Fin Smmry'!O96</f>
        <v>315.0188810101842</v>
      </c>
      <c r="Q10" s="1187">
        <f>'Fin Smmry'!P96</f>
        <v>405.22593888948569</v>
      </c>
      <c r="R10" s="1187">
        <f>'Fin Smmry'!Q96</f>
        <v>511.76801404159187</v>
      </c>
    </row>
    <row r="11" spans="1:18" ht="15">
      <c r="A11" s="825"/>
      <c r="B11" s="186"/>
      <c r="C11" s="852"/>
      <c r="D11" s="852"/>
      <c r="E11" s="852"/>
      <c r="F11" s="852"/>
      <c r="G11" s="852"/>
      <c r="H11" s="852"/>
      <c r="I11" s="852"/>
      <c r="J11" s="852"/>
      <c r="K11" s="852"/>
      <c r="L11" s="852"/>
      <c r="M11" s="852"/>
      <c r="N11" s="852"/>
      <c r="O11" s="852"/>
      <c r="P11" s="852"/>
      <c r="Q11" s="852"/>
      <c r="R11" s="909"/>
    </row>
    <row r="12" spans="1:18" ht="15">
      <c r="A12" s="825"/>
      <c r="B12" s="826"/>
      <c r="C12" s="826"/>
      <c r="D12" s="826"/>
      <c r="E12" s="826"/>
      <c r="F12" s="826"/>
      <c r="G12" s="826"/>
      <c r="H12" s="826"/>
      <c r="I12" s="826"/>
      <c r="J12" s="826"/>
      <c r="K12" s="826"/>
      <c r="L12" s="826"/>
      <c r="M12" s="826"/>
      <c r="N12" s="826"/>
      <c r="O12" s="826"/>
      <c r="P12" s="826"/>
      <c r="Q12" s="826"/>
    </row>
    <row r="13" spans="1:18" ht="15">
      <c r="A13" s="829"/>
      <c r="B13" s="826"/>
      <c r="C13" s="826"/>
      <c r="D13" s="826"/>
      <c r="E13" s="826"/>
      <c r="F13" s="826"/>
      <c r="G13" s="826"/>
      <c r="H13" s="826"/>
      <c r="I13" s="826"/>
      <c r="J13" s="826"/>
      <c r="K13" s="826"/>
      <c r="L13" s="826"/>
      <c r="M13" s="826"/>
      <c r="N13" s="826"/>
      <c r="O13" s="826"/>
      <c r="P13" s="826"/>
      <c r="Q13" s="826"/>
    </row>
    <row r="14" spans="1:18" ht="15">
      <c r="A14" s="186"/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</row>
    <row r="15" spans="1:18" ht="15">
      <c r="A15" s="821" t="s">
        <v>81</v>
      </c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</row>
  </sheetData>
  <mergeCells count="3">
    <mergeCell ref="C6:F6"/>
    <mergeCell ref="G6:J6"/>
    <mergeCell ref="A1:R1"/>
  </mergeCells>
  <hyperlinks>
    <hyperlink ref="A3" location="Index!A1" display="BACK TO INDEX"/>
    <hyperlink ref="A15" location="Index!A1" display="BACK TO INDEX"/>
  </hyperlinks>
  <pageMargins left="0.7" right="0.7" top="0.75" bottom="0.75" header="0.3" footer="0.3"/>
  <pageSetup orientation="portrait" horizontalDpi="300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X76"/>
  <sheetViews>
    <sheetView topLeftCell="A49" zoomScale="80" zoomScaleNormal="80" workbookViewId="0">
      <selection activeCell="I78" sqref="I78"/>
    </sheetView>
  </sheetViews>
  <sheetFormatPr defaultRowHeight="12.75"/>
  <cols>
    <col min="1" max="1" width="11" bestFit="1" customWidth="1"/>
    <col min="2" max="2" width="41.5703125" bestFit="1" customWidth="1"/>
    <col min="3" max="3" width="16.140625" customWidth="1"/>
    <col min="4" max="5" width="21.5703125" bestFit="1" customWidth="1"/>
    <col min="6" max="7" width="17.140625" bestFit="1" customWidth="1"/>
    <col min="8" max="8" width="11" bestFit="1" customWidth="1"/>
    <col min="9" max="9" width="16.5703125" customWidth="1"/>
    <col min="10" max="10" width="11" bestFit="1" customWidth="1"/>
    <col min="11" max="11" width="11" hidden="1" customWidth="1"/>
    <col min="12" max="12" width="11" bestFit="1" customWidth="1"/>
    <col min="13" max="13" width="13.42578125" bestFit="1" customWidth="1"/>
    <col min="14" max="14" width="30.85546875" bestFit="1" customWidth="1"/>
    <col min="21" max="21" width="9.42578125" bestFit="1" customWidth="1"/>
  </cols>
  <sheetData>
    <row r="1" spans="1:24" ht="24.75" customHeight="1">
      <c r="A1" s="1362" t="s">
        <v>569</v>
      </c>
      <c r="B1" s="1362"/>
      <c r="C1" s="1362"/>
      <c r="D1" s="1362"/>
      <c r="E1" s="1362"/>
      <c r="F1" s="1362"/>
      <c r="G1" s="1362"/>
      <c r="H1" s="1362"/>
      <c r="I1" s="1362"/>
    </row>
    <row r="2" spans="1:24" ht="30" customHeight="1">
      <c r="A2" s="679" t="s">
        <v>533</v>
      </c>
      <c r="B2" s="679"/>
      <c r="F2" t="s">
        <v>536</v>
      </c>
      <c r="G2" s="718" t="s">
        <v>536</v>
      </c>
    </row>
    <row r="3" spans="1:24" ht="30">
      <c r="A3" s="139" t="s">
        <v>21</v>
      </c>
      <c r="B3" s="139" t="s">
        <v>22</v>
      </c>
      <c r="C3" s="139"/>
      <c r="D3" s="139" t="s">
        <v>197</v>
      </c>
      <c r="F3" s="139" t="s">
        <v>665</v>
      </c>
      <c r="G3" s="719" t="s">
        <v>274</v>
      </c>
      <c r="H3" s="1363" t="s">
        <v>374</v>
      </c>
      <c r="I3" s="1363"/>
      <c r="K3" s="143" t="s">
        <v>535</v>
      </c>
      <c r="U3">
        <v>41729</v>
      </c>
    </row>
    <row r="4" spans="1:24" ht="15">
      <c r="A4" s="137"/>
      <c r="B4" s="138" t="s">
        <v>195</v>
      </c>
      <c r="C4" s="138"/>
      <c r="D4" s="138"/>
      <c r="E4" s="138"/>
      <c r="F4" s="137"/>
      <c r="G4" s="720"/>
      <c r="H4" s="139" t="s">
        <v>588</v>
      </c>
      <c r="I4" s="139" t="s">
        <v>664</v>
      </c>
      <c r="M4" s="604"/>
      <c r="N4" s="605"/>
      <c r="O4" s="605"/>
      <c r="P4" s="605"/>
      <c r="Q4" s="605"/>
      <c r="R4" s="226"/>
      <c r="S4" s="226"/>
      <c r="T4" s="226"/>
      <c r="U4" s="226"/>
      <c r="V4" s="226"/>
      <c r="W4" s="226"/>
      <c r="X4" s="226"/>
    </row>
    <row r="5" spans="1:24" ht="15">
      <c r="A5" s="376">
        <v>1</v>
      </c>
      <c r="B5" s="485" t="s">
        <v>487</v>
      </c>
      <c r="C5" s="556" t="s">
        <v>497</v>
      </c>
      <c r="D5" s="609">
        <v>1</v>
      </c>
      <c r="E5" s="717">
        <v>0.5</v>
      </c>
      <c r="F5" s="716">
        <v>24</v>
      </c>
      <c r="G5" s="721">
        <f>F5/12</f>
        <v>2</v>
      </c>
      <c r="H5" s="565">
        <f>E5*F5</f>
        <v>12</v>
      </c>
      <c r="I5" s="508">
        <f>F5*1.1*E5</f>
        <v>13.200000000000001</v>
      </c>
      <c r="K5" s="399" t="e">
        <f>#REF!*#REF!*12*D5</f>
        <v>#REF!</v>
      </c>
      <c r="M5" s="604"/>
      <c r="N5" s="484"/>
      <c r="O5" s="484"/>
      <c r="P5" s="484"/>
      <c r="Q5" s="484"/>
      <c r="R5" s="226"/>
      <c r="S5" s="226"/>
      <c r="T5" s="226"/>
      <c r="U5" s="226"/>
      <c r="V5" s="226"/>
      <c r="W5" s="226"/>
      <c r="X5" s="226"/>
    </row>
    <row r="6" spans="1:24" ht="15">
      <c r="A6" s="376">
        <v>3</v>
      </c>
      <c r="B6" s="485" t="s">
        <v>490</v>
      </c>
      <c r="C6" s="556" t="s">
        <v>507</v>
      </c>
      <c r="D6" s="609">
        <v>1</v>
      </c>
      <c r="E6" s="717">
        <v>0.5</v>
      </c>
      <c r="F6" s="716">
        <v>7.5</v>
      </c>
      <c r="G6" s="721">
        <f t="shared" ref="G6:G13" si="0">F6/12</f>
        <v>0.625</v>
      </c>
      <c r="H6" s="565">
        <f t="shared" ref="H6:H13" si="1">E6*F6</f>
        <v>3.75</v>
      </c>
      <c r="I6" s="508">
        <f t="shared" ref="I6:I13" si="2">F6*1.1*E6</f>
        <v>4.125</v>
      </c>
      <c r="K6" s="399" t="e">
        <f>#REF!*#REF!*12*D6</f>
        <v>#REF!</v>
      </c>
      <c r="M6" s="604"/>
      <c r="N6" s="484"/>
      <c r="O6" s="484"/>
      <c r="P6" s="484"/>
      <c r="Q6" s="484"/>
      <c r="R6" s="226"/>
      <c r="S6" s="226"/>
      <c r="T6" s="226"/>
      <c r="U6" s="226"/>
      <c r="V6" s="226"/>
      <c r="W6" s="226"/>
      <c r="X6" s="226"/>
    </row>
    <row r="7" spans="1:24" ht="15">
      <c r="A7" s="376">
        <v>4</v>
      </c>
      <c r="B7" s="485" t="s">
        <v>491</v>
      </c>
      <c r="C7" s="556" t="s">
        <v>498</v>
      </c>
      <c r="D7" s="609">
        <v>1</v>
      </c>
      <c r="E7" s="717">
        <v>0.5</v>
      </c>
      <c r="F7" s="716">
        <v>3.6</v>
      </c>
      <c r="G7" s="721">
        <f t="shared" si="0"/>
        <v>0.3</v>
      </c>
      <c r="H7" s="565">
        <f t="shared" si="1"/>
        <v>1.8</v>
      </c>
      <c r="I7" s="508">
        <f t="shared" si="2"/>
        <v>1.9800000000000002</v>
      </c>
      <c r="K7" s="399" t="e">
        <f>#REF!*#REF!*12*D7</f>
        <v>#REF!</v>
      </c>
      <c r="M7" s="604"/>
      <c r="N7" s="484"/>
      <c r="O7" s="484"/>
      <c r="P7" s="484"/>
      <c r="Q7" s="484"/>
      <c r="R7" s="226"/>
      <c r="S7" s="226"/>
      <c r="T7" s="226"/>
      <c r="U7" s="226"/>
      <c r="V7" s="226"/>
      <c r="W7" s="226"/>
      <c r="X7" s="226"/>
    </row>
    <row r="8" spans="1:24" ht="15">
      <c r="A8" s="376">
        <v>5</v>
      </c>
      <c r="B8" s="485" t="s">
        <v>335</v>
      </c>
      <c r="C8" s="556" t="s">
        <v>499</v>
      </c>
      <c r="D8" s="609">
        <v>1</v>
      </c>
      <c r="E8" s="717">
        <v>0.5</v>
      </c>
      <c r="F8" s="716">
        <v>4.8</v>
      </c>
      <c r="G8" s="721">
        <f t="shared" si="0"/>
        <v>0.39999999999999997</v>
      </c>
      <c r="H8" s="565">
        <f t="shared" si="1"/>
        <v>2.4</v>
      </c>
      <c r="I8" s="508">
        <f t="shared" si="2"/>
        <v>2.64</v>
      </c>
      <c r="K8" s="399" t="e">
        <f>#REF!*#REF!*12*D8</f>
        <v>#REF!</v>
      </c>
      <c r="M8" s="604"/>
      <c r="N8" s="484"/>
      <c r="O8" s="484"/>
      <c r="P8" s="484"/>
      <c r="Q8" s="484"/>
      <c r="R8" s="226"/>
      <c r="S8" s="226"/>
      <c r="T8" s="226"/>
      <c r="U8" s="226"/>
      <c r="V8" s="606"/>
      <c r="W8" s="607"/>
      <c r="X8" s="226"/>
    </row>
    <row r="9" spans="1:24" ht="15">
      <c r="A9" s="376">
        <v>6</v>
      </c>
      <c r="B9" s="485" t="s">
        <v>590</v>
      </c>
      <c r="C9" s="556" t="s">
        <v>500</v>
      </c>
      <c r="D9" s="609">
        <v>0.5</v>
      </c>
      <c r="E9" s="717">
        <v>0.5</v>
      </c>
      <c r="F9" s="716">
        <v>4.32</v>
      </c>
      <c r="G9" s="721">
        <f t="shared" si="0"/>
        <v>0.36000000000000004</v>
      </c>
      <c r="H9" s="565">
        <f t="shared" si="1"/>
        <v>2.16</v>
      </c>
      <c r="I9" s="508">
        <f t="shared" si="2"/>
        <v>2.3760000000000003</v>
      </c>
      <c r="K9" s="399" t="e">
        <f>#REF!*#REF!*12*D9</f>
        <v>#REF!</v>
      </c>
      <c r="M9" s="604"/>
      <c r="N9" s="484"/>
      <c r="O9" s="484"/>
      <c r="P9" s="484"/>
      <c r="Q9" s="484"/>
      <c r="R9" s="226"/>
      <c r="S9" s="226"/>
      <c r="T9" s="226"/>
      <c r="U9" s="226"/>
      <c r="V9" s="226"/>
      <c r="W9" s="226"/>
      <c r="X9" s="226"/>
    </row>
    <row r="10" spans="1:24" ht="15">
      <c r="A10" s="376">
        <v>7</v>
      </c>
      <c r="B10" s="485" t="s">
        <v>502</v>
      </c>
      <c r="C10" s="556" t="s">
        <v>501</v>
      </c>
      <c r="D10" s="609">
        <v>1</v>
      </c>
      <c r="E10" s="717">
        <v>0.5</v>
      </c>
      <c r="F10" s="716">
        <v>3.24</v>
      </c>
      <c r="G10" s="721">
        <f t="shared" si="0"/>
        <v>0.27</v>
      </c>
      <c r="H10" s="565">
        <f t="shared" si="1"/>
        <v>1.62</v>
      </c>
      <c r="I10" s="508">
        <f t="shared" si="2"/>
        <v>1.7820000000000003</v>
      </c>
      <c r="K10" s="399" t="e">
        <f>#REF!*#REF!*12*D10</f>
        <v>#REF!</v>
      </c>
      <c r="M10" s="604"/>
      <c r="N10" s="484"/>
      <c r="O10" s="484"/>
      <c r="P10" s="484"/>
      <c r="Q10" s="484"/>
      <c r="R10" s="226"/>
      <c r="S10" s="226"/>
      <c r="T10" s="226"/>
      <c r="U10" s="226"/>
      <c r="V10" s="226"/>
      <c r="W10" s="226"/>
      <c r="X10" s="226"/>
    </row>
    <row r="11" spans="1:24" ht="15">
      <c r="A11" s="376">
        <v>8</v>
      </c>
      <c r="B11" s="485" t="s">
        <v>420</v>
      </c>
      <c r="C11" s="556" t="s">
        <v>503</v>
      </c>
      <c r="D11" s="609">
        <v>0.5</v>
      </c>
      <c r="E11" s="717">
        <v>0.5</v>
      </c>
      <c r="F11" s="716">
        <v>3.6</v>
      </c>
      <c r="G11" s="721">
        <f t="shared" si="0"/>
        <v>0.3</v>
      </c>
      <c r="H11" s="565">
        <f t="shared" si="1"/>
        <v>1.8</v>
      </c>
      <c r="I11" s="508">
        <f t="shared" si="2"/>
        <v>1.9800000000000002</v>
      </c>
      <c r="K11" s="399" t="e">
        <f>#REF!*#REF!*12*D11</f>
        <v>#REF!</v>
      </c>
      <c r="M11" s="604"/>
      <c r="N11" s="484"/>
      <c r="O11" s="484"/>
      <c r="P11" s="484"/>
      <c r="Q11" s="484"/>
      <c r="R11" s="226"/>
      <c r="S11" s="226"/>
      <c r="T11" s="226"/>
      <c r="U11" s="226"/>
      <c r="V11" s="226"/>
      <c r="W11" s="226"/>
      <c r="X11" s="226"/>
    </row>
    <row r="12" spans="1:24" ht="15">
      <c r="A12" s="376">
        <v>9</v>
      </c>
      <c r="B12" s="485" t="s">
        <v>421</v>
      </c>
      <c r="C12" s="556" t="s">
        <v>504</v>
      </c>
      <c r="D12" s="609">
        <v>0.5</v>
      </c>
      <c r="E12" s="717">
        <v>0.5</v>
      </c>
      <c r="F12" s="716">
        <v>2</v>
      </c>
      <c r="G12" s="721">
        <f t="shared" si="0"/>
        <v>0.16666666666666666</v>
      </c>
      <c r="H12" s="565">
        <f t="shared" si="1"/>
        <v>1</v>
      </c>
      <c r="I12" s="508">
        <f t="shared" si="2"/>
        <v>1.1000000000000001</v>
      </c>
      <c r="K12" s="399" t="e">
        <f>#REF!*#REF!*12*D12</f>
        <v>#REF!</v>
      </c>
      <c r="M12" s="604"/>
      <c r="N12" s="484"/>
      <c r="O12" s="484"/>
      <c r="P12" s="484"/>
      <c r="Q12" s="484"/>
      <c r="R12" s="226"/>
      <c r="S12" s="226"/>
      <c r="T12" s="226"/>
      <c r="U12" s="226"/>
      <c r="V12" s="226"/>
      <c r="W12" s="226"/>
      <c r="X12" s="226"/>
    </row>
    <row r="13" spans="1:24" ht="15">
      <c r="A13" s="376">
        <v>10</v>
      </c>
      <c r="B13" s="485" t="s">
        <v>506</v>
      </c>
      <c r="C13" s="556" t="s">
        <v>505</v>
      </c>
      <c r="D13" s="609">
        <v>0.5</v>
      </c>
      <c r="E13" s="717">
        <v>0.5</v>
      </c>
      <c r="F13" s="716">
        <v>3.6</v>
      </c>
      <c r="G13" s="721">
        <f t="shared" si="0"/>
        <v>0.3</v>
      </c>
      <c r="H13" s="565">
        <f t="shared" si="1"/>
        <v>1.8</v>
      </c>
      <c r="I13" s="508">
        <f t="shared" si="2"/>
        <v>1.9800000000000002</v>
      </c>
      <c r="K13" s="594" t="e">
        <f>#REF!*#REF!*12*D13</f>
        <v>#REF!</v>
      </c>
      <c r="M13" s="604"/>
      <c r="N13" s="484"/>
      <c r="O13" s="484"/>
      <c r="P13" s="484"/>
      <c r="Q13" s="484"/>
      <c r="R13" s="226"/>
      <c r="S13" s="226"/>
      <c r="T13" s="226"/>
      <c r="U13" s="226"/>
      <c r="V13" s="226"/>
      <c r="W13" s="226"/>
      <c r="X13" s="226"/>
    </row>
    <row r="14" spans="1:24">
      <c r="M14" s="604"/>
      <c r="N14" s="484"/>
      <c r="O14" s="484"/>
      <c r="P14" s="484"/>
      <c r="Q14" s="484"/>
      <c r="R14" s="226"/>
      <c r="S14" s="226"/>
      <c r="T14" s="226"/>
      <c r="U14" s="226"/>
      <c r="V14" s="226"/>
      <c r="W14" s="226"/>
      <c r="X14" s="226"/>
    </row>
    <row r="15" spans="1:24" ht="15">
      <c r="B15" s="501" t="s">
        <v>532</v>
      </c>
      <c r="H15" s="399">
        <f>SUM(H5:H14)</f>
        <v>28.330000000000002</v>
      </c>
      <c r="I15" s="144">
        <f>SUM(I5:I14)</f>
        <v>31.163000000000007</v>
      </c>
      <c r="K15" s="399" t="e">
        <f>SUM(K5:K14)</f>
        <v>#REF!</v>
      </c>
      <c r="M15" s="604"/>
      <c r="N15" s="226"/>
      <c r="O15" s="226"/>
      <c r="P15" s="226"/>
      <c r="Q15" s="226"/>
      <c r="R15" s="226"/>
      <c r="S15" s="226"/>
      <c r="T15" s="226"/>
      <c r="U15" s="226"/>
      <c r="V15" s="226"/>
      <c r="W15" s="226"/>
      <c r="X15" s="226"/>
    </row>
    <row r="16" spans="1:24">
      <c r="M16" s="604"/>
      <c r="N16" s="226"/>
      <c r="O16" s="226"/>
      <c r="P16" s="226"/>
      <c r="Q16" s="226"/>
      <c r="R16" s="226"/>
      <c r="S16" s="226"/>
      <c r="T16" s="226"/>
      <c r="U16" s="226"/>
      <c r="V16" s="226"/>
      <c r="W16" s="226"/>
      <c r="X16" s="226"/>
    </row>
    <row r="17" spans="1:24" ht="22.5" customHeight="1">
      <c r="A17" s="680" t="s">
        <v>534</v>
      </c>
      <c r="B17" s="679"/>
      <c r="M17" s="604"/>
      <c r="N17" s="226"/>
      <c r="O17" s="226"/>
      <c r="P17" s="226"/>
      <c r="Q17" s="226"/>
      <c r="R17" s="608"/>
      <c r="S17" s="226"/>
      <c r="T17" s="226"/>
      <c r="U17" s="226"/>
      <c r="V17" s="226"/>
      <c r="W17" s="226"/>
      <c r="X17" s="226"/>
    </row>
    <row r="18" spans="1:24">
      <c r="M18" s="604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</row>
    <row r="19" spans="1:24" ht="15.75">
      <c r="A19" s="361"/>
      <c r="B19" s="362" t="s">
        <v>23</v>
      </c>
      <c r="C19" s="362"/>
      <c r="D19" s="362"/>
      <c r="E19" s="145"/>
      <c r="F19" s="145"/>
      <c r="G19" s="145"/>
      <c r="H19" s="145"/>
      <c r="I19" s="559"/>
      <c r="N19" s="168"/>
      <c r="O19" s="168"/>
      <c r="P19" s="168"/>
      <c r="Q19" s="168"/>
      <c r="R19" s="168"/>
      <c r="S19" s="168"/>
      <c r="T19" s="168"/>
      <c r="U19" s="168"/>
      <c r="V19" s="168"/>
      <c r="W19" s="168"/>
      <c r="X19" s="168"/>
    </row>
    <row r="20" spans="1:24" ht="15.75">
      <c r="A20" s="137"/>
      <c r="B20" s="136"/>
      <c r="C20" s="136"/>
      <c r="D20" s="136"/>
      <c r="E20" s="1361"/>
      <c r="F20" s="1361"/>
      <c r="G20" s="487"/>
      <c r="H20" s="487"/>
      <c r="I20" s="488"/>
      <c r="N20" s="168"/>
      <c r="O20" s="168"/>
      <c r="P20" s="168"/>
      <c r="Q20" s="168"/>
      <c r="R20" s="168"/>
      <c r="S20" s="168"/>
      <c r="T20" s="168"/>
      <c r="U20" s="168"/>
      <c r="V20" s="168"/>
      <c r="W20" s="168"/>
      <c r="X20" s="168"/>
    </row>
    <row r="21" spans="1:24" ht="15">
      <c r="A21" s="137"/>
      <c r="B21" s="597" t="s">
        <v>195</v>
      </c>
      <c r="C21" s="598"/>
      <c r="D21" s="598"/>
      <c r="E21" s="599"/>
      <c r="F21" s="600"/>
      <c r="G21" s="596" t="s">
        <v>207</v>
      </c>
      <c r="H21" s="596" t="s">
        <v>374</v>
      </c>
      <c r="I21" s="631" t="s">
        <v>374</v>
      </c>
      <c r="N21" s="168"/>
      <c r="O21" s="168"/>
      <c r="P21" s="168"/>
      <c r="Q21" s="168"/>
      <c r="R21" s="168"/>
      <c r="S21" s="168"/>
      <c r="T21" s="168"/>
      <c r="U21" s="168"/>
      <c r="V21" s="168"/>
      <c r="W21" s="168"/>
      <c r="X21" s="168"/>
    </row>
    <row r="22" spans="1:24" ht="49.5" customHeight="1">
      <c r="A22" s="137"/>
      <c r="B22" s="1364" t="s">
        <v>706</v>
      </c>
      <c r="C22" s="1365"/>
      <c r="D22" s="1365"/>
      <c r="E22" s="1365"/>
      <c r="F22" s="603"/>
      <c r="G22" s="462"/>
      <c r="H22" s="602" t="s">
        <v>588</v>
      </c>
      <c r="I22" s="548" t="s">
        <v>589</v>
      </c>
      <c r="L22" s="399"/>
      <c r="N22" s="168"/>
      <c r="O22" s="168"/>
      <c r="P22" s="168"/>
      <c r="Q22" s="168"/>
      <c r="R22" s="168"/>
      <c r="S22" s="168"/>
      <c r="T22" s="168"/>
      <c r="U22" s="168"/>
      <c r="V22" s="168"/>
      <c r="W22" s="168"/>
      <c r="X22" s="168"/>
    </row>
    <row r="23" spans="1:24" ht="15">
      <c r="A23" s="137"/>
      <c r="B23" s="544" t="s">
        <v>568</v>
      </c>
      <c r="C23" s="544"/>
      <c r="D23" s="545">
        <v>0.5</v>
      </c>
      <c r="E23" s="467">
        <v>1404664</v>
      </c>
      <c r="F23" s="818">
        <f>D23*E23</f>
        <v>702332</v>
      </c>
      <c r="G23" s="546">
        <f>(F23/12)/10^5</f>
        <v>0.58527666666666667</v>
      </c>
      <c r="H23" s="546">
        <f>G23*12</f>
        <v>7.02332</v>
      </c>
      <c r="I23" s="463">
        <f>H23*1.1</f>
        <v>7.7256520000000011</v>
      </c>
    </row>
    <row r="24" spans="1:24" ht="15">
      <c r="A24" s="137"/>
      <c r="B24" s="544" t="s">
        <v>200</v>
      </c>
      <c r="C24" s="544"/>
      <c r="D24" s="548"/>
      <c r="E24" s="467"/>
      <c r="F24" s="818"/>
      <c r="G24" s="546"/>
      <c r="H24" s="546"/>
      <c r="I24" s="463">
        <f t="shared" ref="I24:I41" si="3">H24*1.1</f>
        <v>0</v>
      </c>
    </row>
    <row r="25" spans="1:24" ht="15">
      <c r="A25" s="137"/>
      <c r="B25" s="571" t="s">
        <v>199</v>
      </c>
      <c r="C25" s="550"/>
      <c r="D25" s="545">
        <v>0.5</v>
      </c>
      <c r="E25" s="467">
        <v>361434</v>
      </c>
      <c r="F25" s="818">
        <f t="shared" ref="F25:F41" si="4">D25*E25</f>
        <v>180717</v>
      </c>
      <c r="G25" s="546">
        <f t="shared" ref="G25:G41" si="5">(F25/12)/10^5</f>
        <v>0.1505975</v>
      </c>
      <c r="H25" s="546">
        <f t="shared" ref="H25:H41" si="6">G25*12</f>
        <v>1.8071699999999999</v>
      </c>
      <c r="I25" s="463">
        <f t="shared" si="3"/>
        <v>1.9878870000000002</v>
      </c>
    </row>
    <row r="26" spans="1:24" ht="15">
      <c r="A26" s="137"/>
      <c r="B26" s="570" t="s">
        <v>201</v>
      </c>
      <c r="C26" s="551"/>
      <c r="D26" s="548"/>
      <c r="E26" s="467"/>
      <c r="F26" s="818"/>
      <c r="G26" s="546"/>
      <c r="H26" s="546"/>
      <c r="I26" s="463">
        <f t="shared" si="3"/>
        <v>0</v>
      </c>
    </row>
    <row r="27" spans="1:24" ht="15">
      <c r="A27" s="137"/>
      <c r="B27" s="570" t="s">
        <v>202</v>
      </c>
      <c r="C27" s="551"/>
      <c r="D27" s="548"/>
      <c r="E27" s="467"/>
      <c r="F27" s="818"/>
      <c r="G27" s="546"/>
      <c r="H27" s="546"/>
      <c r="I27" s="463">
        <f t="shared" si="3"/>
        <v>0</v>
      </c>
    </row>
    <row r="28" spans="1:24" ht="15">
      <c r="A28" s="137"/>
      <c r="B28" s="544" t="s">
        <v>203</v>
      </c>
      <c r="C28" s="544"/>
      <c r="D28" s="545">
        <v>0.5</v>
      </c>
      <c r="E28" s="467">
        <v>266748</v>
      </c>
      <c r="F28" s="818">
        <f t="shared" si="4"/>
        <v>133374</v>
      </c>
      <c r="G28" s="546">
        <f t="shared" si="5"/>
        <v>0.11114499999999999</v>
      </c>
      <c r="H28" s="546">
        <f t="shared" si="6"/>
        <v>1.3337399999999999</v>
      </c>
      <c r="I28" s="463">
        <f t="shared" si="3"/>
        <v>1.467114</v>
      </c>
    </row>
    <row r="29" spans="1:24" ht="15">
      <c r="A29" s="137"/>
      <c r="B29" s="544" t="s">
        <v>667</v>
      </c>
      <c r="C29" s="544"/>
      <c r="D29" s="545">
        <v>0.5</v>
      </c>
      <c r="E29" s="467">
        <v>187571</v>
      </c>
      <c r="F29" s="818">
        <f t="shared" si="4"/>
        <v>93785.5</v>
      </c>
      <c r="G29" s="546">
        <f t="shared" si="5"/>
        <v>7.8154583333333333E-2</v>
      </c>
      <c r="H29" s="546">
        <f t="shared" si="6"/>
        <v>0.93785499999999999</v>
      </c>
      <c r="I29" s="463">
        <f t="shared" si="3"/>
        <v>1.0316405000000002</v>
      </c>
    </row>
    <row r="30" spans="1:24" ht="15">
      <c r="A30" s="137"/>
      <c r="B30" s="544" t="s">
        <v>204</v>
      </c>
      <c r="C30" s="544"/>
      <c r="D30" s="545">
        <v>0.5</v>
      </c>
      <c r="E30" s="467">
        <v>73923</v>
      </c>
      <c r="F30" s="818">
        <f t="shared" si="4"/>
        <v>36961.5</v>
      </c>
      <c r="G30" s="546">
        <f t="shared" si="5"/>
        <v>3.0801249999999999E-2</v>
      </c>
      <c r="H30" s="546">
        <f t="shared" si="6"/>
        <v>0.36961499999999997</v>
      </c>
      <c r="I30" s="463">
        <f t="shared" si="3"/>
        <v>0.40657650000000001</v>
      </c>
    </row>
    <row r="31" spans="1:24" ht="15">
      <c r="A31" s="137"/>
      <c r="B31" s="544" t="s">
        <v>672</v>
      </c>
      <c r="C31" s="544"/>
      <c r="D31" s="545">
        <v>0.5</v>
      </c>
      <c r="E31" s="467">
        <v>344054</v>
      </c>
      <c r="F31" s="818">
        <f t="shared" si="4"/>
        <v>172027</v>
      </c>
      <c r="G31" s="546">
        <f t="shared" si="5"/>
        <v>0.14335583333333335</v>
      </c>
      <c r="H31" s="546">
        <f t="shared" si="6"/>
        <v>1.7202700000000002</v>
      </c>
      <c r="I31" s="463">
        <f t="shared" si="3"/>
        <v>1.8922970000000003</v>
      </c>
    </row>
    <row r="32" spans="1:24" ht="15">
      <c r="A32" s="137"/>
      <c r="B32" s="544" t="s">
        <v>137</v>
      </c>
      <c r="C32" s="544"/>
      <c r="D32" s="545">
        <v>0.5</v>
      </c>
      <c r="E32" s="467">
        <v>88847</v>
      </c>
      <c r="F32" s="818">
        <f t="shared" si="4"/>
        <v>44423.5</v>
      </c>
      <c r="G32" s="546">
        <f t="shared" si="5"/>
        <v>3.7019583333333335E-2</v>
      </c>
      <c r="H32" s="546">
        <f t="shared" si="6"/>
        <v>0.44423500000000005</v>
      </c>
      <c r="I32" s="463">
        <f t="shared" si="3"/>
        <v>0.48865850000000011</v>
      </c>
    </row>
    <row r="33" spans="1:10" ht="15">
      <c r="A33" s="137"/>
      <c r="B33" s="544" t="s">
        <v>240</v>
      </c>
      <c r="C33" s="544"/>
      <c r="D33" s="545">
        <v>0.5</v>
      </c>
      <c r="E33" s="467">
        <v>274773</v>
      </c>
      <c r="F33" s="818">
        <f t="shared" si="4"/>
        <v>137386.5</v>
      </c>
      <c r="G33" s="546">
        <f t="shared" si="5"/>
        <v>0.11448875</v>
      </c>
      <c r="H33" s="546">
        <f t="shared" si="6"/>
        <v>1.3738649999999999</v>
      </c>
      <c r="I33" s="463">
        <f t="shared" si="3"/>
        <v>1.5112515</v>
      </c>
    </row>
    <row r="34" spans="1:10" ht="15">
      <c r="A34" s="137"/>
      <c r="B34" s="544" t="s">
        <v>485</v>
      </c>
      <c r="C34" s="544"/>
      <c r="D34" s="545">
        <v>0.5</v>
      </c>
      <c r="E34" s="814">
        <v>97792</v>
      </c>
      <c r="F34" s="818">
        <f t="shared" si="4"/>
        <v>48896</v>
      </c>
      <c r="G34" s="546">
        <f t="shared" si="5"/>
        <v>4.0746666666666667E-2</v>
      </c>
      <c r="H34" s="546">
        <f t="shared" si="6"/>
        <v>0.48896000000000001</v>
      </c>
      <c r="I34" s="463">
        <f t="shared" si="3"/>
        <v>0.537856</v>
      </c>
    </row>
    <row r="35" spans="1:10" ht="15">
      <c r="A35" s="137"/>
      <c r="B35" s="544" t="s">
        <v>289</v>
      </c>
      <c r="C35" s="544"/>
      <c r="D35" s="545">
        <v>0.5</v>
      </c>
      <c r="E35" s="814">
        <v>2745773</v>
      </c>
      <c r="F35" s="818">
        <f t="shared" si="4"/>
        <v>1372886.5</v>
      </c>
      <c r="G35" s="546">
        <f t="shared" si="5"/>
        <v>1.1440720833333333</v>
      </c>
      <c r="H35" s="546">
        <f t="shared" si="6"/>
        <v>13.728864999999999</v>
      </c>
      <c r="I35" s="463">
        <f t="shared" si="3"/>
        <v>15.101751500000001</v>
      </c>
    </row>
    <row r="36" spans="1:10" ht="15">
      <c r="A36" s="137"/>
      <c r="B36" s="544" t="s">
        <v>671</v>
      </c>
      <c r="C36" s="544"/>
      <c r="D36" s="545">
        <v>0.5</v>
      </c>
      <c r="E36" s="814">
        <v>12641</v>
      </c>
      <c r="F36" s="818">
        <f t="shared" si="4"/>
        <v>6320.5</v>
      </c>
      <c r="G36" s="546">
        <f t="shared" si="5"/>
        <v>5.2670833333333337E-3</v>
      </c>
      <c r="H36" s="546">
        <f t="shared" si="6"/>
        <v>6.3205000000000011E-2</v>
      </c>
      <c r="I36" s="463">
        <f t="shared" si="3"/>
        <v>6.9525500000000018E-2</v>
      </c>
    </row>
    <row r="37" spans="1:10" ht="15">
      <c r="A37" s="137"/>
      <c r="B37" s="817" t="s">
        <v>670</v>
      </c>
      <c r="C37" s="552"/>
      <c r="D37" s="545">
        <v>0.5</v>
      </c>
      <c r="E37" s="467">
        <v>506155</v>
      </c>
      <c r="F37" s="818">
        <f t="shared" si="4"/>
        <v>253077.5</v>
      </c>
      <c r="G37" s="546">
        <f t="shared" si="5"/>
        <v>0.21089791666666668</v>
      </c>
      <c r="H37" s="546">
        <f t="shared" si="6"/>
        <v>2.5307750000000002</v>
      </c>
      <c r="I37" s="463">
        <f t="shared" si="3"/>
        <v>2.7838525000000005</v>
      </c>
    </row>
    <row r="38" spans="1:10" ht="15">
      <c r="A38" s="137"/>
      <c r="B38" s="533" t="s">
        <v>486</v>
      </c>
      <c r="C38" s="533"/>
      <c r="D38" s="545">
        <v>0.5</v>
      </c>
      <c r="E38" s="467">
        <v>734669</v>
      </c>
      <c r="F38" s="818">
        <f t="shared" si="4"/>
        <v>367334.5</v>
      </c>
      <c r="G38" s="546">
        <f t="shared" si="5"/>
        <v>0.30611208333333334</v>
      </c>
      <c r="H38" s="546">
        <f t="shared" si="6"/>
        <v>3.6733450000000003</v>
      </c>
      <c r="I38" s="463">
        <f t="shared" si="3"/>
        <v>4.0406795000000004</v>
      </c>
    </row>
    <row r="39" spans="1:10" ht="15">
      <c r="A39" s="137"/>
      <c r="B39" s="507" t="s">
        <v>278</v>
      </c>
      <c r="C39" s="136"/>
      <c r="D39" s="545">
        <v>0.5</v>
      </c>
      <c r="E39" s="815">
        <v>403219</v>
      </c>
      <c r="F39" s="818">
        <f t="shared" si="4"/>
        <v>201609.5</v>
      </c>
      <c r="G39" s="546">
        <f t="shared" si="5"/>
        <v>0.16800791666666667</v>
      </c>
      <c r="H39" s="546">
        <f t="shared" si="6"/>
        <v>2.016095</v>
      </c>
      <c r="I39" s="463">
        <f t="shared" si="3"/>
        <v>2.2177045</v>
      </c>
    </row>
    <row r="40" spans="1:10" ht="15">
      <c r="A40" s="137"/>
      <c r="B40" s="507" t="s">
        <v>668</v>
      </c>
      <c r="C40" s="507"/>
      <c r="D40" s="545">
        <v>0.5</v>
      </c>
      <c r="E40" s="467">
        <v>47815</v>
      </c>
      <c r="F40" s="818">
        <f t="shared" si="4"/>
        <v>23907.5</v>
      </c>
      <c r="G40" s="546">
        <f t="shared" si="5"/>
        <v>1.9922916666666669E-2</v>
      </c>
      <c r="H40" s="546">
        <f t="shared" si="6"/>
        <v>0.23907500000000004</v>
      </c>
      <c r="I40" s="463">
        <f t="shared" si="3"/>
        <v>0.26298250000000006</v>
      </c>
    </row>
    <row r="41" spans="1:10" ht="15">
      <c r="A41" s="137"/>
      <c r="B41" s="507" t="s">
        <v>669</v>
      </c>
      <c r="C41" s="507"/>
      <c r="D41" s="545">
        <v>0.5</v>
      </c>
      <c r="E41" s="467">
        <v>453849</v>
      </c>
      <c r="F41" s="818">
        <f t="shared" si="4"/>
        <v>226924.5</v>
      </c>
      <c r="G41" s="546">
        <f t="shared" si="5"/>
        <v>0.18910374999999999</v>
      </c>
      <c r="H41" s="546">
        <f t="shared" si="6"/>
        <v>2.2692449999999997</v>
      </c>
      <c r="I41" s="463">
        <f t="shared" si="3"/>
        <v>2.4961694999999997</v>
      </c>
    </row>
    <row r="42" spans="1:10" ht="28.5" customHeight="1">
      <c r="A42" s="137"/>
      <c r="B42" s="420" t="s">
        <v>537</v>
      </c>
      <c r="C42" s="420"/>
      <c r="D42" s="420"/>
      <c r="E42" s="816">
        <f>SUM(E23:E41)</f>
        <v>8003927</v>
      </c>
      <c r="F42" s="506"/>
      <c r="G42" s="457">
        <f>SUM(G23:G41)</f>
        <v>3.3349695833333342</v>
      </c>
      <c r="H42" s="458">
        <f>SUM(H23:H41)</f>
        <v>40.019635000000001</v>
      </c>
      <c r="I42" s="458">
        <f>SUM(I23:I41)</f>
        <v>44.02159850000001</v>
      </c>
    </row>
    <row r="43" spans="1:10" ht="15">
      <c r="H43" s="601"/>
    </row>
    <row r="44" spans="1:10" ht="31.5" customHeight="1">
      <c r="B44" s="1366" t="s">
        <v>591</v>
      </c>
      <c r="C44" s="1366"/>
      <c r="D44" s="1366"/>
      <c r="H44" s="1367" t="s">
        <v>635</v>
      </c>
      <c r="I44" s="1367"/>
      <c r="J44" s="1367"/>
    </row>
    <row r="45" spans="1:10" ht="31.5" customHeight="1">
      <c r="B45" s="692"/>
      <c r="C45" s="693"/>
      <c r="D45" s="694"/>
      <c r="E45" s="683"/>
      <c r="F45" s="410"/>
      <c r="G45" s="410"/>
      <c r="H45" s="682" t="s">
        <v>588</v>
      </c>
      <c r="I45" s="682" t="s">
        <v>589</v>
      </c>
      <c r="J45" s="682" t="s">
        <v>6</v>
      </c>
    </row>
    <row r="46" spans="1:10" ht="24.75" customHeight="1">
      <c r="A46" s="404">
        <v>1</v>
      </c>
      <c r="B46" s="685" t="s">
        <v>540</v>
      </c>
      <c r="C46" s="684"/>
      <c r="D46" s="686"/>
      <c r="E46" s="683"/>
      <c r="F46" s="410"/>
      <c r="G46" s="410"/>
      <c r="H46" s="681">
        <f>H15</f>
        <v>28.330000000000002</v>
      </c>
      <c r="I46" s="565">
        <f>I15</f>
        <v>31.163000000000007</v>
      </c>
      <c r="J46" s="565">
        <f>H46+I46</f>
        <v>59.493000000000009</v>
      </c>
    </row>
    <row r="47" spans="1:10" ht="24.75" customHeight="1">
      <c r="A47" s="404">
        <v>2</v>
      </c>
      <c r="B47" s="690" t="s">
        <v>541</v>
      </c>
      <c r="C47" s="691"/>
      <c r="D47" s="683"/>
      <c r="E47" s="683"/>
      <c r="F47" s="410"/>
      <c r="G47" s="410"/>
      <c r="H47" s="681">
        <f>H42</f>
        <v>40.019635000000001</v>
      </c>
      <c r="I47" s="565">
        <f>I42</f>
        <v>44.02159850000001</v>
      </c>
      <c r="J47" s="565">
        <f>H47+I47</f>
        <v>84.041233500000004</v>
      </c>
    </row>
    <row r="48" spans="1:10" ht="24.75" customHeight="1">
      <c r="A48" s="404">
        <v>3</v>
      </c>
      <c r="B48" s="687" t="s">
        <v>634</v>
      </c>
      <c r="C48" s="688"/>
      <c r="D48" s="689"/>
      <c r="E48" s="683"/>
      <c r="F48" s="410"/>
      <c r="G48" s="410"/>
      <c r="H48" s="681">
        <f>'Key Assumptions'!G119</f>
        <v>8.9737050000000007</v>
      </c>
      <c r="I48" s="565">
        <f>F72</f>
        <v>8.6328810365000006</v>
      </c>
      <c r="J48" s="565">
        <f>H48+I48</f>
        <v>17.606586036500001</v>
      </c>
    </row>
    <row r="50" spans="2:13" ht="27" customHeight="1">
      <c r="B50" s="561" t="s">
        <v>538</v>
      </c>
      <c r="C50" s="561"/>
      <c r="D50" s="561"/>
      <c r="E50" s="561"/>
      <c r="F50" s="561"/>
      <c r="G50" s="561"/>
      <c r="H50" s="562">
        <f>SUM(H46:H49)</f>
        <v>77.323340000000002</v>
      </c>
      <c r="I50" s="562">
        <f>SUM(I46:I49)</f>
        <v>83.817479536500016</v>
      </c>
      <c r="J50" s="562">
        <f>SUM(J46:J49)</f>
        <v>161.14081953650003</v>
      </c>
      <c r="M50" s="399"/>
    </row>
    <row r="51" spans="2:13">
      <c r="J51" s="399"/>
    </row>
    <row r="52" spans="2:13">
      <c r="B52" t="s">
        <v>794</v>
      </c>
      <c r="J52" s="399">
        <f>G61</f>
        <v>32.9</v>
      </c>
    </row>
    <row r="53" spans="2:13">
      <c r="J53" s="399"/>
    </row>
    <row r="54" spans="2:13">
      <c r="B54" s="1121" t="s">
        <v>795</v>
      </c>
      <c r="C54" s="1121"/>
      <c r="D54" s="1121"/>
      <c r="E54" s="1121"/>
      <c r="F54" s="1121"/>
      <c r="G54" s="1121"/>
      <c r="H54" s="1121"/>
      <c r="I54" s="1121"/>
      <c r="J54" s="1122">
        <f>J50+J52</f>
        <v>194.04081953650004</v>
      </c>
    </row>
    <row r="55" spans="2:13">
      <c r="J55" s="399"/>
    </row>
    <row r="56" spans="2:13" ht="15">
      <c r="B56" s="563" t="s">
        <v>539</v>
      </c>
      <c r="C56" t="s">
        <v>711</v>
      </c>
      <c r="D56" s="1124" t="s">
        <v>797</v>
      </c>
      <c r="E56" s="476" t="s">
        <v>374</v>
      </c>
      <c r="F56" s="564" t="s">
        <v>30</v>
      </c>
      <c r="G56" s="476" t="s">
        <v>374</v>
      </c>
      <c r="I56" s="399"/>
    </row>
    <row r="57" spans="2:13" ht="15">
      <c r="B57" s="468"/>
      <c r="C57" s="476" t="s">
        <v>432</v>
      </c>
      <c r="D57" s="1125" t="s">
        <v>798</v>
      </c>
      <c r="E57" s="1123">
        <v>0.5</v>
      </c>
      <c r="F57" s="1007" t="s">
        <v>589</v>
      </c>
      <c r="G57" s="1009" t="s">
        <v>764</v>
      </c>
    </row>
    <row r="58" spans="2:13" ht="15">
      <c r="B58" s="1359" t="s">
        <v>713</v>
      </c>
      <c r="C58" s="1360"/>
      <c r="D58" s="1107"/>
      <c r="E58" s="471"/>
      <c r="F58" s="565"/>
      <c r="G58" s="565"/>
    </row>
    <row r="59" spans="2:13" ht="15">
      <c r="B59" s="469" t="s">
        <v>460</v>
      </c>
      <c r="C59" s="832" t="s">
        <v>712</v>
      </c>
      <c r="D59" s="832"/>
      <c r="E59" s="472"/>
      <c r="F59" s="565"/>
      <c r="G59" s="565"/>
    </row>
    <row r="60" spans="2:13" ht="15">
      <c r="B60" s="614" t="s">
        <v>679</v>
      </c>
      <c r="C60" s="1014">
        <v>0.5</v>
      </c>
      <c r="D60" s="1126">
        <f>'Key Assumptions'!E110</f>
        <v>32.9</v>
      </c>
      <c r="E60" s="725"/>
      <c r="F60" s="565"/>
      <c r="G60" s="565">
        <f>'Key Assumptions'!E110</f>
        <v>32.9</v>
      </c>
    </row>
    <row r="61" spans="2:13" ht="15">
      <c r="B61" s="497" t="s">
        <v>6</v>
      </c>
      <c r="C61" s="498"/>
      <c r="D61" s="499">
        <f>SUM(D60)</f>
        <v>32.9</v>
      </c>
      <c r="E61" s="726"/>
      <c r="F61" s="833"/>
      <c r="G61" s="499">
        <f>SUM(G60)</f>
        <v>32.9</v>
      </c>
    </row>
    <row r="62" spans="2:13" ht="15">
      <c r="B62" s="470" t="s">
        <v>859</v>
      </c>
      <c r="C62" s="910">
        <v>0.4</v>
      </c>
      <c r="D62" s="1127">
        <f>'Key Assumptions'!E111</f>
        <v>6.5178200000000004</v>
      </c>
      <c r="E62" s="472">
        <f>D62*$E$57</f>
        <v>3.2589100000000002</v>
      </c>
      <c r="F62" s="565">
        <f>C62*E62</f>
        <v>1.3035640000000002</v>
      </c>
      <c r="G62" s="565">
        <f>E62-F62</f>
        <v>1.955346</v>
      </c>
    </row>
    <row r="63" spans="2:13" ht="15">
      <c r="B63" s="497" t="s">
        <v>6</v>
      </c>
      <c r="C63" s="500"/>
      <c r="D63" s="499">
        <f>SUM(D62)</f>
        <v>6.5178200000000004</v>
      </c>
      <c r="E63" s="499">
        <f>SUM(E62)</f>
        <v>3.2589100000000002</v>
      </c>
      <c r="F63" s="499">
        <f>SUM(F62)</f>
        <v>1.3035640000000002</v>
      </c>
      <c r="G63" s="499">
        <f>SUM(G62)</f>
        <v>1.955346</v>
      </c>
    </row>
    <row r="64" spans="2:13" ht="15">
      <c r="B64" s="470" t="s">
        <v>860</v>
      </c>
      <c r="C64" s="911">
        <v>0.25890000000000002</v>
      </c>
      <c r="D64" s="1128">
        <f>'Key Assumptions'!E112</f>
        <v>0.30387999999999998</v>
      </c>
      <c r="E64" s="472">
        <f>D64*$E$57</f>
        <v>0.15193999999999999</v>
      </c>
      <c r="F64" s="565">
        <f>C64*E64</f>
        <v>3.9337266000000003E-2</v>
      </c>
      <c r="G64" s="565">
        <f>E64-F64</f>
        <v>0.11260273399999998</v>
      </c>
    </row>
    <row r="65" spans="2:7" ht="15">
      <c r="B65" s="497" t="s">
        <v>6</v>
      </c>
      <c r="C65" s="500"/>
      <c r="D65" s="499">
        <f>SUM(D64)</f>
        <v>0.30387999999999998</v>
      </c>
      <c r="E65" s="499">
        <f>SUM(E64)</f>
        <v>0.15193999999999999</v>
      </c>
      <c r="F65" s="499">
        <f>SUM(F64)</f>
        <v>3.9337266000000003E-2</v>
      </c>
      <c r="G65" s="499">
        <f>SUM(G64)</f>
        <v>0.11260273399999998</v>
      </c>
    </row>
    <row r="66" spans="2:7" ht="15">
      <c r="B66" s="470" t="s">
        <v>457</v>
      </c>
      <c r="C66" s="911">
        <v>0.18099999999999999</v>
      </c>
      <c r="D66" s="1128">
        <f>'Key Assumptions'!E113</f>
        <v>28.997029999999999</v>
      </c>
      <c r="E66" s="472">
        <f>D66*$E$57</f>
        <v>14.498514999999999</v>
      </c>
      <c r="F66" s="565">
        <f>C66*E66</f>
        <v>2.624231215</v>
      </c>
      <c r="G66" s="565">
        <f>E66-F66</f>
        <v>11.874283784999999</v>
      </c>
    </row>
    <row r="67" spans="2:7" ht="15">
      <c r="B67" s="497" t="s">
        <v>6</v>
      </c>
      <c r="C67" s="500"/>
      <c r="D67" s="499">
        <f>SUM(D66)</f>
        <v>28.997029999999999</v>
      </c>
      <c r="E67" s="499">
        <f>SUM(E66)</f>
        <v>14.498514999999999</v>
      </c>
      <c r="F67" s="499">
        <f>SUM(F66)</f>
        <v>2.624231215</v>
      </c>
      <c r="G67" s="499">
        <f>SUM(G66)</f>
        <v>11.874283784999999</v>
      </c>
    </row>
    <row r="68" spans="2:7" ht="15">
      <c r="B68" s="470" t="s">
        <v>458</v>
      </c>
      <c r="C68" s="911">
        <v>0.1391</v>
      </c>
      <c r="D68" s="1128">
        <f>'Key Assumptions'!E114</f>
        <v>13.052250000000001</v>
      </c>
      <c r="E68" s="472">
        <f>D68*$E$57</f>
        <v>6.5261250000000004</v>
      </c>
      <c r="F68" s="565">
        <f>C68*E68</f>
        <v>0.90778398750000011</v>
      </c>
      <c r="G68" s="565">
        <f>E68-F68</f>
        <v>5.6183410125000002</v>
      </c>
    </row>
    <row r="69" spans="2:7" ht="15">
      <c r="B69" s="497" t="s">
        <v>6</v>
      </c>
      <c r="C69" s="500"/>
      <c r="D69" s="499">
        <f>SUM(D68)</f>
        <v>13.052250000000001</v>
      </c>
      <c r="E69" s="499">
        <f>SUM(E68)</f>
        <v>6.5261250000000004</v>
      </c>
      <c r="F69" s="499">
        <f>SUM(F68)</f>
        <v>0.90778398750000011</v>
      </c>
      <c r="G69" s="499">
        <f>SUM(G68)</f>
        <v>5.6183410125000002</v>
      </c>
    </row>
    <row r="70" spans="2:7" ht="15">
      <c r="B70" s="470" t="s">
        <v>459</v>
      </c>
      <c r="C70" s="911">
        <v>0.25890000000000002</v>
      </c>
      <c r="D70" s="1128">
        <f>'Key Assumptions'!E115</f>
        <v>29.030239999999999</v>
      </c>
      <c r="E70" s="472">
        <f>D70*$E$57</f>
        <v>14.51512</v>
      </c>
      <c r="F70" s="565">
        <f>C70*E70</f>
        <v>3.7579645680000002</v>
      </c>
      <c r="G70" s="565">
        <f>E70-F70</f>
        <v>10.757155431999999</v>
      </c>
    </row>
    <row r="71" spans="2:7" ht="15">
      <c r="B71" s="497" t="s">
        <v>6</v>
      </c>
      <c r="C71" s="500"/>
      <c r="D71" s="499">
        <f>SUM(D70)</f>
        <v>29.030239999999999</v>
      </c>
      <c r="E71" s="499">
        <f>SUM(E70)</f>
        <v>14.51512</v>
      </c>
      <c r="F71" s="499">
        <f>SUM(F70)</f>
        <v>3.7579645680000002</v>
      </c>
      <c r="G71" s="499">
        <f>SUM(G70)</f>
        <v>10.757155431999999</v>
      </c>
    </row>
    <row r="72" spans="2:7" s="837" customFormat="1" ht="15">
      <c r="B72" s="835" t="s">
        <v>461</v>
      </c>
      <c r="C72" s="835"/>
      <c r="D72" s="834">
        <f>D61+D63+D65+D67+D69+D71</f>
        <v>110.80122</v>
      </c>
      <c r="E72" s="834">
        <f>E63+E65+E67+E69+E71</f>
        <v>38.950609999999998</v>
      </c>
      <c r="F72" s="836">
        <f>F63+F65+F67+F69+F71</f>
        <v>8.6328810365000006</v>
      </c>
      <c r="G72" s="834">
        <f>G61+G63+G65+G67+G69+G71</f>
        <v>63.217728963499987</v>
      </c>
    </row>
    <row r="73" spans="2:7">
      <c r="G73" s="399"/>
    </row>
    <row r="74" spans="2:7">
      <c r="B74" t="s">
        <v>793</v>
      </c>
      <c r="G74" s="399">
        <f>G61</f>
        <v>32.9</v>
      </c>
    </row>
    <row r="75" spans="2:7">
      <c r="G75" s="399"/>
    </row>
    <row r="76" spans="2:7">
      <c r="B76" s="1121" t="s">
        <v>796</v>
      </c>
      <c r="C76" s="1121"/>
      <c r="D76" s="1121"/>
      <c r="E76" s="1121"/>
      <c r="F76" s="1121"/>
      <c r="G76" s="1122">
        <f>G72-G74</f>
        <v>30.317728963499988</v>
      </c>
    </row>
  </sheetData>
  <mergeCells count="7">
    <mergeCell ref="B58:C58"/>
    <mergeCell ref="E20:F20"/>
    <mergeCell ref="A1:I1"/>
    <mergeCell ref="H3:I3"/>
    <mergeCell ref="B22:E22"/>
    <mergeCell ref="B44:D44"/>
    <mergeCell ref="H44:J44"/>
  </mergeCells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T200"/>
  <sheetViews>
    <sheetView zoomScale="90" zoomScaleNormal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S4" sqref="S4"/>
    </sheetView>
  </sheetViews>
  <sheetFormatPr defaultRowHeight="12.75"/>
  <cols>
    <col min="1" max="1" width="43.7109375" style="399" bestFit="1" customWidth="1"/>
    <col min="2" max="2" width="9.140625" style="399" hidden="1" customWidth="1"/>
    <col min="3" max="3" width="8.42578125" style="399" bestFit="1" customWidth="1"/>
    <col min="4" max="7" width="7.28515625" style="399" bestFit="1" customWidth="1"/>
    <col min="8" max="11" width="8.42578125" style="399" bestFit="1" customWidth="1"/>
    <col min="12" max="18" width="10" style="399" bestFit="1" customWidth="1"/>
    <col min="19" max="19" width="11.140625" style="399" bestFit="1" customWidth="1"/>
    <col min="20" max="20" width="12.85546875" style="399" customWidth="1"/>
    <col min="21" max="16384" width="9.140625" style="399"/>
  </cols>
  <sheetData>
    <row r="1" spans="1:19">
      <c r="A1" s="1368" t="s">
        <v>636</v>
      </c>
      <c r="B1" s="1368"/>
      <c r="C1" s="1368"/>
      <c r="D1" s="1368"/>
      <c r="E1" s="1368"/>
      <c r="F1" s="1368"/>
      <c r="G1" s="1368"/>
      <c r="H1" s="1368"/>
      <c r="I1" s="1368"/>
      <c r="J1" s="1368"/>
      <c r="K1" s="1368"/>
      <c r="L1" s="1368"/>
      <c r="M1" s="1368"/>
      <c r="N1" s="1368"/>
      <c r="O1" s="1368"/>
      <c r="P1" s="1368"/>
      <c r="Q1" s="1368"/>
      <c r="R1" s="1368"/>
      <c r="S1" s="1368"/>
    </row>
    <row r="2" spans="1:19">
      <c r="A2" s="1184">
        <v>100000</v>
      </c>
      <c r="C2" s="1374" t="s">
        <v>156</v>
      </c>
      <c r="D2" s="1374"/>
      <c r="E2" s="1374"/>
      <c r="F2" s="1374"/>
      <c r="G2" s="1374" t="s">
        <v>157</v>
      </c>
      <c r="H2" s="1374"/>
      <c r="I2" s="1374"/>
      <c r="J2" s="1374"/>
      <c r="K2" s="569" t="s">
        <v>162</v>
      </c>
      <c r="L2" s="569" t="s">
        <v>163</v>
      </c>
      <c r="M2" s="569" t="s">
        <v>164</v>
      </c>
      <c r="N2" s="569" t="s">
        <v>190</v>
      </c>
      <c r="O2" s="569" t="s">
        <v>191</v>
      </c>
      <c r="P2" s="569" t="s">
        <v>192</v>
      </c>
      <c r="Q2" s="569" t="s">
        <v>193</v>
      </c>
      <c r="R2" s="569" t="s">
        <v>194</v>
      </c>
      <c r="S2" s="590" t="s">
        <v>6</v>
      </c>
    </row>
    <row r="3" spans="1:19">
      <c r="A3" s="399" t="s">
        <v>365</v>
      </c>
      <c r="C3" s="569" t="s">
        <v>604</v>
      </c>
      <c r="D3" s="569" t="s">
        <v>605</v>
      </c>
      <c r="E3" s="569" t="s">
        <v>606</v>
      </c>
      <c r="F3" s="569" t="s">
        <v>607</v>
      </c>
      <c r="G3" s="569" t="s">
        <v>604</v>
      </c>
      <c r="H3" s="569" t="s">
        <v>605</v>
      </c>
      <c r="I3" s="569" t="s">
        <v>606</v>
      </c>
      <c r="J3" s="569" t="s">
        <v>607</v>
      </c>
    </row>
    <row r="6" spans="1:19" ht="15">
      <c r="A6" s="1372" t="s">
        <v>821</v>
      </c>
      <c r="B6" s="1373"/>
      <c r="C6" s="1373"/>
      <c r="D6" s="1373"/>
      <c r="E6" s="1373"/>
      <c r="F6" s="1373"/>
      <c r="G6" s="1373"/>
      <c r="H6" s="1373"/>
      <c r="I6" s="1373"/>
      <c r="J6" s="1373"/>
      <c r="K6" s="1373"/>
      <c r="L6" s="1373"/>
      <c r="M6" s="1373"/>
      <c r="N6" s="1373"/>
      <c r="O6" s="1373"/>
      <c r="P6" s="1373"/>
      <c r="Q6" s="1373"/>
      <c r="R6" s="1373"/>
      <c r="S6" s="1373"/>
    </row>
    <row r="7" spans="1:19" ht="15">
      <c r="A7" s="567" t="s">
        <v>422</v>
      </c>
      <c r="C7" s="404">
        <f>'No. of people trained '!C3</f>
        <v>3</v>
      </c>
      <c r="D7" s="404">
        <f>'No. of people trained '!D3</f>
        <v>6</v>
      </c>
      <c r="E7" s="404">
        <f>'No. of people trained '!E3</f>
        <v>9</v>
      </c>
      <c r="F7" s="404">
        <f>'No. of people trained '!F3</f>
        <v>12</v>
      </c>
      <c r="G7" s="404">
        <f>'No. of people trained '!G3</f>
        <v>15</v>
      </c>
      <c r="H7" s="404">
        <f>'No. of people trained '!H3</f>
        <v>18</v>
      </c>
      <c r="I7" s="404">
        <f>'No. of people trained '!I3</f>
        <v>21</v>
      </c>
      <c r="J7" s="404">
        <f>'No. of people trained '!J3</f>
        <v>24</v>
      </c>
      <c r="K7" s="404">
        <f>'No. of people trained '!K3</f>
        <v>36</v>
      </c>
      <c r="L7" s="404">
        <f>'No. of people trained '!L3</f>
        <v>48</v>
      </c>
      <c r="M7" s="404">
        <f>'No. of people trained '!M3</f>
        <v>60</v>
      </c>
      <c r="N7" s="404">
        <f>'No. of people trained '!N3</f>
        <v>72</v>
      </c>
      <c r="O7" s="404">
        <f>'No. of people trained '!O3</f>
        <v>84</v>
      </c>
      <c r="P7" s="404">
        <f>'No. of people trained '!P3</f>
        <v>96</v>
      </c>
      <c r="Q7" s="404">
        <f>'No. of people trained '!Q3</f>
        <v>108</v>
      </c>
      <c r="R7" s="404">
        <f>'No. of people trained '!R3</f>
        <v>120</v>
      </c>
    </row>
    <row r="8" spans="1:19" ht="15">
      <c r="A8" s="567" t="s">
        <v>110</v>
      </c>
      <c r="C8" s="404">
        <f>'No. of people trained '!C125</f>
        <v>5.3203125</v>
      </c>
      <c r="D8" s="404">
        <f>'No. of people trained '!D125</f>
        <v>10.640625</v>
      </c>
      <c r="E8" s="404">
        <f>'No. of people trained '!E125</f>
        <v>15.9609375</v>
      </c>
      <c r="F8" s="404">
        <f>'No. of people trained '!F125</f>
        <v>21.28125</v>
      </c>
      <c r="G8" s="404">
        <f>'No. of people trained '!G125</f>
        <v>29.26171875</v>
      </c>
      <c r="H8" s="404">
        <f>'No. of people trained '!H125</f>
        <v>35.114062499999996</v>
      </c>
      <c r="I8" s="404">
        <f>'No. of people trained '!I125</f>
        <v>40.966406249999999</v>
      </c>
      <c r="J8" s="404">
        <f>'No. of people trained '!J125</f>
        <v>46.818750000000001</v>
      </c>
      <c r="K8" s="404">
        <f>'No. of people trained '!K125</f>
        <v>484.60500000000002</v>
      </c>
      <c r="L8" s="404">
        <f>'No. of people trained '!L125</f>
        <v>710.75400000000002</v>
      </c>
      <c r="M8" s="404">
        <f>'No. of people trained '!M125</f>
        <v>977.28675000000032</v>
      </c>
      <c r="N8" s="404">
        <f>'No. of people trained '!N125</f>
        <v>1290.0185100000006</v>
      </c>
      <c r="O8" s="404">
        <f>'No. of people trained '!O125</f>
        <v>1655.5237545000005</v>
      </c>
      <c r="P8" s="404">
        <f>'No. of people trained '!P125</f>
        <v>2081.2298628000008</v>
      </c>
      <c r="Q8" s="404">
        <f>'No. of people trained '!Q125</f>
        <v>2575.5219552150015</v>
      </c>
      <c r="R8" s="404">
        <f>'No. of people trained '!R125</f>
        <v>3147.8601674850024</v>
      </c>
    </row>
    <row r="9" spans="1:19" ht="15">
      <c r="A9" s="567" t="s">
        <v>510</v>
      </c>
      <c r="C9" s="399">
        <f>C8/C7</f>
        <v>1.7734375</v>
      </c>
      <c r="D9" s="399">
        <f t="shared" ref="D9:R9" si="0">D8/D7</f>
        <v>1.7734375</v>
      </c>
      <c r="E9" s="399">
        <f t="shared" si="0"/>
        <v>1.7734375</v>
      </c>
      <c r="F9" s="399">
        <f t="shared" si="0"/>
        <v>1.7734375</v>
      </c>
      <c r="G9" s="399">
        <f t="shared" si="0"/>
        <v>1.9507812499999999</v>
      </c>
      <c r="H9" s="399">
        <f t="shared" si="0"/>
        <v>1.9507812499999997</v>
      </c>
      <c r="I9" s="399">
        <f t="shared" si="0"/>
        <v>1.9507812499999999</v>
      </c>
      <c r="J9" s="399">
        <f t="shared" si="0"/>
        <v>1.9507812500000001</v>
      </c>
      <c r="K9" s="399">
        <f t="shared" si="0"/>
        <v>13.46125</v>
      </c>
      <c r="L9" s="399">
        <f t="shared" si="0"/>
        <v>14.807375</v>
      </c>
      <c r="M9" s="399">
        <f t="shared" si="0"/>
        <v>16.288112500000004</v>
      </c>
      <c r="N9" s="399">
        <f t="shared" si="0"/>
        <v>17.916923750000009</v>
      </c>
      <c r="O9" s="399">
        <f t="shared" si="0"/>
        <v>19.708616125000006</v>
      </c>
      <c r="P9" s="399">
        <f t="shared" si="0"/>
        <v>21.679477737500008</v>
      </c>
      <c r="Q9" s="399">
        <f t="shared" si="0"/>
        <v>23.847425511250012</v>
      </c>
      <c r="R9" s="399">
        <f t="shared" si="0"/>
        <v>26.23216806237502</v>
      </c>
    </row>
    <row r="10" spans="1:19" ht="15">
      <c r="A10" s="567" t="s">
        <v>819</v>
      </c>
      <c r="C10" s="402">
        <f>'No. of people trained '!C81</f>
        <v>375</v>
      </c>
      <c r="D10" s="402">
        <f>'No. of people trained '!D81</f>
        <v>750</v>
      </c>
      <c r="E10" s="402">
        <f>'No. of people trained '!E81</f>
        <v>1125</v>
      </c>
      <c r="F10" s="402">
        <f>'No. of people trained '!F81</f>
        <v>1500</v>
      </c>
      <c r="G10" s="402">
        <f>'No. of people trained '!G81</f>
        <v>1875</v>
      </c>
      <c r="H10" s="402">
        <f>'No. of people trained '!H81</f>
        <v>2250</v>
      </c>
      <c r="I10" s="402">
        <f>'No. of people trained '!I81</f>
        <v>2625</v>
      </c>
      <c r="J10" s="402">
        <f>'No. of people trained '!J81</f>
        <v>3000</v>
      </c>
      <c r="K10" s="402">
        <f>'No. of people trained '!K81</f>
        <v>36000</v>
      </c>
      <c r="L10" s="402">
        <f>'No. of people trained '!L81</f>
        <v>48000</v>
      </c>
      <c r="M10" s="402">
        <f>'No. of people trained '!M81</f>
        <v>60000</v>
      </c>
      <c r="N10" s="402">
        <f>'No. of people trained '!N81</f>
        <v>72000</v>
      </c>
      <c r="O10" s="402">
        <f>'No. of people trained '!O81</f>
        <v>84000</v>
      </c>
      <c r="P10" s="402">
        <f>'No. of people trained '!P81</f>
        <v>96000</v>
      </c>
      <c r="Q10" s="402">
        <f>'No. of people trained '!Q81</f>
        <v>108000</v>
      </c>
      <c r="R10" s="402">
        <f>'No. of people trained '!R81</f>
        <v>120000</v>
      </c>
    </row>
    <row r="11" spans="1:19" ht="15">
      <c r="A11" s="567" t="s">
        <v>511</v>
      </c>
      <c r="C11" s="402">
        <f>C10/C7</f>
        <v>125</v>
      </c>
      <c r="D11" s="402">
        <f t="shared" ref="D11:R11" si="1">D10/D7</f>
        <v>125</v>
      </c>
      <c r="E11" s="402">
        <f t="shared" si="1"/>
        <v>125</v>
      </c>
      <c r="F11" s="402">
        <f t="shared" si="1"/>
        <v>125</v>
      </c>
      <c r="G11" s="402">
        <f t="shared" si="1"/>
        <v>125</v>
      </c>
      <c r="H11" s="402">
        <f t="shared" si="1"/>
        <v>125</v>
      </c>
      <c r="I11" s="402">
        <f t="shared" si="1"/>
        <v>125</v>
      </c>
      <c r="J11" s="402">
        <f t="shared" si="1"/>
        <v>125</v>
      </c>
      <c r="K11" s="402">
        <f t="shared" si="1"/>
        <v>1000</v>
      </c>
      <c r="L11" s="402">
        <f t="shared" si="1"/>
        <v>1000</v>
      </c>
      <c r="M11" s="402">
        <f t="shared" si="1"/>
        <v>1000</v>
      </c>
      <c r="N11" s="402">
        <f t="shared" si="1"/>
        <v>1000</v>
      </c>
      <c r="O11" s="402">
        <f t="shared" si="1"/>
        <v>1000</v>
      </c>
      <c r="P11" s="402">
        <f t="shared" si="1"/>
        <v>1000</v>
      </c>
      <c r="Q11" s="402">
        <f t="shared" si="1"/>
        <v>1000</v>
      </c>
      <c r="R11" s="402">
        <f t="shared" si="1"/>
        <v>1000</v>
      </c>
    </row>
    <row r="12" spans="1:19" ht="15">
      <c r="A12" s="567" t="s">
        <v>830</v>
      </c>
      <c r="C12" s="404">
        <f>C8/C10*$A$2</f>
        <v>1418.75</v>
      </c>
      <c r="D12" s="404">
        <f t="shared" ref="D12:R12" si="2">D8/D10*$A$2</f>
        <v>1418.75</v>
      </c>
      <c r="E12" s="404">
        <f t="shared" si="2"/>
        <v>1418.75</v>
      </c>
      <c r="F12" s="404">
        <f t="shared" si="2"/>
        <v>1418.75</v>
      </c>
      <c r="G12" s="404">
        <f t="shared" si="2"/>
        <v>1560.625</v>
      </c>
      <c r="H12" s="404">
        <f t="shared" si="2"/>
        <v>1560.6249999999998</v>
      </c>
      <c r="I12" s="404">
        <f t="shared" si="2"/>
        <v>1560.6249999999998</v>
      </c>
      <c r="J12" s="404">
        <f t="shared" si="2"/>
        <v>1560.625</v>
      </c>
      <c r="K12" s="404">
        <f t="shared" si="2"/>
        <v>1346.125</v>
      </c>
      <c r="L12" s="404">
        <f t="shared" si="2"/>
        <v>1480.7375000000002</v>
      </c>
      <c r="M12" s="404">
        <f t="shared" si="2"/>
        <v>1628.8112500000007</v>
      </c>
      <c r="N12" s="404">
        <f t="shared" si="2"/>
        <v>1791.6923750000008</v>
      </c>
      <c r="O12" s="404">
        <f t="shared" si="2"/>
        <v>1970.8616125000005</v>
      </c>
      <c r="P12" s="404">
        <f t="shared" si="2"/>
        <v>2167.947773750001</v>
      </c>
      <c r="Q12" s="404">
        <f t="shared" si="2"/>
        <v>2384.7425511250012</v>
      </c>
      <c r="R12" s="404">
        <f t="shared" si="2"/>
        <v>2623.2168062375017</v>
      </c>
    </row>
    <row r="13" spans="1:19" ht="15">
      <c r="A13" s="568"/>
    </row>
    <row r="14" spans="1:19" ht="15">
      <c r="A14" s="1159" t="s">
        <v>828</v>
      </c>
      <c r="C14" s="399">
        <f>('Exp  Assumptions'!G28+'Exp  Assumptions'!G87+'Exp  Assumptions'!G134)</f>
        <v>10.427850000000001</v>
      </c>
      <c r="D14" s="399">
        <f>('Exp  Assumptions'!H28+'Exp  Assumptions'!H87+'Exp  Assumptions'!H134)</f>
        <v>18.155700000000003</v>
      </c>
      <c r="E14" s="399">
        <f>('Exp  Assumptions'!I28+'Exp  Assumptions'!I87+'Exp  Assumptions'!I134)</f>
        <v>24.083550000000002</v>
      </c>
      <c r="F14" s="399">
        <f>('Exp  Assumptions'!J28+'Exp  Assumptions'!J87+'Exp  Assumptions'!J134)</f>
        <v>30.911400000000004</v>
      </c>
      <c r="G14" s="399">
        <f>('Exp  Assumptions'!K28+'Exp  Assumptions'!K87+'Exp  Assumptions'!K134)</f>
        <v>44.483175000000003</v>
      </c>
      <c r="H14" s="399">
        <f>('Exp  Assumptions'!L28+'Exp  Assumptions'!L87+'Exp  Assumptions'!L134)</f>
        <v>48.291210000000014</v>
      </c>
      <c r="I14" s="399">
        <f>('Exp  Assumptions'!M28+'Exp  Assumptions'!M87+'Exp  Assumptions'!M134)</f>
        <v>56.059245000000018</v>
      </c>
      <c r="J14" s="399">
        <f>('Exp  Assumptions'!N28+'Exp  Assumptions'!N87+'Exp  Assumptions'!N134)</f>
        <v>61.847280000000019</v>
      </c>
      <c r="K14" s="399">
        <f>('Exp  Assumptions'!O28+'Exp  Assumptions'!O87+'Exp  Assumptions'!O134)</f>
        <v>278.77924800000011</v>
      </c>
      <c r="L14" s="399">
        <f>('Exp  Assumptions'!P28+'Exp  Assumptions'!P87+'Exp  Assumptions'!P134)</f>
        <v>375.22283040000013</v>
      </c>
      <c r="M14" s="399">
        <f>('Exp  Assumptions'!Q28+'Exp  Assumptions'!Q87+'Exp  Assumptions'!Q134)</f>
        <v>514.55776680000008</v>
      </c>
      <c r="N14" s="399">
        <f>('Exp  Assumptions'!R28+'Exp  Assumptions'!R87+'Exp  Assumptions'!R134)</f>
        <v>678.04409217599994</v>
      </c>
      <c r="O14" s="399">
        <f>('Exp  Assumptions'!S28+'Exp  Assumptions'!S87+'Exp  Assumptions'!S134)</f>
        <v>869.1187349592002</v>
      </c>
      <c r="P14" s="399">
        <f>('Exp  Assumptions'!T28+'Exp  Assumptions'!T87+'Exp  Assumptions'!T134)</f>
        <v>1091.6644953772802</v>
      </c>
      <c r="Q14" s="399">
        <f>('Exp  Assumptions'!U28+'Exp  Assumptions'!U87+'Exp  Assumptions'!U134)</f>
        <v>1350.0648505293843</v>
      </c>
      <c r="R14" s="399">
        <f>('Exp  Assumptions'!V28+'Exp  Assumptions'!V87+'Exp  Assumptions'!V134)</f>
        <v>1649.2652617581361</v>
      </c>
    </row>
    <row r="15" spans="1:19" ht="15">
      <c r="A15" s="1159" t="s">
        <v>512</v>
      </c>
      <c r="C15" s="399">
        <f>C14/C7</f>
        <v>3.4759500000000005</v>
      </c>
      <c r="D15" s="399">
        <f t="shared" ref="D15:R15" si="3">D14/D7</f>
        <v>3.0259500000000004</v>
      </c>
      <c r="E15" s="399">
        <f t="shared" si="3"/>
        <v>2.6759500000000003</v>
      </c>
      <c r="F15" s="399">
        <f t="shared" si="3"/>
        <v>2.5759500000000002</v>
      </c>
      <c r="G15" s="399">
        <f t="shared" si="3"/>
        <v>2.9655450000000001</v>
      </c>
      <c r="H15" s="399">
        <f t="shared" si="3"/>
        <v>2.6828450000000008</v>
      </c>
      <c r="I15" s="399">
        <f t="shared" si="3"/>
        <v>2.6694878571428582</v>
      </c>
      <c r="J15" s="399">
        <f t="shared" si="3"/>
        <v>2.5769700000000006</v>
      </c>
      <c r="K15" s="399">
        <f t="shared" si="3"/>
        <v>7.7438680000000026</v>
      </c>
      <c r="L15" s="399">
        <f t="shared" si="3"/>
        <v>7.8171423000000031</v>
      </c>
      <c r="M15" s="399">
        <f t="shared" si="3"/>
        <v>8.5759627800000011</v>
      </c>
      <c r="N15" s="399">
        <f t="shared" si="3"/>
        <v>9.4172790579999983</v>
      </c>
      <c r="O15" s="399">
        <f t="shared" si="3"/>
        <v>10.346651606657145</v>
      </c>
      <c r="P15" s="399">
        <f t="shared" si="3"/>
        <v>11.371505160180002</v>
      </c>
      <c r="Q15" s="399">
        <f t="shared" si="3"/>
        <v>12.50060046786467</v>
      </c>
      <c r="R15" s="399">
        <f t="shared" si="3"/>
        <v>13.743877181317801</v>
      </c>
    </row>
    <row r="16" spans="1:19" ht="15">
      <c r="A16" s="1159" t="s">
        <v>827</v>
      </c>
      <c r="C16" s="404">
        <f>C14/C10*$A$2</f>
        <v>2780.76</v>
      </c>
      <c r="D16" s="404">
        <f t="shared" ref="D16:R16" si="4">D14/D10*$A$2</f>
        <v>2420.7600000000002</v>
      </c>
      <c r="E16" s="404">
        <f t="shared" si="4"/>
        <v>2140.7600000000002</v>
      </c>
      <c r="F16" s="404">
        <f t="shared" si="4"/>
        <v>2060.7600000000002</v>
      </c>
      <c r="G16" s="404">
        <f t="shared" si="4"/>
        <v>2372.4360000000001</v>
      </c>
      <c r="H16" s="404">
        <f t="shared" si="4"/>
        <v>2146.2760000000007</v>
      </c>
      <c r="I16" s="404">
        <f t="shared" si="4"/>
        <v>2135.5902857142864</v>
      </c>
      <c r="J16" s="404">
        <f t="shared" si="4"/>
        <v>2061.5760000000009</v>
      </c>
      <c r="K16" s="404">
        <f t="shared" si="4"/>
        <v>774.38680000000022</v>
      </c>
      <c r="L16" s="404">
        <f t="shared" si="4"/>
        <v>781.71423000000027</v>
      </c>
      <c r="M16" s="404">
        <f t="shared" si="4"/>
        <v>857.59627800000021</v>
      </c>
      <c r="N16" s="404">
        <f t="shared" si="4"/>
        <v>941.72790579999992</v>
      </c>
      <c r="O16" s="404">
        <f t="shared" si="4"/>
        <v>1034.6651606657144</v>
      </c>
      <c r="P16" s="404">
        <f t="shared" si="4"/>
        <v>1137.1505160180002</v>
      </c>
      <c r="Q16" s="404">
        <f t="shared" si="4"/>
        <v>1250.060046786467</v>
      </c>
      <c r="R16" s="404">
        <f t="shared" si="4"/>
        <v>1374.38771813178</v>
      </c>
    </row>
    <row r="18" spans="1:19" ht="15">
      <c r="A18" s="1372" t="s">
        <v>820</v>
      </c>
      <c r="B18" s="1373"/>
      <c r="C18" s="1373"/>
      <c r="D18" s="1373"/>
      <c r="E18" s="1373"/>
      <c r="F18" s="1373"/>
      <c r="G18" s="1373"/>
      <c r="H18" s="1373"/>
      <c r="I18" s="1373"/>
      <c r="J18" s="1373"/>
      <c r="K18" s="1373"/>
      <c r="L18" s="1373"/>
      <c r="M18" s="1373"/>
      <c r="N18" s="1373"/>
      <c r="O18" s="1373"/>
      <c r="P18" s="1373"/>
      <c r="Q18" s="1373"/>
      <c r="R18" s="1373"/>
      <c r="S18" s="1373"/>
    </row>
    <row r="19" spans="1:19" ht="15">
      <c r="A19" s="567" t="s">
        <v>825</v>
      </c>
      <c r="C19" s="404">
        <f>'Key Assumptions'!K57</f>
        <v>2</v>
      </c>
      <c r="D19" s="404">
        <f>'Key Assumptions'!L57</f>
        <v>5</v>
      </c>
      <c r="E19" s="404">
        <f>'Key Assumptions'!M57</f>
        <v>7</v>
      </c>
      <c r="F19" s="404">
        <f>'Key Assumptions'!N57</f>
        <v>9</v>
      </c>
      <c r="G19" s="404">
        <f>'Key Assumptions'!O57</f>
        <v>14</v>
      </c>
      <c r="H19" s="404">
        <f>'Key Assumptions'!P57</f>
        <v>16</v>
      </c>
      <c r="I19" s="404">
        <f>'Key Assumptions'!Q57</f>
        <v>19</v>
      </c>
      <c r="J19" s="404">
        <f>'Key Assumptions'!R57</f>
        <v>21</v>
      </c>
      <c r="K19" s="404">
        <f>'Key Assumptions'!S57</f>
        <v>33</v>
      </c>
      <c r="L19" s="404">
        <f>'Key Assumptions'!T57</f>
        <v>38</v>
      </c>
      <c r="M19" s="404">
        <f>'Key Assumptions'!U57</f>
        <v>42</v>
      </c>
      <c r="N19" s="404">
        <f>'Key Assumptions'!V57</f>
        <v>47</v>
      </c>
      <c r="O19" s="404">
        <f>'Key Assumptions'!W57</f>
        <v>48</v>
      </c>
      <c r="P19" s="404">
        <f>'Key Assumptions'!X57</f>
        <v>53</v>
      </c>
      <c r="Q19" s="404">
        <f>'Key Assumptions'!Y57</f>
        <v>58</v>
      </c>
      <c r="R19" s="404">
        <f>'Key Assumptions'!Z57</f>
        <v>62</v>
      </c>
    </row>
    <row r="20" spans="1:19" ht="15">
      <c r="A20" s="567" t="s">
        <v>110</v>
      </c>
      <c r="C20" s="404">
        <f>'No. of people trained '!C127</f>
        <v>9.6</v>
      </c>
      <c r="D20" s="404">
        <f>'No. of people trained '!D127</f>
        <v>24</v>
      </c>
      <c r="E20" s="404">
        <f>'No. of people trained '!E127</f>
        <v>33.6</v>
      </c>
      <c r="F20" s="404">
        <f>'No. of people trained '!F127</f>
        <v>43.2</v>
      </c>
      <c r="G20" s="404">
        <f>'No. of people trained '!G127</f>
        <v>73.919999999999987</v>
      </c>
      <c r="H20" s="404">
        <f>'No. of people trained '!H127</f>
        <v>84.48</v>
      </c>
      <c r="I20" s="404">
        <f>'No. of people trained '!I127</f>
        <v>100.32</v>
      </c>
      <c r="J20" s="404">
        <f>'No. of people trained '!J127</f>
        <v>110.88</v>
      </c>
      <c r="K20" s="404">
        <f>'No. of people trained '!K127</f>
        <v>870.47400000000016</v>
      </c>
      <c r="L20" s="404">
        <f>'No. of people trained '!L127</f>
        <v>1323.1204800000005</v>
      </c>
      <c r="M20" s="404">
        <f>'No. of people trained '!M127</f>
        <v>1608.6359520000005</v>
      </c>
      <c r="N20" s="404">
        <f>'No. of people trained '!N127</f>
        <v>1980.154255200001</v>
      </c>
      <c r="O20" s="404">
        <f>'No. of people trained '!O127</f>
        <v>2224.5137164800012</v>
      </c>
      <c r="P20" s="404">
        <f>'No. of people trained '!P127</f>
        <v>2701.8572848080016</v>
      </c>
      <c r="Q20" s="404">
        <f>'No. of people trained '!Q127</f>
        <v>3252.4244296368024</v>
      </c>
      <c r="R20" s="404">
        <f>'No. of people trained '!R127</f>
        <v>3824.402518986723</v>
      </c>
    </row>
    <row r="21" spans="1:19" ht="15">
      <c r="A21" s="567" t="s">
        <v>826</v>
      </c>
      <c r="C21" s="399">
        <f>C20/C19</f>
        <v>4.8</v>
      </c>
      <c r="D21" s="399">
        <f t="shared" ref="D21:R21" si="5">D20/D19</f>
        <v>4.8</v>
      </c>
      <c r="E21" s="399">
        <f t="shared" si="5"/>
        <v>4.8</v>
      </c>
      <c r="F21" s="399">
        <f t="shared" si="5"/>
        <v>4.8000000000000007</v>
      </c>
      <c r="G21" s="399">
        <f t="shared" si="5"/>
        <v>5.2799999999999994</v>
      </c>
      <c r="H21" s="399">
        <f t="shared" si="5"/>
        <v>5.28</v>
      </c>
      <c r="I21" s="399">
        <f t="shared" si="5"/>
        <v>5.2799999999999994</v>
      </c>
      <c r="J21" s="399">
        <f t="shared" si="5"/>
        <v>5.2799999999999994</v>
      </c>
      <c r="K21" s="399">
        <f t="shared" si="5"/>
        <v>26.378000000000004</v>
      </c>
      <c r="L21" s="399">
        <f t="shared" si="5"/>
        <v>34.818960000000011</v>
      </c>
      <c r="M21" s="399">
        <f t="shared" si="5"/>
        <v>38.30085600000001</v>
      </c>
      <c r="N21" s="399">
        <f t="shared" si="5"/>
        <v>42.130941600000021</v>
      </c>
      <c r="O21" s="399">
        <f t="shared" si="5"/>
        <v>46.344035760000025</v>
      </c>
      <c r="P21" s="399">
        <f t="shared" si="5"/>
        <v>50.978439336000029</v>
      </c>
      <c r="Q21" s="399">
        <f t="shared" si="5"/>
        <v>56.07628326960004</v>
      </c>
      <c r="R21" s="399">
        <f t="shared" si="5"/>
        <v>61.683911596560044</v>
      </c>
    </row>
    <row r="22" spans="1:19" ht="15">
      <c r="A22" s="567" t="s">
        <v>819</v>
      </c>
      <c r="C22" s="402">
        <f>'No. of people trained '!C84</f>
        <v>175</v>
      </c>
      <c r="D22" s="402">
        <f>'No. of people trained '!D84</f>
        <v>437.5</v>
      </c>
      <c r="E22" s="402">
        <f>'No. of people trained '!E84</f>
        <v>612.5</v>
      </c>
      <c r="F22" s="402">
        <f>'No. of people trained '!F84</f>
        <v>787.5</v>
      </c>
      <c r="G22" s="402">
        <f>'No. of people trained '!G84</f>
        <v>1225</v>
      </c>
      <c r="H22" s="402">
        <f>'No. of people trained '!H84</f>
        <v>1400</v>
      </c>
      <c r="I22" s="402">
        <f>'No. of people trained '!I84</f>
        <v>1662.5</v>
      </c>
      <c r="J22" s="402">
        <f>'No. of people trained '!J84</f>
        <v>1837.5</v>
      </c>
      <c r="K22" s="402">
        <f>'No. of people trained '!K84</f>
        <v>13200</v>
      </c>
      <c r="L22" s="402">
        <f>'No. of people trained '!L84</f>
        <v>18240</v>
      </c>
      <c r="M22" s="402">
        <f>'No. of people trained '!M84</f>
        <v>20160</v>
      </c>
      <c r="N22" s="402">
        <f>'No. of people trained '!N84</f>
        <v>22560</v>
      </c>
      <c r="O22" s="402">
        <f>'No. of people trained '!O84</f>
        <v>23040</v>
      </c>
      <c r="P22" s="402">
        <f>'No. of people trained '!P84</f>
        <v>25440</v>
      </c>
      <c r="Q22" s="402">
        <f>'No. of people trained '!Q84</f>
        <v>27840</v>
      </c>
      <c r="R22" s="402">
        <f>'No. of people trained '!R84</f>
        <v>29760</v>
      </c>
    </row>
    <row r="23" spans="1:19" ht="15">
      <c r="A23" s="567" t="s">
        <v>831</v>
      </c>
      <c r="C23" s="402">
        <f>C22/C19</f>
        <v>87.5</v>
      </c>
      <c r="D23" s="402">
        <f t="shared" ref="D23:R23" si="6">D22/D19</f>
        <v>87.5</v>
      </c>
      <c r="E23" s="402">
        <f t="shared" si="6"/>
        <v>87.5</v>
      </c>
      <c r="F23" s="402">
        <f t="shared" si="6"/>
        <v>87.5</v>
      </c>
      <c r="G23" s="402">
        <f t="shared" si="6"/>
        <v>87.5</v>
      </c>
      <c r="H23" s="402">
        <f t="shared" si="6"/>
        <v>87.5</v>
      </c>
      <c r="I23" s="402">
        <f t="shared" si="6"/>
        <v>87.5</v>
      </c>
      <c r="J23" s="402">
        <f t="shared" si="6"/>
        <v>87.5</v>
      </c>
      <c r="K23" s="402">
        <f t="shared" si="6"/>
        <v>400</v>
      </c>
      <c r="L23" s="402">
        <f t="shared" si="6"/>
        <v>480</v>
      </c>
      <c r="M23" s="402">
        <f t="shared" si="6"/>
        <v>480</v>
      </c>
      <c r="N23" s="402">
        <f t="shared" si="6"/>
        <v>480</v>
      </c>
      <c r="O23" s="402">
        <f t="shared" si="6"/>
        <v>480</v>
      </c>
      <c r="P23" s="402">
        <f t="shared" si="6"/>
        <v>480</v>
      </c>
      <c r="Q23" s="402">
        <f t="shared" si="6"/>
        <v>480</v>
      </c>
      <c r="R23" s="402">
        <f t="shared" si="6"/>
        <v>480</v>
      </c>
    </row>
    <row r="24" spans="1:19" ht="15">
      <c r="A24" s="567" t="s">
        <v>830</v>
      </c>
      <c r="C24" s="404">
        <f>C20/C22*$A$2</f>
        <v>5485.7142857142853</v>
      </c>
      <c r="D24" s="404">
        <f t="shared" ref="D24:R24" si="7">D20/D22*$A$2</f>
        <v>5485.7142857142853</v>
      </c>
      <c r="E24" s="404">
        <f t="shared" si="7"/>
        <v>5485.7142857142862</v>
      </c>
      <c r="F24" s="404">
        <f t="shared" si="7"/>
        <v>5485.7142857142862</v>
      </c>
      <c r="G24" s="404">
        <f t="shared" si="7"/>
        <v>6034.2857142857138</v>
      </c>
      <c r="H24" s="404">
        <f t="shared" si="7"/>
        <v>6034.2857142857147</v>
      </c>
      <c r="I24" s="404">
        <f t="shared" si="7"/>
        <v>6034.2857142857138</v>
      </c>
      <c r="J24" s="404">
        <f t="shared" si="7"/>
        <v>6034.2857142857147</v>
      </c>
      <c r="K24" s="404">
        <f t="shared" si="7"/>
        <v>6594.5000000000018</v>
      </c>
      <c r="L24" s="404">
        <f t="shared" si="7"/>
        <v>7253.9500000000016</v>
      </c>
      <c r="M24" s="404">
        <f t="shared" si="7"/>
        <v>7979.345000000003</v>
      </c>
      <c r="N24" s="404">
        <f t="shared" si="7"/>
        <v>8777.2795000000042</v>
      </c>
      <c r="O24" s="404">
        <f t="shared" si="7"/>
        <v>9655.0074500000046</v>
      </c>
      <c r="P24" s="404">
        <f t="shared" si="7"/>
        <v>10620.508195000006</v>
      </c>
      <c r="Q24" s="404">
        <f t="shared" si="7"/>
        <v>11682.55901450001</v>
      </c>
      <c r="R24" s="404">
        <f t="shared" si="7"/>
        <v>12850.81491595001</v>
      </c>
    </row>
    <row r="25" spans="1:19" ht="15">
      <c r="A25" s="568"/>
    </row>
    <row r="26" spans="1:19" ht="15">
      <c r="A26" s="1159" t="s">
        <v>828</v>
      </c>
      <c r="C26" s="399">
        <f>('Exp  Assumptions'!G35+'Exp  Assumptions'!G103+'Exp  Assumptions'!G141)</f>
        <v>17.59</v>
      </c>
      <c r="D26" s="399">
        <f>('Exp  Assumptions'!H35+'Exp  Assumptions'!H103+'Exp  Assumptions'!H141)</f>
        <v>36.975000000000001</v>
      </c>
      <c r="E26" s="399">
        <f>('Exp  Assumptions'!I35+'Exp  Assumptions'!I103+'Exp  Assumptions'!I141)</f>
        <v>44.065000000000012</v>
      </c>
      <c r="F26" s="399">
        <f>('Exp  Assumptions'!J35+'Exp  Assumptions'!J103+'Exp  Assumptions'!J141)</f>
        <v>54.655000000000001</v>
      </c>
      <c r="G26" s="399">
        <f>('Exp  Assumptions'!K35+'Exp  Assumptions'!K103+'Exp  Assumptions'!K141)</f>
        <v>99.434720000000013</v>
      </c>
      <c r="H26" s="399">
        <f>('Exp  Assumptions'!L35+'Exp  Assumptions'!L103+'Exp  Assumptions'!L141)</f>
        <v>100.89200000000001</v>
      </c>
      <c r="I26" s="399">
        <f>('Exp  Assumptions'!M35+'Exp  Assumptions'!M103+'Exp  Assumptions'!M141)</f>
        <v>122.21550000000001</v>
      </c>
      <c r="J26" s="399">
        <f>('Exp  Assumptions'!N35+'Exp  Assumptions'!N103+'Exp  Assumptions'!N141)</f>
        <v>130.0145</v>
      </c>
      <c r="K26" s="399">
        <f>('Exp  Assumptions'!O35+'Exp  Assumptions'!O103+'Exp  Assumptions'!O141)</f>
        <v>896.53740000000005</v>
      </c>
      <c r="L26" s="399">
        <f>('Exp  Assumptions'!P35+'Exp  Assumptions'!P103+'Exp  Assumptions'!P141)</f>
        <v>1094.5345400000003</v>
      </c>
      <c r="M26" s="399">
        <f>('Exp  Assumptions'!Q35+'Exp  Assumptions'!Q103+'Exp  Assumptions'!Q141)</f>
        <v>1335.73079024</v>
      </c>
      <c r="N26" s="399">
        <f>('Exp  Assumptions'!R35+'Exp  Assumptions'!R103+'Exp  Assumptions'!R141)</f>
        <v>1631.3822096000001</v>
      </c>
      <c r="O26" s="399">
        <f>('Exp  Assumptions'!S35+'Exp  Assumptions'!S103+'Exp  Assumptions'!S141)</f>
        <v>1807.2402385400003</v>
      </c>
      <c r="P26" s="399">
        <f>('Exp  Assumptions'!T35+'Exp  Assumptions'!T103+'Exp  Assumptions'!T141)</f>
        <v>2221.6154426839998</v>
      </c>
      <c r="Q26" s="399">
        <f>('Exp  Assumptions'!U35+'Exp  Assumptions'!U103+'Exp  Assumptions'!U141)</f>
        <v>2670.7830419314</v>
      </c>
      <c r="R26" s="399">
        <f>('Exp  Assumptions'!V35+'Exp  Assumptions'!V103+'Exp  Assumptions'!V141)</f>
        <v>3129.3738575875595</v>
      </c>
    </row>
    <row r="27" spans="1:19" ht="15">
      <c r="A27" s="1159" t="s">
        <v>829</v>
      </c>
      <c r="C27" s="399">
        <f>C26/C19</f>
        <v>8.7949999999999999</v>
      </c>
      <c r="D27" s="399">
        <f t="shared" ref="D27:R27" si="8">D26/D19</f>
        <v>7.3950000000000005</v>
      </c>
      <c r="E27" s="399">
        <f t="shared" si="8"/>
        <v>6.2950000000000017</v>
      </c>
      <c r="F27" s="399">
        <f t="shared" si="8"/>
        <v>6.0727777777777776</v>
      </c>
      <c r="G27" s="399">
        <f t="shared" si="8"/>
        <v>7.1024800000000008</v>
      </c>
      <c r="H27" s="399">
        <f t="shared" si="8"/>
        <v>6.3057500000000006</v>
      </c>
      <c r="I27" s="399">
        <f t="shared" si="8"/>
        <v>6.4323947368421059</v>
      </c>
      <c r="J27" s="399">
        <f t="shared" si="8"/>
        <v>6.1911666666666667</v>
      </c>
      <c r="K27" s="399">
        <f t="shared" si="8"/>
        <v>27.1678</v>
      </c>
      <c r="L27" s="399">
        <f t="shared" si="8"/>
        <v>28.8035405263158</v>
      </c>
      <c r="M27" s="399">
        <f t="shared" si="8"/>
        <v>31.803114053333335</v>
      </c>
      <c r="N27" s="399">
        <f t="shared" si="8"/>
        <v>34.710259778723405</v>
      </c>
      <c r="O27" s="399">
        <f t="shared" si="8"/>
        <v>37.650838302916675</v>
      </c>
      <c r="P27" s="399">
        <f t="shared" si="8"/>
        <v>41.917272503471693</v>
      </c>
      <c r="Q27" s="399">
        <f t="shared" si="8"/>
        <v>46.047983481575862</v>
      </c>
      <c r="R27" s="399">
        <f t="shared" si="8"/>
        <v>50.473771896573538</v>
      </c>
    </row>
    <row r="28" spans="1:19" ht="15">
      <c r="A28" s="1159" t="s">
        <v>827</v>
      </c>
      <c r="C28" s="404">
        <f>C26/C22*$A$2</f>
        <v>10051.428571428571</v>
      </c>
      <c r="D28" s="404">
        <f t="shared" ref="D28:R28" si="9">D26/D22*$A$2</f>
        <v>8451.4285714285725</v>
      </c>
      <c r="E28" s="404">
        <f t="shared" si="9"/>
        <v>7194.2857142857156</v>
      </c>
      <c r="F28" s="404">
        <f t="shared" si="9"/>
        <v>6940.3174603174602</v>
      </c>
      <c r="G28" s="404">
        <f t="shared" si="9"/>
        <v>8117.1200000000017</v>
      </c>
      <c r="H28" s="404">
        <f t="shared" si="9"/>
        <v>7206.5714285714284</v>
      </c>
      <c r="I28" s="404">
        <f t="shared" si="9"/>
        <v>7351.3082706766918</v>
      </c>
      <c r="J28" s="404">
        <f t="shared" si="9"/>
        <v>7075.6190476190477</v>
      </c>
      <c r="K28" s="404">
        <f t="shared" si="9"/>
        <v>6791.9500000000007</v>
      </c>
      <c r="L28" s="404">
        <f t="shared" si="9"/>
        <v>6000.7376096491244</v>
      </c>
      <c r="M28" s="404">
        <f t="shared" si="9"/>
        <v>6625.6487611111106</v>
      </c>
      <c r="N28" s="404">
        <f t="shared" si="9"/>
        <v>7231.3041205673762</v>
      </c>
      <c r="O28" s="404">
        <f t="shared" si="9"/>
        <v>7843.9246464409734</v>
      </c>
      <c r="P28" s="404">
        <f t="shared" si="9"/>
        <v>8732.765104889937</v>
      </c>
      <c r="Q28" s="404">
        <f t="shared" si="9"/>
        <v>9593.3298919949721</v>
      </c>
      <c r="R28" s="404">
        <f t="shared" si="9"/>
        <v>10515.369145119488</v>
      </c>
    </row>
    <row r="31" spans="1:19" ht="26.25">
      <c r="A31" s="1369" t="s">
        <v>565</v>
      </c>
      <c r="B31" s="1369"/>
      <c r="C31" s="1369"/>
      <c r="D31" s="1369"/>
      <c r="E31" s="1369"/>
      <c r="F31" s="1369"/>
      <c r="G31" s="1369"/>
      <c r="H31" s="1369"/>
      <c r="I31" s="1369"/>
      <c r="J31" s="1369"/>
      <c r="K31" s="1369"/>
      <c r="L31" s="1369"/>
      <c r="M31" s="1369"/>
      <c r="N31" s="1369"/>
      <c r="O31" s="1369"/>
      <c r="P31" s="1369"/>
      <c r="Q31" s="1369"/>
      <c r="R31" s="1369"/>
      <c r="S31" s="1369"/>
    </row>
    <row r="32" spans="1:19" ht="20.25">
      <c r="A32" s="1371" t="s">
        <v>544</v>
      </c>
      <c r="B32" s="1371"/>
      <c r="C32" s="1371"/>
      <c r="D32" s="1371"/>
      <c r="E32" s="1371"/>
      <c r="F32" s="1371"/>
      <c r="G32" s="1371"/>
      <c r="H32" s="1371"/>
      <c r="I32" s="1371"/>
      <c r="J32" s="1371"/>
      <c r="K32" s="1371"/>
      <c r="L32" s="1371"/>
      <c r="M32" s="1371"/>
      <c r="N32" s="1371"/>
      <c r="O32" s="1371"/>
      <c r="P32" s="1371"/>
      <c r="Q32" s="1371"/>
      <c r="R32" s="1371"/>
      <c r="S32" s="1371"/>
    </row>
    <row r="33" spans="1:20">
      <c r="S33" s="573"/>
    </row>
    <row r="34" spans="1:20" ht="15.75">
      <c r="A34" s="572" t="s">
        <v>545</v>
      </c>
      <c r="S34" s="573"/>
    </row>
    <row r="35" spans="1:20">
      <c r="A35" s="565" t="s">
        <v>547</v>
      </c>
      <c r="B35" s="565"/>
      <c r="C35" s="565">
        <f>'Exp  Assumptions'!G53</f>
        <v>3</v>
      </c>
      <c r="D35" s="565">
        <f>'Exp  Assumptions'!H53</f>
        <v>3</v>
      </c>
      <c r="E35" s="565">
        <f>'Exp  Assumptions'!I53</f>
        <v>3</v>
      </c>
      <c r="F35" s="565">
        <f>'Exp  Assumptions'!J53</f>
        <v>3</v>
      </c>
      <c r="G35" s="565">
        <f>'Exp  Assumptions'!K53</f>
        <v>3</v>
      </c>
      <c r="H35" s="565">
        <f>'Exp  Assumptions'!L53</f>
        <v>3</v>
      </c>
      <c r="I35" s="565">
        <f>'Exp  Assumptions'!M53</f>
        <v>3</v>
      </c>
      <c r="J35" s="565">
        <f>'Exp  Assumptions'!N53</f>
        <v>3</v>
      </c>
      <c r="K35" s="565">
        <f>'Exp  Assumptions'!O53</f>
        <v>12</v>
      </c>
      <c r="L35" s="565">
        <f>'Exp  Assumptions'!P53</f>
        <v>12.6</v>
      </c>
      <c r="M35" s="565">
        <f>'Exp  Assumptions'!Q53</f>
        <v>12.6</v>
      </c>
      <c r="N35" s="565">
        <f>'Exp  Assumptions'!R53</f>
        <v>12.6</v>
      </c>
      <c r="O35" s="565">
        <f>'Exp  Assumptions'!S53</f>
        <v>13.23</v>
      </c>
      <c r="P35" s="565">
        <f>'Exp  Assumptions'!T53</f>
        <v>13.23</v>
      </c>
      <c r="Q35" s="565">
        <f>'Exp  Assumptions'!U53</f>
        <v>13.23</v>
      </c>
      <c r="R35" s="565">
        <f>'Exp  Assumptions'!V53</f>
        <v>13.891500000000001</v>
      </c>
      <c r="S35" s="591">
        <f>SUM(C35:R35)</f>
        <v>127.38150000000002</v>
      </c>
      <c r="T35" s="408"/>
    </row>
    <row r="36" spans="1:20">
      <c r="A36" s="565" t="s">
        <v>548</v>
      </c>
      <c r="B36" s="565"/>
      <c r="C36" s="565">
        <f>'Exp  Assumptions'!G18</f>
        <v>17.909999999999997</v>
      </c>
      <c r="D36" s="565">
        <f>'Exp  Assumptions'!H18</f>
        <v>17.909999999999997</v>
      </c>
      <c r="E36" s="565">
        <f>'Exp  Assumptions'!I18</f>
        <v>17.909999999999997</v>
      </c>
      <c r="F36" s="565">
        <f>'Exp  Assumptions'!J18</f>
        <v>17.909999999999997</v>
      </c>
      <c r="G36" s="565">
        <f>'Exp  Assumptions'!K18</f>
        <v>19.701000000000001</v>
      </c>
      <c r="H36" s="565">
        <f>'Exp  Assumptions'!L18</f>
        <v>19.701000000000001</v>
      </c>
      <c r="I36" s="565">
        <f>'Exp  Assumptions'!M18</f>
        <v>19.701000000000001</v>
      </c>
      <c r="J36" s="565">
        <f>'Exp  Assumptions'!N18</f>
        <v>19.701000000000001</v>
      </c>
      <c r="K36" s="565">
        <f>'Exp  Assumptions'!O18</f>
        <v>86.684400000000011</v>
      </c>
      <c r="L36" s="565">
        <f>'Exp  Assumptions'!P18</f>
        <v>90.67159199999999</v>
      </c>
      <c r="M36" s="565">
        <f>'Exp  Assumptions'!Q18</f>
        <v>125.30106600000002</v>
      </c>
      <c r="N36" s="565">
        <f>'Exp  Assumptions'!R18</f>
        <v>133.55859000000001</v>
      </c>
      <c r="O36" s="565">
        <f>'Exp  Assumptions'!S18</f>
        <v>142.64186640000003</v>
      </c>
      <c r="P36" s="565">
        <f>'Exp  Assumptions'!T18</f>
        <v>156.90605304000002</v>
      </c>
      <c r="Q36" s="565">
        <f>'Exp  Assumptions'!U18</f>
        <v>172.59665834400005</v>
      </c>
      <c r="R36" s="565">
        <f>'Exp  Assumptions'!V18</f>
        <v>184.68649923240002</v>
      </c>
      <c r="S36" s="591">
        <f t="shared" ref="S36:S43" si="10">SUM(C36:R36)</f>
        <v>1243.4907250164001</v>
      </c>
      <c r="T36" s="408"/>
    </row>
    <row r="37" spans="1:20">
      <c r="A37" s="571" t="s">
        <v>199</v>
      </c>
      <c r="B37" s="565"/>
      <c r="C37" s="565">
        <f>'Exp  Assumptions'!G55</f>
        <v>0.69000000000000006</v>
      </c>
      <c r="D37" s="565">
        <f>'Exp  Assumptions'!H55</f>
        <v>0.69000000000000006</v>
      </c>
      <c r="E37" s="565">
        <f>'Exp  Assumptions'!I55</f>
        <v>0.69000000000000006</v>
      </c>
      <c r="F37" s="565">
        <f>'Exp  Assumptions'!J55</f>
        <v>0.69000000000000006</v>
      </c>
      <c r="G37" s="565">
        <f>'Exp  Assumptions'!K55</f>
        <v>0.75900000000000012</v>
      </c>
      <c r="H37" s="565">
        <f>'Exp  Assumptions'!L55</f>
        <v>0.75900000000000012</v>
      </c>
      <c r="I37" s="565">
        <f>'Exp  Assumptions'!M55</f>
        <v>0.75900000000000012</v>
      </c>
      <c r="J37" s="565">
        <f>'Exp  Assumptions'!N55</f>
        <v>0.75900000000000012</v>
      </c>
      <c r="K37" s="565">
        <f>'Exp  Assumptions'!O55</f>
        <v>3.3396000000000008</v>
      </c>
      <c r="L37" s="565">
        <f>'Exp  Assumptions'!P55</f>
        <v>3.673560000000001</v>
      </c>
      <c r="M37" s="565">
        <f>'Exp  Assumptions'!Q55</f>
        <v>4.0409160000000011</v>
      </c>
      <c r="N37" s="565">
        <f>'Exp  Assumptions'!R55</f>
        <v>4.4450076000000012</v>
      </c>
      <c r="O37" s="565">
        <f>'Exp  Assumptions'!S55</f>
        <v>4.8895083600000016</v>
      </c>
      <c r="P37" s="565">
        <f>'Exp  Assumptions'!T55</f>
        <v>5.3784591960000023</v>
      </c>
      <c r="Q37" s="565">
        <f>'Exp  Assumptions'!U55</f>
        <v>5.9163051156000028</v>
      </c>
      <c r="R37" s="565">
        <f>'Exp  Assumptions'!V55</f>
        <v>6.5079356271600037</v>
      </c>
      <c r="S37" s="591">
        <f t="shared" si="10"/>
        <v>43.987291898760006</v>
      </c>
      <c r="T37" s="408"/>
    </row>
    <row r="38" spans="1:20" ht="15">
      <c r="A38" s="570" t="s">
        <v>201</v>
      </c>
      <c r="B38" s="565"/>
      <c r="C38" s="565">
        <f>'Exp  Assumptions'!G56</f>
        <v>0.24</v>
      </c>
      <c r="D38" s="565">
        <f>'Exp  Assumptions'!H56</f>
        <v>0.24</v>
      </c>
      <c r="E38" s="565">
        <f>'Exp  Assumptions'!I56</f>
        <v>0.24</v>
      </c>
      <c r="F38" s="565">
        <f>'Exp  Assumptions'!J56</f>
        <v>0.24</v>
      </c>
      <c r="G38" s="565">
        <f>'Exp  Assumptions'!K56</f>
        <v>0.26400000000000001</v>
      </c>
      <c r="H38" s="565">
        <f>'Exp  Assumptions'!L56</f>
        <v>0.26400000000000001</v>
      </c>
      <c r="I38" s="565">
        <f>'Exp  Assumptions'!M56</f>
        <v>0.26400000000000001</v>
      </c>
      <c r="J38" s="565">
        <f>'Exp  Assumptions'!N56</f>
        <v>0.26400000000000001</v>
      </c>
      <c r="K38" s="565">
        <f>'Exp  Assumptions'!O56</f>
        <v>1.1616000000000002</v>
      </c>
      <c r="L38" s="565">
        <f>'Exp  Assumptions'!P56</f>
        <v>1.2777600000000002</v>
      </c>
      <c r="M38" s="565">
        <f>'Exp  Assumptions'!Q56</f>
        <v>1.4055360000000003</v>
      </c>
      <c r="N38" s="565">
        <f>'Exp  Assumptions'!R56</f>
        <v>1.5460896000000004</v>
      </c>
      <c r="O38" s="565">
        <f>'Exp  Assumptions'!S56</f>
        <v>1.7006985600000006</v>
      </c>
      <c r="P38" s="565">
        <f>'Exp  Assumptions'!T56</f>
        <v>1.8707684160000009</v>
      </c>
      <c r="Q38" s="565">
        <f>'Exp  Assumptions'!U56</f>
        <v>2.0578452576000013</v>
      </c>
      <c r="R38" s="565">
        <f>'Exp  Assumptions'!V56</f>
        <v>2.2636297833600016</v>
      </c>
      <c r="S38" s="591">
        <f t="shared" si="10"/>
        <v>15.299927616960005</v>
      </c>
      <c r="T38" s="408"/>
    </row>
    <row r="39" spans="1:20" ht="15">
      <c r="A39" s="570" t="s">
        <v>202</v>
      </c>
      <c r="B39" s="565"/>
      <c r="C39" s="565">
        <f>'Exp  Assumptions'!G57</f>
        <v>0.48</v>
      </c>
      <c r="D39" s="565">
        <f>'Exp  Assumptions'!H57</f>
        <v>0.48</v>
      </c>
      <c r="E39" s="565">
        <f>'Exp  Assumptions'!I57</f>
        <v>0.48</v>
      </c>
      <c r="F39" s="565">
        <f>'Exp  Assumptions'!J57</f>
        <v>0.48</v>
      </c>
      <c r="G39" s="565">
        <f>'Exp  Assumptions'!K57</f>
        <v>0.52800000000000002</v>
      </c>
      <c r="H39" s="565">
        <f>'Exp  Assumptions'!L57</f>
        <v>0.52800000000000002</v>
      </c>
      <c r="I39" s="565">
        <f>'Exp  Assumptions'!M57</f>
        <v>0.52800000000000002</v>
      </c>
      <c r="J39" s="565">
        <f>'Exp  Assumptions'!N57</f>
        <v>0.52800000000000002</v>
      </c>
      <c r="K39" s="565">
        <f>'Exp  Assumptions'!O57</f>
        <v>2.3232000000000004</v>
      </c>
      <c r="L39" s="565">
        <f>'Exp  Assumptions'!P57</f>
        <v>2.5555200000000005</v>
      </c>
      <c r="M39" s="565">
        <f>'Exp  Assumptions'!Q57</f>
        <v>2.8110720000000007</v>
      </c>
      <c r="N39" s="565">
        <f>'Exp  Assumptions'!R57</f>
        <v>3.0921792000000008</v>
      </c>
      <c r="O39" s="565">
        <f>'Exp  Assumptions'!S57</f>
        <v>3.4013971200000013</v>
      </c>
      <c r="P39" s="565">
        <f>'Exp  Assumptions'!T57</f>
        <v>3.7415368320000018</v>
      </c>
      <c r="Q39" s="565">
        <f>'Exp  Assumptions'!U57</f>
        <v>4.1156905152000025</v>
      </c>
      <c r="R39" s="565">
        <f>'Exp  Assumptions'!V57</f>
        <v>4.5272595667200033</v>
      </c>
      <c r="S39" s="591">
        <f t="shared" si="10"/>
        <v>30.59985523392001</v>
      </c>
      <c r="T39" s="408"/>
    </row>
    <row r="40" spans="1:20" ht="15">
      <c r="A40" s="507" t="s">
        <v>198</v>
      </c>
      <c r="B40" s="565"/>
      <c r="C40" s="565">
        <f>'Exp  Assumptions'!G59</f>
        <v>0.54</v>
      </c>
      <c r="D40" s="565">
        <f>'Exp  Assumptions'!H59</f>
        <v>0.54</v>
      </c>
      <c r="E40" s="565">
        <f>'Exp  Assumptions'!I59</f>
        <v>0.54</v>
      </c>
      <c r="F40" s="565">
        <f>'Exp  Assumptions'!J59</f>
        <v>0.54</v>
      </c>
      <c r="G40" s="565">
        <f>'Exp  Assumptions'!K59</f>
        <v>0.59400000000000008</v>
      </c>
      <c r="H40" s="565">
        <f>'Exp  Assumptions'!L59</f>
        <v>0.59400000000000008</v>
      </c>
      <c r="I40" s="565">
        <f>'Exp  Assumptions'!M59</f>
        <v>0.59400000000000008</v>
      </c>
      <c r="J40" s="565">
        <f>'Exp  Assumptions'!N59</f>
        <v>0.59400000000000008</v>
      </c>
      <c r="K40" s="565">
        <f>'Exp  Assumptions'!O59</f>
        <v>2.6136000000000004</v>
      </c>
      <c r="L40" s="565">
        <f>'Exp  Assumptions'!P59</f>
        <v>2.8749600000000006</v>
      </c>
      <c r="M40" s="565">
        <f>'Exp  Assumptions'!Q59</f>
        <v>3.162456000000001</v>
      </c>
      <c r="N40" s="565">
        <f>'Exp  Assumptions'!R59</f>
        <v>3.4787016000000013</v>
      </c>
      <c r="O40" s="565">
        <f>'Exp  Assumptions'!S59</f>
        <v>3.8265717600000015</v>
      </c>
      <c r="P40" s="565">
        <f>'Exp  Assumptions'!T59</f>
        <v>4.2092289360000024</v>
      </c>
      <c r="Q40" s="565">
        <f>'Exp  Assumptions'!U59</f>
        <v>4.6301518296000026</v>
      </c>
      <c r="R40" s="565">
        <f>'Exp  Assumptions'!V59</f>
        <v>5.093167012560003</v>
      </c>
      <c r="S40" s="591">
        <f t="shared" si="10"/>
        <v>34.424837138160015</v>
      </c>
      <c r="T40" s="408"/>
    </row>
    <row r="41" spans="1:20" ht="15">
      <c r="A41" s="507" t="s">
        <v>240</v>
      </c>
      <c r="B41" s="565"/>
      <c r="C41" s="565">
        <f>'Exp  Assumptions'!G62</f>
        <v>0.89999999999999991</v>
      </c>
      <c r="D41" s="565">
        <f>'Exp  Assumptions'!H62</f>
        <v>0.89999999999999991</v>
      </c>
      <c r="E41" s="565">
        <f>'Exp  Assumptions'!I62</f>
        <v>0.89999999999999991</v>
      </c>
      <c r="F41" s="565">
        <f>'Exp  Assumptions'!J62</f>
        <v>0.89999999999999991</v>
      </c>
      <c r="G41" s="565">
        <f>'Exp  Assumptions'!K62</f>
        <v>0.99</v>
      </c>
      <c r="H41" s="565">
        <f>'Exp  Assumptions'!L62</f>
        <v>0.99</v>
      </c>
      <c r="I41" s="565">
        <f>'Exp  Assumptions'!M62</f>
        <v>0.99</v>
      </c>
      <c r="J41" s="565">
        <f>'Exp  Assumptions'!N62</f>
        <v>0.99</v>
      </c>
      <c r="K41" s="565">
        <f>'Exp  Assumptions'!O62</f>
        <v>4.3559999999999999</v>
      </c>
      <c r="L41" s="565">
        <f>'Exp  Assumptions'!P62</f>
        <v>4.7915999999999999</v>
      </c>
      <c r="M41" s="565">
        <f>'Exp  Assumptions'!Q62</f>
        <v>5.2707600000000001</v>
      </c>
      <c r="N41" s="565">
        <f>'Exp  Assumptions'!R62</f>
        <v>5.7978360000000002</v>
      </c>
      <c r="O41" s="565">
        <f>'Exp  Assumptions'!S62</f>
        <v>6.3776196000000009</v>
      </c>
      <c r="P41" s="565">
        <f>'Exp  Assumptions'!T62</f>
        <v>7.0153815600000016</v>
      </c>
      <c r="Q41" s="565">
        <f>'Exp  Assumptions'!U62</f>
        <v>7.7169197160000023</v>
      </c>
      <c r="R41" s="565">
        <f>'Exp  Assumptions'!V62</f>
        <v>8.4886116876000024</v>
      </c>
      <c r="S41" s="591">
        <f t="shared" si="10"/>
        <v>57.374728563600002</v>
      </c>
      <c r="T41" s="408"/>
    </row>
    <row r="42" spans="1:20" ht="15">
      <c r="A42" s="507" t="s">
        <v>549</v>
      </c>
      <c r="B42" s="565"/>
      <c r="C42" s="565">
        <f>'Exp  Assumptions'!G67</f>
        <v>2.5</v>
      </c>
      <c r="D42" s="565">
        <f>'Exp  Assumptions'!H67</f>
        <v>2.5</v>
      </c>
      <c r="E42" s="565">
        <f>'Exp  Assumptions'!I67</f>
        <v>2.5</v>
      </c>
      <c r="F42" s="565">
        <f>'Exp  Assumptions'!J67</f>
        <v>2.5</v>
      </c>
      <c r="G42" s="565">
        <f>'Exp  Assumptions'!K67</f>
        <v>2.5</v>
      </c>
      <c r="H42" s="565">
        <f>'Exp  Assumptions'!L67</f>
        <v>2.5</v>
      </c>
      <c r="I42" s="565">
        <f>'Exp  Assumptions'!M67</f>
        <v>2.5</v>
      </c>
      <c r="J42" s="565">
        <f>'Exp  Assumptions'!N67</f>
        <v>2.5</v>
      </c>
      <c r="K42" s="565">
        <f>'Exp  Assumptions'!O67</f>
        <v>10</v>
      </c>
      <c r="L42" s="565">
        <f>'Exp  Assumptions'!P67</f>
        <v>5</v>
      </c>
      <c r="M42" s="565">
        <f>'Exp  Assumptions'!Q67</f>
        <v>5.5</v>
      </c>
      <c r="N42" s="565">
        <f>'Exp  Assumptions'!R67</f>
        <v>6.0500000000000007</v>
      </c>
      <c r="O42" s="565">
        <f>'Exp  Assumptions'!S67</f>
        <v>6.6550000000000011</v>
      </c>
      <c r="P42" s="565">
        <f>'Exp  Assumptions'!T67</f>
        <v>7.3205000000000018</v>
      </c>
      <c r="Q42" s="565">
        <f>'Exp  Assumptions'!U67</f>
        <v>8.0525500000000019</v>
      </c>
      <c r="R42" s="565">
        <f>'Exp  Assumptions'!V67</f>
        <v>8.8578050000000026</v>
      </c>
      <c r="S42" s="591">
        <f t="shared" si="10"/>
        <v>77.435855000000004</v>
      </c>
      <c r="T42" s="408"/>
    </row>
    <row r="43" spans="1:20" ht="15">
      <c r="A43" s="507" t="s">
        <v>290</v>
      </c>
      <c r="B43" s="565"/>
      <c r="C43" s="565">
        <f>'Exp  Assumptions'!G64</f>
        <v>0.44999999999999996</v>
      </c>
      <c r="D43" s="565">
        <f>'Exp  Assumptions'!H64</f>
        <v>0.44999999999999996</v>
      </c>
      <c r="E43" s="565">
        <f>'Exp  Assumptions'!I64</f>
        <v>0.44999999999999996</v>
      </c>
      <c r="F43" s="565">
        <f>'Exp  Assumptions'!J64</f>
        <v>0.44999999999999996</v>
      </c>
      <c r="G43" s="565">
        <f>'Exp  Assumptions'!K64</f>
        <v>0.495</v>
      </c>
      <c r="H43" s="565">
        <f>'Exp  Assumptions'!L64</f>
        <v>0.495</v>
      </c>
      <c r="I43" s="565">
        <f>'Exp  Assumptions'!M64</f>
        <v>0.495</v>
      </c>
      <c r="J43" s="565">
        <f>'Exp  Assumptions'!N64</f>
        <v>0.495</v>
      </c>
      <c r="K43" s="565">
        <f>'Exp  Assumptions'!O64</f>
        <v>2.1779999999999999</v>
      </c>
      <c r="L43" s="565">
        <f>'Exp  Assumptions'!P64</f>
        <v>2.3957999999999999</v>
      </c>
      <c r="M43" s="565">
        <f>'Exp  Assumptions'!Q64</f>
        <v>2.6353800000000001</v>
      </c>
      <c r="N43" s="565">
        <f>'Exp  Assumptions'!R64</f>
        <v>2.8989180000000001</v>
      </c>
      <c r="O43" s="565">
        <f>'Exp  Assumptions'!S64</f>
        <v>3.1888098000000005</v>
      </c>
      <c r="P43" s="565">
        <f>'Exp  Assumptions'!T64</f>
        <v>3.5076907800000008</v>
      </c>
      <c r="Q43" s="565">
        <f>'Exp  Assumptions'!U64</f>
        <v>3.8584598580000011</v>
      </c>
      <c r="R43" s="565">
        <f>'Exp  Assumptions'!V64</f>
        <v>4.2443058438000012</v>
      </c>
      <c r="S43" s="591">
        <f t="shared" si="10"/>
        <v>28.687364281800001</v>
      </c>
      <c r="T43" s="408"/>
    </row>
    <row r="44" spans="1:20">
      <c r="A44" s="589" t="s">
        <v>6</v>
      </c>
      <c r="B44" s="589"/>
      <c r="C44" s="589">
        <f t="shared" ref="C44:S44" si="11">SUM(C35:C43)</f>
        <v>26.709999999999994</v>
      </c>
      <c r="D44" s="589">
        <f t="shared" si="11"/>
        <v>26.709999999999994</v>
      </c>
      <c r="E44" s="589">
        <f t="shared" si="11"/>
        <v>26.709999999999994</v>
      </c>
      <c r="F44" s="589">
        <f t="shared" si="11"/>
        <v>26.709999999999994</v>
      </c>
      <c r="G44" s="589">
        <f t="shared" si="11"/>
        <v>28.831</v>
      </c>
      <c r="H44" s="589">
        <f t="shared" si="11"/>
        <v>28.831</v>
      </c>
      <c r="I44" s="589">
        <f t="shared" si="11"/>
        <v>28.831</v>
      </c>
      <c r="J44" s="589">
        <f t="shared" si="11"/>
        <v>28.831</v>
      </c>
      <c r="K44" s="589">
        <f t="shared" si="11"/>
        <v>124.65640000000002</v>
      </c>
      <c r="L44" s="589">
        <f t="shared" si="11"/>
        <v>125.84079199999998</v>
      </c>
      <c r="M44" s="589">
        <f t="shared" si="11"/>
        <v>162.72718600000002</v>
      </c>
      <c r="N44" s="589">
        <f t="shared" si="11"/>
        <v>173.467322</v>
      </c>
      <c r="O44" s="589">
        <f t="shared" si="11"/>
        <v>185.91147160000006</v>
      </c>
      <c r="P44" s="589">
        <f t="shared" si="11"/>
        <v>203.17961876000001</v>
      </c>
      <c r="Q44" s="589">
        <f t="shared" si="11"/>
        <v>222.17458063600009</v>
      </c>
      <c r="R44" s="589">
        <f t="shared" si="11"/>
        <v>238.56071375360006</v>
      </c>
      <c r="S44" s="589">
        <f t="shared" si="11"/>
        <v>1658.6820847496001</v>
      </c>
      <c r="T44" s="408"/>
    </row>
    <row r="45" spans="1:20">
      <c r="S45" s="573"/>
    </row>
    <row r="46" spans="1:20" ht="15.75">
      <c r="A46" s="572" t="s">
        <v>546</v>
      </c>
      <c r="S46" s="573"/>
    </row>
    <row r="47" spans="1:20" ht="15">
      <c r="A47" s="507" t="s">
        <v>203</v>
      </c>
      <c r="B47" s="565"/>
      <c r="C47" s="565">
        <f>'Exp  Assumptions'!G58</f>
        <v>0.66</v>
      </c>
      <c r="D47" s="565">
        <f>'Exp  Assumptions'!H58</f>
        <v>0.66</v>
      </c>
      <c r="E47" s="565">
        <f>'Exp  Assumptions'!I58</f>
        <v>0.66</v>
      </c>
      <c r="F47" s="565">
        <f>'Exp  Assumptions'!J58</f>
        <v>0.66</v>
      </c>
      <c r="G47" s="565">
        <f>'Exp  Assumptions'!K58</f>
        <v>0.72600000000000009</v>
      </c>
      <c r="H47" s="565">
        <f>'Exp  Assumptions'!L58</f>
        <v>0.72600000000000009</v>
      </c>
      <c r="I47" s="565">
        <f>'Exp  Assumptions'!M58</f>
        <v>0.72600000000000009</v>
      </c>
      <c r="J47" s="565">
        <f>'Exp  Assumptions'!N58</f>
        <v>0.72600000000000009</v>
      </c>
      <c r="K47" s="565">
        <f>'Exp  Assumptions'!O58</f>
        <v>3.1944000000000008</v>
      </c>
      <c r="L47" s="565">
        <f>'Exp  Assumptions'!P58</f>
        <v>3.513840000000001</v>
      </c>
      <c r="M47" s="565">
        <f>'Exp  Assumptions'!Q58</f>
        <v>3.8652240000000013</v>
      </c>
      <c r="N47" s="565">
        <f>'Exp  Assumptions'!R58</f>
        <v>4.2517464000000018</v>
      </c>
      <c r="O47" s="565">
        <f>'Exp  Assumptions'!S58</f>
        <v>4.6769210400000025</v>
      </c>
      <c r="P47" s="565">
        <f>'Exp  Assumptions'!T58</f>
        <v>5.1446131440000036</v>
      </c>
      <c r="Q47" s="565">
        <f>'Exp  Assumptions'!U58</f>
        <v>5.6590744584000046</v>
      </c>
      <c r="R47" s="565">
        <f>'Exp  Assumptions'!V58</f>
        <v>6.2249819042400052</v>
      </c>
      <c r="S47" s="591">
        <f>SUM(C47:R47)</f>
        <v>42.074800946640025</v>
      </c>
    </row>
    <row r="48" spans="1:20" ht="15">
      <c r="A48" s="507" t="s">
        <v>204</v>
      </c>
      <c r="B48" s="565"/>
      <c r="C48" s="565">
        <f>'Exp  Assumptions'!G60</f>
        <v>0.24</v>
      </c>
      <c r="D48" s="565">
        <f>'Exp  Assumptions'!H60</f>
        <v>0.24</v>
      </c>
      <c r="E48" s="565">
        <f>'Exp  Assumptions'!I60</f>
        <v>0.24</v>
      </c>
      <c r="F48" s="565">
        <f>'Exp  Assumptions'!J60</f>
        <v>0.24</v>
      </c>
      <c r="G48" s="565">
        <f>'Exp  Assumptions'!K60</f>
        <v>0.26400000000000001</v>
      </c>
      <c r="H48" s="565">
        <f>'Exp  Assumptions'!L60</f>
        <v>0.26400000000000001</v>
      </c>
      <c r="I48" s="565">
        <f>'Exp  Assumptions'!M60</f>
        <v>0.26400000000000001</v>
      </c>
      <c r="J48" s="565">
        <f>'Exp  Assumptions'!N60</f>
        <v>0.26400000000000001</v>
      </c>
      <c r="K48" s="565">
        <f>'Exp  Assumptions'!O60</f>
        <v>1.1616000000000002</v>
      </c>
      <c r="L48" s="565">
        <f>'Exp  Assumptions'!P60</f>
        <v>1.2777600000000002</v>
      </c>
      <c r="M48" s="565">
        <f>'Exp  Assumptions'!Q60</f>
        <v>1.4055360000000003</v>
      </c>
      <c r="N48" s="565">
        <f>'Exp  Assumptions'!R60</f>
        <v>1.5460896000000004</v>
      </c>
      <c r="O48" s="565">
        <f>'Exp  Assumptions'!S60</f>
        <v>1.7006985600000006</v>
      </c>
      <c r="P48" s="565">
        <f>'Exp  Assumptions'!T60</f>
        <v>1.8707684160000009</v>
      </c>
      <c r="Q48" s="565">
        <f>'Exp  Assumptions'!U60</f>
        <v>2.0578452576000013</v>
      </c>
      <c r="R48" s="565">
        <f>'Exp  Assumptions'!V60</f>
        <v>2.2636297833600016</v>
      </c>
      <c r="S48" s="591">
        <f t="shared" ref="S48:S54" si="12">SUM(C48:R48)</f>
        <v>15.299927616960005</v>
      </c>
    </row>
    <row r="49" spans="1:20" ht="15">
      <c r="A49" s="507" t="s">
        <v>392</v>
      </c>
      <c r="B49" s="565"/>
      <c r="C49" s="565">
        <f>'Exp  Assumptions'!G61</f>
        <v>0.75</v>
      </c>
      <c r="D49" s="565">
        <f>'Exp  Assumptions'!H61</f>
        <v>0.75</v>
      </c>
      <c r="E49" s="565">
        <f>'Exp  Assumptions'!I61</f>
        <v>0.75</v>
      </c>
      <c r="F49" s="565">
        <f>'Exp  Assumptions'!J61</f>
        <v>0.75</v>
      </c>
      <c r="G49" s="565">
        <f>'Exp  Assumptions'!K61</f>
        <v>0.82500000000000007</v>
      </c>
      <c r="H49" s="565">
        <f>'Exp  Assumptions'!L61</f>
        <v>0.82500000000000007</v>
      </c>
      <c r="I49" s="565">
        <f>'Exp  Assumptions'!M61</f>
        <v>0.82500000000000007</v>
      </c>
      <c r="J49" s="565">
        <f>'Exp  Assumptions'!N61</f>
        <v>0.82500000000000007</v>
      </c>
      <c r="K49" s="565">
        <f>'Exp  Assumptions'!O61</f>
        <v>3.6300000000000008</v>
      </c>
      <c r="L49" s="565">
        <f>'Exp  Assumptions'!P61</f>
        <v>3.9930000000000012</v>
      </c>
      <c r="M49" s="565">
        <f>'Exp  Assumptions'!Q61</f>
        <v>4.3923000000000014</v>
      </c>
      <c r="N49" s="565">
        <f>'Exp  Assumptions'!R61</f>
        <v>4.8315300000000017</v>
      </c>
      <c r="O49" s="565">
        <f>'Exp  Assumptions'!S61</f>
        <v>5.3146830000000023</v>
      </c>
      <c r="P49" s="565">
        <f>'Exp  Assumptions'!T61</f>
        <v>5.8461513000000034</v>
      </c>
      <c r="Q49" s="565">
        <f>'Exp  Assumptions'!U61</f>
        <v>6.4307664300000038</v>
      </c>
      <c r="R49" s="565">
        <f>'Exp  Assumptions'!V61</f>
        <v>7.0738430730000044</v>
      </c>
      <c r="S49" s="591">
        <f t="shared" si="12"/>
        <v>47.812273803000025</v>
      </c>
    </row>
    <row r="50" spans="1:20" ht="15">
      <c r="A50" s="507" t="s">
        <v>485</v>
      </c>
      <c r="B50" s="565"/>
      <c r="C50" s="565">
        <f>'Exp  Assumptions'!G63</f>
        <v>0.60000000000000009</v>
      </c>
      <c r="D50" s="565">
        <f>'Exp  Assumptions'!H63</f>
        <v>0.60000000000000009</v>
      </c>
      <c r="E50" s="565">
        <f>'Exp  Assumptions'!I63</f>
        <v>0.60000000000000009</v>
      </c>
      <c r="F50" s="565">
        <f>'Exp  Assumptions'!J63</f>
        <v>0.60000000000000009</v>
      </c>
      <c r="G50" s="565">
        <f>'Exp  Assumptions'!K63</f>
        <v>0.66000000000000014</v>
      </c>
      <c r="H50" s="565">
        <f>'Exp  Assumptions'!L63</f>
        <v>0.66000000000000014</v>
      </c>
      <c r="I50" s="565">
        <f>'Exp  Assumptions'!M63</f>
        <v>0.66000000000000014</v>
      </c>
      <c r="J50" s="565">
        <f>'Exp  Assumptions'!N63</f>
        <v>0.66000000000000014</v>
      </c>
      <c r="K50" s="565">
        <f>'Exp  Assumptions'!O63</f>
        <v>2.9040000000000008</v>
      </c>
      <c r="L50" s="565">
        <f>'Exp  Assumptions'!P63</f>
        <v>3.1944000000000012</v>
      </c>
      <c r="M50" s="565">
        <f>'Exp  Assumptions'!Q63</f>
        <v>3.5138400000000019</v>
      </c>
      <c r="N50" s="565">
        <f>'Exp  Assumptions'!R63</f>
        <v>3.8652240000000022</v>
      </c>
      <c r="O50" s="565">
        <f>'Exp  Assumptions'!S63</f>
        <v>4.2517464000000027</v>
      </c>
      <c r="P50" s="565">
        <f>'Exp  Assumptions'!T63</f>
        <v>4.6769210400000034</v>
      </c>
      <c r="Q50" s="565">
        <f>'Exp  Assumptions'!U63</f>
        <v>5.1446131440000045</v>
      </c>
      <c r="R50" s="565">
        <f>'Exp  Assumptions'!V63</f>
        <v>5.6590744584000054</v>
      </c>
      <c r="S50" s="591">
        <f t="shared" si="12"/>
        <v>38.249819042400027</v>
      </c>
    </row>
    <row r="51" spans="1:20" ht="15">
      <c r="A51" s="570" t="s">
        <v>229</v>
      </c>
      <c r="B51" s="565"/>
      <c r="C51" s="565">
        <f>'Exp  Assumptions'!G65</f>
        <v>0.89999999999999991</v>
      </c>
      <c r="D51" s="565">
        <f>'Exp  Assumptions'!H65</f>
        <v>0.89999999999999991</v>
      </c>
      <c r="E51" s="565">
        <f>'Exp  Assumptions'!I65</f>
        <v>0.89999999999999991</v>
      </c>
      <c r="F51" s="565">
        <f>'Exp  Assumptions'!J65</f>
        <v>0.89999999999999991</v>
      </c>
      <c r="G51" s="565">
        <f>'Exp  Assumptions'!K65</f>
        <v>0.99</v>
      </c>
      <c r="H51" s="565">
        <f>'Exp  Assumptions'!L65</f>
        <v>0.99</v>
      </c>
      <c r="I51" s="565">
        <f>'Exp  Assumptions'!M65</f>
        <v>0.99</v>
      </c>
      <c r="J51" s="565">
        <f>'Exp  Assumptions'!N65</f>
        <v>0.99</v>
      </c>
      <c r="K51" s="565">
        <f>'Exp  Assumptions'!O65</f>
        <v>4.3559999999999999</v>
      </c>
      <c r="L51" s="565">
        <f>'Exp  Assumptions'!P65</f>
        <v>4.7915999999999999</v>
      </c>
      <c r="M51" s="565">
        <f>'Exp  Assumptions'!Q65</f>
        <v>5.2707600000000001</v>
      </c>
      <c r="N51" s="565">
        <f>'Exp  Assumptions'!R65</f>
        <v>5.7978360000000002</v>
      </c>
      <c r="O51" s="565">
        <f>'Exp  Assumptions'!S65</f>
        <v>6.3776196000000009</v>
      </c>
      <c r="P51" s="565">
        <f>'Exp  Assumptions'!T65</f>
        <v>7.0153815600000016</v>
      </c>
      <c r="Q51" s="565">
        <f>'Exp  Assumptions'!U65</f>
        <v>7.7169197160000023</v>
      </c>
      <c r="R51" s="565">
        <f>'Exp  Assumptions'!V65</f>
        <v>8.4886116876000024</v>
      </c>
      <c r="S51" s="591">
        <f t="shared" si="12"/>
        <v>57.374728563600002</v>
      </c>
    </row>
    <row r="52" spans="1:20" ht="15">
      <c r="A52" s="581" t="s">
        <v>486</v>
      </c>
      <c r="B52" s="565"/>
      <c r="C52" s="565">
        <f>'Exp  Assumptions'!G66</f>
        <v>0.30000000000000004</v>
      </c>
      <c r="D52" s="565">
        <f>'Exp  Assumptions'!H66</f>
        <v>0.30000000000000004</v>
      </c>
      <c r="E52" s="565">
        <f>'Exp  Assumptions'!I66</f>
        <v>0.30000000000000004</v>
      </c>
      <c r="F52" s="565">
        <f>'Exp  Assumptions'!J66</f>
        <v>0.30000000000000004</v>
      </c>
      <c r="G52" s="565">
        <f>'Exp  Assumptions'!K66</f>
        <v>0.33000000000000007</v>
      </c>
      <c r="H52" s="565">
        <f>'Exp  Assumptions'!L66</f>
        <v>0.33000000000000007</v>
      </c>
      <c r="I52" s="565">
        <f>'Exp  Assumptions'!M66</f>
        <v>0.33000000000000007</v>
      </c>
      <c r="J52" s="565">
        <f>'Exp  Assumptions'!N66</f>
        <v>0.33000000000000007</v>
      </c>
      <c r="K52" s="565">
        <f>'Exp  Assumptions'!O66</f>
        <v>1.4520000000000004</v>
      </c>
      <c r="L52" s="565">
        <f>'Exp  Assumptions'!P66</f>
        <v>1.5972000000000006</v>
      </c>
      <c r="M52" s="565">
        <f>'Exp  Assumptions'!Q66</f>
        <v>1.7569200000000009</v>
      </c>
      <c r="N52" s="565">
        <f>'Exp  Assumptions'!R66</f>
        <v>1.9326120000000011</v>
      </c>
      <c r="O52" s="565">
        <f>'Exp  Assumptions'!S66</f>
        <v>2.1258732000000014</v>
      </c>
      <c r="P52" s="565">
        <f>'Exp  Assumptions'!T66</f>
        <v>2.3384605200000017</v>
      </c>
      <c r="Q52" s="565">
        <f>'Exp  Assumptions'!U66</f>
        <v>2.5723065720000022</v>
      </c>
      <c r="R52" s="565">
        <f>'Exp  Assumptions'!V66</f>
        <v>2.8295372292000027</v>
      </c>
      <c r="S52" s="591">
        <f t="shared" si="12"/>
        <v>19.124909521200014</v>
      </c>
    </row>
    <row r="53" spans="1:20" ht="15">
      <c r="A53" s="507" t="s">
        <v>287</v>
      </c>
      <c r="B53" s="565"/>
      <c r="C53" s="565">
        <f>'Exp  Assumptions'!G69</f>
        <v>2.7750000000000004</v>
      </c>
      <c r="D53" s="565">
        <f>'Exp  Assumptions'!H69</f>
        <v>2.7750000000000004</v>
      </c>
      <c r="E53" s="565">
        <f>'Exp  Assumptions'!I69</f>
        <v>2.7750000000000004</v>
      </c>
      <c r="F53" s="565">
        <f>'Exp  Assumptions'!J69</f>
        <v>2.7750000000000004</v>
      </c>
      <c r="G53" s="565">
        <f>'Exp  Assumptions'!K69</f>
        <v>3.0525000000000007</v>
      </c>
      <c r="H53" s="565">
        <f>'Exp  Assumptions'!L69</f>
        <v>3.0525000000000007</v>
      </c>
      <c r="I53" s="565">
        <f>'Exp  Assumptions'!M69</f>
        <v>3.0525000000000007</v>
      </c>
      <c r="J53" s="565">
        <f>'Exp  Assumptions'!N69</f>
        <v>3.0525000000000007</v>
      </c>
      <c r="K53" s="565">
        <f>'Exp  Assumptions'!O69</f>
        <v>13.431000000000004</v>
      </c>
      <c r="L53" s="565">
        <f>'Exp  Assumptions'!P69</f>
        <v>14.774100000000006</v>
      </c>
      <c r="M53" s="565">
        <f>'Exp  Assumptions'!Q69</f>
        <v>16.251510000000007</v>
      </c>
      <c r="N53" s="565">
        <f>'Exp  Assumptions'!R69</f>
        <v>17.876661000000009</v>
      </c>
      <c r="O53" s="565">
        <f>'Exp  Assumptions'!S69</f>
        <v>19.664327100000012</v>
      </c>
      <c r="P53" s="565">
        <f>'Exp  Assumptions'!T69</f>
        <v>21.630759810000015</v>
      </c>
      <c r="Q53" s="565">
        <f>'Exp  Assumptions'!U69</f>
        <v>23.793835791000017</v>
      </c>
      <c r="R53" s="565">
        <f>'Exp  Assumptions'!V69</f>
        <v>26.173219370100021</v>
      </c>
      <c r="S53" s="591">
        <f t="shared" si="12"/>
        <v>176.9054130711001</v>
      </c>
    </row>
    <row r="54" spans="1:20">
      <c r="A54" s="589" t="s">
        <v>6</v>
      </c>
      <c r="B54" s="589"/>
      <c r="C54" s="589">
        <f t="shared" ref="C54:R54" si="13">SUM(C47:C53)</f>
        <v>6.2250000000000005</v>
      </c>
      <c r="D54" s="589">
        <f t="shared" si="13"/>
        <v>6.2250000000000005</v>
      </c>
      <c r="E54" s="589">
        <f t="shared" si="13"/>
        <v>6.2250000000000005</v>
      </c>
      <c r="F54" s="589">
        <f t="shared" si="13"/>
        <v>6.2250000000000005</v>
      </c>
      <c r="G54" s="589">
        <f t="shared" si="13"/>
        <v>6.8475000000000019</v>
      </c>
      <c r="H54" s="589">
        <f t="shared" si="13"/>
        <v>6.8475000000000019</v>
      </c>
      <c r="I54" s="589">
        <f t="shared" si="13"/>
        <v>6.8475000000000019</v>
      </c>
      <c r="J54" s="589">
        <f t="shared" si="13"/>
        <v>6.8475000000000019</v>
      </c>
      <c r="K54" s="589">
        <f t="shared" si="13"/>
        <v>30.129000000000008</v>
      </c>
      <c r="L54" s="589">
        <f t="shared" si="13"/>
        <v>33.141900000000007</v>
      </c>
      <c r="M54" s="589">
        <f t="shared" si="13"/>
        <v>36.456090000000017</v>
      </c>
      <c r="N54" s="589">
        <f t="shared" si="13"/>
        <v>40.101699000000018</v>
      </c>
      <c r="O54" s="589">
        <f t="shared" si="13"/>
        <v>44.111868900000019</v>
      </c>
      <c r="P54" s="589">
        <f t="shared" si="13"/>
        <v>48.523055790000029</v>
      </c>
      <c r="Q54" s="589">
        <f t="shared" si="13"/>
        <v>53.375361369000032</v>
      </c>
      <c r="R54" s="589">
        <f t="shared" si="13"/>
        <v>58.712897505900038</v>
      </c>
      <c r="S54" s="591">
        <f t="shared" si="12"/>
        <v>396.8418725649002</v>
      </c>
    </row>
    <row r="55" spans="1:20">
      <c r="S55" s="573"/>
    </row>
    <row r="56" spans="1:20">
      <c r="S56" s="573"/>
    </row>
    <row r="57" spans="1:20">
      <c r="A57" s="575" t="s">
        <v>836</v>
      </c>
      <c r="B57" s="575"/>
      <c r="C57" s="575">
        <f>C44+C54</f>
        <v>32.934999999999995</v>
      </c>
      <c r="D57" s="575">
        <f>D44+D54</f>
        <v>32.934999999999995</v>
      </c>
      <c r="E57" s="575">
        <f>E44+E54</f>
        <v>32.934999999999995</v>
      </c>
      <c r="F57" s="575">
        <f t="shared" ref="F57:S57" si="14">F44+F54</f>
        <v>32.934999999999995</v>
      </c>
      <c r="G57" s="575">
        <f t="shared" si="14"/>
        <v>35.6785</v>
      </c>
      <c r="H57" s="575">
        <f t="shared" si="14"/>
        <v>35.6785</v>
      </c>
      <c r="I57" s="575">
        <f t="shared" si="14"/>
        <v>35.6785</v>
      </c>
      <c r="J57" s="575">
        <f t="shared" si="14"/>
        <v>35.6785</v>
      </c>
      <c r="K57" s="575">
        <f t="shared" si="14"/>
        <v>154.78540000000004</v>
      </c>
      <c r="L57" s="575">
        <f t="shared" si="14"/>
        <v>158.98269199999999</v>
      </c>
      <c r="M57" s="575">
        <f t="shared" si="14"/>
        <v>199.18327600000003</v>
      </c>
      <c r="N57" s="575">
        <f t="shared" si="14"/>
        <v>213.56902100000002</v>
      </c>
      <c r="O57" s="575">
        <f t="shared" si="14"/>
        <v>230.02334050000007</v>
      </c>
      <c r="P57" s="575">
        <f t="shared" si="14"/>
        <v>251.70267455000004</v>
      </c>
      <c r="Q57" s="575">
        <f t="shared" si="14"/>
        <v>275.5499420050001</v>
      </c>
      <c r="R57" s="575">
        <f t="shared" si="14"/>
        <v>297.27361125950011</v>
      </c>
      <c r="S57" s="575">
        <f t="shared" si="14"/>
        <v>2055.5239573145004</v>
      </c>
      <c r="T57" s="582">
        <f>'Exp  Assumptions'!W18+'Exp  Assumptions'!W70</f>
        <v>2055.5239573145004</v>
      </c>
    </row>
    <row r="59" spans="1:20" ht="18">
      <c r="A59" s="1168"/>
    </row>
    <row r="60" spans="1:20" ht="15.75">
      <c r="A60" s="1370" t="s">
        <v>553</v>
      </c>
      <c r="B60" s="1370"/>
      <c r="C60" s="1370"/>
      <c r="D60" s="1370"/>
      <c r="E60" s="1370"/>
      <c r="F60" s="1370"/>
      <c r="G60" s="1370"/>
      <c r="H60" s="1370"/>
      <c r="I60" s="1370"/>
      <c r="J60" s="1370"/>
      <c r="K60" s="1370"/>
      <c r="L60" s="1370"/>
      <c r="M60" s="1370"/>
      <c r="N60" s="1370"/>
      <c r="O60" s="1370"/>
      <c r="P60" s="1370"/>
      <c r="Q60" s="1370"/>
      <c r="R60" s="1370"/>
      <c r="S60" s="1370"/>
    </row>
    <row r="61" spans="1:20" ht="15.75">
      <c r="A61" s="613"/>
      <c r="B61" s="610"/>
      <c r="C61" s="612"/>
      <c r="D61" s="612"/>
      <c r="E61" s="612"/>
      <c r="F61" s="612"/>
      <c r="G61" s="612"/>
      <c r="H61" s="612"/>
      <c r="I61" s="612"/>
      <c r="J61" s="612"/>
      <c r="K61" s="611"/>
      <c r="L61" s="611"/>
      <c r="M61" s="611"/>
      <c r="N61" s="611"/>
      <c r="O61" s="611"/>
      <c r="P61" s="611"/>
      <c r="Q61" s="611"/>
      <c r="R61" s="611"/>
      <c r="S61" s="611"/>
    </row>
    <row r="62" spans="1:20" ht="15.75">
      <c r="A62" s="572" t="s">
        <v>545</v>
      </c>
      <c r="S62" s="573"/>
    </row>
    <row r="63" spans="1:20">
      <c r="A63" s="565" t="s">
        <v>547</v>
      </c>
      <c r="C63" s="399">
        <f>'Exp  Assumptions'!G111</f>
        <v>0</v>
      </c>
      <c r="D63" s="399">
        <f>'Exp  Assumptions'!H111</f>
        <v>0</v>
      </c>
      <c r="E63" s="399">
        <f>'Exp  Assumptions'!I111</f>
        <v>0</v>
      </c>
      <c r="F63" s="399">
        <f>'Exp  Assumptions'!J111</f>
        <v>0</v>
      </c>
      <c r="G63" s="399">
        <f>'Exp  Assumptions'!K111</f>
        <v>1.3200000000000003</v>
      </c>
      <c r="H63" s="399">
        <f>'Exp  Assumptions'!L111</f>
        <v>1.3200000000000003</v>
      </c>
      <c r="I63" s="399">
        <f>'Exp  Assumptions'!M111</f>
        <v>1.3200000000000003</v>
      </c>
      <c r="J63" s="399">
        <f>'Exp  Assumptions'!N111</f>
        <v>1.3200000000000003</v>
      </c>
      <c r="K63" s="399">
        <f>'Exp  Assumptions'!O111</f>
        <v>5.8080000000000016</v>
      </c>
      <c r="L63" s="399">
        <f>'Exp  Assumptions'!P111</f>
        <v>6.3888000000000016</v>
      </c>
      <c r="M63" s="399">
        <f>'Exp  Assumptions'!Q111</f>
        <v>14.055360000000004</v>
      </c>
      <c r="N63" s="399">
        <f>'Exp  Assumptions'!R111</f>
        <v>15.460896000000004</v>
      </c>
      <c r="O63" s="399">
        <f>'Exp  Assumptions'!S111</f>
        <v>25.510478400000007</v>
      </c>
      <c r="P63" s="399">
        <f>'Exp  Assumptions'!T111</f>
        <v>28.061526240000006</v>
      </c>
      <c r="Q63" s="399">
        <f>'Exp  Assumptions'!U111</f>
        <v>30.867678864000009</v>
      </c>
      <c r="R63" s="399">
        <f>'Exp  Assumptions'!V111</f>
        <v>33.95444675040001</v>
      </c>
      <c r="S63" s="573">
        <f>SUM(C63:R63)</f>
        <v>165.38718625440004</v>
      </c>
    </row>
    <row r="64" spans="1:20">
      <c r="A64" s="565" t="s">
        <v>548</v>
      </c>
      <c r="C64" s="399">
        <f>'Exp  Assumptions'!G44</f>
        <v>0</v>
      </c>
      <c r="D64" s="399">
        <f>'Exp  Assumptions'!H44</f>
        <v>0</v>
      </c>
      <c r="E64" s="399">
        <f>'Exp  Assumptions'!I44</f>
        <v>0</v>
      </c>
      <c r="F64" s="399">
        <f>'Exp  Assumptions'!J44</f>
        <v>0</v>
      </c>
      <c r="G64" s="399">
        <f>'Exp  Assumptions'!K44</f>
        <v>2.64</v>
      </c>
      <c r="H64" s="399">
        <f>'Exp  Assumptions'!L44</f>
        <v>2.64</v>
      </c>
      <c r="I64" s="399">
        <f>'Exp  Assumptions'!M44</f>
        <v>2.64</v>
      </c>
      <c r="J64" s="399">
        <f>'Exp  Assumptions'!N44</f>
        <v>2.64</v>
      </c>
      <c r="K64" s="399">
        <f>'Exp  Assumptions'!O44</f>
        <v>11.616000000000003</v>
      </c>
      <c r="L64" s="399">
        <f>'Exp  Assumptions'!P44</f>
        <v>12.7776</v>
      </c>
      <c r="M64" s="399">
        <f>'Exp  Assumptions'!Q44</f>
        <v>28.110720000000001</v>
      </c>
      <c r="N64" s="399">
        <f>'Exp  Assumptions'!R44</f>
        <v>30.921792000000003</v>
      </c>
      <c r="O64" s="399">
        <f>'Exp  Assumptions'!S44</f>
        <v>51.020956800000008</v>
      </c>
      <c r="P64" s="399">
        <f>'Exp  Assumptions'!T44</f>
        <v>56.123052479999998</v>
      </c>
      <c r="Q64" s="399">
        <f>'Exp  Assumptions'!U44</f>
        <v>61.735357727999997</v>
      </c>
      <c r="R64" s="399">
        <f>'Exp  Assumptions'!V44</f>
        <v>67.908893500800005</v>
      </c>
      <c r="S64" s="573">
        <f t="shared" ref="S64:S70" si="15">SUM(C64:R64)</f>
        <v>330.77437250880001</v>
      </c>
    </row>
    <row r="65" spans="1:19">
      <c r="A65" s="571" t="s">
        <v>199</v>
      </c>
      <c r="C65" s="399">
        <f>'Exp  Assumptions'!G113</f>
        <v>0</v>
      </c>
      <c r="D65" s="399">
        <f>'Exp  Assumptions'!H113</f>
        <v>0</v>
      </c>
      <c r="E65" s="399">
        <f>'Exp  Assumptions'!I113</f>
        <v>0</v>
      </c>
      <c r="F65" s="399">
        <f>'Exp  Assumptions'!J113</f>
        <v>0</v>
      </c>
      <c r="G65" s="399">
        <f>'Exp  Assumptions'!K113</f>
        <v>0.39600000000000002</v>
      </c>
      <c r="H65" s="399">
        <f>'Exp  Assumptions'!L113</f>
        <v>0.39600000000000002</v>
      </c>
      <c r="I65" s="399">
        <f>'Exp  Assumptions'!M113</f>
        <v>0.39600000000000002</v>
      </c>
      <c r="J65" s="399">
        <f>'Exp  Assumptions'!N113</f>
        <v>0.39600000000000002</v>
      </c>
      <c r="K65" s="399">
        <f>'Exp  Assumptions'!O113</f>
        <v>1.7424000000000002</v>
      </c>
      <c r="L65" s="399">
        <f>'Exp  Assumptions'!P113</f>
        <v>1.9166400000000001</v>
      </c>
      <c r="M65" s="399">
        <f>'Exp  Assumptions'!Q113</f>
        <v>4.2166080000000008</v>
      </c>
      <c r="N65" s="399">
        <f>'Exp  Assumptions'!R113</f>
        <v>4.6382688000000005</v>
      </c>
      <c r="O65" s="399">
        <f>'Exp  Assumptions'!S113</f>
        <v>7.6531435200000013</v>
      </c>
      <c r="P65" s="399">
        <f>'Exp  Assumptions'!T113</f>
        <v>8.4184578720000012</v>
      </c>
      <c r="Q65" s="399">
        <f>'Exp  Assumptions'!U113</f>
        <v>9.2603036592000016</v>
      </c>
      <c r="R65" s="399">
        <f>'Exp  Assumptions'!V113</f>
        <v>10.186334025120001</v>
      </c>
      <c r="S65" s="573">
        <f t="shared" si="15"/>
        <v>49.616155876320008</v>
      </c>
    </row>
    <row r="66" spans="1:19" ht="15">
      <c r="A66" s="570" t="s">
        <v>201</v>
      </c>
      <c r="C66" s="399">
        <f>'Exp  Assumptions'!G114</f>
        <v>0</v>
      </c>
      <c r="D66" s="399">
        <f>'Exp  Assumptions'!H114</f>
        <v>0</v>
      </c>
      <c r="E66" s="399">
        <f>'Exp  Assumptions'!I114</f>
        <v>0</v>
      </c>
      <c r="F66" s="399">
        <f>'Exp  Assumptions'!J114</f>
        <v>0</v>
      </c>
      <c r="G66" s="399">
        <f>'Exp  Assumptions'!K114</f>
        <v>0.33000000000000007</v>
      </c>
      <c r="H66" s="399">
        <f>'Exp  Assumptions'!L114</f>
        <v>0.33000000000000007</v>
      </c>
      <c r="I66" s="399">
        <f>'Exp  Assumptions'!M114</f>
        <v>0.33000000000000007</v>
      </c>
      <c r="J66" s="399">
        <f>'Exp  Assumptions'!N114</f>
        <v>0.33000000000000007</v>
      </c>
      <c r="K66" s="399">
        <f>'Exp  Assumptions'!O114</f>
        <v>1.4520000000000004</v>
      </c>
      <c r="L66" s="399">
        <f>'Exp  Assumptions'!P114</f>
        <v>1.5972000000000004</v>
      </c>
      <c r="M66" s="399">
        <f>'Exp  Assumptions'!Q114</f>
        <v>3.513840000000001</v>
      </c>
      <c r="N66" s="399">
        <f>'Exp  Assumptions'!R114</f>
        <v>3.8652240000000009</v>
      </c>
      <c r="O66" s="399">
        <f>'Exp  Assumptions'!S114</f>
        <v>6.3776196000000018</v>
      </c>
      <c r="P66" s="399">
        <f>'Exp  Assumptions'!T114</f>
        <v>7.0153815600000016</v>
      </c>
      <c r="Q66" s="399">
        <f>'Exp  Assumptions'!U114</f>
        <v>7.7169197160000023</v>
      </c>
      <c r="R66" s="399">
        <f>'Exp  Assumptions'!V114</f>
        <v>8.4886116876000024</v>
      </c>
      <c r="S66" s="573">
        <f t="shared" si="15"/>
        <v>41.346796563600009</v>
      </c>
    </row>
    <row r="67" spans="1:19" ht="15">
      <c r="A67" s="570" t="s">
        <v>202</v>
      </c>
      <c r="C67" s="399">
        <f>'Exp  Assumptions'!G115</f>
        <v>0</v>
      </c>
      <c r="D67" s="399">
        <f>'Exp  Assumptions'!H115</f>
        <v>0</v>
      </c>
      <c r="E67" s="399">
        <f>'Exp  Assumptions'!I115</f>
        <v>0</v>
      </c>
      <c r="F67" s="399">
        <f>'Exp  Assumptions'!J115</f>
        <v>0</v>
      </c>
      <c r="G67" s="399">
        <f>'Exp  Assumptions'!K115</f>
        <v>0.16500000000000004</v>
      </c>
      <c r="H67" s="399">
        <f>'Exp  Assumptions'!L115</f>
        <v>0.16500000000000004</v>
      </c>
      <c r="I67" s="399">
        <f>'Exp  Assumptions'!M115</f>
        <v>0.16500000000000004</v>
      </c>
      <c r="J67" s="399">
        <f>'Exp  Assumptions'!N115</f>
        <v>0.16500000000000004</v>
      </c>
      <c r="K67" s="399">
        <f>'Exp  Assumptions'!O115</f>
        <v>0.7260000000000002</v>
      </c>
      <c r="L67" s="399">
        <f>'Exp  Assumptions'!P115</f>
        <v>0.7986000000000002</v>
      </c>
      <c r="M67" s="399">
        <f>'Exp  Assumptions'!Q115</f>
        <v>1.7569200000000005</v>
      </c>
      <c r="N67" s="399">
        <f>'Exp  Assumptions'!R115</f>
        <v>1.9326120000000004</v>
      </c>
      <c r="O67" s="399">
        <f>'Exp  Assumptions'!S115</f>
        <v>3.1888098000000009</v>
      </c>
      <c r="P67" s="399">
        <f>'Exp  Assumptions'!T115</f>
        <v>3.5076907800000008</v>
      </c>
      <c r="Q67" s="399">
        <f>'Exp  Assumptions'!U115</f>
        <v>3.8584598580000011</v>
      </c>
      <c r="R67" s="399">
        <f>'Exp  Assumptions'!V115</f>
        <v>4.2443058438000012</v>
      </c>
      <c r="S67" s="573">
        <f t="shared" si="15"/>
        <v>20.673398281800004</v>
      </c>
    </row>
    <row r="68" spans="1:19" ht="15">
      <c r="A68" s="507" t="s">
        <v>198</v>
      </c>
      <c r="C68" s="399">
        <f>'Exp  Assumptions'!G117</f>
        <v>0</v>
      </c>
      <c r="D68" s="399">
        <f>'Exp  Assumptions'!H117</f>
        <v>0</v>
      </c>
      <c r="E68" s="399">
        <f>'Exp  Assumptions'!I117</f>
        <v>0</v>
      </c>
      <c r="F68" s="399">
        <f>'Exp  Assumptions'!J117</f>
        <v>0</v>
      </c>
      <c r="G68" s="399">
        <f>'Exp  Assumptions'!K117</f>
        <v>0.26400000000000001</v>
      </c>
      <c r="H68" s="399">
        <f>'Exp  Assumptions'!L117</f>
        <v>0.26400000000000001</v>
      </c>
      <c r="I68" s="399">
        <f>'Exp  Assumptions'!M117</f>
        <v>0.26400000000000001</v>
      </c>
      <c r="J68" s="399">
        <f>'Exp  Assumptions'!N117</f>
        <v>0.26400000000000001</v>
      </c>
      <c r="K68" s="399">
        <f>'Exp  Assumptions'!O117</f>
        <v>1.1616000000000002</v>
      </c>
      <c r="L68" s="399">
        <f>'Exp  Assumptions'!P117</f>
        <v>1.2777600000000002</v>
      </c>
      <c r="M68" s="399">
        <f>'Exp  Assumptions'!Q117</f>
        <v>2.8110720000000002</v>
      </c>
      <c r="N68" s="399">
        <f>'Exp  Assumptions'!R117</f>
        <v>3.0921791999999999</v>
      </c>
      <c r="O68" s="399">
        <f>'Exp  Assumptions'!S117</f>
        <v>5.1020956800000006</v>
      </c>
      <c r="P68" s="399">
        <f>'Exp  Assumptions'!T117</f>
        <v>5.6123052480000002</v>
      </c>
      <c r="Q68" s="399">
        <f>'Exp  Assumptions'!U117</f>
        <v>6.1735357728000002</v>
      </c>
      <c r="R68" s="399">
        <f>'Exp  Assumptions'!V117</f>
        <v>6.7908893500800005</v>
      </c>
      <c r="S68" s="573">
        <f t="shared" si="15"/>
        <v>33.077437250880003</v>
      </c>
    </row>
    <row r="69" spans="1:19" ht="15">
      <c r="A69" s="585"/>
      <c r="S69" s="573"/>
    </row>
    <row r="70" spans="1:19" ht="15">
      <c r="A70" s="587" t="s">
        <v>6</v>
      </c>
      <c r="B70" s="588"/>
      <c r="C70" s="588">
        <f t="shared" ref="C70:J70" si="16">SUM(C63:C69)</f>
        <v>0</v>
      </c>
      <c r="D70" s="588">
        <f t="shared" si="16"/>
        <v>0</v>
      </c>
      <c r="E70" s="588">
        <f t="shared" si="16"/>
        <v>0</v>
      </c>
      <c r="F70" s="588">
        <f t="shared" si="16"/>
        <v>0</v>
      </c>
      <c r="G70" s="588">
        <f t="shared" si="16"/>
        <v>5.1150000000000011</v>
      </c>
      <c r="H70" s="588">
        <f t="shared" si="16"/>
        <v>5.1150000000000011</v>
      </c>
      <c r="I70" s="588">
        <f t="shared" si="16"/>
        <v>5.1150000000000011</v>
      </c>
      <c r="J70" s="588">
        <f t="shared" si="16"/>
        <v>5.1150000000000011</v>
      </c>
      <c r="K70" s="588">
        <f t="shared" ref="K70:R70" si="17">SUM(K63:K69)</f>
        <v>22.506000000000007</v>
      </c>
      <c r="L70" s="588">
        <f t="shared" si="17"/>
        <v>24.756600000000006</v>
      </c>
      <c r="M70" s="588">
        <f t="shared" si="17"/>
        <v>54.464520000000014</v>
      </c>
      <c r="N70" s="588">
        <f t="shared" si="17"/>
        <v>59.910972000000001</v>
      </c>
      <c r="O70" s="588">
        <f t="shared" si="17"/>
        <v>98.853103800000028</v>
      </c>
      <c r="P70" s="588">
        <f t="shared" si="17"/>
        <v>108.73841418000001</v>
      </c>
      <c r="Q70" s="588">
        <f t="shared" si="17"/>
        <v>119.61225559800002</v>
      </c>
      <c r="R70" s="588">
        <f t="shared" si="17"/>
        <v>131.57348115780002</v>
      </c>
      <c r="S70" s="573">
        <f t="shared" si="15"/>
        <v>640.87534673580012</v>
      </c>
    </row>
    <row r="71" spans="1:19" ht="15">
      <c r="A71" s="586"/>
      <c r="S71" s="573"/>
    </row>
    <row r="72" spans="1:19" ht="15.75">
      <c r="A72" s="572" t="s">
        <v>546</v>
      </c>
      <c r="S72" s="573"/>
    </row>
    <row r="73" spans="1:19" ht="15">
      <c r="A73" s="507" t="s">
        <v>203</v>
      </c>
      <c r="C73" s="399">
        <f>'Exp  Assumptions'!G116</f>
        <v>0</v>
      </c>
      <c r="D73" s="399">
        <f>'Exp  Assumptions'!H116</f>
        <v>0</v>
      </c>
      <c r="E73" s="399">
        <f>'Exp  Assumptions'!I116</f>
        <v>0</v>
      </c>
      <c r="F73" s="399">
        <f>'Exp  Assumptions'!J116</f>
        <v>0</v>
      </c>
      <c r="G73" s="399">
        <f>'Exp  Assumptions'!K116</f>
        <v>0.29700000000000004</v>
      </c>
      <c r="H73" s="399">
        <f>'Exp  Assumptions'!L116</f>
        <v>0.29700000000000004</v>
      </c>
      <c r="I73" s="399">
        <f>'Exp  Assumptions'!M116</f>
        <v>0.29700000000000004</v>
      </c>
      <c r="J73" s="399">
        <f>'Exp  Assumptions'!N116</f>
        <v>0.29700000000000004</v>
      </c>
      <c r="K73" s="399">
        <f>'Exp  Assumptions'!O116</f>
        <v>1.3068000000000002</v>
      </c>
      <c r="L73" s="399">
        <f>'Exp  Assumptions'!P116</f>
        <v>1.4374800000000003</v>
      </c>
      <c r="M73" s="399">
        <f>'Exp  Assumptions'!Q116</f>
        <v>3.1624560000000006</v>
      </c>
      <c r="N73" s="399">
        <f>'Exp  Assumptions'!R116</f>
        <v>3.4787016000000004</v>
      </c>
      <c r="O73" s="399">
        <f>'Exp  Assumptions'!S116</f>
        <v>5.7398576400000012</v>
      </c>
      <c r="P73" s="399">
        <f>'Exp  Assumptions'!T116</f>
        <v>6.3138434040000009</v>
      </c>
      <c r="Q73" s="399">
        <f>'Exp  Assumptions'!U116</f>
        <v>6.9452277444000012</v>
      </c>
      <c r="R73" s="399">
        <f>'Exp  Assumptions'!V116</f>
        <v>7.6397505188400006</v>
      </c>
      <c r="S73" s="573">
        <f t="shared" ref="S73:S78" si="18">SUM(C73:R73)</f>
        <v>37.212116907240002</v>
      </c>
    </row>
    <row r="74" spans="1:19" ht="15">
      <c r="A74" s="507" t="s">
        <v>204</v>
      </c>
      <c r="C74" s="399">
        <f>'Exp  Assumptions'!G118</f>
        <v>0</v>
      </c>
      <c r="D74" s="399">
        <f>'Exp  Assumptions'!H118</f>
        <v>0</v>
      </c>
      <c r="E74" s="399">
        <f>'Exp  Assumptions'!I118</f>
        <v>0</v>
      </c>
      <c r="F74" s="399">
        <f>'Exp  Assumptions'!J118</f>
        <v>0</v>
      </c>
      <c r="G74" s="399">
        <f>'Exp  Assumptions'!K118</f>
        <v>3.3000000000000002E-2</v>
      </c>
      <c r="H74" s="399">
        <f>'Exp  Assumptions'!L118</f>
        <v>3.3000000000000002E-2</v>
      </c>
      <c r="I74" s="399">
        <f>'Exp  Assumptions'!M118</f>
        <v>3.3000000000000002E-2</v>
      </c>
      <c r="J74" s="399">
        <f>'Exp  Assumptions'!N118</f>
        <v>3.3000000000000002E-2</v>
      </c>
      <c r="K74" s="399">
        <f>'Exp  Assumptions'!O118</f>
        <v>0.14520000000000002</v>
      </c>
      <c r="L74" s="399">
        <f>'Exp  Assumptions'!P118</f>
        <v>0.15972000000000003</v>
      </c>
      <c r="M74" s="399">
        <f>'Exp  Assumptions'!Q118</f>
        <v>0.35138400000000003</v>
      </c>
      <c r="N74" s="399">
        <f>'Exp  Assumptions'!R118</f>
        <v>0.38652239999999999</v>
      </c>
      <c r="O74" s="399">
        <f>'Exp  Assumptions'!S118</f>
        <v>0.63776196000000007</v>
      </c>
      <c r="P74" s="399">
        <f>'Exp  Assumptions'!T118</f>
        <v>0.70153815600000002</v>
      </c>
      <c r="Q74" s="399">
        <f>'Exp  Assumptions'!U118</f>
        <v>0.77169197160000003</v>
      </c>
      <c r="R74" s="399">
        <f>'Exp  Assumptions'!V118</f>
        <v>0.84886116876000006</v>
      </c>
      <c r="S74" s="573">
        <f t="shared" si="18"/>
        <v>4.1346796563600003</v>
      </c>
    </row>
    <row r="75" spans="1:19" ht="15">
      <c r="A75" s="507" t="s">
        <v>289</v>
      </c>
      <c r="C75" s="399">
        <f>'Exp  Assumptions'!G119</f>
        <v>0</v>
      </c>
      <c r="D75" s="399">
        <f>'Exp  Assumptions'!H119</f>
        <v>0</v>
      </c>
      <c r="E75" s="399">
        <f>'Exp  Assumptions'!I119</f>
        <v>0</v>
      </c>
      <c r="F75" s="399">
        <f>'Exp  Assumptions'!J119</f>
        <v>0</v>
      </c>
      <c r="G75" s="399">
        <f>'Exp  Assumptions'!K119</f>
        <v>0.16500000000000004</v>
      </c>
      <c r="H75" s="399">
        <f>'Exp  Assumptions'!L119</f>
        <v>0.16500000000000004</v>
      </c>
      <c r="I75" s="399">
        <f>'Exp  Assumptions'!M119</f>
        <v>0.16500000000000004</v>
      </c>
      <c r="J75" s="399">
        <f>'Exp  Assumptions'!N119</f>
        <v>0.16500000000000004</v>
      </c>
      <c r="K75" s="399">
        <f>'Exp  Assumptions'!O119</f>
        <v>0.7260000000000002</v>
      </c>
      <c r="L75" s="399">
        <f>'Exp  Assumptions'!P119</f>
        <v>0.7986000000000002</v>
      </c>
      <c r="M75" s="399">
        <f>'Exp  Assumptions'!Q119</f>
        <v>1.7569200000000005</v>
      </c>
      <c r="N75" s="399">
        <f>'Exp  Assumptions'!R119</f>
        <v>1.9326120000000004</v>
      </c>
      <c r="O75" s="399">
        <f>'Exp  Assumptions'!S119</f>
        <v>3.1888098000000009</v>
      </c>
      <c r="P75" s="399">
        <f>'Exp  Assumptions'!T119</f>
        <v>3.5076907800000008</v>
      </c>
      <c r="Q75" s="399">
        <f>'Exp  Assumptions'!U119</f>
        <v>3.8584598580000011</v>
      </c>
      <c r="R75" s="399">
        <f>'Exp  Assumptions'!V119</f>
        <v>4.2443058438000012</v>
      </c>
      <c r="S75" s="573">
        <f t="shared" si="18"/>
        <v>20.673398281800004</v>
      </c>
    </row>
    <row r="76" spans="1:19" ht="15">
      <c r="A76" s="570" t="s">
        <v>229</v>
      </c>
      <c r="C76" s="399">
        <f>'Exp  Assumptions'!G120</f>
        <v>0</v>
      </c>
      <c r="D76" s="399">
        <f>'Exp  Assumptions'!H120</f>
        <v>0</v>
      </c>
      <c r="E76" s="399">
        <f>'Exp  Assumptions'!I120</f>
        <v>0</v>
      </c>
      <c r="F76" s="399">
        <f>'Exp  Assumptions'!J120</f>
        <v>0</v>
      </c>
      <c r="G76" s="399">
        <f>'Exp  Assumptions'!K120</f>
        <v>0.16500000000000004</v>
      </c>
      <c r="H76" s="399">
        <f>'Exp  Assumptions'!L120</f>
        <v>0.16500000000000004</v>
      </c>
      <c r="I76" s="399">
        <f>'Exp  Assumptions'!M120</f>
        <v>0.16500000000000004</v>
      </c>
      <c r="J76" s="399">
        <f>'Exp  Assumptions'!N120</f>
        <v>0.16500000000000004</v>
      </c>
      <c r="K76" s="399">
        <f>'Exp  Assumptions'!O120</f>
        <v>0.7260000000000002</v>
      </c>
      <c r="L76" s="399">
        <f>'Exp  Assumptions'!P120</f>
        <v>0.7986000000000002</v>
      </c>
      <c r="M76" s="399">
        <f>'Exp  Assumptions'!Q120</f>
        <v>1.7569200000000005</v>
      </c>
      <c r="N76" s="399">
        <f>'Exp  Assumptions'!R120</f>
        <v>1.9326120000000004</v>
      </c>
      <c r="O76" s="399">
        <f>'Exp  Assumptions'!S120</f>
        <v>3.1888098000000009</v>
      </c>
      <c r="P76" s="399">
        <f>'Exp  Assumptions'!T120</f>
        <v>3.5076907800000008</v>
      </c>
      <c r="Q76" s="399">
        <f>'Exp  Assumptions'!U120</f>
        <v>3.8584598580000011</v>
      </c>
      <c r="R76" s="399">
        <f>'Exp  Assumptions'!V120</f>
        <v>4.2443058438000012</v>
      </c>
      <c r="S76" s="573">
        <f t="shared" si="18"/>
        <v>20.673398281800004</v>
      </c>
    </row>
    <row r="77" spans="1:19" ht="15">
      <c r="A77" s="581" t="s">
        <v>486</v>
      </c>
      <c r="C77" s="399">
        <f>'Exp  Assumptions'!G121</f>
        <v>0</v>
      </c>
      <c r="D77" s="399">
        <f>'Exp  Assumptions'!H121</f>
        <v>0</v>
      </c>
      <c r="E77" s="399">
        <f>'Exp  Assumptions'!I121</f>
        <v>0</v>
      </c>
      <c r="F77" s="399">
        <f>'Exp  Assumptions'!J121</f>
        <v>0</v>
      </c>
      <c r="G77" s="399">
        <f>'Exp  Assumptions'!K121</f>
        <v>0.52800000000000002</v>
      </c>
      <c r="H77" s="399">
        <f>'Exp  Assumptions'!L121</f>
        <v>0.52800000000000002</v>
      </c>
      <c r="I77" s="399">
        <f>'Exp  Assumptions'!M121</f>
        <v>0.52800000000000002</v>
      </c>
      <c r="J77" s="399">
        <f>'Exp  Assumptions'!N121</f>
        <v>0.52800000000000002</v>
      </c>
      <c r="K77" s="399">
        <f>'Exp  Assumptions'!O121</f>
        <v>2.3232000000000004</v>
      </c>
      <c r="L77" s="399">
        <f>'Exp  Assumptions'!P121</f>
        <v>2.5555200000000005</v>
      </c>
      <c r="M77" s="399">
        <f>'Exp  Assumptions'!Q121</f>
        <v>5.6221440000000005</v>
      </c>
      <c r="N77" s="399">
        <f>'Exp  Assumptions'!R121</f>
        <v>6.1843583999999998</v>
      </c>
      <c r="O77" s="399">
        <f>'Exp  Assumptions'!S121</f>
        <v>10.204191360000001</v>
      </c>
      <c r="P77" s="399">
        <f>'Exp  Assumptions'!T121</f>
        <v>11.224610496</v>
      </c>
      <c r="Q77" s="399">
        <f>'Exp  Assumptions'!U121</f>
        <v>12.3470715456</v>
      </c>
      <c r="R77" s="399">
        <f>'Exp  Assumptions'!V121</f>
        <v>13.581778700160001</v>
      </c>
      <c r="S77" s="573">
        <f t="shared" si="18"/>
        <v>66.154874501760006</v>
      </c>
    </row>
    <row r="78" spans="1:19" ht="15">
      <c r="A78" s="507" t="s">
        <v>287</v>
      </c>
      <c r="C78" s="399">
        <f>'Exp  Assumptions'!G122</f>
        <v>0</v>
      </c>
      <c r="D78" s="399">
        <f>'Exp  Assumptions'!H122</f>
        <v>0</v>
      </c>
      <c r="E78" s="399">
        <f>'Exp  Assumptions'!I122</f>
        <v>0</v>
      </c>
      <c r="F78" s="399">
        <f>'Exp  Assumptions'!J122</f>
        <v>0</v>
      </c>
      <c r="G78" s="399">
        <f>'Exp  Assumptions'!K122</f>
        <v>0.36630000000000013</v>
      </c>
      <c r="H78" s="399">
        <f>'Exp  Assumptions'!L122</f>
        <v>0.36630000000000013</v>
      </c>
      <c r="I78" s="399">
        <f>'Exp  Assumptions'!M122</f>
        <v>0.36630000000000013</v>
      </c>
      <c r="J78" s="399">
        <f>'Exp  Assumptions'!N122</f>
        <v>0.36630000000000013</v>
      </c>
      <c r="K78" s="399">
        <f>'Exp  Assumptions'!O122</f>
        <v>1.6117200000000007</v>
      </c>
      <c r="L78" s="399">
        <f>'Exp  Assumptions'!P122</f>
        <v>1.7728920000000006</v>
      </c>
      <c r="M78" s="399">
        <f>'Exp  Assumptions'!Q122</f>
        <v>3.9003624000000015</v>
      </c>
      <c r="N78" s="399">
        <f>'Exp  Assumptions'!R122</f>
        <v>4.2903986400000012</v>
      </c>
      <c r="O78" s="399">
        <f>'Exp  Assumptions'!S122</f>
        <v>7.0791577560000025</v>
      </c>
      <c r="P78" s="399">
        <f>'Exp  Assumptions'!T122</f>
        <v>7.7870735316000017</v>
      </c>
      <c r="Q78" s="399">
        <f>'Exp  Assumptions'!U122</f>
        <v>8.5657808847600023</v>
      </c>
      <c r="R78" s="399">
        <f>'Exp  Assumptions'!V122</f>
        <v>9.4223589732360029</v>
      </c>
      <c r="S78" s="573">
        <f t="shared" si="18"/>
        <v>45.89494418559601</v>
      </c>
    </row>
    <row r="79" spans="1:19">
      <c r="S79" s="573"/>
    </row>
    <row r="80" spans="1:19">
      <c r="A80" s="575" t="s">
        <v>6</v>
      </c>
      <c r="B80" s="575"/>
      <c r="C80" s="575">
        <f t="shared" ref="C80:R80" si="19">SUM(C73:C78)</f>
        <v>0</v>
      </c>
      <c r="D80" s="575">
        <f t="shared" si="19"/>
        <v>0</v>
      </c>
      <c r="E80" s="575">
        <f t="shared" si="19"/>
        <v>0</v>
      </c>
      <c r="F80" s="575">
        <f t="shared" si="19"/>
        <v>0</v>
      </c>
      <c r="G80" s="575">
        <f t="shared" si="19"/>
        <v>1.5543000000000002</v>
      </c>
      <c r="H80" s="575">
        <f t="shared" si="19"/>
        <v>1.5543000000000002</v>
      </c>
      <c r="I80" s="575">
        <f t="shared" si="19"/>
        <v>1.5543000000000002</v>
      </c>
      <c r="J80" s="575">
        <f t="shared" si="19"/>
        <v>1.5543000000000002</v>
      </c>
      <c r="K80" s="575">
        <f t="shared" si="19"/>
        <v>6.8389200000000026</v>
      </c>
      <c r="L80" s="575">
        <f t="shared" si="19"/>
        <v>7.5228120000000018</v>
      </c>
      <c r="M80" s="575">
        <f t="shared" si="19"/>
        <v>16.550186400000005</v>
      </c>
      <c r="N80" s="575">
        <f t="shared" si="19"/>
        <v>18.205205040000003</v>
      </c>
      <c r="O80" s="575">
        <f t="shared" si="19"/>
        <v>30.038588316000009</v>
      </c>
      <c r="P80" s="575">
        <f t="shared" si="19"/>
        <v>33.042447147600008</v>
      </c>
      <c r="Q80" s="575">
        <f t="shared" si="19"/>
        <v>36.346691862360004</v>
      </c>
      <c r="R80" s="575">
        <f t="shared" si="19"/>
        <v>39.981361048596007</v>
      </c>
      <c r="S80" s="575">
        <f>SUM(C80:R80)</f>
        <v>194.74341181455605</v>
      </c>
    </row>
    <row r="81" spans="1:20">
      <c r="S81" s="573"/>
    </row>
    <row r="82" spans="1:20">
      <c r="A82" s="575" t="s">
        <v>856</v>
      </c>
      <c r="B82" s="575"/>
      <c r="C82" s="575">
        <f t="shared" ref="C82:S82" si="20">C70+C80</f>
        <v>0</v>
      </c>
      <c r="D82" s="575">
        <f t="shared" si="20"/>
        <v>0</v>
      </c>
      <c r="E82" s="575">
        <f t="shared" si="20"/>
        <v>0</v>
      </c>
      <c r="F82" s="575">
        <f t="shared" si="20"/>
        <v>0</v>
      </c>
      <c r="G82" s="575">
        <f t="shared" si="20"/>
        <v>6.6693000000000016</v>
      </c>
      <c r="H82" s="575">
        <f t="shared" si="20"/>
        <v>6.6693000000000016</v>
      </c>
      <c r="I82" s="575">
        <f t="shared" si="20"/>
        <v>6.6693000000000016</v>
      </c>
      <c r="J82" s="575">
        <f t="shared" si="20"/>
        <v>6.6693000000000016</v>
      </c>
      <c r="K82" s="575">
        <f t="shared" si="20"/>
        <v>29.344920000000009</v>
      </c>
      <c r="L82" s="575">
        <f t="shared" si="20"/>
        <v>32.279412000000008</v>
      </c>
      <c r="M82" s="575">
        <f t="shared" si="20"/>
        <v>71.014706400000023</v>
      </c>
      <c r="N82" s="575">
        <f t="shared" si="20"/>
        <v>78.116177039999997</v>
      </c>
      <c r="O82" s="575">
        <f t="shared" si="20"/>
        <v>128.89169211600003</v>
      </c>
      <c r="P82" s="575">
        <f t="shared" si="20"/>
        <v>141.78086132760001</v>
      </c>
      <c r="Q82" s="575">
        <f t="shared" si="20"/>
        <v>155.95894746036004</v>
      </c>
      <c r="R82" s="575">
        <f t="shared" si="20"/>
        <v>171.55484220639602</v>
      </c>
      <c r="S82" s="575">
        <f t="shared" si="20"/>
        <v>835.61875855035623</v>
      </c>
      <c r="T82" s="575">
        <f>'Exp  Assumptions'!W44+'Exp  Assumptions'!W123</f>
        <v>835.61875855035612</v>
      </c>
    </row>
    <row r="83" spans="1:20" s="1149" customFormat="1">
      <c r="A83" s="1169"/>
      <c r="B83" s="1169"/>
      <c r="C83" s="1169"/>
      <c r="D83" s="1169"/>
      <c r="E83" s="1169"/>
      <c r="F83" s="1169"/>
      <c r="G83" s="1169"/>
      <c r="H83" s="1169"/>
      <c r="I83" s="1169"/>
      <c r="J83" s="1169"/>
      <c r="K83" s="1169"/>
      <c r="L83" s="1169"/>
      <c r="M83" s="1169"/>
      <c r="N83" s="1169"/>
      <c r="O83" s="1169"/>
      <c r="P83" s="1169"/>
      <c r="Q83" s="1169"/>
      <c r="R83" s="1169"/>
      <c r="S83" s="1169"/>
      <c r="T83" s="1169"/>
    </row>
    <row r="84" spans="1:20" s="1172" customFormat="1">
      <c r="A84" s="1171" t="s">
        <v>839</v>
      </c>
      <c r="B84" s="1171"/>
      <c r="C84" s="1171">
        <f>C82+C57</f>
        <v>32.934999999999995</v>
      </c>
      <c r="D84" s="1171">
        <f t="shared" ref="D84:R84" si="21">D82+D57</f>
        <v>32.934999999999995</v>
      </c>
      <c r="E84" s="1171">
        <f t="shared" si="21"/>
        <v>32.934999999999995</v>
      </c>
      <c r="F84" s="1171">
        <f t="shared" si="21"/>
        <v>32.934999999999995</v>
      </c>
      <c r="G84" s="1171">
        <f t="shared" si="21"/>
        <v>42.347799999999999</v>
      </c>
      <c r="H84" s="1171">
        <f t="shared" si="21"/>
        <v>42.347799999999999</v>
      </c>
      <c r="I84" s="1171">
        <f t="shared" si="21"/>
        <v>42.347799999999999</v>
      </c>
      <c r="J84" s="1171">
        <f t="shared" si="21"/>
        <v>42.347799999999999</v>
      </c>
      <c r="K84" s="1171">
        <f t="shared" si="21"/>
        <v>184.13032000000004</v>
      </c>
      <c r="L84" s="1171">
        <f t="shared" si="21"/>
        <v>191.26210399999999</v>
      </c>
      <c r="M84" s="1171">
        <f t="shared" si="21"/>
        <v>270.19798240000006</v>
      </c>
      <c r="N84" s="1171">
        <f t="shared" si="21"/>
        <v>291.68519804000005</v>
      </c>
      <c r="O84" s="1171">
        <f t="shared" si="21"/>
        <v>358.91503261600008</v>
      </c>
      <c r="P84" s="1171">
        <f t="shared" si="21"/>
        <v>393.48353587760005</v>
      </c>
      <c r="Q84" s="1171">
        <f t="shared" si="21"/>
        <v>431.50888946536014</v>
      </c>
      <c r="R84" s="1171">
        <f t="shared" si="21"/>
        <v>468.82845346589613</v>
      </c>
      <c r="S84" s="1171">
        <f>SUM(C84:R84)</f>
        <v>2891.1427158648562</v>
      </c>
      <c r="T84" s="1171"/>
    </row>
    <row r="85" spans="1:20" s="1149" customFormat="1">
      <c r="A85" s="1169"/>
      <c r="B85" s="1169"/>
      <c r="C85" s="1169"/>
      <c r="D85" s="1169"/>
      <c r="E85" s="1169"/>
      <c r="F85" s="1169"/>
      <c r="G85" s="1169"/>
      <c r="H85" s="1169"/>
      <c r="I85" s="1169"/>
      <c r="J85" s="1169"/>
      <c r="K85" s="1169"/>
      <c r="L85" s="1169"/>
      <c r="M85" s="1169"/>
      <c r="N85" s="1169"/>
      <c r="O85" s="1169"/>
      <c r="P85" s="1169"/>
      <c r="Q85" s="1169"/>
      <c r="R85" s="1169"/>
      <c r="S85" s="1169"/>
      <c r="T85" s="1169"/>
    </row>
    <row r="86" spans="1:20" s="1167" customFormat="1" ht="20.25">
      <c r="A86" s="1375" t="s">
        <v>835</v>
      </c>
      <c r="B86" s="1375"/>
      <c r="C86" s="1375"/>
      <c r="D86" s="1375"/>
      <c r="E86" s="1375"/>
      <c r="F86" s="1375"/>
      <c r="G86" s="1375"/>
      <c r="H86" s="1375"/>
      <c r="I86" s="1375"/>
      <c r="J86" s="1375"/>
      <c r="K86" s="1375"/>
      <c r="L86" s="1375"/>
      <c r="M86" s="1375"/>
      <c r="N86" s="1375"/>
      <c r="O86" s="1375"/>
      <c r="P86" s="1375"/>
      <c r="Q86" s="1375"/>
      <c r="R86" s="1375"/>
      <c r="S86" s="1375"/>
    </row>
    <row r="87" spans="1:20" s="1149" customFormat="1" ht="20.25">
      <c r="A87" s="1170"/>
      <c r="B87" s="1170"/>
      <c r="C87" s="1170"/>
      <c r="D87" s="1170"/>
      <c r="E87" s="1170"/>
      <c r="F87" s="1170"/>
      <c r="G87" s="1170"/>
      <c r="H87" s="1170"/>
      <c r="I87" s="1170"/>
      <c r="J87" s="1170"/>
      <c r="K87" s="1170"/>
      <c r="L87" s="1170"/>
      <c r="M87" s="1170"/>
      <c r="N87" s="1170"/>
      <c r="O87" s="1170"/>
      <c r="P87" s="1170"/>
      <c r="Q87" s="1170"/>
      <c r="R87" s="1170"/>
      <c r="S87" s="1170"/>
    </row>
    <row r="88" spans="1:20" ht="15.75">
      <c r="A88" s="1370" t="s">
        <v>550</v>
      </c>
      <c r="B88" s="1370"/>
      <c r="C88" s="1370"/>
      <c r="D88" s="1370"/>
      <c r="E88" s="1370"/>
      <c r="F88" s="1370"/>
      <c r="G88" s="1370"/>
      <c r="H88" s="1370"/>
      <c r="I88" s="1370"/>
      <c r="J88" s="1370"/>
      <c r="K88" s="1370"/>
      <c r="L88" s="1370"/>
      <c r="M88" s="1370"/>
      <c r="N88" s="1370"/>
      <c r="O88" s="1370"/>
      <c r="P88" s="1370"/>
      <c r="Q88" s="1370"/>
      <c r="R88" s="1370"/>
      <c r="S88" s="1370"/>
      <c r="T88" s="584"/>
    </row>
    <row r="89" spans="1:20">
      <c r="S89" s="573"/>
      <c r="T89" s="584"/>
    </row>
    <row r="90" spans="1:20">
      <c r="A90" s="573" t="s">
        <v>555</v>
      </c>
      <c r="S90" s="573"/>
      <c r="T90" s="584"/>
    </row>
    <row r="91" spans="1:20" ht="15">
      <c r="A91" s="577" t="s">
        <v>554</v>
      </c>
      <c r="C91" s="565">
        <f>'Exp  Assumptions'!G28</f>
        <v>4.5360000000000005</v>
      </c>
      <c r="D91" s="565">
        <f>'Exp  Assumptions'!H28</f>
        <v>9.072000000000001</v>
      </c>
      <c r="E91" s="565">
        <f>'Exp  Assumptions'!I28</f>
        <v>13.608000000000001</v>
      </c>
      <c r="F91" s="565">
        <f>'Exp  Assumptions'!J28</f>
        <v>18.144000000000002</v>
      </c>
      <c r="G91" s="565">
        <f>'Exp  Assumptions'!K28</f>
        <v>24.948000000000004</v>
      </c>
      <c r="H91" s="565">
        <f>'Exp  Assumptions'!L28</f>
        <v>29.937600000000007</v>
      </c>
      <c r="I91" s="565">
        <f>'Exp  Assumptions'!M28</f>
        <v>34.927200000000013</v>
      </c>
      <c r="J91" s="565">
        <f>'Exp  Assumptions'!N28</f>
        <v>39.916800000000009</v>
      </c>
      <c r="K91" s="565">
        <f>'Exp  Assumptions'!O28</f>
        <v>158.90688000000003</v>
      </c>
      <c r="L91" s="565">
        <f>'Exp  Assumptions'!P28</f>
        <v>233.06342400000005</v>
      </c>
      <c r="M91" s="565">
        <f>'Exp  Assumptions'!Q28</f>
        <v>320.46220800000009</v>
      </c>
      <c r="N91" s="565">
        <f>'Exp  Assumptions'!R28</f>
        <v>423.01011455999998</v>
      </c>
      <c r="O91" s="565">
        <f>'Exp  Assumptions'!S28</f>
        <v>542.86298035200014</v>
      </c>
      <c r="P91" s="565">
        <f>'Exp  Assumptions'!T28</f>
        <v>682.45631815680019</v>
      </c>
      <c r="Q91" s="565">
        <f>'Exp  Assumptions'!U28</f>
        <v>844.53969371904032</v>
      </c>
      <c r="R91" s="565">
        <f>'Exp  Assumptions'!V28</f>
        <v>1032.2151812121601</v>
      </c>
      <c r="S91" s="591">
        <f>SUM(C91:R91)</f>
        <v>4412.6064000000006</v>
      </c>
      <c r="T91" s="584"/>
    </row>
    <row r="92" spans="1:20" ht="15">
      <c r="A92" s="578" t="s">
        <v>6</v>
      </c>
      <c r="B92" s="579"/>
      <c r="C92" s="580">
        <f t="shared" ref="C92:J92" si="22">SUM(C91)</f>
        <v>4.5360000000000005</v>
      </c>
      <c r="D92" s="580">
        <f t="shared" si="22"/>
        <v>9.072000000000001</v>
      </c>
      <c r="E92" s="580">
        <f t="shared" si="22"/>
        <v>13.608000000000001</v>
      </c>
      <c r="F92" s="580">
        <f t="shared" si="22"/>
        <v>18.144000000000002</v>
      </c>
      <c r="G92" s="580">
        <f t="shared" si="22"/>
        <v>24.948000000000004</v>
      </c>
      <c r="H92" s="580">
        <f t="shared" si="22"/>
        <v>29.937600000000007</v>
      </c>
      <c r="I92" s="580">
        <f t="shared" si="22"/>
        <v>34.927200000000013</v>
      </c>
      <c r="J92" s="580">
        <f t="shared" si="22"/>
        <v>39.916800000000009</v>
      </c>
      <c r="K92" s="580">
        <f t="shared" ref="K92:S92" si="23">SUM(K91)</f>
        <v>158.90688000000003</v>
      </c>
      <c r="L92" s="580">
        <f t="shared" si="23"/>
        <v>233.06342400000005</v>
      </c>
      <c r="M92" s="580">
        <f t="shared" si="23"/>
        <v>320.46220800000009</v>
      </c>
      <c r="N92" s="580">
        <f t="shared" si="23"/>
        <v>423.01011455999998</v>
      </c>
      <c r="O92" s="580">
        <f t="shared" si="23"/>
        <v>542.86298035200014</v>
      </c>
      <c r="P92" s="580">
        <f t="shared" si="23"/>
        <v>682.45631815680019</v>
      </c>
      <c r="Q92" s="580">
        <f t="shared" si="23"/>
        <v>844.53969371904032</v>
      </c>
      <c r="R92" s="580">
        <f t="shared" si="23"/>
        <v>1032.2151812121601</v>
      </c>
      <c r="S92" s="592">
        <f t="shared" si="23"/>
        <v>4412.6064000000006</v>
      </c>
      <c r="T92" s="584"/>
    </row>
    <row r="93" spans="1:20">
      <c r="S93" s="573"/>
      <c r="T93" s="584"/>
    </row>
    <row r="94" spans="1:20" ht="15.75">
      <c r="A94" s="572" t="s">
        <v>552</v>
      </c>
      <c r="S94" s="573"/>
      <c r="T94" s="584"/>
    </row>
    <row r="95" spans="1:20">
      <c r="S95" s="573"/>
      <c r="T95" s="584"/>
    </row>
    <row r="96" spans="1:20" ht="15">
      <c r="A96" s="427" t="s">
        <v>385</v>
      </c>
      <c r="C96" s="565">
        <f>'Exp  Assumptions'!G77</f>
        <v>0.17099999999999999</v>
      </c>
      <c r="D96" s="565">
        <f>'Exp  Assumptions'!H77</f>
        <v>0.34199999999999997</v>
      </c>
      <c r="E96" s="565">
        <f>'Exp  Assumptions'!I77</f>
        <v>0.5129999999999999</v>
      </c>
      <c r="F96" s="565">
        <f>'Exp  Assumptions'!J77</f>
        <v>0.68399999999999994</v>
      </c>
      <c r="G96" s="565">
        <f>'Exp  Assumptions'!K77</f>
        <v>0.9405</v>
      </c>
      <c r="H96" s="565">
        <f>'Exp  Assumptions'!L77</f>
        <v>0.9405</v>
      </c>
      <c r="I96" s="565">
        <f>'Exp  Assumptions'!M77</f>
        <v>0.9405</v>
      </c>
      <c r="J96" s="565">
        <f>'Exp  Assumptions'!N77</f>
        <v>0.9405</v>
      </c>
      <c r="K96" s="565">
        <f>'Exp  Assumptions'!O77</f>
        <v>0.9405</v>
      </c>
      <c r="L96" s="565">
        <f>'Exp  Assumptions'!P77</f>
        <v>0.9405</v>
      </c>
      <c r="M96" s="565">
        <f>'Exp  Assumptions'!Q77</f>
        <v>0.9405</v>
      </c>
      <c r="N96" s="565">
        <f>'Exp  Assumptions'!R77</f>
        <v>0.9405</v>
      </c>
      <c r="O96" s="565">
        <f>'Exp  Assumptions'!S77</f>
        <v>0.9405</v>
      </c>
      <c r="P96" s="565">
        <f>'Exp  Assumptions'!T77</f>
        <v>0.9405</v>
      </c>
      <c r="Q96" s="565">
        <f>'Exp  Assumptions'!U77</f>
        <v>0.9405</v>
      </c>
      <c r="R96" s="565">
        <f>'Exp  Assumptions'!V77</f>
        <v>0.9405</v>
      </c>
      <c r="S96" s="591">
        <f>SUM(C96:R96)</f>
        <v>12.996</v>
      </c>
      <c r="T96" s="584"/>
    </row>
    <row r="97" spans="1:20" ht="15">
      <c r="A97" s="427" t="s">
        <v>386</v>
      </c>
      <c r="C97" s="565">
        <f>'Exp  Assumptions'!G81</f>
        <v>0.5625</v>
      </c>
      <c r="D97" s="565">
        <f>'Exp  Assumptions'!H81</f>
        <v>1.125</v>
      </c>
      <c r="E97" s="565">
        <f>'Exp  Assumptions'!I81</f>
        <v>1.6875</v>
      </c>
      <c r="F97" s="565">
        <f>'Exp  Assumptions'!J81</f>
        <v>2.25</v>
      </c>
      <c r="G97" s="565">
        <f>'Exp  Assumptions'!K81</f>
        <v>3.0937500000000004</v>
      </c>
      <c r="H97" s="565">
        <f>'Exp  Assumptions'!L81</f>
        <v>3.7125000000000004</v>
      </c>
      <c r="I97" s="565">
        <f>'Exp  Assumptions'!M81</f>
        <v>4.3312500000000007</v>
      </c>
      <c r="J97" s="565">
        <f>'Exp  Assumptions'!N81</f>
        <v>4.95</v>
      </c>
      <c r="K97" s="565">
        <f>'Exp  Assumptions'!O81</f>
        <v>32.67</v>
      </c>
      <c r="L97" s="565">
        <f>'Exp  Assumptions'!P81</f>
        <v>47.916000000000004</v>
      </c>
      <c r="M97" s="565">
        <f>'Exp  Assumptions'!Q81</f>
        <v>65.884500000000003</v>
      </c>
      <c r="N97" s="565">
        <f>'Exp  Assumptions'!R81</f>
        <v>86.96754</v>
      </c>
      <c r="O97" s="565">
        <f>'Exp  Assumptions'!S81</f>
        <v>111.608343</v>
      </c>
      <c r="P97" s="565">
        <f>'Exp  Assumptions'!T81</f>
        <v>140.3076312</v>
      </c>
      <c r="Q97" s="565">
        <f>'Exp  Assumptions'!U81</f>
        <v>173.63069361000001</v>
      </c>
      <c r="R97" s="565">
        <f>'Exp  Assumptions'!V81</f>
        <v>212.21529219000001</v>
      </c>
      <c r="S97" s="591">
        <f t="shared" ref="S97:S106" si="24">SUM(C97:R97)</f>
        <v>892.91250000000002</v>
      </c>
      <c r="T97" s="584"/>
    </row>
    <row r="98" spans="1:20" ht="15">
      <c r="A98" s="427" t="s">
        <v>387</v>
      </c>
      <c r="C98" s="565">
        <f>'Exp  Assumptions'!G84</f>
        <v>0.27</v>
      </c>
      <c r="D98" s="565">
        <f>'Exp  Assumptions'!H84</f>
        <v>0.54</v>
      </c>
      <c r="E98" s="565">
        <f>'Exp  Assumptions'!I84</f>
        <v>0.80999999999999994</v>
      </c>
      <c r="F98" s="565">
        <f>'Exp  Assumptions'!J84</f>
        <v>1.08</v>
      </c>
      <c r="G98" s="565">
        <f>'Exp  Assumptions'!K84</f>
        <v>1.4849999999999999</v>
      </c>
      <c r="H98" s="565">
        <f>'Exp  Assumptions'!L84</f>
        <v>1.782</v>
      </c>
      <c r="I98" s="565">
        <f>'Exp  Assumptions'!M84</f>
        <v>2.0790000000000002</v>
      </c>
      <c r="J98" s="565">
        <f>'Exp  Assumptions'!N84</f>
        <v>2.3760000000000003</v>
      </c>
      <c r="K98" s="565">
        <f>'Exp  Assumptions'!O84</f>
        <v>15.681600000000001</v>
      </c>
      <c r="L98" s="565">
        <f>'Exp  Assumptions'!P84</f>
        <v>22.999680000000005</v>
      </c>
      <c r="M98" s="565">
        <f>'Exp  Assumptions'!Q84</f>
        <v>31.624560000000002</v>
      </c>
      <c r="N98" s="565">
        <f>'Exp  Assumptions'!R84</f>
        <v>41.744419200000003</v>
      </c>
      <c r="O98" s="565">
        <f>'Exp  Assumptions'!S84</f>
        <v>53.572004640000003</v>
      </c>
      <c r="P98" s="565">
        <f>'Exp  Assumptions'!T84</f>
        <v>67.347662976000009</v>
      </c>
      <c r="Q98" s="565">
        <f>'Exp  Assumptions'!U84</f>
        <v>83.342732932800004</v>
      </c>
      <c r="R98" s="565">
        <f>'Exp  Assumptions'!V84</f>
        <v>101.8633402512</v>
      </c>
      <c r="S98" s="591">
        <f t="shared" si="24"/>
        <v>428.59800000000001</v>
      </c>
      <c r="T98" s="584"/>
    </row>
    <row r="99" spans="1:20" ht="15">
      <c r="A99" s="427" t="s">
        <v>388</v>
      </c>
      <c r="C99" s="565">
        <f>'Exp  Assumptions'!G82</f>
        <v>0.45000000000000007</v>
      </c>
      <c r="D99" s="565">
        <f>'Exp  Assumptions'!H82</f>
        <v>0.90000000000000013</v>
      </c>
      <c r="E99" s="565">
        <f>'Exp  Assumptions'!I82</f>
        <v>1.35</v>
      </c>
      <c r="F99" s="565">
        <f>'Exp  Assumptions'!J82</f>
        <v>1.8000000000000003</v>
      </c>
      <c r="G99" s="565">
        <f>'Exp  Assumptions'!K82</f>
        <v>2.4750000000000005</v>
      </c>
      <c r="H99" s="565">
        <f>'Exp  Assumptions'!L82</f>
        <v>2.9700000000000006</v>
      </c>
      <c r="I99" s="565">
        <f>'Exp  Assumptions'!M82</f>
        <v>3.4650000000000007</v>
      </c>
      <c r="J99" s="565">
        <f>'Exp  Assumptions'!N82</f>
        <v>3.9600000000000009</v>
      </c>
      <c r="K99" s="565">
        <f>'Exp  Assumptions'!O82</f>
        <v>26.136000000000006</v>
      </c>
      <c r="L99" s="565">
        <f>'Exp  Assumptions'!P82</f>
        <v>38.332800000000013</v>
      </c>
      <c r="M99" s="565">
        <f>'Exp  Assumptions'!Q82</f>
        <v>52.707600000000014</v>
      </c>
      <c r="N99" s="565">
        <f>'Exp  Assumptions'!R82</f>
        <v>69.574032000000003</v>
      </c>
      <c r="O99" s="565">
        <f>'Exp  Assumptions'!S82</f>
        <v>89.286674400000024</v>
      </c>
      <c r="P99" s="565">
        <f>'Exp  Assumptions'!T82</f>
        <v>112.24610496000003</v>
      </c>
      <c r="Q99" s="565">
        <f>'Exp  Assumptions'!U82</f>
        <v>138.90455488800004</v>
      </c>
      <c r="R99" s="565">
        <f>'Exp  Assumptions'!V82</f>
        <v>169.77223375200003</v>
      </c>
      <c r="S99" s="591">
        <f t="shared" si="24"/>
        <v>714.33000000000015</v>
      </c>
      <c r="T99" s="584"/>
    </row>
    <row r="100" spans="1:20" ht="15">
      <c r="A100" s="427" t="s">
        <v>204</v>
      </c>
      <c r="C100" s="565">
        <f>'Exp  Assumptions'!G83</f>
        <v>4.4999999999999998E-2</v>
      </c>
      <c r="D100" s="565">
        <f>'Exp  Assumptions'!H83</f>
        <v>0.09</v>
      </c>
      <c r="E100" s="565">
        <f>'Exp  Assumptions'!I83</f>
        <v>0.13500000000000001</v>
      </c>
      <c r="F100" s="565">
        <f>'Exp  Assumptions'!J83</f>
        <v>0.18</v>
      </c>
      <c r="G100" s="565">
        <f>'Exp  Assumptions'!K83</f>
        <v>0.2475</v>
      </c>
      <c r="H100" s="565">
        <f>'Exp  Assumptions'!L83</f>
        <v>0.29700000000000004</v>
      </c>
      <c r="I100" s="565">
        <f>'Exp  Assumptions'!M83</f>
        <v>0.34650000000000003</v>
      </c>
      <c r="J100" s="565">
        <f>'Exp  Assumptions'!N83</f>
        <v>0.39600000000000002</v>
      </c>
      <c r="K100" s="565">
        <f>'Exp  Assumptions'!O83</f>
        <v>2.6136000000000004</v>
      </c>
      <c r="L100" s="565">
        <f>'Exp  Assumptions'!P83</f>
        <v>3.8332800000000002</v>
      </c>
      <c r="M100" s="565">
        <f>'Exp  Assumptions'!Q83</f>
        <v>5.2707600000000001</v>
      </c>
      <c r="N100" s="565">
        <f>'Exp  Assumptions'!R83</f>
        <v>6.9574032000000008</v>
      </c>
      <c r="O100" s="565">
        <f>'Exp  Assumptions'!S83</f>
        <v>8.9286674400000017</v>
      </c>
      <c r="P100" s="565">
        <f>'Exp  Assumptions'!T83</f>
        <v>11.224610496</v>
      </c>
      <c r="Q100" s="565">
        <f>'Exp  Assumptions'!U83</f>
        <v>13.890455488800001</v>
      </c>
      <c r="R100" s="565">
        <f>'Exp  Assumptions'!V83</f>
        <v>16.977223375199998</v>
      </c>
      <c r="S100" s="591">
        <f t="shared" si="24"/>
        <v>71.433000000000007</v>
      </c>
      <c r="T100" s="584"/>
    </row>
    <row r="101" spans="1:20" ht="15">
      <c r="A101" s="427" t="s">
        <v>390</v>
      </c>
      <c r="C101" s="565">
        <f>'Exp  Assumptions'!G78</f>
        <v>0.22500000000000003</v>
      </c>
      <c r="D101" s="565">
        <f>'Exp  Assumptions'!H78</f>
        <v>0.45000000000000007</v>
      </c>
      <c r="E101" s="565">
        <f>'Exp  Assumptions'!I78</f>
        <v>0.67500000000000004</v>
      </c>
      <c r="F101" s="565">
        <f>'Exp  Assumptions'!J78</f>
        <v>0.90000000000000013</v>
      </c>
      <c r="G101" s="565">
        <f>'Exp  Assumptions'!K78</f>
        <v>1.2375000000000003</v>
      </c>
      <c r="H101" s="565">
        <f>'Exp  Assumptions'!L78</f>
        <v>1.2375000000000003</v>
      </c>
      <c r="I101" s="565">
        <f>'Exp  Assumptions'!M78</f>
        <v>1.2375000000000003</v>
      </c>
      <c r="J101" s="565">
        <f>'Exp  Assumptions'!N78</f>
        <v>1.2375000000000003</v>
      </c>
      <c r="K101" s="565">
        <f>'Exp  Assumptions'!O78</f>
        <v>1.2375000000000003</v>
      </c>
      <c r="L101" s="565">
        <f>'Exp  Assumptions'!P78</f>
        <v>1.2375000000000003</v>
      </c>
      <c r="M101" s="565">
        <f>'Exp  Assumptions'!Q78</f>
        <v>1.2375000000000003</v>
      </c>
      <c r="N101" s="565">
        <f>'Exp  Assumptions'!R78</f>
        <v>1.2375000000000003</v>
      </c>
      <c r="O101" s="565">
        <f>'Exp  Assumptions'!S78</f>
        <v>1.2375000000000003</v>
      </c>
      <c r="P101" s="565">
        <f>'Exp  Assumptions'!T78</f>
        <v>1.2375000000000003</v>
      </c>
      <c r="Q101" s="565">
        <f>'Exp  Assumptions'!U78</f>
        <v>1.2375000000000003</v>
      </c>
      <c r="R101" s="565">
        <f>'Exp  Assumptions'!V78</f>
        <v>1.2375000000000003</v>
      </c>
      <c r="S101" s="591">
        <f t="shared" si="24"/>
        <v>17.100000000000005</v>
      </c>
      <c r="T101" s="584"/>
    </row>
    <row r="102" spans="1:20" ht="15">
      <c r="A102" s="427" t="s">
        <v>391</v>
      </c>
      <c r="C102" s="565">
        <f>'Exp  Assumptions'!G79</f>
        <v>0.27</v>
      </c>
      <c r="D102" s="565">
        <f>'Exp  Assumptions'!H79</f>
        <v>0.54</v>
      </c>
      <c r="E102" s="565">
        <f>'Exp  Assumptions'!I79</f>
        <v>0.80999999999999994</v>
      </c>
      <c r="F102" s="565">
        <f>'Exp  Assumptions'!J79</f>
        <v>1.08</v>
      </c>
      <c r="G102" s="565">
        <f>'Exp  Assumptions'!K79</f>
        <v>1.4849999999999999</v>
      </c>
      <c r="H102" s="565">
        <f>'Exp  Assumptions'!L79</f>
        <v>1.4849999999999999</v>
      </c>
      <c r="I102" s="565">
        <f>'Exp  Assumptions'!M79</f>
        <v>1.4849999999999999</v>
      </c>
      <c r="J102" s="565">
        <f>'Exp  Assumptions'!N79</f>
        <v>1.4849999999999999</v>
      </c>
      <c r="K102" s="565">
        <f>'Exp  Assumptions'!O79</f>
        <v>1.4849999999999999</v>
      </c>
      <c r="L102" s="565">
        <f>'Exp  Assumptions'!P79</f>
        <v>1.4849999999999999</v>
      </c>
      <c r="M102" s="565">
        <f>'Exp  Assumptions'!Q79</f>
        <v>1.4849999999999999</v>
      </c>
      <c r="N102" s="565">
        <f>'Exp  Assumptions'!R79</f>
        <v>1.4849999999999999</v>
      </c>
      <c r="O102" s="565">
        <f>'Exp  Assumptions'!S79</f>
        <v>1.4849999999999999</v>
      </c>
      <c r="P102" s="565">
        <f>'Exp  Assumptions'!T79</f>
        <v>1.4849999999999999</v>
      </c>
      <c r="Q102" s="565">
        <f>'Exp  Assumptions'!U79</f>
        <v>1.4849999999999999</v>
      </c>
      <c r="R102" s="565">
        <f>'Exp  Assumptions'!V79</f>
        <v>1.4849999999999999</v>
      </c>
      <c r="S102" s="591">
        <f t="shared" si="24"/>
        <v>20.519999999999996</v>
      </c>
      <c r="T102" s="584"/>
    </row>
    <row r="103" spans="1:20" ht="15">
      <c r="A103" s="427" t="s">
        <v>395</v>
      </c>
      <c r="C103" s="565">
        <f>'Exp  Assumptions'!G85</f>
        <v>0.09</v>
      </c>
      <c r="D103" s="565">
        <f>'Exp  Assumptions'!H85</f>
        <v>0.18</v>
      </c>
      <c r="E103" s="565">
        <f>'Exp  Assumptions'!I85</f>
        <v>0.27</v>
      </c>
      <c r="F103" s="565">
        <f>'Exp  Assumptions'!J85</f>
        <v>0.36</v>
      </c>
      <c r="G103" s="565">
        <f>'Exp  Assumptions'!K85</f>
        <v>0.495</v>
      </c>
      <c r="H103" s="565">
        <f>'Exp  Assumptions'!L85</f>
        <v>0.59400000000000008</v>
      </c>
      <c r="I103" s="565">
        <f>'Exp  Assumptions'!M85</f>
        <v>0.69300000000000006</v>
      </c>
      <c r="J103" s="565">
        <f>'Exp  Assumptions'!N85</f>
        <v>0.79200000000000004</v>
      </c>
      <c r="K103" s="565">
        <f>'Exp  Assumptions'!O85</f>
        <v>5.2272000000000007</v>
      </c>
      <c r="L103" s="565">
        <f>'Exp  Assumptions'!P85</f>
        <v>7.6665600000000005</v>
      </c>
      <c r="M103" s="565">
        <f>'Exp  Assumptions'!Q85</f>
        <v>10.54152</v>
      </c>
      <c r="N103" s="565">
        <f>'Exp  Assumptions'!R85</f>
        <v>13.914806400000002</v>
      </c>
      <c r="O103" s="565">
        <f>'Exp  Assumptions'!S85</f>
        <v>17.857334880000003</v>
      </c>
      <c r="P103" s="565">
        <f>'Exp  Assumptions'!T85</f>
        <v>22.449220992000001</v>
      </c>
      <c r="Q103" s="565">
        <f>'Exp  Assumptions'!U85</f>
        <v>27.780910977600001</v>
      </c>
      <c r="R103" s="565">
        <f>'Exp  Assumptions'!V85</f>
        <v>33.954446750399995</v>
      </c>
      <c r="S103" s="591">
        <f t="shared" si="24"/>
        <v>142.86600000000001</v>
      </c>
      <c r="T103" s="584"/>
    </row>
    <row r="104" spans="1:20" ht="15">
      <c r="A104" s="427" t="s">
        <v>481</v>
      </c>
      <c r="C104" s="565">
        <f>'Exp  Assumptions'!G86</f>
        <v>0.20835000000000004</v>
      </c>
      <c r="D104" s="565">
        <f>'Exp  Assumptions'!H86</f>
        <v>0.41670000000000007</v>
      </c>
      <c r="E104" s="565">
        <f>'Exp  Assumptions'!I86</f>
        <v>0.62505000000000011</v>
      </c>
      <c r="F104" s="565">
        <f>'Exp  Assumptions'!J86</f>
        <v>0.83340000000000014</v>
      </c>
      <c r="G104" s="565">
        <f>'Exp  Assumptions'!K86</f>
        <v>1.1459250000000003</v>
      </c>
      <c r="H104" s="565">
        <f>'Exp  Assumptions'!L86</f>
        <v>1.3751100000000003</v>
      </c>
      <c r="I104" s="565">
        <f>'Exp  Assumptions'!M86</f>
        <v>1.6042950000000005</v>
      </c>
      <c r="J104" s="565">
        <f>'Exp  Assumptions'!N86</f>
        <v>1.8334800000000004</v>
      </c>
      <c r="K104" s="565">
        <f>'Exp  Assumptions'!O86</f>
        <v>12.100968000000003</v>
      </c>
      <c r="L104" s="565">
        <f>'Exp  Assumptions'!P86</f>
        <v>17.748086400000005</v>
      </c>
      <c r="M104" s="565">
        <f>'Exp  Assumptions'!Q86</f>
        <v>24.403618800000007</v>
      </c>
      <c r="N104" s="565">
        <f>'Exp  Assumptions'!R86</f>
        <v>32.212776816000009</v>
      </c>
      <c r="O104" s="565">
        <f>'Exp  Assumptions'!S86</f>
        <v>41.339730247200009</v>
      </c>
      <c r="P104" s="565">
        <f>'Exp  Assumptions'!T86</f>
        <v>51.969946596480014</v>
      </c>
      <c r="Q104" s="565">
        <f>'Exp  Assumptions'!U86</f>
        <v>64.312808913144025</v>
      </c>
      <c r="R104" s="565">
        <f>'Exp  Assumptions'!V86</f>
        <v>78.604544227176021</v>
      </c>
      <c r="S104" s="591">
        <f t="shared" si="24"/>
        <v>330.73479000000009</v>
      </c>
      <c r="T104" s="584"/>
    </row>
    <row r="105" spans="1:20" ht="15">
      <c r="A105" s="223" t="s">
        <v>557</v>
      </c>
      <c r="C105" s="565">
        <f>'Exp  Assumptions'!G133</f>
        <v>3.6</v>
      </c>
      <c r="D105" s="565">
        <f>'Exp  Assumptions'!H133</f>
        <v>4.5</v>
      </c>
      <c r="E105" s="565">
        <f>'Exp  Assumptions'!I133</f>
        <v>3.6</v>
      </c>
      <c r="F105" s="565">
        <f>'Exp  Assumptions'!J133</f>
        <v>3.6</v>
      </c>
      <c r="G105" s="565">
        <f>'Exp  Assumptions'!K133</f>
        <v>6.9300000000000006</v>
      </c>
      <c r="H105" s="565">
        <f>'Exp  Assumptions'!L133</f>
        <v>3.9600000000000004</v>
      </c>
      <c r="I105" s="565">
        <f>'Exp  Assumptions'!M133</f>
        <v>4.95</v>
      </c>
      <c r="J105" s="565">
        <f>'Exp  Assumptions'!N133</f>
        <v>3.9600000000000004</v>
      </c>
      <c r="K105" s="565">
        <f>'Exp  Assumptions'!O133</f>
        <v>21.780000000000005</v>
      </c>
      <c r="L105" s="565">
        <f>'Exp  Assumptions'!P133</f>
        <v>0</v>
      </c>
      <c r="M105" s="565">
        <f>'Exp  Assumptions'!Q133</f>
        <v>0</v>
      </c>
      <c r="N105" s="565">
        <f>'Exp  Assumptions'!R133</f>
        <v>0</v>
      </c>
      <c r="O105" s="565">
        <f>'Exp  Assumptions'!S133</f>
        <v>0</v>
      </c>
      <c r="P105" s="565">
        <f>'Exp  Assumptions'!T133</f>
        <v>0</v>
      </c>
      <c r="Q105" s="565">
        <f>'Exp  Assumptions'!U133</f>
        <v>0</v>
      </c>
      <c r="R105" s="565">
        <f>'Exp  Assumptions'!V133</f>
        <v>0</v>
      </c>
      <c r="S105" s="591">
        <f t="shared" si="24"/>
        <v>56.88000000000001</v>
      </c>
      <c r="T105" s="584"/>
    </row>
    <row r="106" spans="1:20">
      <c r="A106" s="576" t="s">
        <v>551</v>
      </c>
      <c r="B106" s="576"/>
      <c r="C106" s="576">
        <f t="shared" ref="C106:J106" si="25">SUM(C96:C105)</f>
        <v>5.8918499999999998</v>
      </c>
      <c r="D106" s="576">
        <f t="shared" si="25"/>
        <v>9.0837000000000003</v>
      </c>
      <c r="E106" s="576">
        <f t="shared" si="25"/>
        <v>10.475549999999998</v>
      </c>
      <c r="F106" s="576">
        <f t="shared" si="25"/>
        <v>12.7674</v>
      </c>
      <c r="G106" s="576">
        <f t="shared" si="25"/>
        <v>19.535174999999999</v>
      </c>
      <c r="H106" s="576">
        <f t="shared" si="25"/>
        <v>18.353610000000003</v>
      </c>
      <c r="I106" s="576">
        <f t="shared" si="25"/>
        <v>21.132045000000002</v>
      </c>
      <c r="J106" s="576">
        <f t="shared" si="25"/>
        <v>21.930480000000006</v>
      </c>
      <c r="K106" s="576">
        <f t="shared" ref="K106:R106" si="26">SUM(K96:K105)</f>
        <v>119.87236800000002</v>
      </c>
      <c r="L106" s="576">
        <f t="shared" si="26"/>
        <v>142.15940640000002</v>
      </c>
      <c r="M106" s="576">
        <f t="shared" si="26"/>
        <v>194.09555880000005</v>
      </c>
      <c r="N106" s="576">
        <f t="shared" si="26"/>
        <v>255.03397761600002</v>
      </c>
      <c r="O106" s="576">
        <f t="shared" si="26"/>
        <v>326.25575460720012</v>
      </c>
      <c r="P106" s="576">
        <f t="shared" si="26"/>
        <v>409.20817722048014</v>
      </c>
      <c r="Q106" s="576">
        <f t="shared" si="26"/>
        <v>505.52515681034407</v>
      </c>
      <c r="R106" s="576">
        <f t="shared" si="26"/>
        <v>617.05008054597602</v>
      </c>
      <c r="S106" s="591">
        <f t="shared" si="24"/>
        <v>2688.3702900000008</v>
      </c>
      <c r="T106" s="584"/>
    </row>
    <row r="107" spans="1:20">
      <c r="S107" s="573"/>
      <c r="T107" s="584"/>
    </row>
    <row r="108" spans="1:20">
      <c r="S108" s="573"/>
      <c r="T108" s="584"/>
    </row>
    <row r="109" spans="1:20">
      <c r="A109" s="575" t="s">
        <v>837</v>
      </c>
      <c r="B109" s="575"/>
      <c r="C109" s="583">
        <f t="shared" ref="C109:S109" si="27">C106+C92</f>
        <v>10.427849999999999</v>
      </c>
      <c r="D109" s="583">
        <f t="shared" si="27"/>
        <v>18.155700000000003</v>
      </c>
      <c r="E109" s="583">
        <f t="shared" si="27"/>
        <v>24.083549999999999</v>
      </c>
      <c r="F109" s="583">
        <f t="shared" si="27"/>
        <v>30.9114</v>
      </c>
      <c r="G109" s="583">
        <f t="shared" si="27"/>
        <v>44.483175000000003</v>
      </c>
      <c r="H109" s="583">
        <f t="shared" si="27"/>
        <v>48.291210000000007</v>
      </c>
      <c r="I109" s="583">
        <f t="shared" si="27"/>
        <v>56.059245000000018</v>
      </c>
      <c r="J109" s="583">
        <f t="shared" si="27"/>
        <v>61.847280000000012</v>
      </c>
      <c r="K109" s="583">
        <f t="shared" si="27"/>
        <v>278.77924800000005</v>
      </c>
      <c r="L109" s="583">
        <f t="shared" si="27"/>
        <v>375.22283040000008</v>
      </c>
      <c r="M109" s="583">
        <f t="shared" si="27"/>
        <v>514.55776680000008</v>
      </c>
      <c r="N109" s="583">
        <f t="shared" si="27"/>
        <v>678.04409217600005</v>
      </c>
      <c r="O109" s="583">
        <f t="shared" si="27"/>
        <v>869.11873495920031</v>
      </c>
      <c r="P109" s="583">
        <f t="shared" si="27"/>
        <v>1091.6644953772802</v>
      </c>
      <c r="Q109" s="583">
        <f t="shared" si="27"/>
        <v>1350.0648505293843</v>
      </c>
      <c r="R109" s="583">
        <f t="shared" si="27"/>
        <v>1649.2652617581361</v>
      </c>
      <c r="S109" s="583">
        <f t="shared" si="27"/>
        <v>7100.9766900000013</v>
      </c>
      <c r="T109" s="584"/>
    </row>
    <row r="110" spans="1:20">
      <c r="S110" s="573"/>
      <c r="T110" s="584"/>
    </row>
    <row r="111" spans="1:20" ht="15.75">
      <c r="A111" s="1370" t="s">
        <v>748</v>
      </c>
      <c r="B111" s="1370"/>
      <c r="C111" s="1370"/>
      <c r="D111" s="1370"/>
      <c r="E111" s="1370"/>
      <c r="F111" s="1370"/>
      <c r="G111" s="1370"/>
      <c r="H111" s="1370"/>
      <c r="I111" s="1370"/>
      <c r="J111" s="1370"/>
      <c r="K111" s="1370"/>
      <c r="L111" s="1370"/>
      <c r="M111" s="1370"/>
      <c r="N111" s="1370"/>
      <c r="O111" s="1370"/>
      <c r="P111" s="1370"/>
      <c r="Q111" s="1370"/>
      <c r="R111" s="1370"/>
      <c r="S111" s="1370"/>
      <c r="T111" s="584"/>
    </row>
    <row r="112" spans="1:20">
      <c r="S112" s="573"/>
      <c r="T112" s="584"/>
    </row>
    <row r="113" spans="1:20">
      <c r="A113" s="573" t="s">
        <v>555</v>
      </c>
      <c r="S113" s="573"/>
      <c r="T113" s="584"/>
    </row>
    <row r="114" spans="1:20">
      <c r="A114" s="1165" t="s">
        <v>547</v>
      </c>
      <c r="B114" s="565"/>
      <c r="C114" s="565">
        <f>'Exp  Assumptions'!G92</f>
        <v>2.25</v>
      </c>
      <c r="D114" s="565">
        <f>'Exp  Assumptions'!H92</f>
        <v>5.625</v>
      </c>
      <c r="E114" s="565">
        <f>'Exp  Assumptions'!I92</f>
        <v>7.875</v>
      </c>
      <c r="F114" s="565">
        <f>'Exp  Assumptions'!J92</f>
        <v>10.125</v>
      </c>
      <c r="G114" s="565">
        <f>'Exp  Assumptions'!K92</f>
        <v>17.325000000000003</v>
      </c>
      <c r="H114" s="565">
        <f>'Exp  Assumptions'!L92</f>
        <v>19.8</v>
      </c>
      <c r="I114" s="565">
        <f>'Exp  Assumptions'!M92</f>
        <v>23.512500000000003</v>
      </c>
      <c r="J114" s="565">
        <f>'Exp  Assumptions'!N92</f>
        <v>25.987500000000004</v>
      </c>
      <c r="K114" s="565">
        <f>'Exp  Assumptions'!O92</f>
        <v>179.68500000000003</v>
      </c>
      <c r="L114" s="565">
        <f>'Exp  Assumptions'!P92</f>
        <v>227.601</v>
      </c>
      <c r="M114" s="565">
        <f>'Exp  Assumptions'!Q92</f>
        <v>276.71490000000006</v>
      </c>
      <c r="N114" s="565">
        <f>'Exp  Assumptions'!R92</f>
        <v>340.62286500000005</v>
      </c>
      <c r="O114" s="565">
        <f>'Exp  Assumptions'!S92</f>
        <v>382.65717600000005</v>
      </c>
      <c r="P114" s="565">
        <f>'Exp  Assumptions'!T92</f>
        <v>464.76902834999999</v>
      </c>
      <c r="Q114" s="565">
        <f>'Exp  Assumptions'!U92</f>
        <v>559.47667941000009</v>
      </c>
      <c r="R114" s="565">
        <f>'Exp  Assumptions'!V92</f>
        <v>657.86740578900003</v>
      </c>
      <c r="S114" s="591">
        <f>SUM(C114:R114)</f>
        <v>3201.8940545490004</v>
      </c>
      <c r="T114" s="584"/>
    </row>
    <row r="115" spans="1:20" ht="15">
      <c r="A115" s="787" t="s">
        <v>554</v>
      </c>
      <c r="B115" s="565"/>
      <c r="C115" s="565">
        <f>'Exp  Assumptions'!G35</f>
        <v>5.46</v>
      </c>
      <c r="D115" s="565">
        <f>'Exp  Assumptions'!H35</f>
        <v>13.65</v>
      </c>
      <c r="E115" s="565">
        <f>'Exp  Assumptions'!I35</f>
        <v>19.110000000000003</v>
      </c>
      <c r="F115" s="565">
        <f>'Exp  Assumptions'!J35</f>
        <v>24.57</v>
      </c>
      <c r="G115" s="565">
        <f>'Exp  Assumptions'!K35</f>
        <v>40.683720000000008</v>
      </c>
      <c r="H115" s="565">
        <f>'Exp  Assumptions'!L35</f>
        <v>48.047999999999995</v>
      </c>
      <c r="I115" s="565">
        <f>'Exp  Assumptions'!M35</f>
        <v>57.057000000000002</v>
      </c>
      <c r="J115" s="565">
        <f>'Exp  Assumptions'!N35</f>
        <v>63.063000000000002</v>
      </c>
      <c r="K115" s="565">
        <f>'Exp  Assumptions'!O35</f>
        <v>436.03559999999999</v>
      </c>
      <c r="L115" s="565">
        <f>'Exp  Assumptions'!P35</f>
        <v>552.31176000000016</v>
      </c>
      <c r="M115" s="565">
        <f>'Exp  Assumptions'!Q35</f>
        <v>684.32341824000002</v>
      </c>
      <c r="N115" s="565">
        <f>'Exp  Assumptions'!R35</f>
        <v>826.57815240000002</v>
      </c>
      <c r="O115" s="565">
        <f>'Exp  Assumptions'!S35</f>
        <v>928.58141376000015</v>
      </c>
      <c r="P115" s="565">
        <f>'Exp  Assumptions'!T35</f>
        <v>1127.839508796</v>
      </c>
      <c r="Q115" s="565">
        <f>'Exp  Assumptions'!U35</f>
        <v>1357.6634087016</v>
      </c>
      <c r="R115" s="565">
        <f>'Exp  Assumptions'!V35</f>
        <v>1596.42490471464</v>
      </c>
      <c r="S115" s="591">
        <f>SUM(C115:R115)</f>
        <v>7781.3998866122402</v>
      </c>
      <c r="T115" s="584"/>
    </row>
    <row r="116" spans="1:20" ht="15">
      <c r="A116" s="578" t="s">
        <v>6</v>
      </c>
      <c r="B116" s="579"/>
      <c r="C116" s="580">
        <f>SUM(C114:C115)</f>
        <v>7.71</v>
      </c>
      <c r="D116" s="580">
        <f t="shared" ref="D116:R116" si="28">SUM(D114:D115)</f>
        <v>19.274999999999999</v>
      </c>
      <c r="E116" s="580">
        <f t="shared" si="28"/>
        <v>26.985000000000003</v>
      </c>
      <c r="F116" s="580">
        <f t="shared" si="28"/>
        <v>34.695</v>
      </c>
      <c r="G116" s="580">
        <f t="shared" si="28"/>
        <v>58.008720000000011</v>
      </c>
      <c r="H116" s="580">
        <f t="shared" si="28"/>
        <v>67.847999999999999</v>
      </c>
      <c r="I116" s="580">
        <f t="shared" si="28"/>
        <v>80.569500000000005</v>
      </c>
      <c r="J116" s="580">
        <f t="shared" si="28"/>
        <v>89.0505</v>
      </c>
      <c r="K116" s="580">
        <f t="shared" si="28"/>
        <v>615.72059999999999</v>
      </c>
      <c r="L116" s="580">
        <f t="shared" si="28"/>
        <v>779.91276000000016</v>
      </c>
      <c r="M116" s="580">
        <f t="shared" si="28"/>
        <v>961.03831824000008</v>
      </c>
      <c r="N116" s="580">
        <f t="shared" si="28"/>
        <v>1167.2010174000002</v>
      </c>
      <c r="O116" s="580">
        <f t="shared" si="28"/>
        <v>1311.2385897600002</v>
      </c>
      <c r="P116" s="580">
        <f t="shared" si="28"/>
        <v>1592.6085371459999</v>
      </c>
      <c r="Q116" s="580">
        <f t="shared" si="28"/>
        <v>1917.1400881116001</v>
      </c>
      <c r="R116" s="580">
        <f t="shared" si="28"/>
        <v>2254.2923105036398</v>
      </c>
      <c r="S116" s="592">
        <f>SUM(S114:S115)</f>
        <v>10983.293941161241</v>
      </c>
      <c r="T116" s="584"/>
    </row>
    <row r="117" spans="1:20">
      <c r="S117" s="573"/>
      <c r="T117" s="584"/>
    </row>
    <row r="118" spans="1:20" ht="15.75">
      <c r="A118" s="572" t="s">
        <v>552</v>
      </c>
      <c r="S118" s="573"/>
      <c r="T118" s="584"/>
    </row>
    <row r="119" spans="1:20">
      <c r="S119" s="573"/>
      <c r="T119" s="584"/>
    </row>
    <row r="120" spans="1:20" ht="15">
      <c r="A120" s="1163" t="s">
        <v>385</v>
      </c>
      <c r="C120" s="565">
        <f>'Exp  Assumptions'!G93</f>
        <v>0.30000000000000004</v>
      </c>
      <c r="D120" s="565">
        <f>'Exp  Assumptions'!H93</f>
        <v>0.75</v>
      </c>
      <c r="E120" s="565">
        <f>'Exp  Assumptions'!I93</f>
        <v>1.05</v>
      </c>
      <c r="F120" s="565">
        <f>'Exp  Assumptions'!J93</f>
        <v>1.35</v>
      </c>
      <c r="G120" s="565">
        <f>'Exp  Assumptions'!K93</f>
        <v>2.3100000000000005</v>
      </c>
      <c r="H120" s="565">
        <f>'Exp  Assumptions'!L93</f>
        <v>2.6400000000000006</v>
      </c>
      <c r="I120" s="565">
        <f>'Exp  Assumptions'!M93</f>
        <v>3.1350000000000007</v>
      </c>
      <c r="J120" s="565">
        <f>'Exp  Assumptions'!N93</f>
        <v>3.4650000000000007</v>
      </c>
      <c r="K120" s="565">
        <f>'Exp  Assumptions'!O93</f>
        <v>23.958000000000006</v>
      </c>
      <c r="L120" s="565">
        <f>'Exp  Assumptions'!P93</f>
        <v>30.346800000000009</v>
      </c>
      <c r="M120" s="565">
        <f>'Exp  Assumptions'!Q93</f>
        <v>36.895320000000005</v>
      </c>
      <c r="N120" s="565">
        <f>'Exp  Assumptions'!R93</f>
        <v>45.416381999999999</v>
      </c>
      <c r="O120" s="565">
        <f>'Exp  Assumptions'!S93</f>
        <v>51.020956800000008</v>
      </c>
      <c r="P120" s="565">
        <f>'Exp  Assumptions'!T93</f>
        <v>61.969203780000008</v>
      </c>
      <c r="Q120" s="565">
        <f>'Exp  Assumptions'!U93</f>
        <v>74.596890588000008</v>
      </c>
      <c r="R120" s="565">
        <f>'Exp  Assumptions'!V93</f>
        <v>87.715654105200002</v>
      </c>
      <c r="S120" s="591">
        <f>SUM(C120:R120)</f>
        <v>426.91920727320007</v>
      </c>
      <c r="T120" s="584"/>
    </row>
    <row r="121" spans="1:20" ht="15">
      <c r="A121" s="427" t="s">
        <v>387</v>
      </c>
      <c r="C121" s="565">
        <f>'Exp  Assumptions'!G94</f>
        <v>0.30000000000000004</v>
      </c>
      <c r="D121" s="565">
        <f>'Exp  Assumptions'!H94</f>
        <v>0.75</v>
      </c>
      <c r="E121" s="565">
        <f>'Exp  Assumptions'!I94</f>
        <v>1.05</v>
      </c>
      <c r="F121" s="565">
        <f>'Exp  Assumptions'!J94</f>
        <v>1.35</v>
      </c>
      <c r="G121" s="565">
        <f>'Exp  Assumptions'!K94</f>
        <v>2.3100000000000005</v>
      </c>
      <c r="H121" s="565">
        <f>'Exp  Assumptions'!L94</f>
        <v>2.6400000000000006</v>
      </c>
      <c r="I121" s="565">
        <f>'Exp  Assumptions'!M94</f>
        <v>3.1350000000000007</v>
      </c>
      <c r="J121" s="565">
        <f>'Exp  Assumptions'!N94</f>
        <v>3.4650000000000007</v>
      </c>
      <c r="K121" s="565">
        <f>'Exp  Assumptions'!O94</f>
        <v>23.958000000000006</v>
      </c>
      <c r="L121" s="565">
        <f>'Exp  Assumptions'!P94</f>
        <v>30.346800000000009</v>
      </c>
      <c r="M121" s="565">
        <f>'Exp  Assumptions'!Q94</f>
        <v>36.895320000000005</v>
      </c>
      <c r="N121" s="565">
        <f>'Exp  Assumptions'!R94</f>
        <v>45.416381999999999</v>
      </c>
      <c r="O121" s="565">
        <f>'Exp  Assumptions'!S94</f>
        <v>51.020956800000008</v>
      </c>
      <c r="P121" s="565">
        <f>'Exp  Assumptions'!T94</f>
        <v>61.969203780000008</v>
      </c>
      <c r="Q121" s="565">
        <f>'Exp  Assumptions'!U94</f>
        <v>74.596890588000008</v>
      </c>
      <c r="R121" s="565">
        <f>'Exp  Assumptions'!V94</f>
        <v>87.715654105200002</v>
      </c>
      <c r="S121" s="591">
        <f t="shared" ref="S121:S130" si="29">SUM(C121:R121)</f>
        <v>426.91920727320007</v>
      </c>
      <c r="T121" s="584"/>
    </row>
    <row r="122" spans="1:20" ht="15">
      <c r="A122" s="427" t="s">
        <v>834</v>
      </c>
      <c r="C122" s="565">
        <f>'Exp  Assumptions'!G98</f>
        <v>0.36</v>
      </c>
      <c r="D122" s="565">
        <f>'Exp  Assumptions'!H98</f>
        <v>0.89999999999999991</v>
      </c>
      <c r="E122" s="565">
        <f>'Exp  Assumptions'!I98</f>
        <v>1.26</v>
      </c>
      <c r="F122" s="565">
        <f>'Exp  Assumptions'!J98</f>
        <v>1.62</v>
      </c>
      <c r="G122" s="565">
        <f>'Exp  Assumptions'!K98</f>
        <v>2.7720000000000002</v>
      </c>
      <c r="H122" s="565">
        <f>'Exp  Assumptions'!L98</f>
        <v>3.1680000000000001</v>
      </c>
      <c r="I122" s="565">
        <f>'Exp  Assumptions'!M98</f>
        <v>3.762</v>
      </c>
      <c r="J122" s="565">
        <f>'Exp  Assumptions'!N98</f>
        <v>4.1580000000000004</v>
      </c>
      <c r="K122" s="565">
        <f>'Exp  Assumptions'!O98</f>
        <v>28.749600000000004</v>
      </c>
      <c r="L122" s="565">
        <f>'Exp  Assumptions'!P98</f>
        <v>36.416160000000005</v>
      </c>
      <c r="M122" s="565">
        <f>'Exp  Assumptions'!Q98</f>
        <v>44.274384000000005</v>
      </c>
      <c r="N122" s="565">
        <f>'Exp  Assumptions'!R98</f>
        <v>54.499658400000001</v>
      </c>
      <c r="O122" s="565">
        <f>'Exp  Assumptions'!S98</f>
        <v>61.225148160000003</v>
      </c>
      <c r="P122" s="565">
        <f>'Exp  Assumptions'!T98</f>
        <v>74.36304453599999</v>
      </c>
      <c r="Q122" s="565">
        <f>'Exp  Assumptions'!U98</f>
        <v>89.516268705599998</v>
      </c>
      <c r="R122" s="565">
        <f>'Exp  Assumptions'!V98</f>
        <v>105.25878492624</v>
      </c>
      <c r="S122" s="591">
        <f t="shared" si="29"/>
        <v>512.30304872784006</v>
      </c>
      <c r="T122" s="584"/>
    </row>
    <row r="123" spans="1:20" ht="15">
      <c r="A123" s="427" t="s">
        <v>204</v>
      </c>
      <c r="C123" s="565">
        <f>'Exp  Assumptions'!G95</f>
        <v>0.06</v>
      </c>
      <c r="D123" s="565">
        <f>'Exp  Assumptions'!H95</f>
        <v>0.15000000000000002</v>
      </c>
      <c r="E123" s="565">
        <f>'Exp  Assumptions'!I95</f>
        <v>0.21000000000000002</v>
      </c>
      <c r="F123" s="565">
        <f>'Exp  Assumptions'!J95</f>
        <v>0.27</v>
      </c>
      <c r="G123" s="565">
        <f>'Exp  Assumptions'!K95</f>
        <v>0.46200000000000008</v>
      </c>
      <c r="H123" s="565">
        <f>'Exp  Assumptions'!L95</f>
        <v>0.52800000000000002</v>
      </c>
      <c r="I123" s="565">
        <f>'Exp  Assumptions'!M95</f>
        <v>0.627</v>
      </c>
      <c r="J123" s="565">
        <f>'Exp  Assumptions'!N95</f>
        <v>0.69300000000000006</v>
      </c>
      <c r="K123" s="565">
        <f>'Exp  Assumptions'!O95</f>
        <v>4.7916000000000007</v>
      </c>
      <c r="L123" s="565">
        <f>'Exp  Assumptions'!P95</f>
        <v>6.0693600000000014</v>
      </c>
      <c r="M123" s="565">
        <f>'Exp  Assumptions'!Q95</f>
        <v>7.3790640000000014</v>
      </c>
      <c r="N123" s="565">
        <f>'Exp  Assumptions'!R95</f>
        <v>9.0832764000000008</v>
      </c>
      <c r="O123" s="565">
        <f>'Exp  Assumptions'!S95</f>
        <v>10.204191360000001</v>
      </c>
      <c r="P123" s="565">
        <f>'Exp  Assumptions'!T95</f>
        <v>12.393840756000003</v>
      </c>
      <c r="Q123" s="565">
        <f>'Exp  Assumptions'!U95</f>
        <v>14.919378117600001</v>
      </c>
      <c r="R123" s="565">
        <f>'Exp  Assumptions'!V95</f>
        <v>17.543130821040002</v>
      </c>
      <c r="S123" s="591">
        <f t="shared" si="29"/>
        <v>85.38384145464002</v>
      </c>
      <c r="T123" s="584"/>
    </row>
    <row r="124" spans="1:20" ht="15">
      <c r="A124" s="427" t="s">
        <v>390</v>
      </c>
      <c r="C124" s="565">
        <f>'Exp  Assumptions'!G96</f>
        <v>0.24</v>
      </c>
      <c r="D124" s="565">
        <f>'Exp  Assumptions'!H96</f>
        <v>0.60000000000000009</v>
      </c>
      <c r="E124" s="565">
        <f>'Exp  Assumptions'!I96</f>
        <v>0.84000000000000008</v>
      </c>
      <c r="F124" s="565">
        <f>'Exp  Assumptions'!J96</f>
        <v>1.08</v>
      </c>
      <c r="G124" s="565">
        <f>'Exp  Assumptions'!K96</f>
        <v>1.8480000000000003</v>
      </c>
      <c r="H124" s="565">
        <f>'Exp  Assumptions'!L96</f>
        <v>2.1120000000000001</v>
      </c>
      <c r="I124" s="565">
        <f>'Exp  Assumptions'!M96</f>
        <v>2.508</v>
      </c>
      <c r="J124" s="565">
        <f>'Exp  Assumptions'!N96</f>
        <v>2.7720000000000002</v>
      </c>
      <c r="K124" s="565">
        <f>'Exp  Assumptions'!O96</f>
        <v>19.166400000000003</v>
      </c>
      <c r="L124" s="565">
        <f>'Exp  Assumptions'!P96</f>
        <v>24.277440000000006</v>
      </c>
      <c r="M124" s="565">
        <f>'Exp  Assumptions'!Q96</f>
        <v>29.516256000000006</v>
      </c>
      <c r="N124" s="565">
        <f>'Exp  Assumptions'!R96</f>
        <v>36.333105600000003</v>
      </c>
      <c r="O124" s="565">
        <f>'Exp  Assumptions'!S96</f>
        <v>40.816765440000005</v>
      </c>
      <c r="P124" s="565">
        <f>'Exp  Assumptions'!T96</f>
        <v>49.575363024000012</v>
      </c>
      <c r="Q124" s="565">
        <f>'Exp  Assumptions'!U96</f>
        <v>59.677512470400004</v>
      </c>
      <c r="R124" s="565">
        <f>'Exp  Assumptions'!V96</f>
        <v>70.172523284160008</v>
      </c>
      <c r="S124" s="591">
        <f t="shared" si="29"/>
        <v>341.53536581856008</v>
      </c>
      <c r="T124" s="584"/>
    </row>
    <row r="125" spans="1:20" ht="15">
      <c r="A125" s="427" t="s">
        <v>391</v>
      </c>
      <c r="C125" s="565">
        <f>'Exp  Assumptions'!G97</f>
        <v>0.18</v>
      </c>
      <c r="D125" s="565">
        <f>'Exp  Assumptions'!H97</f>
        <v>0.44999999999999996</v>
      </c>
      <c r="E125" s="565">
        <f>'Exp  Assumptions'!I97</f>
        <v>0.63</v>
      </c>
      <c r="F125" s="565">
        <f>'Exp  Assumptions'!J97</f>
        <v>0.81</v>
      </c>
      <c r="G125" s="565">
        <f>'Exp  Assumptions'!K97</f>
        <v>1.3860000000000001</v>
      </c>
      <c r="H125" s="565">
        <f>'Exp  Assumptions'!L97</f>
        <v>1.5840000000000001</v>
      </c>
      <c r="I125" s="565">
        <f>'Exp  Assumptions'!M97</f>
        <v>1.881</v>
      </c>
      <c r="J125" s="565">
        <f>'Exp  Assumptions'!N97</f>
        <v>2.0790000000000002</v>
      </c>
      <c r="K125" s="565">
        <f>'Exp  Assumptions'!O97</f>
        <v>14.374800000000002</v>
      </c>
      <c r="L125" s="565">
        <f>'Exp  Assumptions'!P97</f>
        <v>18.208080000000002</v>
      </c>
      <c r="M125" s="565">
        <f>'Exp  Assumptions'!Q97</f>
        <v>22.137192000000002</v>
      </c>
      <c r="N125" s="565">
        <f>'Exp  Assumptions'!R97</f>
        <v>27.249829200000001</v>
      </c>
      <c r="O125" s="565">
        <f>'Exp  Assumptions'!S97</f>
        <v>30.612574080000002</v>
      </c>
      <c r="P125" s="565">
        <f>'Exp  Assumptions'!T97</f>
        <v>37.181522267999995</v>
      </c>
      <c r="Q125" s="565">
        <f>'Exp  Assumptions'!U97</f>
        <v>44.758134352799999</v>
      </c>
      <c r="R125" s="565">
        <f>'Exp  Assumptions'!V97</f>
        <v>52.629392463119999</v>
      </c>
      <c r="S125" s="591">
        <f t="shared" si="29"/>
        <v>256.15152436392003</v>
      </c>
      <c r="T125" s="584"/>
    </row>
    <row r="126" spans="1:20" ht="15">
      <c r="A126" s="427" t="s">
        <v>395</v>
      </c>
      <c r="C126" s="565">
        <f>'Exp  Assumptions'!G99</f>
        <v>0.06</v>
      </c>
      <c r="D126" s="565">
        <f>'Exp  Assumptions'!H99</f>
        <v>0.15000000000000002</v>
      </c>
      <c r="E126" s="565">
        <f>'Exp  Assumptions'!I99</f>
        <v>0.21000000000000002</v>
      </c>
      <c r="F126" s="565">
        <f>'Exp  Assumptions'!J99</f>
        <v>0.27</v>
      </c>
      <c r="G126" s="565">
        <f>'Exp  Assumptions'!K99</f>
        <v>0.46200000000000008</v>
      </c>
      <c r="H126" s="565">
        <f>'Exp  Assumptions'!L99</f>
        <v>0.52800000000000002</v>
      </c>
      <c r="I126" s="565">
        <f>'Exp  Assumptions'!M99</f>
        <v>0.627</v>
      </c>
      <c r="J126" s="565">
        <f>'Exp  Assumptions'!N99</f>
        <v>0.69300000000000006</v>
      </c>
      <c r="K126" s="565">
        <f>'Exp  Assumptions'!O99</f>
        <v>4.7916000000000007</v>
      </c>
      <c r="L126" s="565">
        <f>'Exp  Assumptions'!P99</f>
        <v>6.0693600000000014</v>
      </c>
      <c r="M126" s="565">
        <f>'Exp  Assumptions'!Q99</f>
        <v>7.3790640000000014</v>
      </c>
      <c r="N126" s="565">
        <f>'Exp  Assumptions'!R99</f>
        <v>9.0832764000000008</v>
      </c>
      <c r="O126" s="565">
        <f>'Exp  Assumptions'!S99</f>
        <v>10.204191360000001</v>
      </c>
      <c r="P126" s="565">
        <f>'Exp  Assumptions'!T99</f>
        <v>12.393840756000003</v>
      </c>
      <c r="Q126" s="565">
        <f>'Exp  Assumptions'!U99</f>
        <v>14.919378117600001</v>
      </c>
      <c r="R126" s="565">
        <f>'Exp  Assumptions'!V99</f>
        <v>17.543130821040002</v>
      </c>
      <c r="S126" s="591">
        <f t="shared" si="29"/>
        <v>85.38384145464002</v>
      </c>
      <c r="T126" s="584"/>
    </row>
    <row r="127" spans="1:20">
      <c r="A127" s="376" t="s">
        <v>396</v>
      </c>
      <c r="C127" s="565">
        <f>'Exp  Assumptions'!G100</f>
        <v>0.89999999999999991</v>
      </c>
      <c r="D127" s="565">
        <f>'Exp  Assumptions'!H100</f>
        <v>2.25</v>
      </c>
      <c r="E127" s="565">
        <f>'Exp  Assumptions'!I100</f>
        <v>3.1500000000000004</v>
      </c>
      <c r="F127" s="565">
        <f>'Exp  Assumptions'!J100</f>
        <v>4.05</v>
      </c>
      <c r="G127" s="565">
        <f>'Exp  Assumptions'!K100</f>
        <v>6.9300000000000015</v>
      </c>
      <c r="H127" s="565">
        <f>'Exp  Assumptions'!L100</f>
        <v>7.92</v>
      </c>
      <c r="I127" s="565">
        <f>'Exp  Assumptions'!M100</f>
        <v>9.4050000000000011</v>
      </c>
      <c r="J127" s="565">
        <f>'Exp  Assumptions'!N100</f>
        <v>10.395000000000001</v>
      </c>
      <c r="K127" s="565">
        <f>'Exp  Assumptions'!O100</f>
        <v>71.874000000000024</v>
      </c>
      <c r="L127" s="565">
        <f>'Exp  Assumptions'!P100</f>
        <v>91.04040000000002</v>
      </c>
      <c r="M127" s="565">
        <f>'Exp  Assumptions'!Q100</f>
        <v>110.68596000000002</v>
      </c>
      <c r="N127" s="565">
        <f>'Exp  Assumptions'!R100</f>
        <v>136.249146</v>
      </c>
      <c r="O127" s="565">
        <f>'Exp  Assumptions'!S100</f>
        <v>153.06287040000001</v>
      </c>
      <c r="P127" s="565">
        <f>'Exp  Assumptions'!T100</f>
        <v>185.90761134000002</v>
      </c>
      <c r="Q127" s="565">
        <f>'Exp  Assumptions'!U100</f>
        <v>223.79067176400002</v>
      </c>
      <c r="R127" s="565">
        <f>'Exp  Assumptions'!V100</f>
        <v>263.14696231559998</v>
      </c>
      <c r="S127" s="591">
        <f t="shared" si="29"/>
        <v>1280.7576218196</v>
      </c>
      <c r="T127" s="584"/>
    </row>
    <row r="128" spans="1:20">
      <c r="A128" s="376" t="s">
        <v>755</v>
      </c>
      <c r="C128" s="565">
        <f>'Exp  Assumptions'!G101</f>
        <v>0.48</v>
      </c>
      <c r="D128" s="565">
        <f>'Exp  Assumptions'!H101</f>
        <v>1.2000000000000002</v>
      </c>
      <c r="E128" s="565">
        <f>'Exp  Assumptions'!I101</f>
        <v>1.6800000000000002</v>
      </c>
      <c r="F128" s="565">
        <f>'Exp  Assumptions'!J101</f>
        <v>2.16</v>
      </c>
      <c r="G128" s="565">
        <f>'Exp  Assumptions'!K101</f>
        <v>3.6960000000000006</v>
      </c>
      <c r="H128" s="565">
        <f>'Exp  Assumptions'!L101</f>
        <v>4.2240000000000002</v>
      </c>
      <c r="I128" s="565">
        <f>'Exp  Assumptions'!M101</f>
        <v>5.016</v>
      </c>
      <c r="J128" s="565">
        <f>'Exp  Assumptions'!N101</f>
        <v>5.5440000000000005</v>
      </c>
      <c r="K128" s="565">
        <f>'Exp  Assumptions'!O101</f>
        <v>38.332800000000006</v>
      </c>
      <c r="L128" s="565">
        <f>'Exp  Assumptions'!P101</f>
        <v>48.554880000000011</v>
      </c>
      <c r="M128" s="565">
        <f>'Exp  Assumptions'!Q101</f>
        <v>59.032512000000011</v>
      </c>
      <c r="N128" s="565">
        <f>'Exp  Assumptions'!R101</f>
        <v>72.666211200000006</v>
      </c>
      <c r="O128" s="565">
        <f>'Exp  Assumptions'!S101</f>
        <v>81.633530880000009</v>
      </c>
      <c r="P128" s="565">
        <f>'Exp  Assumptions'!T101</f>
        <v>99.150726048000024</v>
      </c>
      <c r="Q128" s="565">
        <f>'Exp  Assumptions'!U101</f>
        <v>119.35502494080001</v>
      </c>
      <c r="R128" s="565">
        <f>'Exp  Assumptions'!V101</f>
        <v>140.34504656832002</v>
      </c>
      <c r="S128" s="591">
        <f>SUM(C128:R128)</f>
        <v>683.07073163712016</v>
      </c>
      <c r="T128" s="584"/>
    </row>
    <row r="129" spans="1:20">
      <c r="A129" s="399" t="s">
        <v>813</v>
      </c>
      <c r="C129" s="399">
        <f>'Exp  Assumptions'!G141</f>
        <v>7</v>
      </c>
      <c r="D129" s="399">
        <f>'Exp  Assumptions'!H141</f>
        <v>10.5</v>
      </c>
      <c r="E129" s="399">
        <f>'Exp  Assumptions'!I141</f>
        <v>7</v>
      </c>
      <c r="F129" s="399">
        <f>'Exp  Assumptions'!J141</f>
        <v>7</v>
      </c>
      <c r="G129" s="399">
        <f>'Exp  Assumptions'!K141</f>
        <v>19.250000000000004</v>
      </c>
      <c r="H129" s="399">
        <f>'Exp  Assumptions'!L141</f>
        <v>7.7</v>
      </c>
      <c r="I129" s="399">
        <f>'Exp  Assumptions'!M141</f>
        <v>11.55</v>
      </c>
      <c r="J129" s="399">
        <f>'Exp  Assumptions'!N141</f>
        <v>7.7</v>
      </c>
      <c r="K129" s="399">
        <f>'Exp  Assumptions'!O141</f>
        <v>50.820000000000014</v>
      </c>
      <c r="L129" s="399">
        <f>'Exp  Assumptions'!P141</f>
        <v>23.292500000000004</v>
      </c>
      <c r="M129" s="399">
        <f>'Exp  Assumptions'!Q141</f>
        <v>20.497400000000003</v>
      </c>
      <c r="N129" s="399">
        <f>'Exp  Assumptions'!R141</f>
        <v>28.183925000000006</v>
      </c>
      <c r="O129" s="399">
        <f>'Exp  Assumptions'!S141</f>
        <v>6.2004635000000006</v>
      </c>
      <c r="P129" s="399">
        <f>'Exp  Assumptions'!T141</f>
        <v>34.102549250000003</v>
      </c>
      <c r="Q129" s="399">
        <f>'Exp  Assumptions'!U141</f>
        <v>37.512804174999999</v>
      </c>
      <c r="R129" s="399">
        <f>'Exp  Assumptions'!V141</f>
        <v>33.011267674000003</v>
      </c>
      <c r="S129" s="591">
        <f>SUM(C129:R129)</f>
        <v>311.32090959900006</v>
      </c>
    </row>
    <row r="130" spans="1:20">
      <c r="A130" s="576" t="s">
        <v>551</v>
      </c>
      <c r="B130" s="576"/>
      <c r="C130" s="576">
        <f>SUM(C120:C129)</f>
        <v>9.879999999999999</v>
      </c>
      <c r="D130" s="576">
        <f t="shared" ref="D130:R130" si="30">SUM(D120:D129)</f>
        <v>17.7</v>
      </c>
      <c r="E130" s="576">
        <f t="shared" si="30"/>
        <v>17.079999999999998</v>
      </c>
      <c r="F130" s="576">
        <f t="shared" si="30"/>
        <v>19.96</v>
      </c>
      <c r="G130" s="576">
        <f t="shared" si="30"/>
        <v>41.426000000000009</v>
      </c>
      <c r="H130" s="576">
        <f t="shared" si="30"/>
        <v>33.044000000000004</v>
      </c>
      <c r="I130" s="576">
        <f t="shared" si="30"/>
        <v>41.646000000000001</v>
      </c>
      <c r="J130" s="576">
        <f t="shared" si="30"/>
        <v>40.964000000000013</v>
      </c>
      <c r="K130" s="576">
        <f t="shared" si="30"/>
        <v>280.81680000000006</v>
      </c>
      <c r="L130" s="576">
        <f t="shared" si="30"/>
        <v>314.62178000000006</v>
      </c>
      <c r="M130" s="576">
        <f t="shared" si="30"/>
        <v>374.69247200000007</v>
      </c>
      <c r="N130" s="576">
        <f t="shared" si="30"/>
        <v>464.1811922</v>
      </c>
      <c r="O130" s="576">
        <f t="shared" si="30"/>
        <v>496.0016487800001</v>
      </c>
      <c r="P130" s="576">
        <f t="shared" si="30"/>
        <v>629.00690553800007</v>
      </c>
      <c r="Q130" s="576">
        <f t="shared" si="30"/>
        <v>753.64295381980014</v>
      </c>
      <c r="R130" s="576">
        <f t="shared" si="30"/>
        <v>875.08154708391999</v>
      </c>
      <c r="S130" s="591">
        <f t="shared" si="29"/>
        <v>4409.7452994217201</v>
      </c>
      <c r="T130" s="584"/>
    </row>
    <row r="131" spans="1:20">
      <c r="S131" s="573"/>
      <c r="T131" s="584"/>
    </row>
    <row r="132" spans="1:20">
      <c r="A132" s="575" t="s">
        <v>838</v>
      </c>
      <c r="B132" s="575"/>
      <c r="C132" s="583">
        <f t="shared" ref="C132:S132" si="31">C130+C116</f>
        <v>17.59</v>
      </c>
      <c r="D132" s="583">
        <f t="shared" si="31"/>
        <v>36.974999999999994</v>
      </c>
      <c r="E132" s="583">
        <f t="shared" si="31"/>
        <v>44.064999999999998</v>
      </c>
      <c r="F132" s="583">
        <f t="shared" si="31"/>
        <v>54.655000000000001</v>
      </c>
      <c r="G132" s="583">
        <f t="shared" si="31"/>
        <v>99.434720000000027</v>
      </c>
      <c r="H132" s="583">
        <f t="shared" si="31"/>
        <v>100.892</v>
      </c>
      <c r="I132" s="583">
        <f t="shared" si="31"/>
        <v>122.21550000000001</v>
      </c>
      <c r="J132" s="583">
        <f t="shared" si="31"/>
        <v>130.0145</v>
      </c>
      <c r="K132" s="583">
        <f t="shared" si="31"/>
        <v>896.53740000000005</v>
      </c>
      <c r="L132" s="583">
        <f t="shared" si="31"/>
        <v>1094.5345400000001</v>
      </c>
      <c r="M132" s="583">
        <f t="shared" si="31"/>
        <v>1335.7307902400003</v>
      </c>
      <c r="N132" s="583">
        <f t="shared" si="31"/>
        <v>1631.3822096000001</v>
      </c>
      <c r="O132" s="583">
        <f t="shared" si="31"/>
        <v>1807.2402385400003</v>
      </c>
      <c r="P132" s="583">
        <f t="shared" si="31"/>
        <v>2221.6154426839998</v>
      </c>
      <c r="Q132" s="583">
        <f t="shared" si="31"/>
        <v>2670.7830419314005</v>
      </c>
      <c r="R132" s="583">
        <f t="shared" si="31"/>
        <v>3129.3738575875595</v>
      </c>
      <c r="S132" s="583">
        <f t="shared" si="31"/>
        <v>15393.039240582961</v>
      </c>
      <c r="T132" s="584"/>
    </row>
    <row r="133" spans="1:20">
      <c r="S133" s="573"/>
      <c r="T133" s="584"/>
    </row>
    <row r="134" spans="1:20">
      <c r="A134" s="584"/>
      <c r="B134" s="584"/>
      <c r="C134" s="584"/>
      <c r="D134" s="584"/>
      <c r="E134" s="584"/>
      <c r="F134" s="584"/>
      <c r="G134" s="584"/>
      <c r="H134" s="584"/>
      <c r="I134" s="584"/>
      <c r="J134" s="584"/>
      <c r="K134" s="584"/>
      <c r="L134" s="584"/>
      <c r="M134" s="584"/>
      <c r="N134" s="584"/>
      <c r="O134" s="584"/>
      <c r="P134" s="584"/>
      <c r="Q134" s="584"/>
      <c r="R134" s="584"/>
      <c r="S134" s="584"/>
      <c r="T134" s="584"/>
    </row>
    <row r="135" spans="1:20" s="1172" customFormat="1" ht="25.5">
      <c r="A135" s="1376" t="s">
        <v>840</v>
      </c>
      <c r="B135" s="1376"/>
      <c r="C135" s="1376"/>
      <c r="D135" s="1376"/>
      <c r="E135" s="1376"/>
      <c r="F135" s="1376"/>
      <c r="G135" s="1376"/>
      <c r="H135" s="1376"/>
      <c r="I135" s="1376"/>
      <c r="J135" s="1376"/>
      <c r="K135" s="1376"/>
      <c r="L135" s="1376"/>
      <c r="M135" s="1376"/>
      <c r="N135" s="1376"/>
      <c r="O135" s="1376"/>
      <c r="P135" s="1376"/>
      <c r="Q135" s="1376"/>
      <c r="R135" s="1376"/>
      <c r="S135" s="1171"/>
    </row>
    <row r="136" spans="1:20">
      <c r="A136" s="1173"/>
      <c r="B136" s="1173"/>
      <c r="C136" s="1173"/>
      <c r="D136" s="1173"/>
      <c r="E136" s="1173"/>
      <c r="F136" s="1173"/>
      <c r="G136" s="1173"/>
      <c r="H136" s="1173"/>
      <c r="I136" s="1173"/>
      <c r="J136" s="1173"/>
      <c r="K136" s="1173"/>
      <c r="L136" s="1173"/>
      <c r="M136" s="1173"/>
      <c r="N136" s="1173"/>
      <c r="O136" s="1173"/>
      <c r="P136" s="1173"/>
      <c r="Q136" s="1173"/>
      <c r="R136" s="1173"/>
      <c r="S136" s="573"/>
      <c r="T136" s="1164"/>
    </row>
    <row r="137" spans="1:20">
      <c r="A137" s="569" t="s">
        <v>854</v>
      </c>
      <c r="B137" s="1173"/>
      <c r="C137" s="1173">
        <f>C44+C70</f>
        <v>26.709999999999994</v>
      </c>
      <c r="D137" s="1173">
        <f t="shared" ref="D137:R137" si="32">D44+D70</f>
        <v>26.709999999999994</v>
      </c>
      <c r="E137" s="1173">
        <f t="shared" si="32"/>
        <v>26.709999999999994</v>
      </c>
      <c r="F137" s="1173">
        <f t="shared" si="32"/>
        <v>26.709999999999994</v>
      </c>
      <c r="G137" s="1173">
        <f t="shared" si="32"/>
        <v>33.945999999999998</v>
      </c>
      <c r="H137" s="1173">
        <f t="shared" si="32"/>
        <v>33.945999999999998</v>
      </c>
      <c r="I137" s="1173">
        <f t="shared" si="32"/>
        <v>33.945999999999998</v>
      </c>
      <c r="J137" s="1173">
        <f t="shared" si="32"/>
        <v>33.945999999999998</v>
      </c>
      <c r="K137" s="1173">
        <f t="shared" si="32"/>
        <v>147.16240000000002</v>
      </c>
      <c r="L137" s="1173">
        <f t="shared" si="32"/>
        <v>150.59739199999999</v>
      </c>
      <c r="M137" s="1173">
        <f t="shared" si="32"/>
        <v>217.19170600000004</v>
      </c>
      <c r="N137" s="1173">
        <f t="shared" si="32"/>
        <v>233.37829399999998</v>
      </c>
      <c r="O137" s="1173">
        <f t="shared" si="32"/>
        <v>284.76457540000007</v>
      </c>
      <c r="P137" s="1173">
        <f t="shared" si="32"/>
        <v>311.91803293999999</v>
      </c>
      <c r="Q137" s="1173">
        <f t="shared" si="32"/>
        <v>341.78683623400013</v>
      </c>
      <c r="R137" s="1173">
        <f t="shared" si="32"/>
        <v>370.13419491140007</v>
      </c>
      <c r="S137" s="573"/>
      <c r="T137" s="1164"/>
    </row>
    <row r="138" spans="1:20">
      <c r="A138" s="569" t="s">
        <v>855</v>
      </c>
      <c r="B138" s="1173"/>
      <c r="C138" s="1173">
        <f>C54+C80</f>
        <v>6.2250000000000005</v>
      </c>
      <c r="D138" s="1173">
        <f t="shared" ref="D138:R138" si="33">D54+D80</f>
        <v>6.2250000000000005</v>
      </c>
      <c r="E138" s="1173">
        <f t="shared" si="33"/>
        <v>6.2250000000000005</v>
      </c>
      <c r="F138" s="1173">
        <f t="shared" si="33"/>
        <v>6.2250000000000005</v>
      </c>
      <c r="G138" s="1173">
        <f t="shared" si="33"/>
        <v>8.4018000000000015</v>
      </c>
      <c r="H138" s="1173">
        <f t="shared" si="33"/>
        <v>8.4018000000000015</v>
      </c>
      <c r="I138" s="1173">
        <f t="shared" si="33"/>
        <v>8.4018000000000015</v>
      </c>
      <c r="J138" s="1173">
        <f t="shared" si="33"/>
        <v>8.4018000000000015</v>
      </c>
      <c r="K138" s="1173">
        <f t="shared" si="33"/>
        <v>36.967920000000014</v>
      </c>
      <c r="L138" s="1173">
        <f t="shared" si="33"/>
        <v>40.664712000000009</v>
      </c>
      <c r="M138" s="1173">
        <f t="shared" si="33"/>
        <v>53.006276400000019</v>
      </c>
      <c r="N138" s="1173">
        <f t="shared" si="33"/>
        <v>58.30690404000002</v>
      </c>
      <c r="O138" s="1173">
        <f t="shared" si="33"/>
        <v>74.150457216000035</v>
      </c>
      <c r="P138" s="1173">
        <f t="shared" si="33"/>
        <v>81.56550293760003</v>
      </c>
      <c r="Q138" s="1173">
        <f t="shared" si="33"/>
        <v>89.722053231360036</v>
      </c>
      <c r="R138" s="1173">
        <f t="shared" si="33"/>
        <v>98.694258554496045</v>
      </c>
      <c r="S138" s="573"/>
      <c r="T138" s="1164"/>
    </row>
    <row r="139" spans="1:20" s="1179" customFormat="1" ht="15.75">
      <c r="A139" s="1177" t="s">
        <v>839</v>
      </c>
      <c r="B139" s="1177"/>
      <c r="C139" s="1177">
        <f>C84</f>
        <v>32.934999999999995</v>
      </c>
      <c r="D139" s="1177">
        <f t="shared" ref="D139:R139" si="34">D84</f>
        <v>32.934999999999995</v>
      </c>
      <c r="E139" s="1177">
        <f t="shared" si="34"/>
        <v>32.934999999999995</v>
      </c>
      <c r="F139" s="1177">
        <f t="shared" si="34"/>
        <v>32.934999999999995</v>
      </c>
      <c r="G139" s="1177">
        <f t="shared" si="34"/>
        <v>42.347799999999999</v>
      </c>
      <c r="H139" s="1177">
        <f t="shared" si="34"/>
        <v>42.347799999999999</v>
      </c>
      <c r="I139" s="1177">
        <f t="shared" si="34"/>
        <v>42.347799999999999</v>
      </c>
      <c r="J139" s="1177">
        <f t="shared" si="34"/>
        <v>42.347799999999999</v>
      </c>
      <c r="K139" s="1177">
        <f t="shared" si="34"/>
        <v>184.13032000000004</v>
      </c>
      <c r="L139" s="1177">
        <f t="shared" si="34"/>
        <v>191.26210399999999</v>
      </c>
      <c r="M139" s="1177">
        <f t="shared" si="34"/>
        <v>270.19798240000006</v>
      </c>
      <c r="N139" s="1177">
        <f t="shared" si="34"/>
        <v>291.68519804000005</v>
      </c>
      <c r="O139" s="1177">
        <f t="shared" si="34"/>
        <v>358.91503261600008</v>
      </c>
      <c r="P139" s="1177">
        <f t="shared" si="34"/>
        <v>393.48353587760005</v>
      </c>
      <c r="Q139" s="1177">
        <f t="shared" si="34"/>
        <v>431.50888946536014</v>
      </c>
      <c r="R139" s="1177">
        <f t="shared" si="34"/>
        <v>468.82845346589613</v>
      </c>
      <c r="S139" s="1178"/>
    </row>
    <row r="140" spans="1:20">
      <c r="A140" s="1173"/>
      <c r="B140" s="1173"/>
      <c r="C140" s="1173"/>
      <c r="D140" s="1173"/>
      <c r="E140" s="1173"/>
      <c r="F140" s="1173"/>
      <c r="G140" s="1173"/>
      <c r="H140" s="1173"/>
      <c r="I140" s="1173"/>
      <c r="J140" s="1173"/>
      <c r="K140" s="1173"/>
      <c r="L140" s="1173"/>
      <c r="M140" s="1173"/>
      <c r="N140" s="1173"/>
      <c r="O140" s="1173"/>
      <c r="P140" s="1173"/>
      <c r="Q140" s="1173"/>
      <c r="R140" s="1173"/>
      <c r="S140" s="573"/>
      <c r="T140" s="1164"/>
    </row>
    <row r="141" spans="1:20" s="1176" customFormat="1" ht="15">
      <c r="A141" s="1181" t="s">
        <v>841</v>
      </c>
      <c r="B141" s="1174"/>
      <c r="C141" s="1174">
        <f>C139+C109</f>
        <v>43.362849999999995</v>
      </c>
      <c r="D141" s="1174">
        <f t="shared" ref="D141:R141" si="35">D139+D109</f>
        <v>51.090699999999998</v>
      </c>
      <c r="E141" s="1174">
        <f t="shared" si="35"/>
        <v>57.018549999999991</v>
      </c>
      <c r="F141" s="1174">
        <f t="shared" si="35"/>
        <v>63.846399999999996</v>
      </c>
      <c r="G141" s="1174">
        <f t="shared" si="35"/>
        <v>86.830974999999995</v>
      </c>
      <c r="H141" s="1174">
        <f t="shared" si="35"/>
        <v>90.639010000000013</v>
      </c>
      <c r="I141" s="1174">
        <f t="shared" si="35"/>
        <v>98.407045000000011</v>
      </c>
      <c r="J141" s="1174">
        <f t="shared" si="35"/>
        <v>104.19508000000002</v>
      </c>
      <c r="K141" s="1174">
        <f t="shared" si="35"/>
        <v>462.90956800000009</v>
      </c>
      <c r="L141" s="1174">
        <f t="shared" si="35"/>
        <v>566.48493440000004</v>
      </c>
      <c r="M141" s="1174">
        <f t="shared" si="35"/>
        <v>784.75574920000008</v>
      </c>
      <c r="N141" s="1174">
        <f t="shared" si="35"/>
        <v>969.72929021600009</v>
      </c>
      <c r="O141" s="1174">
        <f t="shared" si="35"/>
        <v>1228.0337675752003</v>
      </c>
      <c r="P141" s="1174">
        <f t="shared" si="35"/>
        <v>1485.1480312548802</v>
      </c>
      <c r="Q141" s="1174">
        <f t="shared" si="35"/>
        <v>1781.5737399947445</v>
      </c>
      <c r="R141" s="1174">
        <f t="shared" si="35"/>
        <v>2118.0937152240322</v>
      </c>
      <c r="S141" s="1175"/>
    </row>
    <row r="142" spans="1:20" s="1176" customFormat="1" ht="15">
      <c r="A142" s="1174"/>
      <c r="B142" s="1174"/>
      <c r="C142" s="1174"/>
      <c r="D142" s="1174"/>
      <c r="E142" s="1174"/>
      <c r="F142" s="1174"/>
      <c r="G142" s="1174"/>
      <c r="H142" s="1174"/>
      <c r="I142" s="1174"/>
      <c r="J142" s="1174"/>
      <c r="K142" s="1174"/>
      <c r="L142" s="1174"/>
      <c r="M142" s="1174"/>
      <c r="N142" s="1174"/>
      <c r="O142" s="1174"/>
      <c r="P142" s="1174"/>
      <c r="Q142" s="1174"/>
      <c r="R142" s="1174"/>
      <c r="S142" s="1175"/>
    </row>
    <row r="143" spans="1:20" s="1176" customFormat="1" ht="15">
      <c r="A143" s="1180" t="s">
        <v>846</v>
      </c>
      <c r="B143" s="1174"/>
      <c r="C143" s="1174"/>
      <c r="D143" s="1174"/>
      <c r="E143" s="1174"/>
      <c r="F143" s="1174"/>
      <c r="G143" s="1174"/>
      <c r="H143" s="1174"/>
      <c r="I143" s="1174"/>
      <c r="J143" s="1174"/>
      <c r="K143" s="1174"/>
      <c r="L143" s="1174"/>
      <c r="M143" s="1174"/>
      <c r="N143" s="1174"/>
      <c r="O143" s="1174"/>
      <c r="P143" s="1174"/>
      <c r="Q143" s="1174"/>
      <c r="R143" s="1174"/>
      <c r="S143" s="1175"/>
    </row>
    <row r="144" spans="1:20" s="1176" customFormat="1" ht="15">
      <c r="A144" s="1174" t="s">
        <v>842</v>
      </c>
      <c r="B144" s="1174"/>
      <c r="C144" s="1174">
        <f t="shared" ref="C144:R144" si="36">C139/(C7+C19)*C7</f>
        <v>19.760999999999996</v>
      </c>
      <c r="D144" s="1174">
        <f t="shared" si="36"/>
        <v>17.964545454545451</v>
      </c>
      <c r="E144" s="1174">
        <f t="shared" si="36"/>
        <v>18.525937499999998</v>
      </c>
      <c r="F144" s="1174">
        <f t="shared" si="36"/>
        <v>18.819999999999997</v>
      </c>
      <c r="G144" s="1174">
        <f t="shared" si="36"/>
        <v>21.904034482758622</v>
      </c>
      <c r="H144" s="1174">
        <f t="shared" si="36"/>
        <v>22.419423529411763</v>
      </c>
      <c r="I144" s="1174">
        <f t="shared" si="36"/>
        <v>22.232595</v>
      </c>
      <c r="J144" s="1174">
        <f t="shared" si="36"/>
        <v>22.585493333333332</v>
      </c>
      <c r="K144" s="1174">
        <f t="shared" si="36"/>
        <v>96.067993043478282</v>
      </c>
      <c r="L144" s="1174">
        <f t="shared" si="36"/>
        <v>106.75094176744184</v>
      </c>
      <c r="M144" s="1174">
        <f t="shared" si="36"/>
        <v>158.93998964705887</v>
      </c>
      <c r="N144" s="1174">
        <f t="shared" si="36"/>
        <v>176.48180049478995</v>
      </c>
      <c r="O144" s="1174">
        <f t="shared" si="36"/>
        <v>228.40047530109095</v>
      </c>
      <c r="P144" s="1174">
        <f t="shared" si="36"/>
        <v>253.5195935855678</v>
      </c>
      <c r="Q144" s="1174">
        <f t="shared" si="36"/>
        <v>280.74072326661985</v>
      </c>
      <c r="R144" s="1174">
        <f t="shared" si="36"/>
        <v>309.11766162586559</v>
      </c>
      <c r="S144" s="1175"/>
    </row>
    <row r="145" spans="1:20" s="1176" customFormat="1" ht="15">
      <c r="A145" s="1174" t="s">
        <v>843</v>
      </c>
      <c r="B145" s="1174"/>
      <c r="C145" s="1174">
        <f t="shared" ref="C145:R145" si="37">C139/(C7+C19)*C19</f>
        <v>13.173999999999998</v>
      </c>
      <c r="D145" s="1174">
        <f t="shared" si="37"/>
        <v>14.970454545454544</v>
      </c>
      <c r="E145" s="1174">
        <f t="shared" si="37"/>
        <v>14.409062499999997</v>
      </c>
      <c r="F145" s="1174">
        <f t="shared" si="37"/>
        <v>14.114999999999998</v>
      </c>
      <c r="G145" s="1174">
        <f t="shared" si="37"/>
        <v>20.443765517241381</v>
      </c>
      <c r="H145" s="1174">
        <f t="shared" si="37"/>
        <v>19.928376470588233</v>
      </c>
      <c r="I145" s="1174">
        <f t="shared" si="37"/>
        <v>20.115205</v>
      </c>
      <c r="J145" s="1174">
        <f t="shared" si="37"/>
        <v>19.762306666666667</v>
      </c>
      <c r="K145" s="1174">
        <f t="shared" si="37"/>
        <v>88.062326956521758</v>
      </c>
      <c r="L145" s="1174">
        <f t="shared" si="37"/>
        <v>84.511162232558135</v>
      </c>
      <c r="M145" s="1174">
        <f t="shared" si="37"/>
        <v>111.25799275294121</v>
      </c>
      <c r="N145" s="1174">
        <f t="shared" si="37"/>
        <v>115.20339754521011</v>
      </c>
      <c r="O145" s="1174">
        <f t="shared" si="37"/>
        <v>130.51455731490913</v>
      </c>
      <c r="P145" s="1174">
        <f t="shared" si="37"/>
        <v>139.96394229203221</v>
      </c>
      <c r="Q145" s="1174">
        <f t="shared" si="37"/>
        <v>150.76816619874029</v>
      </c>
      <c r="R145" s="1174">
        <f t="shared" si="37"/>
        <v>159.71079184003054</v>
      </c>
      <c r="S145" s="1175"/>
    </row>
    <row r="146" spans="1:20" s="1176" customFormat="1" ht="15">
      <c r="A146" s="1174"/>
      <c r="B146" s="1174"/>
      <c r="C146" s="1174"/>
      <c r="D146" s="1174"/>
      <c r="E146" s="1174"/>
      <c r="F146" s="1174"/>
      <c r="G146" s="1174"/>
      <c r="H146" s="1174"/>
      <c r="I146" s="1174"/>
      <c r="J146" s="1174"/>
      <c r="K146" s="1174"/>
      <c r="L146" s="1174"/>
      <c r="M146" s="1174"/>
      <c r="N146" s="1174"/>
      <c r="O146" s="1174"/>
      <c r="P146" s="1174"/>
      <c r="Q146" s="1174"/>
      <c r="R146" s="1174"/>
      <c r="S146" s="1175"/>
    </row>
    <row r="147" spans="1:20" s="1176" customFormat="1" ht="15">
      <c r="A147" s="1174" t="s">
        <v>844</v>
      </c>
      <c r="B147" s="1174"/>
      <c r="C147" s="1174">
        <f>C144+C109</f>
        <v>30.188849999999995</v>
      </c>
      <c r="D147" s="1174">
        <f t="shared" ref="D147:R147" si="38">D144+D109</f>
        <v>36.120245454545454</v>
      </c>
      <c r="E147" s="1174">
        <f t="shared" si="38"/>
        <v>42.6094875</v>
      </c>
      <c r="F147" s="1174">
        <f t="shared" si="38"/>
        <v>49.731399999999994</v>
      </c>
      <c r="G147" s="1174">
        <f t="shared" si="38"/>
        <v>66.387209482758621</v>
      </c>
      <c r="H147" s="1174">
        <f t="shared" si="38"/>
        <v>70.710633529411766</v>
      </c>
      <c r="I147" s="1174">
        <f t="shared" si="38"/>
        <v>78.291840000000022</v>
      </c>
      <c r="J147" s="1174">
        <f t="shared" si="38"/>
        <v>84.432773333333344</v>
      </c>
      <c r="K147" s="1174">
        <f t="shared" si="38"/>
        <v>374.84724104347833</v>
      </c>
      <c r="L147" s="1174">
        <f t="shared" si="38"/>
        <v>481.97377216744189</v>
      </c>
      <c r="M147" s="1174">
        <f t="shared" si="38"/>
        <v>673.49775644705892</v>
      </c>
      <c r="N147" s="1174">
        <f t="shared" si="38"/>
        <v>854.52589267078997</v>
      </c>
      <c r="O147" s="1174">
        <f t="shared" si="38"/>
        <v>1097.5192102602912</v>
      </c>
      <c r="P147" s="1174">
        <f t="shared" si="38"/>
        <v>1345.1840889628479</v>
      </c>
      <c r="Q147" s="1174">
        <f t="shared" si="38"/>
        <v>1630.8055737960042</v>
      </c>
      <c r="R147" s="1174">
        <f t="shared" si="38"/>
        <v>1958.3829233840017</v>
      </c>
      <c r="S147" s="1175"/>
    </row>
    <row r="148" spans="1:20" s="1176" customFormat="1" ht="15">
      <c r="A148" s="1174" t="s">
        <v>845</v>
      </c>
      <c r="B148" s="1174"/>
      <c r="C148" s="1174">
        <f>C145+C132</f>
        <v>30.763999999999996</v>
      </c>
      <c r="D148" s="1174">
        <f t="shared" ref="D148:R148" si="39">D145+D132</f>
        <v>51.945454545454538</v>
      </c>
      <c r="E148" s="1174">
        <f t="shared" si="39"/>
        <v>58.474062499999995</v>
      </c>
      <c r="F148" s="1174">
        <f t="shared" si="39"/>
        <v>68.77</v>
      </c>
      <c r="G148" s="1174">
        <f t="shared" si="39"/>
        <v>119.87848551724142</v>
      </c>
      <c r="H148" s="1174">
        <f t="shared" si="39"/>
        <v>120.82037647058823</v>
      </c>
      <c r="I148" s="1174">
        <f t="shared" si="39"/>
        <v>142.33070499999999</v>
      </c>
      <c r="J148" s="1174">
        <f t="shared" si="39"/>
        <v>149.77680666666666</v>
      </c>
      <c r="K148" s="1174">
        <f t="shared" si="39"/>
        <v>984.59972695652186</v>
      </c>
      <c r="L148" s="1174">
        <f t="shared" si="39"/>
        <v>1179.0457022325581</v>
      </c>
      <c r="M148" s="1174">
        <f t="shared" si="39"/>
        <v>1446.9887829929414</v>
      </c>
      <c r="N148" s="1174">
        <f t="shared" si="39"/>
        <v>1746.5856071452101</v>
      </c>
      <c r="O148" s="1174">
        <f t="shared" si="39"/>
        <v>1937.7547958549094</v>
      </c>
      <c r="P148" s="1174">
        <f t="shared" si="39"/>
        <v>2361.5793849760321</v>
      </c>
      <c r="Q148" s="1174">
        <f t="shared" si="39"/>
        <v>2821.5512081301408</v>
      </c>
      <c r="R148" s="1174">
        <f t="shared" si="39"/>
        <v>3289.0846494275902</v>
      </c>
      <c r="S148" s="1175"/>
    </row>
    <row r="149" spans="1:20" s="1176" customFormat="1" ht="15">
      <c r="A149" s="1174"/>
      <c r="B149" s="1174"/>
      <c r="C149" s="1174"/>
      <c r="D149" s="1174"/>
      <c r="E149" s="1174"/>
      <c r="F149" s="1174"/>
      <c r="G149" s="1174"/>
      <c r="H149" s="1174"/>
      <c r="I149" s="1174"/>
      <c r="J149" s="1174"/>
      <c r="K149" s="1174"/>
      <c r="L149" s="1174"/>
      <c r="M149" s="1174"/>
      <c r="N149" s="1174"/>
      <c r="O149" s="1174"/>
      <c r="P149" s="1174"/>
      <c r="Q149" s="1174"/>
      <c r="R149" s="1174"/>
      <c r="S149" s="1175"/>
    </row>
    <row r="150" spans="1:20" s="1176" customFormat="1" ht="15">
      <c r="A150" s="1181" t="s">
        <v>847</v>
      </c>
      <c r="B150" s="1174"/>
      <c r="C150" s="1174"/>
      <c r="D150" s="1174"/>
      <c r="E150" s="1174"/>
      <c r="F150" s="1174"/>
      <c r="G150" s="1174"/>
      <c r="H150" s="1174"/>
      <c r="I150" s="1174"/>
      <c r="J150" s="1174"/>
      <c r="K150" s="1174"/>
      <c r="L150" s="1174"/>
      <c r="M150" s="1174"/>
      <c r="N150" s="1174"/>
      <c r="O150" s="1174"/>
      <c r="P150" s="1174"/>
      <c r="Q150" s="1174"/>
      <c r="R150" s="1174"/>
      <c r="S150" s="1175"/>
    </row>
    <row r="151" spans="1:20" s="1176" customFormat="1" ht="15">
      <c r="A151" s="1174" t="s">
        <v>842</v>
      </c>
      <c r="B151" s="1174"/>
      <c r="C151" s="1174">
        <f>C139/(C109+C132)*C109</f>
        <v>12.257944123121508</v>
      </c>
      <c r="D151" s="1174">
        <f t="shared" ref="D151:R151" si="40">D139/(D109+D132)*D109</f>
        <v>10.846188775038227</v>
      </c>
      <c r="E151" s="1174">
        <f t="shared" si="40"/>
        <v>11.639157682004971</v>
      </c>
      <c r="F151" s="1174">
        <f t="shared" si="40"/>
        <v>11.897975829297479</v>
      </c>
      <c r="G151" s="1174">
        <f t="shared" si="40"/>
        <v>13.089161693651784</v>
      </c>
      <c r="H151" s="1174">
        <f t="shared" si="40"/>
        <v>13.708154576094726</v>
      </c>
      <c r="I151" s="1174">
        <f t="shared" si="40"/>
        <v>13.316444207568495</v>
      </c>
      <c r="J151" s="1174">
        <f t="shared" si="40"/>
        <v>13.650953535321108</v>
      </c>
      <c r="K151" s="1174">
        <f t="shared" si="40"/>
        <v>43.674793708528647</v>
      </c>
      <c r="L151" s="1174">
        <f t="shared" si="40"/>
        <v>48.828404916661718</v>
      </c>
      <c r="M151" s="1174">
        <f t="shared" si="40"/>
        <v>75.14096646634782</v>
      </c>
      <c r="N151" s="1174">
        <f t="shared" si="40"/>
        <v>85.638335873335677</v>
      </c>
      <c r="O151" s="1174">
        <f t="shared" si="40"/>
        <v>116.55378900731429</v>
      </c>
      <c r="P151" s="1174">
        <f t="shared" si="40"/>
        <v>129.64555173820736</v>
      </c>
      <c r="Q151" s="1174">
        <f t="shared" si="40"/>
        <v>144.88610361274286</v>
      </c>
      <c r="R151" s="1174">
        <f t="shared" si="40"/>
        <v>161.80809278834286</v>
      </c>
      <c r="S151" s="1175"/>
    </row>
    <row r="152" spans="1:20" s="1176" customFormat="1" ht="15">
      <c r="A152" s="1174" t="s">
        <v>843</v>
      </c>
      <c r="B152" s="1174"/>
      <c r="C152" s="1174">
        <f>C139/(C109+C132)*C132</f>
        <v>20.677055876878487</v>
      </c>
      <c r="D152" s="1174">
        <f t="shared" ref="D152:R152" si="41">D139/(D109+D132)*D132</f>
        <v>22.088811224961766</v>
      </c>
      <c r="E152" s="1174">
        <f t="shared" si="41"/>
        <v>21.295842317995021</v>
      </c>
      <c r="F152" s="1174">
        <f t="shared" si="41"/>
        <v>21.037024170702516</v>
      </c>
      <c r="G152" s="1174">
        <f t="shared" si="41"/>
        <v>29.258638306348214</v>
      </c>
      <c r="H152" s="1174">
        <f t="shared" si="41"/>
        <v>28.639645423905279</v>
      </c>
      <c r="I152" s="1174">
        <f t="shared" si="41"/>
        <v>29.031355792431505</v>
      </c>
      <c r="J152" s="1174">
        <f t="shared" si="41"/>
        <v>28.696846464678895</v>
      </c>
      <c r="K152" s="1174">
        <f t="shared" si="41"/>
        <v>140.45552629147139</v>
      </c>
      <c r="L152" s="1174">
        <f t="shared" si="41"/>
        <v>142.43369908333827</v>
      </c>
      <c r="M152" s="1174">
        <f t="shared" si="41"/>
        <v>195.05701593365222</v>
      </c>
      <c r="N152" s="1174">
        <f t="shared" si="41"/>
        <v>206.04686216666431</v>
      </c>
      <c r="O152" s="1174">
        <f t="shared" si="41"/>
        <v>242.36124360868578</v>
      </c>
      <c r="P152" s="1174">
        <f t="shared" si="41"/>
        <v>263.83798413939269</v>
      </c>
      <c r="Q152" s="1174">
        <f t="shared" si="41"/>
        <v>286.62278585261726</v>
      </c>
      <c r="R152" s="1174">
        <f t="shared" si="41"/>
        <v>307.02036067755324</v>
      </c>
      <c r="S152" s="1175"/>
    </row>
    <row r="153" spans="1:20" s="1176" customFormat="1" ht="15">
      <c r="A153" s="1174"/>
      <c r="B153" s="1174"/>
      <c r="C153" s="1174"/>
      <c r="D153" s="1174"/>
      <c r="E153" s="1174"/>
      <c r="F153" s="1174"/>
      <c r="G153" s="1174"/>
      <c r="H153" s="1174"/>
      <c r="I153" s="1174"/>
      <c r="J153" s="1174"/>
      <c r="K153" s="1174"/>
      <c r="L153" s="1174"/>
      <c r="M153" s="1174"/>
      <c r="N153" s="1174"/>
      <c r="O153" s="1174"/>
      <c r="P153" s="1174"/>
      <c r="Q153" s="1174"/>
      <c r="R153" s="1174"/>
      <c r="S153" s="1175"/>
    </row>
    <row r="154" spans="1:20" s="1176" customFormat="1" ht="15">
      <c r="A154" s="1174" t="s">
        <v>844</v>
      </c>
      <c r="B154" s="1174"/>
      <c r="C154" s="1174">
        <f>C151+C109</f>
        <v>22.685794123121507</v>
      </c>
      <c r="D154" s="1174">
        <f t="shared" ref="D154:R154" si="42">D151+D109</f>
        <v>29.001888775038232</v>
      </c>
      <c r="E154" s="1174">
        <f t="shared" si="42"/>
        <v>35.722707682004966</v>
      </c>
      <c r="F154" s="1174">
        <f t="shared" si="42"/>
        <v>42.80937582929748</v>
      </c>
      <c r="G154" s="1174">
        <f t="shared" si="42"/>
        <v>57.572336693651785</v>
      </c>
      <c r="H154" s="1174">
        <f t="shared" si="42"/>
        <v>61.999364576094735</v>
      </c>
      <c r="I154" s="1174">
        <f t="shared" si="42"/>
        <v>69.375689207568513</v>
      </c>
      <c r="J154" s="1174">
        <f t="shared" si="42"/>
        <v>75.49823353532112</v>
      </c>
      <c r="K154" s="1174">
        <f t="shared" si="42"/>
        <v>322.45404170852868</v>
      </c>
      <c r="L154" s="1174">
        <f t="shared" si="42"/>
        <v>424.0512353166618</v>
      </c>
      <c r="M154" s="1174">
        <f t="shared" si="42"/>
        <v>589.69873326634786</v>
      </c>
      <c r="N154" s="1174">
        <f t="shared" si="42"/>
        <v>763.68242804933573</v>
      </c>
      <c r="O154" s="1174">
        <f t="shared" si="42"/>
        <v>985.67252396651463</v>
      </c>
      <c r="P154" s="1174">
        <f t="shared" si="42"/>
        <v>1221.3100471154876</v>
      </c>
      <c r="Q154" s="1174">
        <f t="shared" si="42"/>
        <v>1494.9509541421271</v>
      </c>
      <c r="R154" s="1174">
        <f t="shared" si="42"/>
        <v>1811.0733545464791</v>
      </c>
      <c r="S154" s="1175"/>
    </row>
    <row r="155" spans="1:20" s="1176" customFormat="1" ht="15">
      <c r="A155" s="1174" t="s">
        <v>845</v>
      </c>
      <c r="B155" s="1174"/>
      <c r="C155" s="1174">
        <f>C152+C132</f>
        <v>38.267055876878487</v>
      </c>
      <c r="D155" s="1174">
        <f t="shared" ref="D155:R155" si="43">D152+D132</f>
        <v>59.063811224961761</v>
      </c>
      <c r="E155" s="1174">
        <f t="shared" si="43"/>
        <v>65.360842317995022</v>
      </c>
      <c r="F155" s="1174">
        <f t="shared" si="43"/>
        <v>75.692024170702524</v>
      </c>
      <c r="G155" s="1174">
        <f t="shared" si="43"/>
        <v>128.69335830634824</v>
      </c>
      <c r="H155" s="1174">
        <f t="shared" si="43"/>
        <v>129.53164542390527</v>
      </c>
      <c r="I155" s="1174">
        <f t="shared" si="43"/>
        <v>151.24685579243152</v>
      </c>
      <c r="J155" s="1174">
        <f t="shared" si="43"/>
        <v>158.71134646467888</v>
      </c>
      <c r="K155" s="1174">
        <f t="shared" si="43"/>
        <v>1036.9929262914713</v>
      </c>
      <c r="L155" s="1174">
        <f t="shared" si="43"/>
        <v>1236.9682390833384</v>
      </c>
      <c r="M155" s="1174">
        <f t="shared" si="43"/>
        <v>1530.7878061736524</v>
      </c>
      <c r="N155" s="1174">
        <f t="shared" si="43"/>
        <v>1837.4290717666645</v>
      </c>
      <c r="O155" s="1174">
        <f t="shared" si="43"/>
        <v>2049.601482148686</v>
      </c>
      <c r="P155" s="1174">
        <f t="shared" si="43"/>
        <v>2485.4534268233924</v>
      </c>
      <c r="Q155" s="1174">
        <f t="shared" si="43"/>
        <v>2957.4058277840177</v>
      </c>
      <c r="R155" s="1174">
        <f t="shared" si="43"/>
        <v>3436.3942182651126</v>
      </c>
      <c r="S155" s="1175"/>
    </row>
    <row r="156" spans="1:20" s="1176" customFormat="1" ht="15">
      <c r="A156" s="1174"/>
      <c r="B156" s="1174"/>
      <c r="C156" s="1174"/>
      <c r="D156" s="1174"/>
      <c r="E156" s="1174"/>
      <c r="F156" s="1174"/>
      <c r="G156" s="1174"/>
      <c r="H156" s="1174"/>
      <c r="I156" s="1174"/>
      <c r="J156" s="1174"/>
      <c r="K156" s="1174"/>
      <c r="L156" s="1174"/>
      <c r="M156" s="1174"/>
      <c r="N156" s="1174"/>
      <c r="O156" s="1174"/>
      <c r="P156" s="1174"/>
      <c r="Q156" s="1174"/>
      <c r="R156" s="1174"/>
      <c r="S156" s="1175"/>
    </row>
    <row r="157" spans="1:20" s="1176" customFormat="1" ht="15">
      <c r="A157" s="1181" t="s">
        <v>848</v>
      </c>
      <c r="B157" s="1174"/>
      <c r="C157" s="1174"/>
      <c r="D157" s="1174"/>
      <c r="E157" s="1174"/>
      <c r="F157" s="1174"/>
      <c r="G157" s="1174"/>
      <c r="H157" s="1174"/>
      <c r="I157" s="1174"/>
      <c r="J157" s="1174"/>
      <c r="K157" s="1174"/>
      <c r="L157" s="1174"/>
      <c r="M157" s="1174"/>
      <c r="N157" s="1174"/>
      <c r="O157" s="1174"/>
      <c r="P157" s="1174"/>
      <c r="Q157" s="1174"/>
      <c r="R157" s="1174"/>
      <c r="S157" s="1175"/>
    </row>
    <row r="158" spans="1:20" s="1176" customFormat="1" ht="15">
      <c r="A158" s="1174" t="s">
        <v>842</v>
      </c>
      <c r="B158" s="1174"/>
      <c r="C158" s="1174">
        <f t="shared" ref="C158:R158" si="44">C139/(C8+C20)*C8</f>
        <v>11.744022934338673</v>
      </c>
      <c r="D158" s="1174">
        <f t="shared" si="44"/>
        <v>10.116705006765898</v>
      </c>
      <c r="E158" s="1174">
        <f t="shared" si="44"/>
        <v>10.606608814905892</v>
      </c>
      <c r="F158" s="1174">
        <f t="shared" si="44"/>
        <v>10.869794998546087</v>
      </c>
      <c r="G158" s="1174">
        <f t="shared" si="44"/>
        <v>12.009582979361353</v>
      </c>
      <c r="H158" s="1174">
        <f t="shared" si="44"/>
        <v>12.433755195309129</v>
      </c>
      <c r="I158" s="1174">
        <f t="shared" si="44"/>
        <v>12.278868325973503</v>
      </c>
      <c r="J158" s="1174">
        <f t="shared" si="44"/>
        <v>12.572522364635104</v>
      </c>
      <c r="K158" s="1174">
        <f t="shared" si="44"/>
        <v>65.848908974015544</v>
      </c>
      <c r="L158" s="1174">
        <f t="shared" si="44"/>
        <v>66.838099795822188</v>
      </c>
      <c r="M158" s="1174">
        <f t="shared" si="44"/>
        <v>102.11477236810819</v>
      </c>
      <c r="N158" s="1174">
        <f t="shared" si="44"/>
        <v>115.06404449601088</v>
      </c>
      <c r="O158" s="1174">
        <f t="shared" si="44"/>
        <v>153.14088247525407</v>
      </c>
      <c r="P158" s="1174">
        <f t="shared" si="44"/>
        <v>171.2136241962765</v>
      </c>
      <c r="Q158" s="1174">
        <f t="shared" si="44"/>
        <v>190.69506568851841</v>
      </c>
      <c r="R158" s="1174">
        <f t="shared" si="44"/>
        <v>211.66821739410307</v>
      </c>
      <c r="S158" s="1175"/>
    </row>
    <row r="159" spans="1:20" s="1176" customFormat="1" ht="15">
      <c r="A159" s="1174" t="s">
        <v>843</v>
      </c>
      <c r="B159" s="1174"/>
      <c r="C159" s="1174">
        <f t="shared" ref="C159:R159" si="45">C139/(C8+C20)*C20</f>
        <v>21.190977065661322</v>
      </c>
      <c r="D159" s="1174">
        <f t="shared" si="45"/>
        <v>22.818294993234097</v>
      </c>
      <c r="E159" s="1174">
        <f t="shared" si="45"/>
        <v>22.328391185094105</v>
      </c>
      <c r="F159" s="1174">
        <f t="shared" si="45"/>
        <v>22.065205001453908</v>
      </c>
      <c r="G159" s="1174">
        <f t="shared" si="45"/>
        <v>30.338217020638648</v>
      </c>
      <c r="H159" s="1174">
        <f t="shared" si="45"/>
        <v>29.914044804690867</v>
      </c>
      <c r="I159" s="1174">
        <f t="shared" si="45"/>
        <v>30.068931674026494</v>
      </c>
      <c r="J159" s="1174">
        <f t="shared" si="45"/>
        <v>29.775277635364898</v>
      </c>
      <c r="K159" s="1174">
        <f t="shared" si="45"/>
        <v>118.28141102598448</v>
      </c>
      <c r="L159" s="1174">
        <f t="shared" si="45"/>
        <v>124.42400420417781</v>
      </c>
      <c r="M159" s="1174">
        <f t="shared" si="45"/>
        <v>168.08321003189189</v>
      </c>
      <c r="N159" s="1174">
        <f t="shared" si="45"/>
        <v>176.62115354398915</v>
      </c>
      <c r="O159" s="1174">
        <f t="shared" si="45"/>
        <v>205.77415014074597</v>
      </c>
      <c r="P159" s="1174">
        <f t="shared" si="45"/>
        <v>222.26991168132352</v>
      </c>
      <c r="Q159" s="1174">
        <f t="shared" si="45"/>
        <v>240.81382377684167</v>
      </c>
      <c r="R159" s="1174">
        <f t="shared" si="45"/>
        <v>257.16023607179301</v>
      </c>
      <c r="S159" s="1175"/>
    </row>
    <row r="160" spans="1:20">
      <c r="A160" s="1173"/>
      <c r="B160" s="1173"/>
      <c r="C160" s="1173"/>
      <c r="D160" s="1173"/>
      <c r="E160" s="1173"/>
      <c r="F160" s="1173"/>
      <c r="G160" s="1173"/>
      <c r="H160" s="1173"/>
      <c r="I160" s="1173"/>
      <c r="J160" s="1173"/>
      <c r="K160" s="1173"/>
      <c r="L160" s="1173"/>
      <c r="M160" s="1173"/>
      <c r="N160" s="1173"/>
      <c r="O160" s="1173"/>
      <c r="P160" s="1173"/>
      <c r="Q160" s="1173"/>
      <c r="R160" s="1173"/>
      <c r="S160" s="573"/>
      <c r="T160" s="1164"/>
    </row>
    <row r="161" spans="1:19" s="1176" customFormat="1" ht="15">
      <c r="A161" s="1174" t="s">
        <v>844</v>
      </c>
      <c r="B161" s="1174"/>
      <c r="C161" s="1174">
        <f>C158+C109</f>
        <v>22.171872934338673</v>
      </c>
      <c r="D161" s="1174">
        <f t="shared" ref="D161:R161" si="46">D158+D109</f>
        <v>28.272405006765901</v>
      </c>
      <c r="E161" s="1174">
        <f t="shared" si="46"/>
        <v>34.690158814905892</v>
      </c>
      <c r="F161" s="1174">
        <f t="shared" si="46"/>
        <v>41.781194998546084</v>
      </c>
      <c r="G161" s="1174">
        <f t="shared" si="46"/>
        <v>56.492757979361357</v>
      </c>
      <c r="H161" s="1174">
        <f t="shared" si="46"/>
        <v>60.724965195309139</v>
      </c>
      <c r="I161" s="1174">
        <f t="shared" si="46"/>
        <v>68.338113325973524</v>
      </c>
      <c r="J161" s="1174">
        <f t="shared" si="46"/>
        <v>74.419802364635117</v>
      </c>
      <c r="K161" s="1174">
        <f t="shared" si="46"/>
        <v>344.62815697401561</v>
      </c>
      <c r="L161" s="1174">
        <f t="shared" si="46"/>
        <v>442.06093019582227</v>
      </c>
      <c r="M161" s="1174">
        <f t="shared" si="46"/>
        <v>616.6725391681083</v>
      </c>
      <c r="N161" s="1174">
        <f t="shared" si="46"/>
        <v>793.10813667201091</v>
      </c>
      <c r="O161" s="1174">
        <f t="shared" si="46"/>
        <v>1022.2596174344544</v>
      </c>
      <c r="P161" s="1174">
        <f t="shared" si="46"/>
        <v>1262.8781195735567</v>
      </c>
      <c r="Q161" s="1174">
        <f t="shared" si="46"/>
        <v>1540.7599162179026</v>
      </c>
      <c r="R161" s="1174">
        <f t="shared" si="46"/>
        <v>1860.9334791522392</v>
      </c>
      <c r="S161" s="1175"/>
    </row>
    <row r="162" spans="1:19" s="1176" customFormat="1" ht="15">
      <c r="A162" s="1174" t="s">
        <v>845</v>
      </c>
      <c r="B162" s="1174"/>
      <c r="C162" s="1174">
        <f>C159+C132</f>
        <v>38.780977065661318</v>
      </c>
      <c r="D162" s="1174">
        <f t="shared" ref="D162:R162" si="47">D159+D132</f>
        <v>59.793294993234092</v>
      </c>
      <c r="E162" s="1174">
        <f t="shared" si="47"/>
        <v>66.393391185094103</v>
      </c>
      <c r="F162" s="1174">
        <f t="shared" si="47"/>
        <v>76.720205001453905</v>
      </c>
      <c r="G162" s="1174">
        <f t="shared" si="47"/>
        <v>129.77293702063866</v>
      </c>
      <c r="H162" s="1174">
        <f t="shared" si="47"/>
        <v>130.80604480469086</v>
      </c>
      <c r="I162" s="1174">
        <f t="shared" si="47"/>
        <v>152.28443167402651</v>
      </c>
      <c r="J162" s="1174">
        <f t="shared" si="47"/>
        <v>159.78977763536489</v>
      </c>
      <c r="K162" s="1174">
        <f t="shared" si="47"/>
        <v>1014.8188110259846</v>
      </c>
      <c r="L162" s="1174">
        <f t="shared" si="47"/>
        <v>1218.958544204178</v>
      </c>
      <c r="M162" s="1174">
        <f t="shared" si="47"/>
        <v>1503.8140002718922</v>
      </c>
      <c r="N162" s="1174">
        <f t="shared" si="47"/>
        <v>1808.0033631439892</v>
      </c>
      <c r="O162" s="1174">
        <f t="shared" si="47"/>
        <v>2013.0143886807464</v>
      </c>
      <c r="P162" s="1174">
        <f t="shared" si="47"/>
        <v>2443.8853543653236</v>
      </c>
      <c r="Q162" s="1174">
        <f t="shared" si="47"/>
        <v>2911.5968657082421</v>
      </c>
      <c r="R162" s="1174">
        <f t="shared" si="47"/>
        <v>3386.5340936593525</v>
      </c>
      <c r="S162" s="1175"/>
    </row>
    <row r="163" spans="1:19" s="1176" customFormat="1" ht="15">
      <c r="A163" s="1174"/>
      <c r="B163" s="1174"/>
      <c r="C163" s="1174"/>
      <c r="D163" s="1174"/>
      <c r="E163" s="1174"/>
      <c r="F163" s="1174"/>
      <c r="G163" s="1174"/>
      <c r="H163" s="1174"/>
      <c r="I163" s="1174"/>
      <c r="J163" s="1174"/>
      <c r="K163" s="1174"/>
      <c r="L163" s="1174"/>
      <c r="M163" s="1174"/>
      <c r="N163" s="1174"/>
      <c r="O163" s="1174"/>
      <c r="P163" s="1174"/>
      <c r="Q163" s="1174"/>
      <c r="R163" s="1174"/>
      <c r="S163" s="1175"/>
    </row>
    <row r="164" spans="1:19" s="1176" customFormat="1" ht="15">
      <c r="A164" s="1181" t="s">
        <v>849</v>
      </c>
      <c r="B164" s="1174"/>
      <c r="C164" s="1174"/>
      <c r="D164" s="1174"/>
      <c r="E164" s="1174"/>
      <c r="F164" s="1174"/>
      <c r="G164" s="1174"/>
      <c r="H164" s="1174"/>
      <c r="I164" s="1174"/>
      <c r="J164" s="1174"/>
      <c r="K164" s="1174"/>
      <c r="L164" s="1174"/>
      <c r="M164" s="1174"/>
      <c r="N164" s="1174"/>
      <c r="O164" s="1174"/>
      <c r="P164" s="1174"/>
      <c r="Q164" s="1174"/>
      <c r="R164" s="1174"/>
      <c r="S164" s="1175"/>
    </row>
    <row r="165" spans="1:19" s="1176" customFormat="1" ht="15">
      <c r="A165" s="1174" t="s">
        <v>850</v>
      </c>
      <c r="B165" s="1174"/>
      <c r="C165" s="1174">
        <f>(C44+C70)/(C92+C116)*C92</f>
        <v>9.8935619794218503</v>
      </c>
      <c r="D165" s="1174">
        <f t="shared" ref="D165:R165" si="48">(D44+D70)/(D92+D116)*D92</f>
        <v>8.5481045613292395</v>
      </c>
      <c r="E165" s="1174">
        <f t="shared" si="48"/>
        <v>8.9539989653388492</v>
      </c>
      <c r="F165" s="1174">
        <f t="shared" si="48"/>
        <v>9.1717526826775675</v>
      </c>
      <c r="G165" s="1174">
        <f t="shared" si="48"/>
        <v>10.208754733793716</v>
      </c>
      <c r="H165" s="1174">
        <f t="shared" si="48"/>
        <v>10.392754859611232</v>
      </c>
      <c r="I165" s="1174">
        <f t="shared" si="48"/>
        <v>10.265563701820055</v>
      </c>
      <c r="J165" s="1174">
        <f t="shared" si="48"/>
        <v>10.506660934981193</v>
      </c>
      <c r="K165" s="1174">
        <f t="shared" si="48"/>
        <v>30.188856503402139</v>
      </c>
      <c r="L165" s="1174">
        <f t="shared" si="48"/>
        <v>34.649130334331936</v>
      </c>
      <c r="M165" s="1174">
        <f t="shared" si="48"/>
        <v>54.312684418681094</v>
      </c>
      <c r="N165" s="1174">
        <f t="shared" si="48"/>
        <v>62.080674004010532</v>
      </c>
      <c r="O165" s="1174">
        <f t="shared" si="48"/>
        <v>83.376309363126055</v>
      </c>
      <c r="P165" s="1174">
        <f t="shared" si="48"/>
        <v>93.566753418381964</v>
      </c>
      <c r="Q165" s="1174">
        <f t="shared" si="48"/>
        <v>104.52064424316512</v>
      </c>
      <c r="R165" s="1174">
        <f t="shared" si="48"/>
        <v>116.25049875478155</v>
      </c>
      <c r="S165" s="1175"/>
    </row>
    <row r="166" spans="1:19" s="1176" customFormat="1" ht="15">
      <c r="A166" s="1174" t="s">
        <v>851</v>
      </c>
      <c r="B166" s="1174"/>
      <c r="C166" s="1174">
        <f>(C44+C70)/(C92+C116)*C116</f>
        <v>16.816438020578143</v>
      </c>
      <c r="D166" s="1174">
        <f t="shared" ref="D166:R166" si="49">(D44+D70)/(D92+D116)*D116</f>
        <v>18.161895438670751</v>
      </c>
      <c r="E166" s="1174">
        <f t="shared" si="49"/>
        <v>17.756001034661146</v>
      </c>
      <c r="F166" s="1174">
        <f t="shared" si="49"/>
        <v>17.53824731732243</v>
      </c>
      <c r="G166" s="1174">
        <f t="shared" si="49"/>
        <v>23.73724526620628</v>
      </c>
      <c r="H166" s="1174">
        <f t="shared" si="49"/>
        <v>23.553245140388764</v>
      </c>
      <c r="I166" s="1174">
        <f t="shared" si="49"/>
        <v>23.680436298179945</v>
      </c>
      <c r="J166" s="1174">
        <f t="shared" si="49"/>
        <v>23.4393390650188</v>
      </c>
      <c r="K166" s="1174">
        <f t="shared" si="49"/>
        <v>116.9735434965979</v>
      </c>
      <c r="L166" s="1174">
        <f t="shared" si="49"/>
        <v>115.94826166566806</v>
      </c>
      <c r="M166" s="1174">
        <f t="shared" si="49"/>
        <v>162.87902158131894</v>
      </c>
      <c r="N166" s="1174">
        <f t="shared" si="49"/>
        <v>171.29761999598946</v>
      </c>
      <c r="O166" s="1174">
        <f t="shared" si="49"/>
        <v>201.388266036874</v>
      </c>
      <c r="P166" s="1174">
        <f t="shared" si="49"/>
        <v>218.35127952161807</v>
      </c>
      <c r="Q166" s="1174">
        <f t="shared" si="49"/>
        <v>237.26619199083498</v>
      </c>
      <c r="R166" s="1174">
        <f t="shared" si="49"/>
        <v>253.88369615661853</v>
      </c>
      <c r="S166" s="1175"/>
    </row>
    <row r="167" spans="1:19" s="1176" customFormat="1" ht="15">
      <c r="A167" s="1174" t="s">
        <v>852</v>
      </c>
      <c r="B167" s="1174"/>
      <c r="C167" s="1174">
        <f t="shared" ref="C167:R167" si="50">(C54+C80)/(C106+C130)*C106</f>
        <v>2.325457460602276</v>
      </c>
      <c r="D167" s="1174">
        <f t="shared" si="50"/>
        <v>2.1112106430403572</v>
      </c>
      <c r="E167" s="1174">
        <f t="shared" si="50"/>
        <v>2.3665032543353339</v>
      </c>
      <c r="F167" s="1174">
        <f t="shared" si="50"/>
        <v>2.4284564310027683</v>
      </c>
      <c r="G167" s="1174">
        <f t="shared" si="50"/>
        <v>2.6923797534250284</v>
      </c>
      <c r="H167" s="1174">
        <f t="shared" si="50"/>
        <v>3.0002048830286085</v>
      </c>
      <c r="I167" s="1174">
        <f t="shared" si="50"/>
        <v>2.8281736980022241</v>
      </c>
      <c r="J167" s="1174">
        <f t="shared" si="50"/>
        <v>2.9295974283275745</v>
      </c>
      <c r="K167" s="1174">
        <f t="shared" si="50"/>
        <v>11.059525598242679</v>
      </c>
      <c r="L167" s="1174">
        <f t="shared" si="50"/>
        <v>12.655668603401478</v>
      </c>
      <c r="M167" s="1174">
        <f t="shared" si="50"/>
        <v>18.088079004220244</v>
      </c>
      <c r="N167" s="1174">
        <f t="shared" si="50"/>
        <v>20.675650742461318</v>
      </c>
      <c r="O167" s="1174">
        <f t="shared" si="50"/>
        <v>29.421460085149278</v>
      </c>
      <c r="P167" s="1174">
        <f t="shared" si="50"/>
        <v>32.148705345799314</v>
      </c>
      <c r="Q167" s="1174">
        <f t="shared" si="50"/>
        <v>36.021206895424605</v>
      </c>
      <c r="R167" s="1174">
        <f t="shared" si="50"/>
        <v>40.81362465804019</v>
      </c>
      <c r="S167" s="1175"/>
    </row>
    <row r="168" spans="1:19" s="1176" customFormat="1" ht="15">
      <c r="A168" s="1174" t="s">
        <v>853</v>
      </c>
      <c r="B168" s="1174"/>
      <c r="C168" s="1174">
        <f t="shared" ref="C168:R168" si="51">(C54+C80)/(C106+C130)*C130</f>
        <v>3.8995425393977245</v>
      </c>
      <c r="D168" s="1174">
        <f t="shared" si="51"/>
        <v>4.1137893569596438</v>
      </c>
      <c r="E168" s="1174">
        <f t="shared" si="51"/>
        <v>3.858496745664667</v>
      </c>
      <c r="F168" s="1174">
        <f t="shared" si="51"/>
        <v>3.7965435689972318</v>
      </c>
      <c r="G168" s="1174">
        <f t="shared" si="51"/>
        <v>5.7094202465749735</v>
      </c>
      <c r="H168" s="1174">
        <f t="shared" si="51"/>
        <v>5.4015951169713929</v>
      </c>
      <c r="I168" s="1174">
        <f t="shared" si="51"/>
        <v>5.573626301997777</v>
      </c>
      <c r="J168" s="1174">
        <f t="shared" si="51"/>
        <v>5.4722025716724287</v>
      </c>
      <c r="K168" s="1174">
        <f t="shared" si="51"/>
        <v>25.908394401757331</v>
      </c>
      <c r="L168" s="1174">
        <f t="shared" si="51"/>
        <v>28.009043396598532</v>
      </c>
      <c r="M168" s="1174">
        <f t="shared" si="51"/>
        <v>34.918197395779778</v>
      </c>
      <c r="N168" s="1174">
        <f t="shared" si="51"/>
        <v>37.631253297538699</v>
      </c>
      <c r="O168" s="1174">
        <f t="shared" si="51"/>
        <v>44.728997130850757</v>
      </c>
      <c r="P168" s="1174">
        <f t="shared" si="51"/>
        <v>49.416797591800723</v>
      </c>
      <c r="Q168" s="1174">
        <f t="shared" si="51"/>
        <v>53.700846335935431</v>
      </c>
      <c r="R168" s="1174">
        <f t="shared" si="51"/>
        <v>57.880633896455848</v>
      </c>
      <c r="S168" s="1175"/>
    </row>
    <row r="169" spans="1:19" s="1176" customFormat="1" ht="15">
      <c r="A169" s="1173"/>
      <c r="B169" s="1174"/>
      <c r="C169" s="1174"/>
      <c r="D169" s="1174"/>
      <c r="E169" s="1174"/>
      <c r="F169" s="1174"/>
      <c r="G169" s="1174"/>
      <c r="H169" s="1174"/>
      <c r="I169" s="1174"/>
      <c r="J169" s="1174"/>
      <c r="K169" s="1174"/>
      <c r="L169" s="1174"/>
      <c r="M169" s="1174"/>
      <c r="N169" s="1174"/>
      <c r="O169" s="1174"/>
      <c r="P169" s="1174"/>
      <c r="Q169" s="1174"/>
      <c r="R169" s="1174"/>
      <c r="S169" s="1175"/>
    </row>
    <row r="170" spans="1:19" s="1176" customFormat="1" ht="15">
      <c r="A170" s="1174" t="s">
        <v>844</v>
      </c>
      <c r="B170" s="1174"/>
      <c r="C170" s="1174">
        <f>C165+C167+C109</f>
        <v>22.646869440024126</v>
      </c>
      <c r="D170" s="1174">
        <f t="shared" ref="D170:R170" si="52">D165+D167+D109</f>
        <v>28.815015204369601</v>
      </c>
      <c r="E170" s="1174">
        <f t="shared" si="52"/>
        <v>35.404052219674185</v>
      </c>
      <c r="F170" s="1174">
        <f t="shared" si="52"/>
        <v>42.511609113680336</v>
      </c>
      <c r="G170" s="1174">
        <f t="shared" si="52"/>
        <v>57.384309487218744</v>
      </c>
      <c r="H170" s="1174">
        <f t="shared" si="52"/>
        <v>61.684169742639845</v>
      </c>
      <c r="I170" s="1174">
        <f t="shared" si="52"/>
        <v>69.152982399822292</v>
      </c>
      <c r="J170" s="1174">
        <f t="shared" si="52"/>
        <v>75.283538363308779</v>
      </c>
      <c r="K170" s="1174">
        <f t="shared" si="52"/>
        <v>320.02763010164489</v>
      </c>
      <c r="L170" s="1174">
        <f t="shared" si="52"/>
        <v>422.52762933773352</v>
      </c>
      <c r="M170" s="1174">
        <f t="shared" si="52"/>
        <v>586.95853022290146</v>
      </c>
      <c r="N170" s="1174">
        <f t="shared" si="52"/>
        <v>760.80041692247187</v>
      </c>
      <c r="O170" s="1174">
        <f t="shared" si="52"/>
        <v>981.9165044074756</v>
      </c>
      <c r="P170" s="1174">
        <f t="shared" si="52"/>
        <v>1217.3799541414614</v>
      </c>
      <c r="Q170" s="1174">
        <f t="shared" si="52"/>
        <v>1490.606701667974</v>
      </c>
      <c r="R170" s="1174">
        <f t="shared" si="52"/>
        <v>1806.3293851709579</v>
      </c>
      <c r="S170" s="1175"/>
    </row>
    <row r="171" spans="1:19" s="1176" customFormat="1" ht="15">
      <c r="A171" s="1174" t="s">
        <v>845</v>
      </c>
      <c r="B171" s="1174"/>
      <c r="C171" s="1174">
        <f>C166+C168+C132</f>
        <v>38.305980559975865</v>
      </c>
      <c r="D171" s="1174">
        <f t="shared" ref="D171:R171" si="53">D166+D168+D132</f>
        <v>59.250684795630391</v>
      </c>
      <c r="E171" s="1174">
        <f t="shared" si="53"/>
        <v>65.679497780325818</v>
      </c>
      <c r="F171" s="1174">
        <f t="shared" si="53"/>
        <v>75.989790886319668</v>
      </c>
      <c r="G171" s="1174">
        <f t="shared" si="53"/>
        <v>128.88138551278126</v>
      </c>
      <c r="H171" s="1174">
        <f t="shared" si="53"/>
        <v>129.84684025736016</v>
      </c>
      <c r="I171" s="1174">
        <f t="shared" si="53"/>
        <v>151.46956260017774</v>
      </c>
      <c r="J171" s="1174">
        <f t="shared" si="53"/>
        <v>158.92604163669122</v>
      </c>
      <c r="K171" s="1174">
        <f t="shared" si="53"/>
        <v>1039.4193378983553</v>
      </c>
      <c r="L171" s="1174">
        <f t="shared" si="53"/>
        <v>1238.4918450622667</v>
      </c>
      <c r="M171" s="1174">
        <f t="shared" si="53"/>
        <v>1533.528009217099</v>
      </c>
      <c r="N171" s="1174">
        <f t="shared" si="53"/>
        <v>1840.3110828935282</v>
      </c>
      <c r="O171" s="1174">
        <f t="shared" si="53"/>
        <v>2053.3575017077251</v>
      </c>
      <c r="P171" s="1174">
        <f t="shared" si="53"/>
        <v>2489.3835197974186</v>
      </c>
      <c r="Q171" s="1174">
        <f t="shared" si="53"/>
        <v>2961.7500802581708</v>
      </c>
      <c r="R171" s="1174">
        <f t="shared" si="53"/>
        <v>3441.138187640634</v>
      </c>
      <c r="S171" s="1175"/>
    </row>
    <row r="172" spans="1:19" s="1176" customFormat="1" ht="15">
      <c r="A172" s="1174"/>
      <c r="B172" s="1174"/>
      <c r="C172" s="1174"/>
      <c r="D172" s="1174"/>
      <c r="E172" s="1174"/>
      <c r="F172" s="1174"/>
      <c r="G172" s="1174"/>
      <c r="H172" s="1174"/>
      <c r="I172" s="1174"/>
      <c r="J172" s="1174"/>
      <c r="K172" s="1174"/>
      <c r="L172" s="1174"/>
      <c r="M172" s="1174"/>
      <c r="N172" s="1174"/>
      <c r="O172" s="1174"/>
      <c r="P172" s="1174"/>
      <c r="Q172" s="1174"/>
      <c r="R172" s="1174"/>
      <c r="S172" s="1175"/>
    </row>
    <row r="173" spans="1:19" s="1176" customFormat="1" ht="15">
      <c r="A173" s="1188" t="s">
        <v>857</v>
      </c>
      <c r="C173" s="1176">
        <f>C8</f>
        <v>5.3203125</v>
      </c>
      <c r="D173" s="1176">
        <f t="shared" ref="D173:R173" si="54">D8</f>
        <v>10.640625</v>
      </c>
      <c r="E173" s="1176">
        <f t="shared" si="54"/>
        <v>15.9609375</v>
      </c>
      <c r="F173" s="1176">
        <f t="shared" si="54"/>
        <v>21.28125</v>
      </c>
      <c r="G173" s="1176">
        <f t="shared" si="54"/>
        <v>29.26171875</v>
      </c>
      <c r="H173" s="1176">
        <f t="shared" si="54"/>
        <v>35.114062499999996</v>
      </c>
      <c r="I173" s="1176">
        <f t="shared" si="54"/>
        <v>40.966406249999999</v>
      </c>
      <c r="J173" s="1176">
        <f t="shared" si="54"/>
        <v>46.818750000000001</v>
      </c>
      <c r="K173" s="1176">
        <f t="shared" si="54"/>
        <v>484.60500000000002</v>
      </c>
      <c r="L173" s="1176">
        <f t="shared" si="54"/>
        <v>710.75400000000002</v>
      </c>
      <c r="M173" s="1176">
        <f t="shared" si="54"/>
        <v>977.28675000000032</v>
      </c>
      <c r="N173" s="1176">
        <f t="shared" si="54"/>
        <v>1290.0185100000006</v>
      </c>
      <c r="O173" s="1176">
        <f t="shared" si="54"/>
        <v>1655.5237545000005</v>
      </c>
      <c r="P173" s="1176">
        <f t="shared" si="54"/>
        <v>2081.2298628000008</v>
      </c>
      <c r="Q173" s="1176">
        <f t="shared" si="54"/>
        <v>2575.5219552150015</v>
      </c>
      <c r="R173" s="1176">
        <f t="shared" si="54"/>
        <v>3147.8601674850024</v>
      </c>
      <c r="S173" s="1175"/>
    </row>
    <row r="174" spans="1:19" s="1176" customFormat="1" ht="15">
      <c r="A174" s="1188" t="s">
        <v>858</v>
      </c>
      <c r="C174" s="1176">
        <f>C20</f>
        <v>9.6</v>
      </c>
      <c r="D174" s="1176">
        <f t="shared" ref="D174:R174" si="55">D20</f>
        <v>24</v>
      </c>
      <c r="E174" s="1176">
        <f t="shared" si="55"/>
        <v>33.6</v>
      </c>
      <c r="F174" s="1176">
        <f t="shared" si="55"/>
        <v>43.2</v>
      </c>
      <c r="G174" s="1176">
        <f t="shared" si="55"/>
        <v>73.919999999999987</v>
      </c>
      <c r="H174" s="1176">
        <f t="shared" si="55"/>
        <v>84.48</v>
      </c>
      <c r="I174" s="1176">
        <f t="shared" si="55"/>
        <v>100.32</v>
      </c>
      <c r="J174" s="1176">
        <f t="shared" si="55"/>
        <v>110.88</v>
      </c>
      <c r="K174" s="1176">
        <f t="shared" si="55"/>
        <v>870.47400000000016</v>
      </c>
      <c r="L174" s="1176">
        <f t="shared" si="55"/>
        <v>1323.1204800000005</v>
      </c>
      <c r="M174" s="1176">
        <f t="shared" si="55"/>
        <v>1608.6359520000005</v>
      </c>
      <c r="N174" s="1176">
        <f t="shared" si="55"/>
        <v>1980.154255200001</v>
      </c>
      <c r="O174" s="1176">
        <f t="shared" si="55"/>
        <v>2224.5137164800012</v>
      </c>
      <c r="P174" s="1176">
        <f t="shared" si="55"/>
        <v>2701.8572848080016</v>
      </c>
      <c r="Q174" s="1176">
        <f t="shared" si="55"/>
        <v>3252.4244296368024</v>
      </c>
      <c r="R174" s="1176">
        <f t="shared" si="55"/>
        <v>3824.402518986723</v>
      </c>
      <c r="S174" s="1175"/>
    </row>
    <row r="175" spans="1:19" s="1176" customFormat="1" ht="15">
      <c r="A175" s="1185"/>
      <c r="S175" s="1175"/>
    </row>
    <row r="176" spans="1:19" s="1176" customFormat="1" ht="15">
      <c r="A176" s="1186"/>
      <c r="C176" s="1182"/>
      <c r="D176" s="1182"/>
      <c r="E176" s="1182"/>
      <c r="F176" s="1182"/>
      <c r="G176" s="1182"/>
      <c r="H176" s="1182"/>
      <c r="I176" s="1182"/>
      <c r="J176" s="1182"/>
      <c r="K176" s="1182"/>
      <c r="L176" s="1182"/>
      <c r="M176" s="1182"/>
      <c r="N176" s="1182"/>
      <c r="O176" s="1182"/>
      <c r="P176" s="1182"/>
      <c r="Q176" s="1182"/>
      <c r="R176" s="1182"/>
      <c r="S176" s="1183"/>
    </row>
    <row r="177" spans="1:19" s="1176" customFormat="1" ht="15">
      <c r="A177" s="1185"/>
      <c r="S177" s="1175"/>
    </row>
    <row r="178" spans="1:19" s="1176" customFormat="1" ht="15">
      <c r="A178" s="1186"/>
      <c r="C178" s="1182"/>
      <c r="D178" s="1182"/>
      <c r="E178" s="1182"/>
      <c r="F178" s="1182"/>
      <c r="G178" s="1182"/>
      <c r="H178" s="1182"/>
      <c r="I178" s="1182"/>
      <c r="J178" s="1182"/>
      <c r="K178" s="1182"/>
      <c r="L178" s="1182"/>
      <c r="M178" s="1182"/>
      <c r="N178" s="1182"/>
      <c r="O178" s="1182"/>
      <c r="P178" s="1182"/>
      <c r="Q178" s="1182"/>
      <c r="R178" s="1182"/>
      <c r="S178" s="1183"/>
    </row>
    <row r="179" spans="1:19" s="1176" customFormat="1" ht="15">
      <c r="A179" s="1185"/>
      <c r="C179" s="1175"/>
      <c r="D179" s="1175"/>
      <c r="E179" s="1175"/>
      <c r="F179" s="1175"/>
      <c r="G179" s="1175"/>
      <c r="H179" s="1175"/>
      <c r="I179" s="1175"/>
      <c r="J179" s="1175"/>
      <c r="K179" s="1175"/>
      <c r="L179" s="1175"/>
      <c r="M179" s="1175"/>
      <c r="N179" s="1175"/>
      <c r="O179" s="1175"/>
      <c r="P179" s="1175"/>
      <c r="Q179" s="1175"/>
      <c r="R179" s="1175"/>
      <c r="S179" s="1175"/>
    </row>
    <row r="180" spans="1:19">
      <c r="A180" s="1149"/>
      <c r="C180" s="408"/>
      <c r="D180" s="408"/>
      <c r="E180" s="408"/>
      <c r="F180" s="408"/>
      <c r="G180" s="408"/>
      <c r="H180" s="408"/>
      <c r="I180" s="408"/>
      <c r="J180" s="408"/>
      <c r="K180" s="408"/>
      <c r="L180" s="408"/>
      <c r="M180" s="408"/>
      <c r="N180" s="408"/>
      <c r="O180" s="408"/>
      <c r="P180" s="408"/>
      <c r="Q180" s="408"/>
      <c r="R180" s="408"/>
      <c r="S180" s="593"/>
    </row>
    <row r="181" spans="1:19">
      <c r="A181" s="1149"/>
      <c r="S181" s="573"/>
    </row>
    <row r="182" spans="1:19">
      <c r="A182" s="1149"/>
      <c r="S182" s="573"/>
    </row>
    <row r="183" spans="1:19">
      <c r="A183" s="1169"/>
      <c r="S183" s="573"/>
    </row>
    <row r="184" spans="1:19">
      <c r="A184" s="1149"/>
      <c r="C184" s="408"/>
      <c r="D184" s="408"/>
      <c r="E184" s="408"/>
      <c r="F184" s="408"/>
      <c r="G184" s="408"/>
      <c r="H184" s="408"/>
      <c r="I184" s="408"/>
      <c r="J184" s="408"/>
      <c r="K184" s="408"/>
      <c r="L184" s="408"/>
      <c r="M184" s="408"/>
      <c r="N184" s="408"/>
      <c r="O184" s="408"/>
      <c r="P184" s="408"/>
      <c r="Q184" s="408"/>
      <c r="R184" s="408"/>
      <c r="S184" s="593"/>
    </row>
    <row r="185" spans="1:19">
      <c r="A185" s="1169"/>
      <c r="S185" s="573"/>
    </row>
    <row r="186" spans="1:19">
      <c r="A186" s="1149"/>
      <c r="C186" s="408"/>
      <c r="D186" s="408"/>
      <c r="E186" s="408"/>
      <c r="F186" s="408"/>
      <c r="G186" s="408"/>
      <c r="H186" s="408"/>
      <c r="I186" s="408"/>
      <c r="J186" s="408"/>
      <c r="K186" s="408"/>
      <c r="L186" s="408"/>
      <c r="M186" s="408"/>
      <c r="N186" s="408"/>
      <c r="O186" s="408"/>
      <c r="P186" s="408"/>
      <c r="Q186" s="408"/>
      <c r="R186" s="408"/>
      <c r="S186" s="593"/>
    </row>
    <row r="187" spans="1:19">
      <c r="A187" s="1169"/>
      <c r="C187" s="573"/>
      <c r="D187" s="573"/>
      <c r="E187" s="573"/>
      <c r="F187" s="573"/>
      <c r="G187" s="573"/>
      <c r="H187" s="573"/>
      <c r="I187" s="573"/>
      <c r="J187" s="573"/>
      <c r="K187" s="573"/>
      <c r="L187" s="573"/>
      <c r="M187" s="573"/>
      <c r="N187" s="573"/>
      <c r="O187" s="573"/>
      <c r="P187" s="573"/>
      <c r="Q187" s="573"/>
      <c r="R187" s="573"/>
      <c r="S187" s="573"/>
    </row>
    <row r="188" spans="1:19">
      <c r="A188" s="1149"/>
      <c r="C188" s="408"/>
      <c r="D188" s="408"/>
      <c r="E188" s="408"/>
      <c r="F188" s="408"/>
      <c r="G188" s="408"/>
      <c r="H188" s="408"/>
      <c r="I188" s="408"/>
      <c r="J188" s="408"/>
      <c r="K188" s="408"/>
      <c r="L188" s="408"/>
      <c r="M188" s="408"/>
      <c r="N188" s="408"/>
      <c r="O188" s="408"/>
      <c r="P188" s="408"/>
      <c r="Q188" s="408"/>
      <c r="R188" s="408"/>
      <c r="S188" s="593"/>
    </row>
    <row r="189" spans="1:19">
      <c r="A189" s="1149"/>
      <c r="S189" s="573"/>
    </row>
    <row r="190" spans="1:19">
      <c r="A190" s="1149"/>
      <c r="S190" s="573"/>
    </row>
    <row r="191" spans="1:19">
      <c r="A191" s="1149"/>
      <c r="C191" s="408"/>
      <c r="D191" s="408"/>
      <c r="E191" s="408"/>
      <c r="F191" s="408"/>
      <c r="G191" s="408"/>
      <c r="H191" s="408"/>
      <c r="I191" s="408"/>
      <c r="J191" s="408"/>
      <c r="K191" s="408"/>
      <c r="L191" s="408"/>
      <c r="M191" s="408"/>
      <c r="N191" s="408"/>
      <c r="O191" s="408"/>
      <c r="P191" s="408"/>
      <c r="Q191" s="408"/>
      <c r="R191" s="408"/>
      <c r="S191" s="593"/>
    </row>
    <row r="192" spans="1:19">
      <c r="A192" s="1149"/>
      <c r="S192" s="573"/>
    </row>
    <row r="193" spans="1:19">
      <c r="A193" s="1169"/>
      <c r="S193" s="573"/>
    </row>
    <row r="194" spans="1:19">
      <c r="A194" s="1169"/>
      <c r="C194" s="573"/>
      <c r="D194" s="573"/>
      <c r="E194" s="573"/>
      <c r="F194" s="573"/>
      <c r="G194" s="573"/>
      <c r="H194" s="573"/>
      <c r="I194" s="573"/>
      <c r="J194" s="573"/>
      <c r="K194" s="573"/>
      <c r="L194" s="573"/>
      <c r="M194" s="573"/>
      <c r="N194" s="573"/>
      <c r="O194" s="573"/>
      <c r="P194" s="573"/>
      <c r="Q194" s="573"/>
      <c r="R194" s="573"/>
      <c r="S194" s="573"/>
    </row>
    <row r="195" spans="1:19">
      <c r="A195" s="1149"/>
      <c r="C195" s="408"/>
      <c r="D195" s="408"/>
      <c r="E195" s="408"/>
      <c r="F195" s="408"/>
      <c r="G195" s="408"/>
      <c r="H195" s="408"/>
      <c r="I195" s="408"/>
      <c r="J195" s="408"/>
      <c r="K195" s="408"/>
      <c r="L195" s="408"/>
      <c r="M195" s="408"/>
      <c r="N195" s="408"/>
      <c r="O195" s="408"/>
      <c r="P195" s="408"/>
      <c r="Q195" s="408"/>
      <c r="R195" s="408"/>
      <c r="S195" s="408"/>
    </row>
    <row r="196" spans="1:19">
      <c r="A196" s="1169"/>
      <c r="C196" s="573"/>
      <c r="D196" s="573"/>
      <c r="E196" s="573"/>
      <c r="F196" s="573"/>
      <c r="G196" s="573"/>
      <c r="H196" s="573"/>
      <c r="I196" s="573"/>
      <c r="J196" s="573"/>
      <c r="K196" s="573"/>
      <c r="L196" s="573"/>
      <c r="M196" s="573"/>
      <c r="N196" s="573"/>
      <c r="O196" s="573"/>
      <c r="P196" s="573"/>
      <c r="Q196" s="573"/>
      <c r="R196" s="573"/>
      <c r="S196" s="573"/>
    </row>
    <row r="197" spans="1:19">
      <c r="A197" s="1149"/>
      <c r="C197" s="408"/>
      <c r="D197" s="408"/>
      <c r="E197" s="408"/>
      <c r="F197" s="408"/>
      <c r="G197" s="408"/>
      <c r="H197" s="408"/>
      <c r="I197" s="408"/>
      <c r="J197" s="408"/>
      <c r="K197" s="408"/>
      <c r="L197" s="408"/>
      <c r="M197" s="408"/>
      <c r="N197" s="408"/>
      <c r="O197" s="408"/>
      <c r="P197" s="408"/>
      <c r="Q197" s="408"/>
      <c r="R197" s="408"/>
      <c r="S197" s="408"/>
    </row>
    <row r="198" spans="1:19">
      <c r="A198" s="1149"/>
      <c r="S198" s="573"/>
    </row>
    <row r="199" spans="1:19">
      <c r="A199" s="1149"/>
      <c r="S199" s="573"/>
    </row>
    <row r="200" spans="1:19">
      <c r="A200" s="1149"/>
      <c r="C200" s="408"/>
      <c r="D200" s="408"/>
      <c r="E200" s="408"/>
      <c r="F200" s="408"/>
      <c r="G200" s="408"/>
      <c r="H200" s="408"/>
      <c r="I200" s="408"/>
      <c r="J200" s="408"/>
      <c r="K200" s="408"/>
      <c r="L200" s="408"/>
      <c r="M200" s="408"/>
      <c r="N200" s="408"/>
      <c r="O200" s="408"/>
      <c r="P200" s="408"/>
      <c r="Q200" s="408"/>
      <c r="R200" s="408"/>
      <c r="S200" s="593"/>
    </row>
  </sheetData>
  <mergeCells count="12">
    <mergeCell ref="A111:S111"/>
    <mergeCell ref="A86:S86"/>
    <mergeCell ref="A135:R135"/>
    <mergeCell ref="A60:S60"/>
    <mergeCell ref="A6:S6"/>
    <mergeCell ref="A1:S1"/>
    <mergeCell ref="A31:S31"/>
    <mergeCell ref="A88:S88"/>
    <mergeCell ref="A32:S32"/>
    <mergeCell ref="A18:S18"/>
    <mergeCell ref="C2:F2"/>
    <mergeCell ref="G2:J2"/>
  </mergeCells>
  <pageMargins left="0.7" right="0.7" top="0.75" bottom="0.75" header="0.3" footer="0.3"/>
  <pageSetup orientation="portrait" r:id="rId1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>
  <dimension ref="A1:R30"/>
  <sheetViews>
    <sheetView tabSelected="1" zoomScale="83" zoomScaleNormal="83" workbookViewId="0">
      <selection activeCell="E16" sqref="E16"/>
    </sheetView>
  </sheetViews>
  <sheetFormatPr defaultRowHeight="12.75"/>
  <cols>
    <col min="1" max="1" width="15.5703125" style="620" bestFit="1" customWidth="1"/>
    <col min="2" max="2" width="10.5703125" style="620" customWidth="1"/>
    <col min="3" max="11" width="9.140625" style="620"/>
    <col min="12" max="13" width="6.5703125" style="620" bestFit="1" customWidth="1"/>
    <col min="14" max="16384" width="9.140625" style="620"/>
  </cols>
  <sheetData>
    <row r="1" spans="1:18" ht="15">
      <c r="A1" s="1378" t="s">
        <v>602</v>
      </c>
      <c r="B1" s="1378"/>
      <c r="C1" s="1378"/>
      <c r="D1" s="1378"/>
      <c r="E1" s="1378"/>
      <c r="F1" s="1378"/>
      <c r="G1" s="1378"/>
      <c r="H1" s="1378"/>
      <c r="I1" s="1378"/>
      <c r="J1" s="1378"/>
      <c r="K1" s="1378"/>
      <c r="L1" s="1378"/>
      <c r="M1" s="1378"/>
      <c r="N1" s="1378"/>
      <c r="O1" s="1378"/>
      <c r="P1" s="1378"/>
      <c r="Q1" s="1378"/>
      <c r="R1" s="1378"/>
    </row>
    <row r="2" spans="1:18" ht="15">
      <c r="A2" s="621"/>
      <c r="B2" s="621"/>
      <c r="C2" s="622"/>
      <c r="D2" s="622"/>
      <c r="E2" s="622"/>
      <c r="F2" s="622"/>
      <c r="G2" s="622"/>
      <c r="H2" s="622"/>
      <c r="I2" s="622"/>
      <c r="J2" s="622"/>
      <c r="K2" s="622"/>
    </row>
    <row r="3" spans="1:18" ht="15">
      <c r="A3" s="623" t="s">
        <v>81</v>
      </c>
      <c r="B3" s="623"/>
      <c r="C3" s="622"/>
      <c r="D3" s="622"/>
      <c r="E3" s="622"/>
      <c r="F3" s="622"/>
      <c r="G3" s="622"/>
      <c r="H3" s="622"/>
      <c r="I3" s="622"/>
      <c r="J3" s="622"/>
      <c r="K3" s="622"/>
    </row>
    <row r="4" spans="1:18" ht="15">
      <c r="A4" s="1379" t="s">
        <v>603</v>
      </c>
      <c r="B4" s="1379"/>
      <c r="C4" s="1379"/>
      <c r="D4" s="1379"/>
      <c r="E4" s="1379"/>
      <c r="F4" s="1379"/>
      <c r="G4" s="1379"/>
      <c r="H4" s="1379"/>
      <c r="I4" s="1379"/>
      <c r="J4" s="1379"/>
      <c r="K4" s="1379"/>
      <c r="L4" s="1379"/>
      <c r="M4" s="1379"/>
      <c r="N4" s="1379"/>
      <c r="O4" s="1379"/>
    </row>
    <row r="6" spans="1:18" ht="15">
      <c r="C6" s="1377" t="s">
        <v>156</v>
      </c>
      <c r="D6" s="1377"/>
      <c r="E6" s="1377"/>
      <c r="F6" s="1377"/>
      <c r="G6" s="1377" t="s">
        <v>157</v>
      </c>
      <c r="H6" s="1377"/>
      <c r="I6" s="1377"/>
      <c r="J6" s="1377"/>
      <c r="K6" s="624" t="s">
        <v>162</v>
      </c>
      <c r="L6" s="624" t="s">
        <v>163</v>
      </c>
      <c r="M6" s="624" t="s">
        <v>164</v>
      </c>
      <c r="N6" s="624" t="s">
        <v>190</v>
      </c>
      <c r="O6" s="624" t="s">
        <v>191</v>
      </c>
      <c r="P6" s="624" t="s">
        <v>192</v>
      </c>
      <c r="Q6" s="624" t="s">
        <v>193</v>
      </c>
      <c r="R6" s="624" t="s">
        <v>194</v>
      </c>
    </row>
    <row r="7" spans="1:18" ht="15">
      <c r="C7" s="625" t="s">
        <v>604</v>
      </c>
      <c r="D7" s="625" t="s">
        <v>605</v>
      </c>
      <c r="E7" s="625" t="s">
        <v>606</v>
      </c>
      <c r="F7" s="625" t="s">
        <v>607</v>
      </c>
      <c r="G7" s="625" t="s">
        <v>604</v>
      </c>
      <c r="H7" s="625" t="s">
        <v>605</v>
      </c>
      <c r="I7" s="625" t="s">
        <v>606</v>
      </c>
      <c r="J7" s="625" t="s">
        <v>607</v>
      </c>
      <c r="K7" s="625"/>
      <c r="L7" s="625"/>
      <c r="M7" s="625"/>
      <c r="N7" s="625"/>
      <c r="O7" s="625"/>
      <c r="P7" s="625"/>
      <c r="Q7" s="625"/>
      <c r="R7" s="625"/>
    </row>
    <row r="8" spans="1:18">
      <c r="B8" s="802" t="s">
        <v>705</v>
      </c>
    </row>
    <row r="9" spans="1:18">
      <c r="A9" s="620" t="s">
        <v>762</v>
      </c>
      <c r="B9" s="803">
        <f>400000/10^5</f>
        <v>4</v>
      </c>
      <c r="C9" s="620">
        <f>B9</f>
        <v>4</v>
      </c>
      <c r="D9" s="620">
        <v>0</v>
      </c>
      <c r="E9" s="620">
        <v>0</v>
      </c>
      <c r="F9" s="620">
        <v>0</v>
      </c>
      <c r="G9" s="620">
        <v>0</v>
      </c>
      <c r="H9" s="620">
        <v>0</v>
      </c>
      <c r="I9" s="620">
        <v>0</v>
      </c>
      <c r="J9" s="620">
        <v>0</v>
      </c>
      <c r="K9" s="620">
        <v>0</v>
      </c>
      <c r="L9" s="620">
        <v>0</v>
      </c>
      <c r="M9" s="620">
        <v>0</v>
      </c>
      <c r="N9" s="620">
        <v>0</v>
      </c>
      <c r="O9" s="620">
        <v>0</v>
      </c>
      <c r="P9" s="620">
        <v>0</v>
      </c>
      <c r="Q9" s="620">
        <v>0</v>
      </c>
      <c r="R9" s="620">
        <v>0</v>
      </c>
    </row>
    <row r="10" spans="1:18">
      <c r="A10" s="620" t="s">
        <v>763</v>
      </c>
      <c r="B10" s="803">
        <f>400000/10^5</f>
        <v>4</v>
      </c>
      <c r="C10" s="620">
        <f>B10</f>
        <v>4</v>
      </c>
      <c r="D10" s="620">
        <v>0</v>
      </c>
      <c r="E10" s="620">
        <v>0</v>
      </c>
      <c r="F10" s="620">
        <v>0</v>
      </c>
      <c r="G10" s="620">
        <v>0</v>
      </c>
      <c r="H10" s="620">
        <v>0</v>
      </c>
      <c r="I10" s="620">
        <v>0</v>
      </c>
      <c r="J10" s="620">
        <v>0</v>
      </c>
      <c r="K10" s="620">
        <v>0</v>
      </c>
      <c r="L10" s="620">
        <v>0</v>
      </c>
      <c r="M10" s="620">
        <v>0</v>
      </c>
      <c r="N10" s="620">
        <v>0</v>
      </c>
      <c r="O10" s="620">
        <v>0</v>
      </c>
      <c r="P10" s="620">
        <v>0</v>
      </c>
      <c r="Q10" s="620">
        <v>0</v>
      </c>
      <c r="R10" s="620">
        <v>0</v>
      </c>
    </row>
    <row r="11" spans="1:18">
      <c r="A11" s="620" t="s">
        <v>704</v>
      </c>
      <c r="B11" s="803">
        <f>400000/10^5</f>
        <v>4</v>
      </c>
      <c r="C11" s="620">
        <f>B11</f>
        <v>4</v>
      </c>
      <c r="D11" s="620">
        <v>0</v>
      </c>
      <c r="E11" s="620">
        <v>0</v>
      </c>
      <c r="F11" s="620">
        <v>0</v>
      </c>
      <c r="G11" s="620">
        <v>0</v>
      </c>
      <c r="H11" s="620">
        <v>0</v>
      </c>
      <c r="I11" s="620">
        <v>0</v>
      </c>
      <c r="J11" s="620">
        <v>0</v>
      </c>
      <c r="K11" s="620">
        <v>0</v>
      </c>
      <c r="L11" s="620">
        <v>0</v>
      </c>
      <c r="M11" s="620">
        <v>0</v>
      </c>
      <c r="N11" s="620">
        <v>0</v>
      </c>
      <c r="O11" s="620">
        <v>0</v>
      </c>
      <c r="P11" s="620">
        <v>0</v>
      </c>
      <c r="Q11" s="620">
        <v>0</v>
      </c>
      <c r="R11" s="620">
        <v>0</v>
      </c>
    </row>
    <row r="12" spans="1:18">
      <c r="B12" s="803"/>
    </row>
    <row r="13" spans="1:18" s="804" customFormat="1">
      <c r="C13" s="804">
        <f t="shared" ref="C13:R13" si="0">SUM(C9:C11)</f>
        <v>12</v>
      </c>
      <c r="D13" s="804">
        <f t="shared" si="0"/>
        <v>0</v>
      </c>
      <c r="E13" s="804">
        <f t="shared" si="0"/>
        <v>0</v>
      </c>
      <c r="F13" s="804">
        <f t="shared" si="0"/>
        <v>0</v>
      </c>
      <c r="G13" s="804">
        <f t="shared" si="0"/>
        <v>0</v>
      </c>
      <c r="H13" s="804">
        <f t="shared" si="0"/>
        <v>0</v>
      </c>
      <c r="I13" s="804">
        <f t="shared" si="0"/>
        <v>0</v>
      </c>
      <c r="J13" s="804">
        <f t="shared" si="0"/>
        <v>0</v>
      </c>
      <c r="K13" s="804">
        <f t="shared" si="0"/>
        <v>0</v>
      </c>
      <c r="L13" s="804">
        <f t="shared" si="0"/>
        <v>0</v>
      </c>
      <c r="M13" s="804">
        <f t="shared" si="0"/>
        <v>0</v>
      </c>
      <c r="N13" s="804">
        <f t="shared" si="0"/>
        <v>0</v>
      </c>
      <c r="O13" s="804">
        <f t="shared" si="0"/>
        <v>0</v>
      </c>
      <c r="P13" s="804">
        <f t="shared" si="0"/>
        <v>0</v>
      </c>
      <c r="Q13" s="804">
        <f t="shared" si="0"/>
        <v>0</v>
      </c>
      <c r="R13" s="804">
        <f t="shared" si="0"/>
        <v>0</v>
      </c>
    </row>
    <row r="30" spans="1:2" ht="15">
      <c r="A30" s="623" t="s">
        <v>81</v>
      </c>
      <c r="B30" s="623"/>
    </row>
  </sheetData>
  <mergeCells count="4">
    <mergeCell ref="C6:F6"/>
    <mergeCell ref="G6:J6"/>
    <mergeCell ref="A1:R1"/>
    <mergeCell ref="A4:O4"/>
  </mergeCells>
  <hyperlinks>
    <hyperlink ref="A3" location="Index!A1" display="BACK TO INDEX"/>
    <hyperlink ref="A30" location="Index!A1" display="BACK TO INDEX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40"/>
  <sheetViews>
    <sheetView zoomScale="70" zoomScaleNormal="70" workbookViewId="0">
      <selection activeCell="N29" sqref="N29"/>
    </sheetView>
  </sheetViews>
  <sheetFormatPr defaultRowHeight="12.75"/>
  <cols>
    <col min="1" max="1" width="56.42578125" style="196" bestFit="1" customWidth="1"/>
    <col min="2" max="2" width="11.140625" style="196" bestFit="1" customWidth="1"/>
    <col min="3" max="11" width="9.140625" style="196"/>
    <col min="12" max="12" width="11.5703125" style="196" bestFit="1" customWidth="1"/>
    <col min="13" max="16384" width="9.140625" style="196"/>
  </cols>
  <sheetData>
    <row r="1" spans="1:12" ht="34.5" customHeight="1" thickBot="1">
      <c r="A1" s="1273" t="s">
        <v>160</v>
      </c>
      <c r="B1" s="1273"/>
      <c r="C1" s="1273"/>
      <c r="D1" s="1273"/>
      <c r="E1" s="1273"/>
      <c r="F1" s="1273"/>
      <c r="G1" s="1273"/>
      <c r="H1" s="1273"/>
      <c r="I1" s="1273"/>
      <c r="J1" s="1273"/>
      <c r="K1" s="1273"/>
      <c r="L1" s="1273"/>
    </row>
    <row r="2" spans="1:12" ht="15">
      <c r="A2" s="668" t="s">
        <v>161</v>
      </c>
      <c r="B2" s="1272" t="s">
        <v>156</v>
      </c>
      <c r="C2" s="1272"/>
      <c r="D2" s="1272"/>
      <c r="E2" s="1272"/>
      <c r="F2" s="1272" t="s">
        <v>157</v>
      </c>
      <c r="G2" s="1272"/>
      <c r="H2" s="1272"/>
      <c r="I2" s="1272"/>
      <c r="J2" s="666" t="s">
        <v>162</v>
      </c>
      <c r="K2" s="666" t="s">
        <v>163</v>
      </c>
      <c r="L2" s="666" t="s">
        <v>164</v>
      </c>
    </row>
    <row r="3" spans="1:12" ht="15">
      <c r="A3" s="671"/>
      <c r="B3" s="666" t="s">
        <v>608</v>
      </c>
      <c r="C3" s="666" t="s">
        <v>609</v>
      </c>
      <c r="D3" s="666" t="s">
        <v>610</v>
      </c>
      <c r="E3" s="666" t="s">
        <v>611</v>
      </c>
      <c r="F3" s="666" t="s">
        <v>608</v>
      </c>
      <c r="G3" s="666" t="s">
        <v>609</v>
      </c>
      <c r="H3" s="666" t="s">
        <v>610</v>
      </c>
      <c r="I3" s="666" t="s">
        <v>611</v>
      </c>
      <c r="J3" s="666"/>
      <c r="K3" s="666"/>
      <c r="L3" s="666"/>
    </row>
    <row r="4" spans="1:12" ht="15">
      <c r="A4" s="672"/>
      <c r="B4" s="666"/>
      <c r="C4" s="666"/>
      <c r="D4" s="666"/>
      <c r="E4" s="666"/>
      <c r="F4" s="666"/>
      <c r="G4" s="666"/>
      <c r="H4" s="666"/>
      <c r="I4" s="666"/>
      <c r="J4" s="666"/>
      <c r="K4" s="666"/>
      <c r="L4" s="666"/>
    </row>
    <row r="5" spans="1:12" ht="15">
      <c r="A5" s="656" t="s">
        <v>566</v>
      </c>
      <c r="B5" s="197">
        <f>'Fin Smmry'!B17</f>
        <v>3.6</v>
      </c>
      <c r="C5" s="197">
        <f>'Fin Smmry'!C17</f>
        <v>4.5</v>
      </c>
      <c r="D5" s="197">
        <f>'Fin Smmry'!D17</f>
        <v>3.6</v>
      </c>
      <c r="E5" s="197">
        <f>'Fin Smmry'!E17</f>
        <v>3.6</v>
      </c>
      <c r="F5" s="197">
        <f>'Fin Smmry'!F17</f>
        <v>6.9300000000000006</v>
      </c>
      <c r="G5" s="197">
        <f>'Fin Smmry'!G17</f>
        <v>3.9600000000000004</v>
      </c>
      <c r="H5" s="197">
        <f>'Fin Smmry'!H17</f>
        <v>4.95</v>
      </c>
      <c r="I5" s="197"/>
      <c r="J5" s="198"/>
      <c r="K5" s="198"/>
      <c r="L5" s="198"/>
    </row>
    <row r="6" spans="1:12" ht="15">
      <c r="A6" s="673" t="s">
        <v>165</v>
      </c>
      <c r="B6" s="197">
        <f>'Fin Smmry'!B18-14</f>
        <v>13.905999999999999</v>
      </c>
      <c r="C6" s="197">
        <f>'Fin Smmry'!C18-17</f>
        <v>23.631999999999998</v>
      </c>
      <c r="D6" s="197">
        <f>'Fin Smmry'!D18-27.5</f>
        <v>23.128</v>
      </c>
      <c r="E6" s="197">
        <f>'Fin Smmry'!E18-12</f>
        <v>48.623999999999995</v>
      </c>
      <c r="F6" s="197">
        <f>'Fin Smmry'!F18-42</f>
        <v>45.972720000000024</v>
      </c>
      <c r="G6" s="197">
        <f>'Fin Smmry'!G18-24</f>
        <v>76.326599999999999</v>
      </c>
      <c r="H6" s="197">
        <f>'Fin Smmry'!H18-35</f>
        <v>79.325200000000009</v>
      </c>
      <c r="I6" s="197"/>
      <c r="J6" s="198"/>
      <c r="K6" s="198"/>
      <c r="L6" s="198"/>
    </row>
    <row r="7" spans="1:12" ht="15">
      <c r="A7" s="673" t="s">
        <v>166</v>
      </c>
      <c r="B7" s="197">
        <f>'Fin Smmry'!B20</f>
        <v>22.446850000000001</v>
      </c>
      <c r="C7" s="197">
        <f>'Fin Smmry'!C20</f>
        <v>32.433700000000002</v>
      </c>
      <c r="D7" s="197">
        <f>'Fin Smmry'!D20</f>
        <v>39.855550000000008</v>
      </c>
      <c r="E7" s="197">
        <f>'Fin Smmry'!E20</f>
        <v>47.2774</v>
      </c>
      <c r="F7" s="197">
        <f>'Fin Smmry'!F20</f>
        <v>72.112975000000006</v>
      </c>
      <c r="G7" s="197">
        <f>'Fin Smmry'!G20</f>
        <v>79.544409999999999</v>
      </c>
      <c r="H7" s="197">
        <f>'Fin Smmry'!H20</f>
        <v>89.797345000000007</v>
      </c>
      <c r="I7" s="197"/>
      <c r="J7" s="198"/>
      <c r="K7" s="198"/>
      <c r="L7" s="198"/>
    </row>
    <row r="8" spans="1:12" ht="15">
      <c r="A8" s="673" t="s">
        <v>167</v>
      </c>
      <c r="B8" s="197">
        <f>-'Fin Smmry'!B86</f>
        <v>33.568566666666669</v>
      </c>
      <c r="C8" s="197">
        <f>-'Fin Smmry'!C86</f>
        <v>15.141899999999993</v>
      </c>
      <c r="D8" s="197">
        <f>-'Fin Smmry'!D86</f>
        <v>11.611900000000013</v>
      </c>
      <c r="E8" s="197">
        <f>-'Fin Smmry'!E86</f>
        <v>11.611899999999984</v>
      </c>
      <c r="F8" s="197">
        <f>-'Fin Smmry'!F86</f>
        <v>34.789530000000042</v>
      </c>
      <c r="G8" s="197">
        <f>-'Fin Smmry'!G86</f>
        <v>13.190209999999979</v>
      </c>
      <c r="H8" s="197">
        <f>-'Fin Smmry'!H86</f>
        <v>16.167689999999979</v>
      </c>
      <c r="I8" s="197"/>
      <c r="J8" s="198"/>
      <c r="K8" s="198"/>
      <c r="L8" s="198"/>
    </row>
    <row r="9" spans="1:12" ht="15">
      <c r="A9" s="673" t="s">
        <v>228</v>
      </c>
      <c r="B9" s="197">
        <f>-'Fin Smmry'!B85</f>
        <v>8.25</v>
      </c>
      <c r="C9" s="197">
        <f>-'Fin Smmry'!C85</f>
        <v>0</v>
      </c>
      <c r="D9" s="197">
        <f>-'Fin Smmry'!D85</f>
        <v>0</v>
      </c>
      <c r="E9" s="197">
        <f>-'Fin Smmry'!E85</f>
        <v>0</v>
      </c>
      <c r="F9" s="197">
        <f>-'Fin Smmry'!F85</f>
        <v>2.6400000000000006</v>
      </c>
      <c r="G9" s="197">
        <f>-'Fin Smmry'!G85</f>
        <v>0</v>
      </c>
      <c r="H9" s="197">
        <f>-'Fin Smmry'!H85</f>
        <v>0</v>
      </c>
      <c r="I9" s="197"/>
      <c r="J9" s="198"/>
      <c r="K9" s="198"/>
      <c r="L9" s="198"/>
    </row>
    <row r="10" spans="1:12" ht="15">
      <c r="A10" s="673" t="s">
        <v>170</v>
      </c>
      <c r="B10" s="197"/>
      <c r="C10" s="197"/>
      <c r="D10" s="197"/>
      <c r="E10" s="198"/>
      <c r="F10" s="198"/>
      <c r="G10" s="198"/>
      <c r="H10" s="198"/>
      <c r="I10" s="198"/>
      <c r="J10" s="198"/>
      <c r="K10" s="198"/>
      <c r="L10" s="198"/>
    </row>
    <row r="11" spans="1:12" ht="15">
      <c r="A11" s="673" t="s">
        <v>51</v>
      </c>
      <c r="B11" s="197"/>
      <c r="C11" s="197"/>
      <c r="D11" s="197"/>
      <c r="E11" s="198"/>
      <c r="F11" s="198"/>
      <c r="G11" s="198"/>
      <c r="H11" s="198"/>
      <c r="I11" s="198"/>
      <c r="J11" s="198"/>
      <c r="K11" s="198"/>
      <c r="L11" s="198"/>
    </row>
    <row r="12" spans="1:12" ht="15">
      <c r="A12" s="667" t="s">
        <v>57</v>
      </c>
      <c r="B12" s="197"/>
      <c r="C12" s="197"/>
      <c r="D12" s="198"/>
      <c r="E12" s="198"/>
      <c r="F12" s="198"/>
      <c r="G12" s="198"/>
      <c r="H12" s="198"/>
      <c r="I12" s="198"/>
      <c r="J12" s="198"/>
      <c r="K12" s="198"/>
      <c r="L12" s="198"/>
    </row>
    <row r="13" spans="1:12" ht="15">
      <c r="A13" s="673" t="s">
        <v>25</v>
      </c>
      <c r="B13" s="197"/>
      <c r="C13" s="197"/>
      <c r="D13" s="198"/>
      <c r="E13" s="669"/>
      <c r="F13" s="669"/>
      <c r="G13" s="669"/>
      <c r="H13" s="669"/>
      <c r="I13" s="669"/>
      <c r="J13" s="669"/>
      <c r="K13" s="669"/>
      <c r="L13" s="669"/>
    </row>
    <row r="14" spans="1:12" ht="15">
      <c r="A14" s="673"/>
      <c r="B14" s="197"/>
      <c r="C14" s="197"/>
      <c r="D14" s="198"/>
      <c r="E14" s="669"/>
      <c r="F14" s="669"/>
      <c r="G14" s="669"/>
      <c r="H14" s="669"/>
      <c r="I14" s="669"/>
      <c r="J14" s="669"/>
      <c r="K14" s="669"/>
      <c r="L14" s="669"/>
    </row>
    <row r="15" spans="1:12" ht="15">
      <c r="A15" s="674" t="s">
        <v>6</v>
      </c>
      <c r="B15" s="670">
        <f>SUM(B5:B13)</f>
        <v>81.771416666666667</v>
      </c>
      <c r="C15" s="670">
        <f>SUM(C5:C14)</f>
        <v>75.707599999999985</v>
      </c>
      <c r="D15" s="670">
        <f>SUM(D5:D14)</f>
        <v>78.195450000000022</v>
      </c>
      <c r="E15" s="670">
        <f t="shared" ref="E15:L15" si="0">SUM(E5:E11)</f>
        <v>111.11329999999998</v>
      </c>
      <c r="F15" s="670">
        <f t="shared" si="0"/>
        <v>162.44522500000005</v>
      </c>
      <c r="G15" s="670">
        <f t="shared" si="0"/>
        <v>173.02121999999997</v>
      </c>
      <c r="H15" s="670">
        <f t="shared" si="0"/>
        <v>190.24023499999998</v>
      </c>
      <c r="I15" s="670">
        <f t="shared" si="0"/>
        <v>0</v>
      </c>
      <c r="J15" s="670">
        <f t="shared" si="0"/>
        <v>0</v>
      </c>
      <c r="K15" s="670">
        <f t="shared" si="0"/>
        <v>0</v>
      </c>
      <c r="L15" s="670">
        <f t="shared" si="0"/>
        <v>0</v>
      </c>
    </row>
    <row r="16" spans="1:12" ht="15">
      <c r="A16" s="674" t="s">
        <v>168</v>
      </c>
      <c r="B16" s="670">
        <f>B15</f>
        <v>81.771416666666667</v>
      </c>
      <c r="C16" s="670">
        <f>B16+C15</f>
        <v>157.47901666666667</v>
      </c>
      <c r="D16" s="670">
        <f>C16+D15</f>
        <v>235.67446666666669</v>
      </c>
      <c r="E16" s="670">
        <f>D16+E15</f>
        <v>346.7877666666667</v>
      </c>
      <c r="F16" s="670">
        <f>E16+F15</f>
        <v>509.23299166666675</v>
      </c>
      <c r="G16" s="670">
        <f t="shared" ref="G16:L16" si="1">F16+G15</f>
        <v>682.25421166666672</v>
      </c>
      <c r="H16" s="670">
        <f t="shared" si="1"/>
        <v>872.4944466666667</v>
      </c>
      <c r="I16" s="670">
        <f t="shared" si="1"/>
        <v>872.4944466666667</v>
      </c>
      <c r="J16" s="670">
        <f t="shared" si="1"/>
        <v>872.4944466666667</v>
      </c>
      <c r="K16" s="670">
        <f t="shared" si="1"/>
        <v>872.4944466666667</v>
      </c>
      <c r="L16" s="670">
        <f t="shared" si="1"/>
        <v>872.4944466666667</v>
      </c>
    </row>
    <row r="17" spans="1:12" ht="15">
      <c r="A17" s="663"/>
      <c r="B17" s="664"/>
      <c r="C17" s="664"/>
      <c r="D17" s="664"/>
      <c r="E17" s="664"/>
      <c r="F17" s="664"/>
      <c r="G17" s="664"/>
      <c r="H17" s="664"/>
      <c r="I17" s="664"/>
      <c r="J17" s="664"/>
      <c r="K17" s="664"/>
      <c r="L17" s="664"/>
    </row>
    <row r="18" spans="1:12" ht="33.75" hidden="1" customHeight="1" thickBot="1">
      <c r="A18" s="199"/>
      <c r="B18" s="200">
        <f>B16-'Fin Smmry'!B47</f>
        <v>81.771416666666667</v>
      </c>
      <c r="C18" s="200">
        <f>C16-'Fin Smmry'!C47</f>
        <v>157.47901666666667</v>
      </c>
      <c r="D18" s="200">
        <f>D16-'Fin Smmry'!D47</f>
        <v>235.67446666666669</v>
      </c>
      <c r="E18" s="200">
        <f>E16-'Fin Smmry'!E47</f>
        <v>346.7877666666667</v>
      </c>
      <c r="F18" s="200">
        <f>F16-'Fin Smmry'!F47</f>
        <v>509.23299166666675</v>
      </c>
      <c r="G18" s="200">
        <f>G16-'Fin Smmry'!G47</f>
        <v>682.25421166666672</v>
      </c>
      <c r="H18" s="200">
        <f>H16-'Fin Smmry'!H47</f>
        <v>872.4944466666667</v>
      </c>
      <c r="I18" s="200">
        <f>I16-'Fin Smmry'!I47</f>
        <v>872.4944466666667</v>
      </c>
      <c r="J18" s="200">
        <f>J16-'Fin Smmry'!J47</f>
        <v>872.4944466666667</v>
      </c>
      <c r="K18" s="200">
        <f>K16-'Fin Smmry'!K47</f>
        <v>872.4944466666667</v>
      </c>
      <c r="L18" s="200">
        <f>L16-'Fin Smmry'!L47</f>
        <v>872.4944466666667</v>
      </c>
    </row>
    <row r="19" spans="1:12" ht="15">
      <c r="A19" s="675" t="s">
        <v>169</v>
      </c>
      <c r="B19" s="1272" t="s">
        <v>156</v>
      </c>
      <c r="C19" s="1272"/>
      <c r="D19" s="1272"/>
      <c r="E19" s="1272"/>
      <c r="F19" s="1272" t="s">
        <v>157</v>
      </c>
      <c r="G19" s="1272"/>
      <c r="H19" s="1272"/>
      <c r="I19" s="1272"/>
      <c r="J19" s="666" t="s">
        <v>162</v>
      </c>
      <c r="K19" s="666" t="s">
        <v>163</v>
      </c>
      <c r="L19" s="666" t="s">
        <v>164</v>
      </c>
    </row>
    <row r="20" spans="1:12" ht="15">
      <c r="A20" s="675"/>
      <c r="B20" s="666" t="s">
        <v>608</v>
      </c>
      <c r="C20" s="666" t="s">
        <v>609</v>
      </c>
      <c r="D20" s="666" t="s">
        <v>610</v>
      </c>
      <c r="E20" s="666" t="s">
        <v>611</v>
      </c>
      <c r="F20" s="666" t="s">
        <v>608</v>
      </c>
      <c r="G20" s="666" t="s">
        <v>609</v>
      </c>
      <c r="H20" s="666" t="s">
        <v>610</v>
      </c>
      <c r="I20" s="666" t="s">
        <v>611</v>
      </c>
      <c r="J20" s="666"/>
      <c r="K20" s="666"/>
      <c r="L20" s="666"/>
    </row>
    <row r="21" spans="1:12" ht="15">
      <c r="A21" s="656" t="s">
        <v>566</v>
      </c>
      <c r="B21" s="197"/>
      <c r="C21" s="197"/>
      <c r="D21" s="197"/>
      <c r="E21" s="197"/>
      <c r="F21" s="197"/>
      <c r="G21" s="197"/>
      <c r="H21" s="197"/>
      <c r="I21" s="197">
        <f>'Fin Smmry'!I17</f>
        <v>3.9600000000000004</v>
      </c>
      <c r="J21" s="197">
        <f>'Fin Smmry'!J17</f>
        <v>21.780000000000005</v>
      </c>
      <c r="K21" s="197">
        <f>'Fin Smmry'!K17</f>
        <v>0</v>
      </c>
      <c r="L21" s="197">
        <f>'Fin Smmry'!L17</f>
        <v>0</v>
      </c>
    </row>
    <row r="22" spans="1:12" ht="15">
      <c r="A22" s="676" t="s">
        <v>20</v>
      </c>
      <c r="B22" s="197">
        <f>'Fin Smmry'!B18-'Utilisation of Grant and Loan'!B6</f>
        <v>14</v>
      </c>
      <c r="C22" s="197">
        <f>'Fin Smmry'!C18-'Utilisation of Grant and Loan'!C6</f>
        <v>17</v>
      </c>
      <c r="D22" s="197">
        <f>'Fin Smmry'!D18-'Utilisation of Grant and Loan'!D6</f>
        <v>27.5</v>
      </c>
      <c r="E22" s="197">
        <f>'Fin Smmry'!E18-'Utilisation of Grant and Loan'!E6</f>
        <v>12</v>
      </c>
      <c r="F22" s="197">
        <f>'Fin Smmry'!F18-'Utilisation of Grant and Loan'!F6</f>
        <v>42</v>
      </c>
      <c r="G22" s="197">
        <f>'Fin Smmry'!G18-'Utilisation of Grant and Loan'!G6</f>
        <v>24</v>
      </c>
      <c r="H22" s="197">
        <f>'Fin Smmry'!H18-'Utilisation of Grant and Loan'!H6</f>
        <v>35</v>
      </c>
      <c r="I22" s="197">
        <f>'Fin Smmry'!I18</f>
        <v>125.32080000000001</v>
      </c>
      <c r="J22" s="197">
        <f>'Fin Smmry'!J18</f>
        <v>693.24288000000001</v>
      </c>
      <c r="K22" s="197">
        <f>'Fin Smmry'!K18</f>
        <v>888.82437600000026</v>
      </c>
      <c r="L22" s="197">
        <f>'Fin Smmry'!L18</f>
        <v>1158.1974122399999</v>
      </c>
    </row>
    <row r="23" spans="1:12" ht="15">
      <c r="A23" s="676" t="s">
        <v>28</v>
      </c>
      <c r="B23" s="197"/>
      <c r="C23" s="197"/>
      <c r="D23" s="197"/>
      <c r="E23" s="197"/>
      <c r="F23" s="197"/>
      <c r="G23" s="197"/>
      <c r="H23" s="197"/>
      <c r="I23" s="197">
        <f>'Fin Smmry'!I20</f>
        <v>97.228780000000015</v>
      </c>
      <c r="J23" s="197">
        <f>'Fin Smmry'!J20</f>
        <v>593.60408800000005</v>
      </c>
      <c r="K23" s="197">
        <f>'Fin Smmry'!K20</f>
        <v>748.90259840000022</v>
      </c>
      <c r="L23" s="197">
        <f>'Fin Smmry'!L20</f>
        <v>941.7917272000002</v>
      </c>
    </row>
    <row r="24" spans="1:12" ht="15">
      <c r="A24" s="673" t="s">
        <v>228</v>
      </c>
      <c r="B24" s="197"/>
      <c r="C24" s="197"/>
      <c r="D24" s="197"/>
      <c r="E24" s="198"/>
      <c r="F24" s="198"/>
      <c r="G24" s="198"/>
      <c r="H24" s="198"/>
      <c r="I24" s="198"/>
      <c r="J24" s="198"/>
      <c r="K24" s="198"/>
      <c r="L24" s="198"/>
    </row>
    <row r="25" spans="1:12" ht="15">
      <c r="A25" s="676" t="s">
        <v>51</v>
      </c>
      <c r="B25" s="197">
        <f>-'Fin Smmry'!B83</f>
        <v>45.636728963499998</v>
      </c>
      <c r="C25" s="197">
        <f>-'Fin Smmry'!C83</f>
        <v>21.248999999999999</v>
      </c>
      <c r="D25" s="197">
        <f>-'Fin Smmry'!D83</f>
        <v>15.319000000000001</v>
      </c>
      <c r="E25" s="197">
        <f>-'Fin Smmry'!E83</f>
        <v>15.319000000000001</v>
      </c>
      <c r="F25" s="197">
        <f>-'Fin Smmry'!F83</f>
        <v>37.5794</v>
      </c>
      <c r="G25" s="197">
        <f>-'Fin Smmry'!G83</f>
        <v>16.850900000000003</v>
      </c>
      <c r="H25" s="197">
        <f>-'Fin Smmry'!H83</f>
        <v>23.373899999999999</v>
      </c>
      <c r="I25" s="197">
        <f>-'Fin Smmry'!I83</f>
        <v>16.850900000000003</v>
      </c>
      <c r="J25" s="197">
        <f>-'Fin Smmry'!J83</f>
        <v>122.84516000000002</v>
      </c>
      <c r="K25" s="197">
        <f>-'Fin Smmry'!K83</f>
        <v>57.879866000000007</v>
      </c>
      <c r="L25" s="197">
        <f>-'Fin Smmry'!L83</f>
        <v>76.68336355000001</v>
      </c>
    </row>
    <row r="26" spans="1:12" ht="15">
      <c r="A26" s="676" t="s">
        <v>167</v>
      </c>
      <c r="B26" s="197"/>
      <c r="C26" s="197"/>
      <c r="D26" s="197"/>
      <c r="E26" s="197"/>
      <c r="F26" s="197"/>
      <c r="G26" s="197"/>
      <c r="H26" s="197"/>
      <c r="I26" s="197">
        <f>-'Fin Smmry'!I86</f>
        <v>12.284690000000012</v>
      </c>
      <c r="J26" s="197">
        <f>-'Fin Smmry'!J86</f>
        <v>66.108108000000016</v>
      </c>
      <c r="K26" s="197">
        <f>-'Fin Smmry'!K86</f>
        <v>58.480001066666745</v>
      </c>
      <c r="L26" s="197">
        <f>-'Fin Smmry'!L86</f>
        <v>77.043694173333279</v>
      </c>
    </row>
    <row r="27" spans="1:12" ht="15">
      <c r="A27" s="676" t="s">
        <v>170</v>
      </c>
      <c r="B27" s="197">
        <f>'Fin Smmry'!B31</f>
        <v>1.3843797709292254</v>
      </c>
      <c r="C27" s="197">
        <f>'Fin Smmry'!C31</f>
        <v>2.3883192333140828</v>
      </c>
      <c r="D27" s="197">
        <f>'Fin Smmry'!D31</f>
        <v>3.2190959863828863</v>
      </c>
      <c r="E27" s="197">
        <f>'Fin Smmry'!E31</f>
        <v>4.0851390812689132</v>
      </c>
      <c r="F27" s="197">
        <f>'Fin Smmry'!F31</f>
        <v>6.1148496406917223</v>
      </c>
      <c r="G27" s="197">
        <f>'Fin Smmry'!G31</f>
        <v>7.3039683117135636</v>
      </c>
      <c r="H27" s="197">
        <f>'Fin Smmry'!H31</f>
        <v>8.7515905710019961</v>
      </c>
      <c r="I27" s="197">
        <f>'Fin Smmry'!I31</f>
        <v>10.002805759361307</v>
      </c>
      <c r="J27" s="197">
        <f>'Fin Smmry'!J31</f>
        <v>44.678134621192214</v>
      </c>
      <c r="K27" s="197">
        <f>'Fin Smmry'!K31</f>
        <v>39.992679561977397</v>
      </c>
      <c r="L27" s="197">
        <f>'Fin Smmry'!L31</f>
        <v>18.082210378162163</v>
      </c>
    </row>
    <row r="28" spans="1:12" ht="15">
      <c r="A28" s="673" t="s">
        <v>57</v>
      </c>
      <c r="B28" s="197">
        <f>-'Fin Smmry'!B14</f>
        <v>-14.9203125</v>
      </c>
      <c r="C28" s="197">
        <f>-'Fin Smmry'!C14</f>
        <v>-34.640625</v>
      </c>
      <c r="D28" s="197">
        <f>-'Fin Smmry'!D14</f>
        <v>-49.560937500000001</v>
      </c>
      <c r="E28" s="197">
        <f>-'Fin Smmry'!E14</f>
        <v>-64.481250000000003</v>
      </c>
      <c r="F28" s="197">
        <f>-'Fin Smmry'!F14</f>
        <v>-103.18171875000002</v>
      </c>
      <c r="G28" s="197">
        <f>-'Fin Smmry'!G14</f>
        <v>-119.59406249999999</v>
      </c>
      <c r="H28" s="197">
        <f>-'Fin Smmry'!H14</f>
        <v>-141.28640625</v>
      </c>
      <c r="I28" s="197">
        <f>-'Fin Smmry'!I14</f>
        <v>-157.69874999999999</v>
      </c>
      <c r="J28" s="197">
        <f>-'Fin Smmry'!J14</f>
        <v>-1355.0790000000004</v>
      </c>
      <c r="K28" s="197">
        <f>-'Fin Smmry'!K14</f>
        <v>-2033.8744800000006</v>
      </c>
      <c r="L28" s="197">
        <f>-'Fin Smmry'!L14</f>
        <v>-2585.9227020000008</v>
      </c>
    </row>
    <row r="29" spans="1:12" ht="15">
      <c r="A29" s="673" t="s">
        <v>24</v>
      </c>
      <c r="B29" s="197" t="e">
        <f>-'Fin Smmry'!#REF!</f>
        <v>#REF!</v>
      </c>
      <c r="C29" s="197"/>
      <c r="D29" s="197"/>
      <c r="E29" s="197"/>
      <c r="F29" s="197"/>
      <c r="G29" s="197"/>
      <c r="H29" s="197"/>
      <c r="I29" s="197"/>
      <c r="J29" s="197"/>
      <c r="K29" s="197"/>
      <c r="L29" s="197"/>
    </row>
    <row r="30" spans="1:12" ht="15">
      <c r="A30" s="673" t="s">
        <v>25</v>
      </c>
      <c r="B30" s="197">
        <f>-'Fin Smmry'!B79</f>
        <v>-244.35854850000004</v>
      </c>
      <c r="C30" s="197">
        <f>'Fin Smmry'!C79</f>
        <v>20</v>
      </c>
      <c r="D30" s="197">
        <f>'Fin Smmry'!D79</f>
        <v>20</v>
      </c>
      <c r="E30" s="197">
        <f>'Fin Smmry'!E79</f>
        <v>20</v>
      </c>
      <c r="F30" s="197">
        <f>'Fin Smmry'!F79</f>
        <v>20</v>
      </c>
      <c r="G30" s="197">
        <f>'Fin Smmry'!G79</f>
        <v>20</v>
      </c>
      <c r="H30" s="197">
        <f>'Fin Smmry'!H79</f>
        <v>20</v>
      </c>
      <c r="I30" s="197">
        <f>'Fin Smmry'!I79</f>
        <v>20</v>
      </c>
      <c r="J30" s="197">
        <f>'Fin Smmry'!J79</f>
        <v>10</v>
      </c>
      <c r="K30" s="197">
        <f>'Fin Smmry'!K79</f>
        <v>0</v>
      </c>
      <c r="L30" s="197">
        <f>'Fin Smmry'!L79</f>
        <v>0</v>
      </c>
    </row>
    <row r="31" spans="1:12" ht="15">
      <c r="A31" s="674" t="s">
        <v>6</v>
      </c>
      <c r="B31" s="670" t="e">
        <f>SUM(B21:B30)</f>
        <v>#REF!</v>
      </c>
      <c r="C31" s="670">
        <f t="shared" ref="C31:L31" si="2">SUM(C21:C30)</f>
        <v>25.996694233314081</v>
      </c>
      <c r="D31" s="670">
        <f t="shared" si="2"/>
        <v>16.477158486382891</v>
      </c>
      <c r="E31" s="670">
        <f t="shared" si="2"/>
        <v>-13.077110918731087</v>
      </c>
      <c r="F31" s="670">
        <f t="shared" si="2"/>
        <v>2.5125308906916928</v>
      </c>
      <c r="G31" s="670">
        <f t="shared" si="2"/>
        <v>-51.439194188286422</v>
      </c>
      <c r="H31" s="670">
        <f t="shared" si="2"/>
        <v>-54.160915678998009</v>
      </c>
      <c r="I31" s="670">
        <f t="shared" si="2"/>
        <v>127.94922575936133</v>
      </c>
      <c r="J31" s="670">
        <f t="shared" si="2"/>
        <v>197.17937062119199</v>
      </c>
      <c r="K31" s="670">
        <f t="shared" si="2"/>
        <v>-239.79495897135598</v>
      </c>
      <c r="L31" s="670">
        <f t="shared" si="2"/>
        <v>-314.12429445850512</v>
      </c>
    </row>
    <row r="32" spans="1:12" ht="15">
      <c r="A32" s="674" t="s">
        <v>168</v>
      </c>
      <c r="B32" s="670" t="e">
        <f>B31</f>
        <v>#REF!</v>
      </c>
      <c r="C32" s="670" t="e">
        <f>B32+C31</f>
        <v>#REF!</v>
      </c>
      <c r="D32" s="670" t="e">
        <f>C32+D31</f>
        <v>#REF!</v>
      </c>
      <c r="E32" s="670" t="e">
        <f t="shared" ref="E32:L32" si="3">D32+E31</f>
        <v>#REF!</v>
      </c>
      <c r="F32" s="670" t="e">
        <f t="shared" si="3"/>
        <v>#REF!</v>
      </c>
      <c r="G32" s="670" t="e">
        <f t="shared" si="3"/>
        <v>#REF!</v>
      </c>
      <c r="H32" s="670" t="e">
        <f t="shared" si="3"/>
        <v>#REF!</v>
      </c>
      <c r="I32" s="670" t="e">
        <f t="shared" si="3"/>
        <v>#REF!</v>
      </c>
      <c r="J32" s="670" t="e">
        <f t="shared" si="3"/>
        <v>#REF!</v>
      </c>
      <c r="K32" s="670" t="e">
        <f t="shared" si="3"/>
        <v>#REF!</v>
      </c>
      <c r="L32" s="670" t="e">
        <f t="shared" si="3"/>
        <v>#REF!</v>
      </c>
    </row>
    <row r="33" spans="2:12" ht="20.25" hidden="1" customHeight="1">
      <c r="B33" s="201" t="e">
        <f>B32-'Fin Smmry'!B50</f>
        <v>#REF!</v>
      </c>
      <c r="C33" s="201" t="e">
        <f>C32-'Fin Smmry'!C50</f>
        <v>#REF!</v>
      </c>
      <c r="D33" s="201" t="e">
        <f>D32-'Fin Smmry'!D50</f>
        <v>#REF!</v>
      </c>
      <c r="E33" s="201" t="e">
        <f>E32-'Fin Smmry'!E50</f>
        <v>#REF!</v>
      </c>
      <c r="F33" s="201" t="e">
        <f>F32-'Fin Smmry'!F50</f>
        <v>#REF!</v>
      </c>
      <c r="G33" s="201" t="e">
        <f>G32-'Fin Smmry'!G50</f>
        <v>#REF!</v>
      </c>
      <c r="H33" s="201" t="e">
        <f>H32-'Fin Smmry'!H50</f>
        <v>#REF!</v>
      </c>
      <c r="I33" s="201" t="e">
        <f>I32-'Fin Smmry'!I50</f>
        <v>#REF!</v>
      </c>
      <c r="J33" s="201" t="e">
        <f>J32-'Fin Smmry'!J50</f>
        <v>#REF!</v>
      </c>
      <c r="K33" s="201" t="e">
        <f>K32-'Fin Smmry'!K50</f>
        <v>#REF!</v>
      </c>
      <c r="L33" s="201" t="e">
        <f>L32-'Fin Smmry'!L50</f>
        <v>#REF!</v>
      </c>
    </row>
    <row r="34" spans="2:12" hidden="1"/>
    <row r="35" spans="2:12" hidden="1">
      <c r="B35" s="662">
        <f>'Fin Smmry'!B50</f>
        <v>92.291983937595887</v>
      </c>
      <c r="C35" s="662">
        <f>'Fin Smmry'!C50</f>
        <v>159.22127817090995</v>
      </c>
      <c r="D35" s="662">
        <f>'Fin Smmry'!D50</f>
        <v>214.60638665729286</v>
      </c>
      <c r="E35" s="662">
        <f>'Fin Smmry'!E50</f>
        <v>272.34257573856172</v>
      </c>
      <c r="F35" s="662">
        <f>'Fin Smmry'!F50</f>
        <v>407.65658162925354</v>
      </c>
      <c r="G35" s="662">
        <f>'Fin Smmry'!G50</f>
        <v>486.93110744096708</v>
      </c>
      <c r="H35" s="662">
        <f>'Fin Smmry'!H50</f>
        <v>583.43917676196907</v>
      </c>
      <c r="I35" s="662">
        <f>'Fin Smmry'!I50</f>
        <v>666.85340252133039</v>
      </c>
      <c r="J35" s="662">
        <f>'Fin Smmry'!J50</f>
        <v>822.4167731425224</v>
      </c>
      <c r="K35" s="662">
        <f>'Fin Smmry'!K50</f>
        <v>510.67251417116643</v>
      </c>
      <c r="L35" s="662">
        <f>'Fin Smmry'!L50</f>
        <v>92.075059712661528</v>
      </c>
    </row>
    <row r="127" spans="1:1">
      <c r="A127" s="202" t="s">
        <v>25</v>
      </c>
    </row>
    <row r="140" spans="1:2">
      <c r="A140" s="202" t="s">
        <v>24</v>
      </c>
      <c r="B140" s="196">
        <v>35</v>
      </c>
    </row>
  </sheetData>
  <mergeCells count="5">
    <mergeCell ref="B2:E2"/>
    <mergeCell ref="F2:I2"/>
    <mergeCell ref="B19:E19"/>
    <mergeCell ref="F19:I19"/>
    <mergeCell ref="A1:L1"/>
  </mergeCells>
  <printOptions horizontalCentered="1"/>
  <pageMargins left="0.49" right="0.5" top="0.75" bottom="0.75" header="0.3" footer="0.3"/>
  <pageSetup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2:W79"/>
  <sheetViews>
    <sheetView topLeftCell="A21" zoomScale="85" zoomScaleNormal="85" workbookViewId="0">
      <selection activeCell="T21" sqref="T21"/>
    </sheetView>
  </sheetViews>
  <sheetFormatPr defaultRowHeight="15"/>
  <cols>
    <col min="1" max="1" width="3.7109375" style="423" customWidth="1"/>
    <col min="2" max="2" width="6.42578125" style="423" customWidth="1"/>
    <col min="3" max="3" width="34.7109375" style="423" customWidth="1"/>
    <col min="4" max="4" width="11.5703125" style="423" customWidth="1"/>
    <col min="5" max="5" width="12.28515625" style="423" customWidth="1"/>
    <col min="6" max="6" width="13.28515625" style="423" customWidth="1"/>
    <col min="7" max="7" width="13.28515625" style="424" bestFit="1" customWidth="1"/>
    <col min="8" max="16" width="0" style="423" hidden="1" customWidth="1"/>
    <col min="17" max="17" width="6.7109375" style="423" hidden="1" customWidth="1"/>
    <col min="18" max="18" width="7.7109375" style="423" hidden="1" customWidth="1"/>
    <col min="19" max="22" width="14.42578125" style="423" customWidth="1"/>
    <col min="23" max="23" width="15.7109375" style="423" customWidth="1"/>
    <col min="24" max="16384" width="9.140625" style="423"/>
  </cols>
  <sheetData>
    <row r="2" spans="2:23" ht="15.75">
      <c r="B2" s="422" t="s">
        <v>364</v>
      </c>
      <c r="D2" s="423" t="s">
        <v>365</v>
      </c>
      <c r="H2" s="425" t="s">
        <v>288</v>
      </c>
      <c r="I2" s="425" t="s">
        <v>156</v>
      </c>
      <c r="J2" s="425" t="s">
        <v>157</v>
      </c>
      <c r="K2" s="425" t="s">
        <v>162</v>
      </c>
      <c r="L2" s="425" t="s">
        <v>163</v>
      </c>
      <c r="M2" s="425" t="s">
        <v>164</v>
      </c>
      <c r="N2" s="425" t="s">
        <v>190</v>
      </c>
      <c r="O2" s="425" t="s">
        <v>191</v>
      </c>
      <c r="P2" s="425" t="s">
        <v>192</v>
      </c>
      <c r="Q2" s="425" t="s">
        <v>193</v>
      </c>
      <c r="R2" s="425" t="s">
        <v>194</v>
      </c>
      <c r="S2" s="425"/>
      <c r="T2" s="426">
        <v>0.5</v>
      </c>
      <c r="U2" s="425"/>
      <c r="V2" s="425"/>
      <c r="W2" s="423" t="s">
        <v>366</v>
      </c>
    </row>
    <row r="3" spans="2:23" ht="15.75">
      <c r="B3" s="422" t="s">
        <v>367</v>
      </c>
    </row>
    <row r="4" spans="2:23" ht="36" customHeight="1">
      <c r="C4" s="427"/>
      <c r="D4" s="427" t="s">
        <v>368</v>
      </c>
      <c r="E4" s="427" t="s">
        <v>369</v>
      </c>
      <c r="F4" s="427" t="s">
        <v>370</v>
      </c>
      <c r="G4" s="428" t="s">
        <v>371</v>
      </c>
      <c r="H4" s="428" t="s">
        <v>371</v>
      </c>
      <c r="I4" s="428" t="s">
        <v>371</v>
      </c>
      <c r="J4" s="428" t="s">
        <v>371</v>
      </c>
      <c r="K4" s="428" t="s">
        <v>371</v>
      </c>
      <c r="L4" s="428" t="s">
        <v>371</v>
      </c>
      <c r="M4" s="428" t="s">
        <v>371</v>
      </c>
      <c r="N4" s="428" t="s">
        <v>371</v>
      </c>
      <c r="O4" s="428" t="s">
        <v>371</v>
      </c>
      <c r="P4" s="428" t="s">
        <v>371</v>
      </c>
      <c r="Q4" s="428" t="s">
        <v>371</v>
      </c>
      <c r="R4" s="428" t="s">
        <v>371</v>
      </c>
      <c r="S4" s="428" t="s">
        <v>372</v>
      </c>
      <c r="T4" s="429" t="s">
        <v>373</v>
      </c>
      <c r="U4" s="430" t="s">
        <v>374</v>
      </c>
    </row>
    <row r="5" spans="2:23" ht="25.5" customHeight="1">
      <c r="B5" s="423">
        <v>1</v>
      </c>
      <c r="C5" s="427" t="s">
        <v>375</v>
      </c>
      <c r="D5" s="431"/>
      <c r="E5" s="431"/>
      <c r="F5" s="431"/>
      <c r="G5" s="432">
        <v>2608005</v>
      </c>
      <c r="S5" s="433">
        <f>G5/12</f>
        <v>217333.75</v>
      </c>
      <c r="T5" s="434">
        <f>S5*$T$2</f>
        <v>108666.875</v>
      </c>
      <c r="U5" s="423">
        <v>175000</v>
      </c>
      <c r="W5" s="423" t="s">
        <v>376</v>
      </c>
    </row>
    <row r="6" spans="2:23">
      <c r="B6" s="423">
        <v>2</v>
      </c>
      <c r="C6" s="435" t="s">
        <v>377</v>
      </c>
      <c r="D6" s="427"/>
      <c r="E6" s="427"/>
      <c r="F6" s="427"/>
      <c r="G6" s="436"/>
      <c r="S6" s="433"/>
      <c r="T6" s="434"/>
      <c r="W6" s="437">
        <f>G5+SUM(G7:G18)</f>
        <v>7780625</v>
      </c>
    </row>
    <row r="7" spans="2:23" ht="28.5" customHeight="1">
      <c r="C7" s="438" t="s">
        <v>199</v>
      </c>
      <c r="D7" s="427"/>
      <c r="E7" s="427"/>
      <c r="F7" s="427"/>
      <c r="G7" s="432">
        <v>545767</v>
      </c>
      <c r="S7" s="433">
        <f t="shared" ref="S7:S63" si="0">G7/12</f>
        <v>45480.583333333336</v>
      </c>
      <c r="T7" s="434">
        <f t="shared" ref="T7:T22" si="1">S7*$T$2</f>
        <v>22740.291666666668</v>
      </c>
      <c r="U7" s="423">
        <v>35000</v>
      </c>
    </row>
    <row r="8" spans="2:23" ht="18" customHeight="1">
      <c r="C8" s="439" t="s">
        <v>201</v>
      </c>
      <c r="D8" s="427"/>
      <c r="E8" s="427"/>
      <c r="F8" s="427"/>
      <c r="G8" s="432">
        <v>183500</v>
      </c>
      <c r="S8" s="433">
        <f t="shared" si="0"/>
        <v>15291.666666666666</v>
      </c>
      <c r="T8" s="434">
        <f t="shared" si="1"/>
        <v>7645.833333333333</v>
      </c>
      <c r="U8" s="423">
        <v>12000</v>
      </c>
    </row>
    <row r="9" spans="2:23" ht="18" customHeight="1">
      <c r="C9" s="439" t="s">
        <v>202</v>
      </c>
      <c r="D9" s="427"/>
      <c r="E9" s="427"/>
      <c r="F9" s="427"/>
      <c r="G9" s="432">
        <v>380134</v>
      </c>
      <c r="S9" s="433">
        <f t="shared" si="0"/>
        <v>31677.833333333332</v>
      </c>
      <c r="T9" s="434">
        <f t="shared" si="1"/>
        <v>15838.916666666666</v>
      </c>
      <c r="U9" s="423">
        <v>25000</v>
      </c>
    </row>
    <row r="10" spans="2:23" ht="30" customHeight="1">
      <c r="C10" s="440" t="s">
        <v>203</v>
      </c>
      <c r="D10" s="427"/>
      <c r="E10" s="427"/>
      <c r="F10" s="427"/>
      <c r="G10" s="432">
        <v>507792</v>
      </c>
      <c r="S10" s="433">
        <f t="shared" si="0"/>
        <v>42316</v>
      </c>
      <c r="T10" s="434">
        <f t="shared" si="1"/>
        <v>21158</v>
      </c>
      <c r="U10" s="423">
        <v>35000</v>
      </c>
    </row>
    <row r="11" spans="2:23" ht="21.75" customHeight="1">
      <c r="C11" s="440" t="s">
        <v>378</v>
      </c>
      <c r="D11" s="427"/>
      <c r="E11" s="427"/>
      <c r="F11" s="427"/>
      <c r="G11" s="432">
        <v>424411.99999999994</v>
      </c>
      <c r="S11" s="433">
        <f t="shared" si="0"/>
        <v>35367.666666666664</v>
      </c>
      <c r="T11" s="434">
        <f t="shared" si="1"/>
        <v>17683.833333333332</v>
      </c>
      <c r="U11" s="423">
        <v>30000</v>
      </c>
    </row>
    <row r="12" spans="2:23" ht="21" customHeight="1">
      <c r="C12" s="440" t="s">
        <v>204</v>
      </c>
      <c r="D12" s="427"/>
      <c r="E12" s="427"/>
      <c r="F12" s="427"/>
      <c r="G12" s="432">
        <v>125137.00000000001</v>
      </c>
      <c r="S12" s="433">
        <f t="shared" si="0"/>
        <v>10428.083333333334</v>
      </c>
      <c r="T12" s="434">
        <f t="shared" si="1"/>
        <v>5214.041666666667</v>
      </c>
      <c r="U12" s="423">
        <v>8000</v>
      </c>
    </row>
    <row r="13" spans="2:23" ht="21" customHeight="1">
      <c r="C13" s="440" t="s">
        <v>379</v>
      </c>
      <c r="D13" s="427"/>
      <c r="E13" s="427"/>
      <c r="F13" s="427"/>
      <c r="G13" s="432">
        <v>600000</v>
      </c>
      <c r="S13" s="433">
        <f t="shared" si="0"/>
        <v>50000</v>
      </c>
      <c r="T13" s="434">
        <f t="shared" si="1"/>
        <v>25000</v>
      </c>
      <c r="U13" s="423">
        <v>40000</v>
      </c>
    </row>
    <row r="14" spans="2:23" ht="30" customHeight="1">
      <c r="C14" s="440" t="s">
        <v>240</v>
      </c>
      <c r="D14" s="427"/>
      <c r="E14" s="427"/>
      <c r="F14" s="427"/>
      <c r="G14" s="432">
        <f>614829-199524</f>
        <v>415305</v>
      </c>
      <c r="S14" s="433">
        <f t="shared" si="0"/>
        <v>34608.75</v>
      </c>
      <c r="T14" s="434">
        <f t="shared" si="1"/>
        <v>17304.375</v>
      </c>
      <c r="U14" s="423">
        <v>30000</v>
      </c>
    </row>
    <row r="15" spans="2:23" ht="30" customHeight="1">
      <c r="C15" s="440" t="s">
        <v>380</v>
      </c>
      <c r="D15" s="427"/>
      <c r="E15" s="427"/>
      <c r="F15" s="427"/>
      <c r="G15" s="432">
        <v>500000</v>
      </c>
      <c r="S15" s="433">
        <f t="shared" si="0"/>
        <v>41666.666666666664</v>
      </c>
      <c r="T15" s="434">
        <f t="shared" si="1"/>
        <v>20833.333333333332</v>
      </c>
      <c r="U15" s="423">
        <v>30000</v>
      </c>
    </row>
    <row r="16" spans="2:23" ht="30" customHeight="1">
      <c r="C16" s="440" t="s">
        <v>289</v>
      </c>
      <c r="D16" s="427"/>
      <c r="E16" s="427"/>
      <c r="F16" s="427"/>
      <c r="G16" s="432">
        <v>700000</v>
      </c>
      <c r="S16" s="433">
        <f t="shared" si="0"/>
        <v>58333.333333333336</v>
      </c>
      <c r="T16" s="434">
        <f t="shared" si="1"/>
        <v>29166.666666666668</v>
      </c>
      <c r="U16" s="423">
        <v>45000</v>
      </c>
    </row>
    <row r="17" spans="2:23" ht="30" customHeight="1">
      <c r="C17" s="440" t="s">
        <v>290</v>
      </c>
      <c r="D17" s="427"/>
      <c r="E17" s="427"/>
      <c r="F17" s="427"/>
      <c r="G17" s="432">
        <v>153003</v>
      </c>
      <c r="S17" s="433">
        <f t="shared" si="0"/>
        <v>12750.25</v>
      </c>
      <c r="T17" s="434">
        <f t="shared" si="1"/>
        <v>6375.125</v>
      </c>
      <c r="U17" s="423">
        <v>10000</v>
      </c>
    </row>
    <row r="18" spans="2:23" ht="30" customHeight="1">
      <c r="C18" s="439" t="s">
        <v>229</v>
      </c>
      <c r="D18" s="427"/>
      <c r="E18" s="427"/>
      <c r="F18" s="427"/>
      <c r="G18" s="432">
        <v>637570</v>
      </c>
      <c r="S18" s="433">
        <f t="shared" si="0"/>
        <v>53130.833333333336</v>
      </c>
      <c r="T18" s="434">
        <f t="shared" si="1"/>
        <v>26565.416666666668</v>
      </c>
      <c r="U18" s="423">
        <v>40000</v>
      </c>
    </row>
    <row r="19" spans="2:23" ht="25.5" customHeight="1">
      <c r="C19" s="441" t="s">
        <v>381</v>
      </c>
      <c r="D19" s="431"/>
      <c r="E19" s="431"/>
      <c r="F19" s="431"/>
      <c r="G19" s="432">
        <v>979224.99999999988</v>
      </c>
      <c r="S19" s="433">
        <f t="shared" si="0"/>
        <v>81602.083333333328</v>
      </c>
      <c r="T19" s="434">
        <f t="shared" si="1"/>
        <v>40801.041666666664</v>
      </c>
      <c r="U19" s="423">
        <v>65000</v>
      </c>
    </row>
    <row r="20" spans="2:23" ht="27" customHeight="1">
      <c r="C20" s="440" t="s">
        <v>278</v>
      </c>
      <c r="D20" s="427"/>
      <c r="E20" s="427"/>
      <c r="F20" s="427"/>
      <c r="G20" s="432">
        <v>884272</v>
      </c>
      <c r="S20" s="433">
        <f t="shared" si="0"/>
        <v>73689.333333333328</v>
      </c>
      <c r="T20" s="434">
        <f t="shared" si="1"/>
        <v>36844.666666666664</v>
      </c>
      <c r="U20" s="423">
        <v>60000</v>
      </c>
    </row>
    <row r="21" spans="2:23" ht="23.25" customHeight="1">
      <c r="C21" s="440" t="s">
        <v>382</v>
      </c>
      <c r="D21" s="427"/>
      <c r="E21" s="427"/>
      <c r="F21" s="427"/>
      <c r="G21" s="432">
        <v>993505</v>
      </c>
      <c r="S21" s="433">
        <f t="shared" si="0"/>
        <v>82792.083333333328</v>
      </c>
      <c r="T21" s="434">
        <f t="shared" si="1"/>
        <v>41396.041666666664</v>
      </c>
      <c r="U21" s="423">
        <v>65000</v>
      </c>
    </row>
    <row r="22" spans="2:23" ht="30" customHeight="1">
      <c r="C22" s="440" t="s">
        <v>383</v>
      </c>
      <c r="D22" s="427"/>
      <c r="E22" s="427"/>
      <c r="F22" s="427"/>
      <c r="G22" s="432">
        <v>195524</v>
      </c>
      <c r="S22" s="433">
        <f t="shared" si="0"/>
        <v>16293.666666666666</v>
      </c>
      <c r="T22" s="434">
        <f t="shared" si="1"/>
        <v>8146.833333333333</v>
      </c>
      <c r="U22" s="423">
        <v>13000</v>
      </c>
    </row>
    <row r="23" spans="2:23" ht="30" customHeight="1">
      <c r="C23" s="442" t="s">
        <v>206</v>
      </c>
      <c r="D23" s="427"/>
      <c r="E23" s="427"/>
      <c r="F23" s="427"/>
      <c r="G23" s="443">
        <f>SUM(G5:G22)</f>
        <v>10833151</v>
      </c>
      <c r="H23" s="443">
        <f t="shared" ref="H23:U23" si="2">SUM(H5:H22)</f>
        <v>0</v>
      </c>
      <c r="I23" s="443">
        <f t="shared" si="2"/>
        <v>0</v>
      </c>
      <c r="J23" s="443">
        <f t="shared" si="2"/>
        <v>0</v>
      </c>
      <c r="K23" s="443">
        <f t="shared" si="2"/>
        <v>0</v>
      </c>
      <c r="L23" s="443">
        <f t="shared" si="2"/>
        <v>0</v>
      </c>
      <c r="M23" s="443">
        <f t="shared" si="2"/>
        <v>0</v>
      </c>
      <c r="N23" s="443">
        <f t="shared" si="2"/>
        <v>0</v>
      </c>
      <c r="O23" s="443">
        <f t="shared" si="2"/>
        <v>0</v>
      </c>
      <c r="P23" s="443">
        <f t="shared" si="2"/>
        <v>0</v>
      </c>
      <c r="Q23" s="443">
        <f t="shared" si="2"/>
        <v>0</v>
      </c>
      <c r="R23" s="443">
        <f t="shared" si="2"/>
        <v>0</v>
      </c>
      <c r="S23" s="443">
        <f t="shared" si="2"/>
        <v>902762.58333333349</v>
      </c>
      <c r="T23" s="443">
        <f t="shared" si="2"/>
        <v>451381.29166666674</v>
      </c>
      <c r="U23" s="443">
        <f t="shared" si="2"/>
        <v>718000</v>
      </c>
      <c r="W23" s="437">
        <f>G23+SUM(G26:G39)</f>
        <v>13156151</v>
      </c>
    </row>
    <row r="24" spans="2:23">
      <c r="S24" s="424">
        <f t="shared" si="0"/>
        <v>0</v>
      </c>
    </row>
    <row r="25" spans="2:23" ht="51.75">
      <c r="B25" s="444" t="s">
        <v>384</v>
      </c>
      <c r="C25" s="427"/>
      <c r="D25" s="445"/>
      <c r="E25" s="445"/>
      <c r="F25" s="445"/>
      <c r="G25" s="446" t="s">
        <v>371</v>
      </c>
      <c r="H25" s="446" t="s">
        <v>371</v>
      </c>
      <c r="I25" s="446" t="s">
        <v>371</v>
      </c>
      <c r="J25" s="446" t="s">
        <v>371</v>
      </c>
      <c r="K25" s="446" t="s">
        <v>371</v>
      </c>
      <c r="L25" s="446" t="s">
        <v>371</v>
      </c>
      <c r="M25" s="446" t="s">
        <v>371</v>
      </c>
      <c r="N25" s="446" t="s">
        <v>371</v>
      </c>
      <c r="O25" s="446" t="s">
        <v>371</v>
      </c>
      <c r="P25" s="446" t="s">
        <v>371</v>
      </c>
      <c r="Q25" s="446" t="s">
        <v>371</v>
      </c>
      <c r="R25" s="446" t="s">
        <v>371</v>
      </c>
      <c r="S25" s="428" t="s">
        <v>372</v>
      </c>
      <c r="T25" s="428" t="s">
        <v>372</v>
      </c>
      <c r="U25" s="447" t="s">
        <v>374</v>
      </c>
    </row>
    <row r="26" spans="2:23" ht="29.25" customHeight="1">
      <c r="C26" s="427" t="s">
        <v>385</v>
      </c>
      <c r="D26" s="427"/>
      <c r="E26" s="427"/>
      <c r="F26" s="427"/>
      <c r="G26" s="448">
        <v>240000</v>
      </c>
      <c r="H26" s="448">
        <v>240000</v>
      </c>
      <c r="I26" s="448">
        <v>240000</v>
      </c>
      <c r="J26" s="448">
        <v>240000</v>
      </c>
      <c r="K26" s="448">
        <v>240000</v>
      </c>
      <c r="L26" s="448">
        <v>240000</v>
      </c>
      <c r="M26" s="448">
        <v>240000</v>
      </c>
      <c r="N26" s="448">
        <v>240000</v>
      </c>
      <c r="O26" s="448">
        <v>240000</v>
      </c>
      <c r="P26" s="448">
        <v>240000</v>
      </c>
      <c r="Q26" s="448">
        <v>240000</v>
      </c>
      <c r="R26" s="448">
        <v>240000</v>
      </c>
      <c r="S26" s="433">
        <f t="shared" si="0"/>
        <v>20000</v>
      </c>
      <c r="T26" s="434">
        <f>S26</f>
        <v>20000</v>
      </c>
      <c r="U26" s="449">
        <v>20000</v>
      </c>
      <c r="V26" s="450"/>
      <c r="W26" s="450"/>
    </row>
    <row r="27" spans="2:23">
      <c r="C27" s="427" t="s">
        <v>386</v>
      </c>
      <c r="D27" s="427"/>
      <c r="E27" s="427"/>
      <c r="F27" s="427"/>
      <c r="G27" s="448">
        <v>350000</v>
      </c>
      <c r="H27" s="448">
        <v>350000</v>
      </c>
      <c r="I27" s="448">
        <v>350000</v>
      </c>
      <c r="J27" s="448">
        <v>350000</v>
      </c>
      <c r="K27" s="448">
        <v>350000</v>
      </c>
      <c r="L27" s="448">
        <v>350000</v>
      </c>
      <c r="M27" s="448">
        <v>350000</v>
      </c>
      <c r="N27" s="448">
        <v>350000</v>
      </c>
      <c r="O27" s="448">
        <v>350000</v>
      </c>
      <c r="P27" s="448">
        <v>350000</v>
      </c>
      <c r="Q27" s="448">
        <v>350000</v>
      </c>
      <c r="R27" s="448">
        <v>350000</v>
      </c>
      <c r="S27" s="433">
        <f t="shared" si="0"/>
        <v>29166.666666666668</v>
      </c>
      <c r="T27" s="434">
        <f t="shared" ref="T27:U39" si="3">S27</f>
        <v>29166.666666666668</v>
      </c>
      <c r="U27" s="449">
        <v>30000</v>
      </c>
      <c r="V27" s="450"/>
      <c r="W27" s="450"/>
    </row>
    <row r="28" spans="2:23">
      <c r="C28" s="427" t="s">
        <v>387</v>
      </c>
      <c r="D28" s="427"/>
      <c r="E28" s="427"/>
      <c r="F28" s="427"/>
      <c r="G28" s="432">
        <v>300000</v>
      </c>
      <c r="H28" s="432">
        <v>300000</v>
      </c>
      <c r="I28" s="432">
        <v>300000</v>
      </c>
      <c r="J28" s="432">
        <v>300000</v>
      </c>
      <c r="K28" s="432">
        <v>300000</v>
      </c>
      <c r="L28" s="432">
        <v>300000</v>
      </c>
      <c r="M28" s="432">
        <v>300000</v>
      </c>
      <c r="N28" s="432">
        <v>300000</v>
      </c>
      <c r="O28" s="432">
        <v>300000</v>
      </c>
      <c r="P28" s="432">
        <v>300000</v>
      </c>
      <c r="Q28" s="432">
        <v>300000</v>
      </c>
      <c r="R28" s="432">
        <v>300000</v>
      </c>
      <c r="S28" s="433">
        <f t="shared" si="0"/>
        <v>25000</v>
      </c>
      <c r="T28" s="434">
        <f t="shared" si="3"/>
        <v>25000</v>
      </c>
      <c r="U28" s="451">
        <v>25000</v>
      </c>
      <c r="V28" s="450"/>
      <c r="W28" s="450"/>
    </row>
    <row r="29" spans="2:23">
      <c r="C29" s="427" t="s">
        <v>388</v>
      </c>
      <c r="D29" s="427"/>
      <c r="E29" s="427"/>
      <c r="F29" s="427"/>
      <c r="G29" s="432">
        <v>120000</v>
      </c>
      <c r="H29" s="432">
        <v>120000</v>
      </c>
      <c r="I29" s="432">
        <v>120000</v>
      </c>
      <c r="J29" s="432">
        <v>120000</v>
      </c>
      <c r="K29" s="432">
        <v>120000</v>
      </c>
      <c r="L29" s="432">
        <v>120000</v>
      </c>
      <c r="M29" s="432">
        <v>120000</v>
      </c>
      <c r="N29" s="432">
        <v>120000</v>
      </c>
      <c r="O29" s="432">
        <v>120000</v>
      </c>
      <c r="P29" s="432">
        <v>120000</v>
      </c>
      <c r="Q29" s="432">
        <v>120000</v>
      </c>
      <c r="R29" s="432">
        <v>120000</v>
      </c>
      <c r="S29" s="433">
        <f t="shared" si="0"/>
        <v>10000</v>
      </c>
      <c r="T29" s="434">
        <f t="shared" si="3"/>
        <v>10000</v>
      </c>
      <c r="U29" s="451">
        <v>10000</v>
      </c>
      <c r="V29" s="450"/>
      <c r="W29" s="450"/>
    </row>
    <row r="30" spans="2:23">
      <c r="C30" s="427" t="s">
        <v>204</v>
      </c>
      <c r="D30" s="427"/>
      <c r="E30" s="427"/>
      <c r="F30" s="427"/>
      <c r="G30" s="448">
        <v>60000</v>
      </c>
      <c r="H30" s="448">
        <v>60000</v>
      </c>
      <c r="I30" s="448">
        <v>60000</v>
      </c>
      <c r="J30" s="448">
        <v>60000</v>
      </c>
      <c r="K30" s="448">
        <v>60000</v>
      </c>
      <c r="L30" s="448">
        <v>60000</v>
      </c>
      <c r="M30" s="448">
        <v>60000</v>
      </c>
      <c r="N30" s="448">
        <v>60000</v>
      </c>
      <c r="O30" s="448">
        <v>60000</v>
      </c>
      <c r="P30" s="448">
        <v>60000</v>
      </c>
      <c r="Q30" s="448">
        <v>60000</v>
      </c>
      <c r="R30" s="448">
        <v>60000</v>
      </c>
      <c r="S30" s="433">
        <f t="shared" si="0"/>
        <v>5000</v>
      </c>
      <c r="T30" s="434">
        <f t="shared" si="3"/>
        <v>5000</v>
      </c>
      <c r="U30" s="449">
        <v>5000</v>
      </c>
      <c r="V30" s="450"/>
      <c r="W30" s="450"/>
    </row>
    <row r="31" spans="2:23">
      <c r="C31" s="427" t="s">
        <v>389</v>
      </c>
      <c r="D31" s="427"/>
      <c r="E31" s="427"/>
      <c r="F31" s="427"/>
      <c r="G31" s="448">
        <v>50000</v>
      </c>
      <c r="H31" s="448">
        <v>50000</v>
      </c>
      <c r="I31" s="448">
        <v>50000</v>
      </c>
      <c r="J31" s="448">
        <v>50000</v>
      </c>
      <c r="K31" s="448">
        <v>50000</v>
      </c>
      <c r="L31" s="448">
        <v>50000</v>
      </c>
      <c r="M31" s="448">
        <v>50000</v>
      </c>
      <c r="N31" s="448">
        <v>50000</v>
      </c>
      <c r="O31" s="448">
        <v>50000</v>
      </c>
      <c r="P31" s="448">
        <v>50000</v>
      </c>
      <c r="Q31" s="448">
        <v>50000</v>
      </c>
      <c r="R31" s="448">
        <v>50000</v>
      </c>
      <c r="S31" s="433">
        <f t="shared" si="0"/>
        <v>4166.666666666667</v>
      </c>
      <c r="T31" s="434">
        <f t="shared" si="3"/>
        <v>4166.666666666667</v>
      </c>
      <c r="U31" s="449">
        <v>4000</v>
      </c>
      <c r="V31" s="450"/>
      <c r="W31" s="450"/>
    </row>
    <row r="32" spans="2:23">
      <c r="C32" s="427" t="s">
        <v>390</v>
      </c>
      <c r="D32" s="427"/>
      <c r="E32" s="427"/>
      <c r="F32" s="427"/>
      <c r="G32" s="448">
        <v>50000</v>
      </c>
      <c r="H32" s="448">
        <v>50000</v>
      </c>
      <c r="I32" s="448">
        <v>50000</v>
      </c>
      <c r="J32" s="448">
        <v>50000</v>
      </c>
      <c r="K32" s="448">
        <v>50000</v>
      </c>
      <c r="L32" s="448">
        <v>50000</v>
      </c>
      <c r="M32" s="448">
        <v>50000</v>
      </c>
      <c r="N32" s="448">
        <v>50000</v>
      </c>
      <c r="O32" s="448">
        <v>50000</v>
      </c>
      <c r="P32" s="448">
        <v>50000</v>
      </c>
      <c r="Q32" s="448">
        <v>50000</v>
      </c>
      <c r="R32" s="448">
        <v>50000</v>
      </c>
      <c r="S32" s="433">
        <f t="shared" si="0"/>
        <v>4166.666666666667</v>
      </c>
      <c r="T32" s="434">
        <f t="shared" si="3"/>
        <v>4166.666666666667</v>
      </c>
      <c r="U32" s="449">
        <v>4000</v>
      </c>
      <c r="V32" s="450"/>
      <c r="W32" s="450"/>
    </row>
    <row r="33" spans="2:23">
      <c r="C33" s="427" t="s">
        <v>391</v>
      </c>
      <c r="D33" s="427"/>
      <c r="E33" s="427"/>
      <c r="F33" s="427"/>
      <c r="G33" s="432">
        <v>250000</v>
      </c>
      <c r="H33" s="432">
        <v>250000</v>
      </c>
      <c r="I33" s="432">
        <v>250000</v>
      </c>
      <c r="J33" s="432">
        <v>250000</v>
      </c>
      <c r="K33" s="432">
        <v>250000</v>
      </c>
      <c r="L33" s="432">
        <v>250000</v>
      </c>
      <c r="M33" s="432">
        <v>250000</v>
      </c>
      <c r="N33" s="432">
        <v>250000</v>
      </c>
      <c r="O33" s="432">
        <v>250000</v>
      </c>
      <c r="P33" s="432">
        <v>250000</v>
      </c>
      <c r="Q33" s="432">
        <v>250000</v>
      </c>
      <c r="R33" s="432">
        <v>250000</v>
      </c>
      <c r="S33" s="433">
        <f t="shared" si="0"/>
        <v>20833.333333333332</v>
      </c>
      <c r="T33" s="434">
        <f t="shared" si="3"/>
        <v>20833.333333333332</v>
      </c>
      <c r="U33" s="449">
        <v>20000</v>
      </c>
      <c r="V33" s="450"/>
      <c r="W33" s="450"/>
    </row>
    <row r="34" spans="2:23">
      <c r="C34" s="427" t="s">
        <v>392</v>
      </c>
      <c r="D34" s="427"/>
      <c r="E34" s="427"/>
      <c r="F34" s="427"/>
      <c r="G34" s="432">
        <v>300000</v>
      </c>
      <c r="H34" s="432">
        <v>300000</v>
      </c>
      <c r="I34" s="432">
        <v>300000</v>
      </c>
      <c r="J34" s="432">
        <v>300000</v>
      </c>
      <c r="K34" s="432">
        <v>300000</v>
      </c>
      <c r="L34" s="432">
        <v>300000</v>
      </c>
      <c r="M34" s="432">
        <v>300000</v>
      </c>
      <c r="N34" s="432">
        <v>300000</v>
      </c>
      <c r="O34" s="432">
        <v>300000</v>
      </c>
      <c r="P34" s="432">
        <v>300000</v>
      </c>
      <c r="Q34" s="432">
        <v>300000</v>
      </c>
      <c r="R34" s="432">
        <v>300000</v>
      </c>
      <c r="S34" s="433">
        <f t="shared" si="0"/>
        <v>25000</v>
      </c>
      <c r="T34" s="434">
        <f t="shared" si="3"/>
        <v>25000</v>
      </c>
      <c r="U34" s="434">
        <f t="shared" si="3"/>
        <v>25000</v>
      </c>
      <c r="V34" s="450"/>
      <c r="W34" s="450"/>
    </row>
    <row r="35" spans="2:23">
      <c r="C35" s="427" t="s">
        <v>393</v>
      </c>
      <c r="D35" s="427"/>
      <c r="E35" s="427"/>
      <c r="F35" s="427"/>
      <c r="G35" s="432">
        <v>300000</v>
      </c>
      <c r="H35" s="432">
        <v>300000</v>
      </c>
      <c r="I35" s="432">
        <v>300000</v>
      </c>
      <c r="J35" s="432">
        <v>300000</v>
      </c>
      <c r="K35" s="432">
        <v>300000</v>
      </c>
      <c r="L35" s="432">
        <v>300000</v>
      </c>
      <c r="M35" s="432">
        <v>300000</v>
      </c>
      <c r="N35" s="432">
        <v>300000</v>
      </c>
      <c r="O35" s="432">
        <v>300000</v>
      </c>
      <c r="P35" s="432">
        <v>300000</v>
      </c>
      <c r="Q35" s="432">
        <v>300000</v>
      </c>
      <c r="R35" s="432">
        <v>300000</v>
      </c>
      <c r="S35" s="433">
        <f t="shared" si="0"/>
        <v>25000</v>
      </c>
      <c r="T35" s="434">
        <f t="shared" si="3"/>
        <v>25000</v>
      </c>
      <c r="U35" s="434">
        <f t="shared" si="3"/>
        <v>25000</v>
      </c>
    </row>
    <row r="36" spans="2:23">
      <c r="C36" s="427" t="s">
        <v>394</v>
      </c>
      <c r="D36" s="427"/>
      <c r="E36" s="427"/>
      <c r="F36" s="427"/>
      <c r="G36" s="448">
        <v>30000</v>
      </c>
      <c r="H36" s="448">
        <v>30000</v>
      </c>
      <c r="I36" s="448">
        <v>30000</v>
      </c>
      <c r="J36" s="448">
        <v>30000</v>
      </c>
      <c r="K36" s="448">
        <v>30000</v>
      </c>
      <c r="L36" s="448">
        <v>30000</v>
      </c>
      <c r="M36" s="448">
        <v>30000</v>
      </c>
      <c r="N36" s="448">
        <v>30000</v>
      </c>
      <c r="O36" s="448">
        <v>30000</v>
      </c>
      <c r="P36" s="448">
        <v>30000</v>
      </c>
      <c r="Q36" s="448">
        <v>30000</v>
      </c>
      <c r="R36" s="448">
        <v>30000</v>
      </c>
      <c r="S36" s="433">
        <f t="shared" si="0"/>
        <v>2500</v>
      </c>
      <c r="T36" s="434">
        <f t="shared" si="3"/>
        <v>2500</v>
      </c>
      <c r="U36" s="434">
        <f t="shared" si="3"/>
        <v>2500</v>
      </c>
    </row>
    <row r="37" spans="2:23">
      <c r="C37" s="427" t="s">
        <v>395</v>
      </c>
      <c r="D37" s="427"/>
      <c r="E37" s="427"/>
      <c r="F37" s="427"/>
      <c r="G37" s="448">
        <v>60000</v>
      </c>
      <c r="H37" s="448">
        <v>60000</v>
      </c>
      <c r="I37" s="448">
        <v>60000</v>
      </c>
      <c r="J37" s="448">
        <v>60000</v>
      </c>
      <c r="K37" s="448">
        <v>60000</v>
      </c>
      <c r="L37" s="448">
        <v>60000</v>
      </c>
      <c r="M37" s="448">
        <v>60000</v>
      </c>
      <c r="N37" s="448">
        <v>60000</v>
      </c>
      <c r="O37" s="448">
        <v>60000</v>
      </c>
      <c r="P37" s="448">
        <v>60000</v>
      </c>
      <c r="Q37" s="448">
        <v>60000</v>
      </c>
      <c r="R37" s="448">
        <v>60000</v>
      </c>
      <c r="S37" s="433">
        <f t="shared" si="0"/>
        <v>5000</v>
      </c>
      <c r="T37" s="434">
        <f t="shared" si="3"/>
        <v>5000</v>
      </c>
      <c r="U37" s="434">
        <f t="shared" si="3"/>
        <v>5000</v>
      </c>
    </row>
    <row r="38" spans="2:23">
      <c r="C38" s="427" t="s">
        <v>396</v>
      </c>
      <c r="D38" s="427"/>
      <c r="E38" s="427"/>
      <c r="F38" s="427"/>
      <c r="G38" s="448">
        <v>90000</v>
      </c>
      <c r="H38" s="448">
        <v>90000</v>
      </c>
      <c r="I38" s="448">
        <v>90000</v>
      </c>
      <c r="J38" s="448">
        <v>90000</v>
      </c>
      <c r="K38" s="448">
        <v>90000</v>
      </c>
      <c r="L38" s="448">
        <v>90000</v>
      </c>
      <c r="M38" s="448">
        <v>90000</v>
      </c>
      <c r="N38" s="448">
        <v>90000</v>
      </c>
      <c r="O38" s="448">
        <v>90000</v>
      </c>
      <c r="P38" s="448">
        <v>90000</v>
      </c>
      <c r="Q38" s="448">
        <v>90000</v>
      </c>
      <c r="R38" s="448">
        <v>90000</v>
      </c>
      <c r="S38" s="433">
        <f t="shared" si="0"/>
        <v>7500</v>
      </c>
      <c r="T38" s="434">
        <f t="shared" si="3"/>
        <v>7500</v>
      </c>
      <c r="U38" s="434">
        <f t="shared" si="3"/>
        <v>7500</v>
      </c>
    </row>
    <row r="39" spans="2:23">
      <c r="C39" s="427" t="s">
        <v>397</v>
      </c>
      <c r="D39" s="427"/>
      <c r="E39" s="427"/>
      <c r="F39" s="427"/>
      <c r="G39" s="432">
        <v>123000</v>
      </c>
      <c r="H39" s="432">
        <v>123000</v>
      </c>
      <c r="I39" s="432">
        <v>123000</v>
      </c>
      <c r="J39" s="432">
        <v>123000</v>
      </c>
      <c r="K39" s="432">
        <v>123000</v>
      </c>
      <c r="L39" s="432">
        <v>123000</v>
      </c>
      <c r="M39" s="432">
        <v>123000</v>
      </c>
      <c r="N39" s="432">
        <v>123000</v>
      </c>
      <c r="O39" s="432">
        <v>123000</v>
      </c>
      <c r="P39" s="432">
        <v>123000</v>
      </c>
      <c r="Q39" s="432">
        <v>123000</v>
      </c>
      <c r="R39" s="432">
        <v>123000</v>
      </c>
      <c r="S39" s="433">
        <f t="shared" si="0"/>
        <v>10250</v>
      </c>
      <c r="T39" s="434">
        <f t="shared" si="3"/>
        <v>10250</v>
      </c>
      <c r="U39" s="451">
        <v>10000</v>
      </c>
    </row>
    <row r="40" spans="2:23">
      <c r="G40" s="424">
        <f>SUM(G26:G39)</f>
        <v>2323000</v>
      </c>
      <c r="H40" s="424">
        <f t="shared" ref="H40:U40" si="4">SUM(H26:H39)</f>
        <v>2323000</v>
      </c>
      <c r="I40" s="424">
        <f t="shared" si="4"/>
        <v>2323000</v>
      </c>
      <c r="J40" s="424">
        <f t="shared" si="4"/>
        <v>2323000</v>
      </c>
      <c r="K40" s="424">
        <f t="shared" si="4"/>
        <v>2323000</v>
      </c>
      <c r="L40" s="424">
        <f t="shared" si="4"/>
        <v>2323000</v>
      </c>
      <c r="M40" s="424">
        <f t="shared" si="4"/>
        <v>2323000</v>
      </c>
      <c r="N40" s="424">
        <f t="shared" si="4"/>
        <v>2323000</v>
      </c>
      <c r="O40" s="424">
        <f t="shared" si="4"/>
        <v>2323000</v>
      </c>
      <c r="P40" s="424">
        <f t="shared" si="4"/>
        <v>2323000</v>
      </c>
      <c r="Q40" s="424">
        <f t="shared" si="4"/>
        <v>2323000</v>
      </c>
      <c r="R40" s="424">
        <f t="shared" si="4"/>
        <v>2323000</v>
      </c>
      <c r="S40" s="424">
        <f t="shared" si="4"/>
        <v>193583.33333333334</v>
      </c>
      <c r="T40" s="424">
        <f t="shared" si="4"/>
        <v>193583.33333333334</v>
      </c>
      <c r="U40" s="424">
        <f t="shared" si="4"/>
        <v>193000</v>
      </c>
    </row>
    <row r="41" spans="2:23" ht="16.5" hidden="1" customHeight="1">
      <c r="B41" s="444" t="s">
        <v>398</v>
      </c>
      <c r="D41" s="452"/>
      <c r="E41" s="452"/>
      <c r="F41" s="452"/>
      <c r="G41" s="453"/>
      <c r="S41" s="424">
        <f t="shared" si="0"/>
        <v>0</v>
      </c>
    </row>
    <row r="42" spans="2:23" hidden="1">
      <c r="C42" s="427"/>
      <c r="D42" s="427" t="s">
        <v>368</v>
      </c>
      <c r="E42" s="427" t="s">
        <v>369</v>
      </c>
      <c r="F42" s="427" t="s">
        <v>370</v>
      </c>
      <c r="G42" s="433" t="s">
        <v>374</v>
      </c>
      <c r="S42" s="424"/>
    </row>
    <row r="43" spans="2:23" ht="27" hidden="1" customHeight="1">
      <c r="C43" s="427" t="s">
        <v>375</v>
      </c>
      <c r="D43" s="431"/>
      <c r="E43" s="431"/>
      <c r="F43" s="431"/>
      <c r="G43" s="432"/>
      <c r="S43" s="424">
        <f t="shared" si="0"/>
        <v>0</v>
      </c>
    </row>
    <row r="44" spans="2:23" hidden="1">
      <c r="C44" s="427"/>
      <c r="D44" s="427"/>
      <c r="E44" s="427"/>
      <c r="F44" s="427"/>
      <c r="G44" s="436"/>
      <c r="S44" s="424">
        <f t="shared" si="0"/>
        <v>0</v>
      </c>
    </row>
    <row r="45" spans="2:23" ht="26.25" hidden="1">
      <c r="C45" s="435" t="s">
        <v>377</v>
      </c>
      <c r="D45" s="427"/>
      <c r="E45" s="427"/>
      <c r="F45" s="427"/>
      <c r="G45" s="436" t="s">
        <v>371</v>
      </c>
      <c r="S45" s="424"/>
    </row>
    <row r="46" spans="2:23" hidden="1">
      <c r="C46" s="427" t="s">
        <v>385</v>
      </c>
      <c r="D46" s="427"/>
      <c r="E46" s="427"/>
      <c r="F46" s="427"/>
      <c r="G46" s="432"/>
      <c r="S46" s="424">
        <f t="shared" si="0"/>
        <v>0</v>
      </c>
    </row>
    <row r="47" spans="2:23" hidden="1">
      <c r="C47" s="427" t="s">
        <v>386</v>
      </c>
      <c r="D47" s="427"/>
      <c r="E47" s="427"/>
      <c r="F47" s="427"/>
      <c r="G47" s="432"/>
      <c r="S47" s="424">
        <f t="shared" si="0"/>
        <v>0</v>
      </c>
    </row>
    <row r="48" spans="2:23" hidden="1">
      <c r="C48" s="427" t="s">
        <v>387</v>
      </c>
      <c r="D48" s="427"/>
      <c r="E48" s="427"/>
      <c r="F48" s="427"/>
      <c r="G48" s="432"/>
      <c r="S48" s="424">
        <f t="shared" si="0"/>
        <v>0</v>
      </c>
    </row>
    <row r="49" spans="2:23" hidden="1">
      <c r="C49" s="427" t="s">
        <v>388</v>
      </c>
      <c r="D49" s="427"/>
      <c r="E49" s="427"/>
      <c r="F49" s="427"/>
      <c r="G49" s="432"/>
      <c r="S49" s="424">
        <f t="shared" si="0"/>
        <v>0</v>
      </c>
    </row>
    <row r="50" spans="2:23" hidden="1">
      <c r="C50" s="427" t="s">
        <v>204</v>
      </c>
      <c r="D50" s="427"/>
      <c r="E50" s="427"/>
      <c r="F50" s="427"/>
      <c r="G50" s="432"/>
      <c r="S50" s="424">
        <f t="shared" si="0"/>
        <v>0</v>
      </c>
    </row>
    <row r="51" spans="2:23" hidden="1">
      <c r="C51" s="427" t="s">
        <v>390</v>
      </c>
      <c r="D51" s="427"/>
      <c r="E51" s="427"/>
      <c r="F51" s="427"/>
      <c r="G51" s="432"/>
      <c r="S51" s="424">
        <f t="shared" si="0"/>
        <v>0</v>
      </c>
    </row>
    <row r="52" spans="2:23" hidden="1">
      <c r="C52" s="427" t="s">
        <v>391</v>
      </c>
      <c r="D52" s="427"/>
      <c r="E52" s="427"/>
      <c r="F52" s="427"/>
      <c r="G52" s="432"/>
      <c r="S52" s="424">
        <f t="shared" si="0"/>
        <v>0</v>
      </c>
    </row>
    <row r="53" spans="2:23" hidden="1">
      <c r="C53" s="427" t="s">
        <v>389</v>
      </c>
      <c r="D53" s="427"/>
      <c r="E53" s="427"/>
      <c r="F53" s="427"/>
      <c r="G53" s="432"/>
      <c r="S53" s="424">
        <f t="shared" si="0"/>
        <v>0</v>
      </c>
    </row>
    <row r="54" spans="2:23" hidden="1">
      <c r="C54" s="427" t="s">
        <v>392</v>
      </c>
      <c r="D54" s="427"/>
      <c r="E54" s="427"/>
      <c r="F54" s="427"/>
      <c r="G54" s="432"/>
      <c r="S54" s="424">
        <f t="shared" si="0"/>
        <v>0</v>
      </c>
    </row>
    <row r="55" spans="2:23" hidden="1">
      <c r="C55" s="427" t="s">
        <v>393</v>
      </c>
      <c r="D55" s="427"/>
      <c r="E55" s="427"/>
      <c r="F55" s="427"/>
      <c r="G55" s="432"/>
      <c r="S55" s="424">
        <f t="shared" si="0"/>
        <v>0</v>
      </c>
    </row>
    <row r="56" spans="2:23" hidden="1">
      <c r="C56" s="427" t="s">
        <v>394</v>
      </c>
      <c r="D56" s="427"/>
      <c r="E56" s="427"/>
      <c r="F56" s="427"/>
      <c r="G56" s="432"/>
      <c r="S56" s="424">
        <f t="shared" si="0"/>
        <v>0</v>
      </c>
    </row>
    <row r="57" spans="2:23" hidden="1">
      <c r="C57" s="427" t="s">
        <v>395</v>
      </c>
      <c r="D57" s="427"/>
      <c r="E57" s="427"/>
      <c r="F57" s="427"/>
      <c r="G57" s="432"/>
      <c r="S57" s="424">
        <f t="shared" si="0"/>
        <v>0</v>
      </c>
    </row>
    <row r="58" spans="2:23" hidden="1">
      <c r="C58" s="427" t="s">
        <v>396</v>
      </c>
      <c r="D58" s="427"/>
      <c r="E58" s="427"/>
      <c r="F58" s="427"/>
      <c r="G58" s="432"/>
      <c r="S58" s="424">
        <f t="shared" si="0"/>
        <v>0</v>
      </c>
    </row>
    <row r="59" spans="2:23" hidden="1">
      <c r="C59" s="427" t="s">
        <v>397</v>
      </c>
      <c r="D59" s="427"/>
      <c r="E59" s="427"/>
      <c r="F59" s="427"/>
      <c r="G59" s="432"/>
      <c r="S59" s="424">
        <f t="shared" si="0"/>
        <v>0</v>
      </c>
    </row>
    <row r="60" spans="2:23">
      <c r="S60" s="424"/>
    </row>
    <row r="61" spans="2:23">
      <c r="B61" s="444" t="s">
        <v>399</v>
      </c>
      <c r="S61" s="424"/>
    </row>
    <row r="62" spans="2:23" ht="51.75">
      <c r="C62" s="427"/>
      <c r="D62" s="454" t="s">
        <v>368</v>
      </c>
      <c r="E62" s="427" t="s">
        <v>369</v>
      </c>
      <c r="F62" s="427" t="s">
        <v>370</v>
      </c>
      <c r="G62" s="428" t="s">
        <v>371</v>
      </c>
      <c r="H62" s="428" t="s">
        <v>371</v>
      </c>
      <c r="I62" s="428" t="s">
        <v>371</v>
      </c>
      <c r="J62" s="428" t="s">
        <v>371</v>
      </c>
      <c r="K62" s="428" t="s">
        <v>371</v>
      </c>
      <c r="L62" s="428" t="s">
        <v>371</v>
      </c>
      <c r="M62" s="428" t="s">
        <v>371</v>
      </c>
      <c r="N62" s="428" t="s">
        <v>371</v>
      </c>
      <c r="O62" s="428" t="s">
        <v>371</v>
      </c>
      <c r="P62" s="428" t="s">
        <v>371</v>
      </c>
      <c r="Q62" s="428" t="s">
        <v>371</v>
      </c>
      <c r="R62" s="428" t="s">
        <v>371</v>
      </c>
      <c r="S62" s="428" t="s">
        <v>372</v>
      </c>
      <c r="T62" s="428" t="s">
        <v>372</v>
      </c>
      <c r="U62" s="429" t="s">
        <v>374</v>
      </c>
    </row>
    <row r="63" spans="2:23">
      <c r="B63" s="423">
        <v>1</v>
      </c>
      <c r="C63" s="427" t="s">
        <v>375</v>
      </c>
      <c r="D63" s="455">
        <v>2000</v>
      </c>
      <c r="E63" s="455">
        <v>40</v>
      </c>
      <c r="F63" s="455"/>
      <c r="G63" s="456">
        <f>+D63*E63*12</f>
        <v>960000</v>
      </c>
      <c r="S63" s="433">
        <f t="shared" si="0"/>
        <v>80000</v>
      </c>
      <c r="T63" s="434">
        <f>S63</f>
        <v>80000</v>
      </c>
      <c r="U63" s="434">
        <f>T63</f>
        <v>80000</v>
      </c>
      <c r="W63" s="437">
        <f>G63+SUM(G65:G73)</f>
        <v>1766000</v>
      </c>
    </row>
    <row r="64" spans="2:23">
      <c r="B64" s="423">
        <v>2</v>
      </c>
      <c r="C64" s="435" t="s">
        <v>377</v>
      </c>
      <c r="D64" s="427"/>
      <c r="E64" s="427"/>
      <c r="F64" s="427"/>
      <c r="G64" s="436"/>
      <c r="S64" s="433"/>
      <c r="T64" s="434"/>
      <c r="U64" s="434"/>
    </row>
    <row r="65" spans="3:23" ht="25.5">
      <c r="C65" s="438" t="s">
        <v>199</v>
      </c>
      <c r="D65" s="427"/>
      <c r="E65" s="427"/>
      <c r="F65" s="427"/>
      <c r="G65" s="432">
        <v>120000</v>
      </c>
      <c r="S65" s="433">
        <f t="shared" ref="S65:S76" si="5">G65/12</f>
        <v>10000</v>
      </c>
      <c r="T65" s="434">
        <f t="shared" ref="T65:U76" si="6">S65</f>
        <v>10000</v>
      </c>
      <c r="U65" s="434">
        <f t="shared" si="6"/>
        <v>10000</v>
      </c>
    </row>
    <row r="66" spans="3:23">
      <c r="C66" s="439" t="s">
        <v>201</v>
      </c>
      <c r="D66" s="427"/>
      <c r="E66" s="427"/>
      <c r="F66" s="427"/>
      <c r="G66" s="432">
        <v>144000</v>
      </c>
      <c r="S66" s="433">
        <f t="shared" si="5"/>
        <v>12000</v>
      </c>
      <c r="T66" s="434">
        <f t="shared" si="6"/>
        <v>12000</v>
      </c>
      <c r="U66" s="434">
        <f t="shared" si="6"/>
        <v>12000</v>
      </c>
    </row>
    <row r="67" spans="3:23">
      <c r="C67" s="439" t="s">
        <v>202</v>
      </c>
      <c r="D67" s="427"/>
      <c r="E67" s="427"/>
      <c r="F67" s="427"/>
      <c r="G67" s="432">
        <v>100000</v>
      </c>
      <c r="S67" s="433">
        <f t="shared" si="5"/>
        <v>8333.3333333333339</v>
      </c>
      <c r="T67" s="434">
        <f t="shared" si="6"/>
        <v>8333.3333333333339</v>
      </c>
      <c r="U67" s="434">
        <v>8000</v>
      </c>
    </row>
    <row r="68" spans="3:23" ht="30">
      <c r="C68" s="440" t="s">
        <v>203</v>
      </c>
      <c r="D68" s="427"/>
      <c r="E68" s="427"/>
      <c r="F68" s="427"/>
      <c r="G68" s="432">
        <v>100000</v>
      </c>
      <c r="S68" s="433">
        <f t="shared" si="5"/>
        <v>8333.3333333333339</v>
      </c>
      <c r="T68" s="434">
        <f t="shared" si="6"/>
        <v>8333.3333333333339</v>
      </c>
      <c r="U68" s="434">
        <v>9000</v>
      </c>
    </row>
    <row r="69" spans="3:23">
      <c r="C69" s="440" t="s">
        <v>378</v>
      </c>
      <c r="D69" s="427"/>
      <c r="E69" s="427"/>
      <c r="F69" s="427"/>
      <c r="G69" s="432">
        <v>60000</v>
      </c>
      <c r="S69" s="433">
        <f t="shared" si="5"/>
        <v>5000</v>
      </c>
      <c r="T69" s="434">
        <f t="shared" si="6"/>
        <v>5000</v>
      </c>
      <c r="U69" s="434">
        <f t="shared" si="6"/>
        <v>5000</v>
      </c>
    </row>
    <row r="70" spans="3:23">
      <c r="C70" s="440" t="s">
        <v>204</v>
      </c>
      <c r="D70" s="427"/>
      <c r="E70" s="427"/>
      <c r="F70" s="427"/>
      <c r="G70" s="432">
        <v>12000</v>
      </c>
      <c r="S70" s="433">
        <f t="shared" si="5"/>
        <v>1000</v>
      </c>
      <c r="T70" s="434">
        <f t="shared" si="6"/>
        <v>1000</v>
      </c>
      <c r="U70" s="434">
        <f t="shared" si="6"/>
        <v>1000</v>
      </c>
    </row>
    <row r="71" spans="3:23">
      <c r="C71" s="440" t="s">
        <v>289</v>
      </c>
      <c r="D71" s="427"/>
      <c r="E71" s="427"/>
      <c r="F71" s="427"/>
      <c r="G71" s="432">
        <v>60000</v>
      </c>
      <c r="S71" s="433">
        <f t="shared" si="5"/>
        <v>5000</v>
      </c>
      <c r="T71" s="434">
        <f t="shared" si="6"/>
        <v>5000</v>
      </c>
      <c r="U71" s="434">
        <f t="shared" si="6"/>
        <v>5000</v>
      </c>
    </row>
    <row r="72" spans="3:23" ht="30">
      <c r="C72" s="440" t="s">
        <v>290</v>
      </c>
      <c r="D72" s="427"/>
      <c r="E72" s="427"/>
      <c r="F72" s="427"/>
      <c r="G72" s="432">
        <v>60000</v>
      </c>
      <c r="S72" s="433">
        <f t="shared" si="5"/>
        <v>5000</v>
      </c>
      <c r="T72" s="434">
        <f t="shared" si="6"/>
        <v>5000</v>
      </c>
      <c r="U72" s="434">
        <f t="shared" si="6"/>
        <v>5000</v>
      </c>
    </row>
    <row r="73" spans="3:23">
      <c r="C73" s="439" t="s">
        <v>229</v>
      </c>
      <c r="D73" s="427"/>
      <c r="E73" s="427"/>
      <c r="F73" s="427"/>
      <c r="G73" s="432">
        <v>150000</v>
      </c>
      <c r="S73" s="433">
        <f t="shared" si="5"/>
        <v>12500</v>
      </c>
      <c r="T73" s="434">
        <f t="shared" si="6"/>
        <v>12500</v>
      </c>
      <c r="U73" s="434">
        <f t="shared" si="6"/>
        <v>12500</v>
      </c>
    </row>
    <row r="74" spans="3:23">
      <c r="C74" s="441" t="s">
        <v>381</v>
      </c>
      <c r="D74" s="431"/>
      <c r="E74" s="431"/>
      <c r="F74" s="431"/>
      <c r="G74" s="432">
        <v>200000</v>
      </c>
      <c r="S74" s="433">
        <f t="shared" si="5"/>
        <v>16666.666666666668</v>
      </c>
      <c r="T74" s="434">
        <f t="shared" si="6"/>
        <v>16666.666666666668</v>
      </c>
      <c r="U74" s="434">
        <v>16000</v>
      </c>
    </row>
    <row r="75" spans="3:23">
      <c r="C75" s="440" t="s">
        <v>382</v>
      </c>
      <c r="D75" s="427"/>
      <c r="E75" s="427"/>
      <c r="F75" s="427"/>
      <c r="G75" s="432">
        <v>200000</v>
      </c>
      <c r="S75" s="433">
        <f t="shared" si="5"/>
        <v>16666.666666666668</v>
      </c>
      <c r="T75" s="434">
        <f t="shared" si="6"/>
        <v>16666.666666666668</v>
      </c>
      <c r="U75" s="434">
        <v>17000</v>
      </c>
    </row>
    <row r="76" spans="3:23">
      <c r="C76" s="440" t="s">
        <v>383</v>
      </c>
      <c r="D76" s="427"/>
      <c r="E76" s="427"/>
      <c r="F76" s="427"/>
      <c r="G76" s="432">
        <v>200000</v>
      </c>
      <c r="S76" s="433">
        <f t="shared" si="5"/>
        <v>16666.666666666668</v>
      </c>
      <c r="T76" s="434">
        <f t="shared" si="6"/>
        <v>16666.666666666668</v>
      </c>
      <c r="U76" s="434">
        <v>18000</v>
      </c>
    </row>
    <row r="77" spans="3:23">
      <c r="C77" s="442" t="s">
        <v>400</v>
      </c>
      <c r="D77" s="427"/>
      <c r="E77" s="427"/>
      <c r="F77" s="427"/>
      <c r="G77" s="433">
        <f>SUM(G63:G76)</f>
        <v>2366000</v>
      </c>
      <c r="H77" s="433">
        <f t="shared" ref="H77:U77" si="7">SUM(H63:H76)</f>
        <v>0</v>
      </c>
      <c r="I77" s="433">
        <f t="shared" si="7"/>
        <v>0</v>
      </c>
      <c r="J77" s="433">
        <f t="shared" si="7"/>
        <v>0</v>
      </c>
      <c r="K77" s="433">
        <f t="shared" si="7"/>
        <v>0</v>
      </c>
      <c r="L77" s="433">
        <f t="shared" si="7"/>
        <v>0</v>
      </c>
      <c r="M77" s="433">
        <f t="shared" si="7"/>
        <v>0</v>
      </c>
      <c r="N77" s="433">
        <f t="shared" si="7"/>
        <v>0</v>
      </c>
      <c r="O77" s="433">
        <f t="shared" si="7"/>
        <v>0</v>
      </c>
      <c r="P77" s="433">
        <f t="shared" si="7"/>
        <v>0</v>
      </c>
      <c r="Q77" s="433">
        <f t="shared" si="7"/>
        <v>0</v>
      </c>
      <c r="R77" s="433">
        <f t="shared" si="7"/>
        <v>0</v>
      </c>
      <c r="S77" s="433">
        <f t="shared" si="7"/>
        <v>197166.66666666663</v>
      </c>
      <c r="T77" s="433">
        <f t="shared" si="7"/>
        <v>197166.66666666663</v>
      </c>
      <c r="U77" s="433">
        <f t="shared" si="7"/>
        <v>198500</v>
      </c>
    </row>
    <row r="78" spans="3:23">
      <c r="W78" s="437">
        <f>W63+W23+W6</f>
        <v>22702776</v>
      </c>
    </row>
    <row r="79" spans="3:23">
      <c r="C79" s="423" t="s">
        <v>6</v>
      </c>
      <c r="G79" s="424">
        <f t="shared" ref="G79:U79" si="8">G23+G40+G77</f>
        <v>15522151</v>
      </c>
      <c r="H79" s="424">
        <f t="shared" si="8"/>
        <v>2323000</v>
      </c>
      <c r="I79" s="424">
        <f t="shared" si="8"/>
        <v>2323000</v>
      </c>
      <c r="J79" s="424">
        <f t="shared" si="8"/>
        <v>2323000</v>
      </c>
      <c r="K79" s="424">
        <f t="shared" si="8"/>
        <v>2323000</v>
      </c>
      <c r="L79" s="424">
        <f t="shared" si="8"/>
        <v>2323000</v>
      </c>
      <c r="M79" s="424">
        <f t="shared" si="8"/>
        <v>2323000</v>
      </c>
      <c r="N79" s="424">
        <f t="shared" si="8"/>
        <v>2323000</v>
      </c>
      <c r="O79" s="424">
        <f t="shared" si="8"/>
        <v>2323000</v>
      </c>
      <c r="P79" s="424">
        <f t="shared" si="8"/>
        <v>2323000</v>
      </c>
      <c r="Q79" s="424">
        <f t="shared" si="8"/>
        <v>2323000</v>
      </c>
      <c r="R79" s="424">
        <f t="shared" si="8"/>
        <v>2323000</v>
      </c>
      <c r="S79" s="424">
        <f t="shared" si="8"/>
        <v>1293512.5833333335</v>
      </c>
      <c r="T79" s="424">
        <f t="shared" si="8"/>
        <v>842131.29166666674</v>
      </c>
      <c r="U79" s="424">
        <f t="shared" si="8"/>
        <v>1109500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T50"/>
  <sheetViews>
    <sheetView zoomScale="80" zoomScaleNormal="80" workbookViewId="0">
      <selection activeCell="L1" sqref="L1"/>
    </sheetView>
  </sheetViews>
  <sheetFormatPr defaultRowHeight="12.75"/>
  <cols>
    <col min="2" max="2" width="32.5703125" customWidth="1"/>
    <col min="3" max="3" width="20.5703125" hidden="1" customWidth="1"/>
    <col min="4" max="4" width="13.28515625" customWidth="1"/>
    <col min="5" max="5" width="17.42578125" customWidth="1"/>
    <col min="6" max="6" width="15" hidden="1" customWidth="1"/>
    <col min="7" max="7" width="9.5703125" customWidth="1"/>
    <col min="8" max="9" width="11.28515625" bestFit="1" customWidth="1"/>
    <col min="10" max="17" width="10.28515625" bestFit="1" customWidth="1"/>
    <col min="18" max="18" width="11.28515625" bestFit="1" customWidth="1"/>
  </cols>
  <sheetData>
    <row r="1" spans="1:20" ht="21" customHeight="1">
      <c r="A1" s="182"/>
      <c r="B1" s="184" t="s">
        <v>208</v>
      </c>
      <c r="C1" s="184"/>
      <c r="D1" s="184"/>
      <c r="E1" s="184"/>
      <c r="F1" s="185" t="s">
        <v>209</v>
      </c>
    </row>
    <row r="2" spans="1:20" ht="15">
      <c r="A2" s="137"/>
      <c r="B2" s="138"/>
      <c r="C2" s="138"/>
      <c r="D2" s="138"/>
      <c r="E2" s="139"/>
      <c r="F2" s="136"/>
    </row>
    <row r="3" spans="1:20" ht="16.5" customHeight="1">
      <c r="A3" s="139" t="s">
        <v>21</v>
      </c>
      <c r="B3" s="139" t="s">
        <v>22</v>
      </c>
      <c r="C3" s="139" t="s">
        <v>197</v>
      </c>
      <c r="D3" s="139"/>
      <c r="E3" s="139" t="s">
        <v>7</v>
      </c>
      <c r="F3" s="139" t="s">
        <v>274</v>
      </c>
      <c r="G3" s="139" t="e">
        <f>'Exp  Assumptions'!#REF!</f>
        <v>#REF!</v>
      </c>
      <c r="H3" s="139" t="e">
        <f>'Exp  Assumptions'!#REF!</f>
        <v>#REF!</v>
      </c>
      <c r="I3" s="139" t="e">
        <f>'Exp  Assumptions'!#REF!</f>
        <v>#REF!</v>
      </c>
      <c r="J3" s="139" t="str">
        <f>'Exp  Assumptions'!O4</f>
        <v>Year 3</v>
      </c>
      <c r="K3" s="139" t="str">
        <f>'Exp  Assumptions'!P4</f>
        <v>Year 4</v>
      </c>
      <c r="L3" s="139" t="str">
        <f>'Exp  Assumptions'!Q4</f>
        <v>Year 5</v>
      </c>
      <c r="M3" s="139" t="str">
        <f>'Exp  Assumptions'!R4</f>
        <v>Year 6</v>
      </c>
      <c r="N3" s="139" t="str">
        <f>'Exp  Assumptions'!S4</f>
        <v>Year 7</v>
      </c>
      <c r="O3" s="139" t="str">
        <f>'Exp  Assumptions'!T4</f>
        <v>Year 8</v>
      </c>
      <c r="P3" s="139" t="str">
        <f>'Exp  Assumptions'!U4</f>
        <v>Year 9</v>
      </c>
      <c r="Q3" s="139" t="str">
        <f>'Exp  Assumptions'!V4</f>
        <v>Year 10</v>
      </c>
      <c r="R3" s="137"/>
    </row>
    <row r="4" spans="1:20" ht="15.75" customHeight="1">
      <c r="A4" s="137"/>
      <c r="B4" s="138" t="s">
        <v>195</v>
      </c>
      <c r="C4" s="138"/>
      <c r="D4" s="138"/>
      <c r="E4" s="137"/>
      <c r="F4" s="136"/>
    </row>
    <row r="5" spans="1:20" ht="15">
      <c r="A5" s="376">
        <v>1</v>
      </c>
      <c r="B5" s="376" t="s">
        <v>333</v>
      </c>
      <c r="C5" s="140">
        <v>41365</v>
      </c>
      <c r="D5" s="140"/>
      <c r="E5" s="377">
        <v>1</v>
      </c>
      <c r="F5" s="141">
        <v>2.5</v>
      </c>
      <c r="G5" s="404">
        <f>E5</f>
        <v>1</v>
      </c>
      <c r="H5" s="404">
        <f>G5</f>
        <v>1</v>
      </c>
      <c r="I5" s="404">
        <f t="shared" ref="I5:Q5" si="0">H5</f>
        <v>1</v>
      </c>
      <c r="J5" s="404">
        <f t="shared" si="0"/>
        <v>1</v>
      </c>
      <c r="K5" s="404">
        <f t="shared" si="0"/>
        <v>1</v>
      </c>
      <c r="L5" s="404">
        <f t="shared" si="0"/>
        <v>1</v>
      </c>
      <c r="M5" s="404">
        <f t="shared" si="0"/>
        <v>1</v>
      </c>
      <c r="N5" s="404">
        <f t="shared" si="0"/>
        <v>1</v>
      </c>
      <c r="O5" s="404">
        <f t="shared" si="0"/>
        <v>1</v>
      </c>
      <c r="P5" s="404">
        <f t="shared" si="0"/>
        <v>1</v>
      </c>
      <c r="Q5" s="404">
        <f t="shared" si="0"/>
        <v>1</v>
      </c>
    </row>
    <row r="6" spans="1:20" ht="15">
      <c r="A6" s="376">
        <v>2</v>
      </c>
      <c r="B6" s="378" t="s">
        <v>334</v>
      </c>
      <c r="C6" s="140">
        <v>41365</v>
      </c>
      <c r="D6" s="140"/>
      <c r="E6" s="377">
        <v>1</v>
      </c>
      <c r="F6" s="141">
        <v>1.5</v>
      </c>
      <c r="G6" s="404">
        <f>E6</f>
        <v>1</v>
      </c>
      <c r="H6" s="404">
        <f>G6</f>
        <v>1</v>
      </c>
      <c r="I6" s="404">
        <f t="shared" ref="I6:Q6" si="1">H6</f>
        <v>1</v>
      </c>
      <c r="J6" s="404">
        <f t="shared" si="1"/>
        <v>1</v>
      </c>
      <c r="K6" s="404">
        <f t="shared" si="1"/>
        <v>1</v>
      </c>
      <c r="L6" s="404">
        <f t="shared" si="1"/>
        <v>1</v>
      </c>
      <c r="M6" s="404">
        <f t="shared" si="1"/>
        <v>1</v>
      </c>
      <c r="N6" s="404">
        <f t="shared" si="1"/>
        <v>1</v>
      </c>
      <c r="O6" s="404">
        <f t="shared" si="1"/>
        <v>1</v>
      </c>
      <c r="P6" s="404">
        <f t="shared" si="1"/>
        <v>1</v>
      </c>
      <c r="Q6" s="404">
        <f t="shared" si="1"/>
        <v>1</v>
      </c>
    </row>
    <row r="7" spans="1:20" ht="15">
      <c r="A7" s="376">
        <v>3</v>
      </c>
      <c r="B7" s="378" t="s">
        <v>335</v>
      </c>
      <c r="C7" s="140">
        <v>41365</v>
      </c>
      <c r="D7" s="140"/>
      <c r="E7" s="377">
        <v>1</v>
      </c>
      <c r="F7" s="141">
        <v>1</v>
      </c>
      <c r="G7" s="404">
        <f>E7</f>
        <v>1</v>
      </c>
      <c r="H7" s="404">
        <f t="shared" ref="H7:Q9" si="2">G7</f>
        <v>1</v>
      </c>
      <c r="I7" s="404">
        <f t="shared" si="2"/>
        <v>1</v>
      </c>
      <c r="J7" s="404">
        <f t="shared" si="2"/>
        <v>1</v>
      </c>
      <c r="K7" s="404">
        <f t="shared" si="2"/>
        <v>1</v>
      </c>
      <c r="L7" s="404">
        <f t="shared" si="2"/>
        <v>1</v>
      </c>
      <c r="M7" s="404">
        <f t="shared" si="2"/>
        <v>1</v>
      </c>
      <c r="N7" s="404">
        <f t="shared" si="2"/>
        <v>1</v>
      </c>
      <c r="O7" s="404">
        <f t="shared" si="2"/>
        <v>1</v>
      </c>
      <c r="P7" s="404">
        <f t="shared" si="2"/>
        <v>1</v>
      </c>
      <c r="Q7" s="404">
        <f t="shared" si="2"/>
        <v>1</v>
      </c>
    </row>
    <row r="8" spans="1:20" ht="15">
      <c r="A8" s="376">
        <v>8</v>
      </c>
      <c r="B8" s="378" t="s">
        <v>336</v>
      </c>
      <c r="C8" s="140">
        <v>41365</v>
      </c>
      <c r="D8" s="140"/>
      <c r="E8" s="377">
        <v>1</v>
      </c>
      <c r="F8" s="141">
        <v>0.33</v>
      </c>
      <c r="G8" s="404">
        <f>E8</f>
        <v>1</v>
      </c>
      <c r="H8" s="404">
        <f t="shared" si="2"/>
        <v>1</v>
      </c>
      <c r="I8" s="404">
        <f t="shared" si="2"/>
        <v>1</v>
      </c>
      <c r="J8" s="404">
        <f t="shared" si="2"/>
        <v>1</v>
      </c>
      <c r="K8" s="404">
        <f t="shared" si="2"/>
        <v>1</v>
      </c>
      <c r="L8" s="404">
        <f t="shared" si="2"/>
        <v>1</v>
      </c>
      <c r="M8" s="404">
        <f t="shared" si="2"/>
        <v>1</v>
      </c>
      <c r="N8" s="404">
        <f t="shared" si="2"/>
        <v>1</v>
      </c>
      <c r="O8" s="404">
        <f t="shared" si="2"/>
        <v>1</v>
      </c>
      <c r="P8" s="404">
        <f t="shared" si="2"/>
        <v>1</v>
      </c>
      <c r="Q8" s="404">
        <f t="shared" si="2"/>
        <v>1</v>
      </c>
    </row>
    <row r="9" spans="1:20" ht="15">
      <c r="A9" s="376">
        <v>9</v>
      </c>
      <c r="B9" s="378" t="s">
        <v>337</v>
      </c>
      <c r="C9" s="140">
        <v>41365</v>
      </c>
      <c r="D9" s="140"/>
      <c r="E9" s="377">
        <v>1</v>
      </c>
      <c r="F9" s="141">
        <v>0.25</v>
      </c>
      <c r="G9" s="404">
        <f>E9</f>
        <v>1</v>
      </c>
      <c r="H9" s="404">
        <f t="shared" si="2"/>
        <v>1</v>
      </c>
      <c r="I9" s="404">
        <f t="shared" si="2"/>
        <v>1</v>
      </c>
      <c r="J9" s="404">
        <f t="shared" si="2"/>
        <v>1</v>
      </c>
      <c r="K9" s="404">
        <f t="shared" si="2"/>
        <v>1</v>
      </c>
      <c r="L9" s="404">
        <f t="shared" si="2"/>
        <v>1</v>
      </c>
      <c r="M9" s="404">
        <f t="shared" si="2"/>
        <v>1</v>
      </c>
      <c r="N9" s="404">
        <f t="shared" si="2"/>
        <v>1</v>
      </c>
      <c r="O9" s="404">
        <f t="shared" si="2"/>
        <v>1</v>
      </c>
      <c r="P9" s="404">
        <f t="shared" si="2"/>
        <v>1</v>
      </c>
      <c r="Q9" s="404">
        <f t="shared" si="2"/>
        <v>1</v>
      </c>
    </row>
    <row r="10" spans="1:20" ht="15">
      <c r="A10" s="379"/>
      <c r="B10" s="380"/>
      <c r="C10" s="140"/>
      <c r="D10" s="140"/>
      <c r="E10" s="377"/>
      <c r="F10" s="141"/>
    </row>
    <row r="11" spans="1:20" ht="15">
      <c r="A11" s="381" t="s">
        <v>354</v>
      </c>
      <c r="B11" s="168"/>
      <c r="C11" s="140"/>
      <c r="D11" s="140"/>
      <c r="E11" s="224"/>
      <c r="F11" s="141"/>
      <c r="G11" s="398" t="e">
        <f>'No. of people trained '!#REF!</f>
        <v>#REF!</v>
      </c>
      <c r="H11" s="398" t="e">
        <f>'No. of people trained '!#REF!</f>
        <v>#REF!</v>
      </c>
      <c r="I11" s="398" t="e">
        <f>'No. of people trained '!#REF!</f>
        <v>#REF!</v>
      </c>
      <c r="J11" s="398">
        <f>'No. of people trained '!K3</f>
        <v>36</v>
      </c>
      <c r="K11" s="398">
        <f>'No. of people trained '!L3</f>
        <v>48</v>
      </c>
      <c r="L11" s="398">
        <f>'No. of people trained '!M3</f>
        <v>60</v>
      </c>
      <c r="M11" s="398">
        <f>'No. of people trained '!N3</f>
        <v>72</v>
      </c>
      <c r="N11" s="398">
        <f>'No. of people trained '!O3</f>
        <v>84</v>
      </c>
      <c r="O11" s="398">
        <f>'No. of people trained '!P3</f>
        <v>96</v>
      </c>
      <c r="P11" s="398">
        <f>'No. of people trained '!Q3</f>
        <v>108</v>
      </c>
      <c r="Q11" s="398">
        <f>'No. of people trained '!R3</f>
        <v>120</v>
      </c>
      <c r="R11" s="401"/>
      <c r="S11" s="399"/>
      <c r="T11" s="399"/>
    </row>
    <row r="12" spans="1:20" ht="15">
      <c r="A12" s="382">
        <v>1</v>
      </c>
      <c r="B12" s="383" t="s">
        <v>359</v>
      </c>
      <c r="C12" s="140">
        <v>41730</v>
      </c>
      <c r="D12" s="140"/>
      <c r="E12" s="377">
        <v>5</v>
      </c>
      <c r="F12" s="141">
        <v>0.4</v>
      </c>
      <c r="H12" s="400" t="e">
        <f>H11/$E$12</f>
        <v>#REF!</v>
      </c>
      <c r="I12" s="400" t="e">
        <f t="shared" ref="I12:Q12" si="3">I11/$E$12</f>
        <v>#REF!</v>
      </c>
      <c r="J12" s="400">
        <f t="shared" si="3"/>
        <v>7.2</v>
      </c>
      <c r="K12" s="400">
        <f t="shared" si="3"/>
        <v>9.6</v>
      </c>
      <c r="L12" s="400">
        <f t="shared" si="3"/>
        <v>12</v>
      </c>
      <c r="M12" s="400">
        <f t="shared" si="3"/>
        <v>14.4</v>
      </c>
      <c r="N12" s="400">
        <f t="shared" si="3"/>
        <v>16.8</v>
      </c>
      <c r="O12" s="400">
        <f t="shared" si="3"/>
        <v>19.2</v>
      </c>
      <c r="P12" s="400">
        <f t="shared" si="3"/>
        <v>21.6</v>
      </c>
      <c r="Q12" s="400">
        <f t="shared" si="3"/>
        <v>24</v>
      </c>
      <c r="R12" s="400"/>
      <c r="S12" s="399"/>
      <c r="T12" s="399"/>
    </row>
    <row r="13" spans="1:20" ht="15">
      <c r="A13" s="382">
        <v>2</v>
      </c>
      <c r="B13" s="383" t="s">
        <v>340</v>
      </c>
      <c r="C13" s="140">
        <v>41730</v>
      </c>
      <c r="D13" s="140"/>
      <c r="E13" s="377">
        <v>1</v>
      </c>
      <c r="F13" s="141">
        <v>0.4</v>
      </c>
      <c r="H13" s="402" t="e">
        <f>$E$13*H11</f>
        <v>#REF!</v>
      </c>
      <c r="I13" s="402" t="e">
        <f t="shared" ref="I13:Q13" si="4">$E$13*I11</f>
        <v>#REF!</v>
      </c>
      <c r="J13" s="402">
        <f t="shared" si="4"/>
        <v>36</v>
      </c>
      <c r="K13" s="402">
        <f t="shared" si="4"/>
        <v>48</v>
      </c>
      <c r="L13" s="402">
        <f t="shared" si="4"/>
        <v>60</v>
      </c>
      <c r="M13" s="402">
        <f t="shared" si="4"/>
        <v>72</v>
      </c>
      <c r="N13" s="402">
        <f t="shared" si="4"/>
        <v>84</v>
      </c>
      <c r="O13" s="402">
        <f t="shared" si="4"/>
        <v>96</v>
      </c>
      <c r="P13" s="402">
        <f t="shared" si="4"/>
        <v>108</v>
      </c>
      <c r="Q13" s="402">
        <f t="shared" si="4"/>
        <v>120</v>
      </c>
      <c r="R13" s="400"/>
      <c r="S13" s="399"/>
      <c r="T13" s="399"/>
    </row>
    <row r="14" spans="1:20" ht="15">
      <c r="A14" s="382"/>
      <c r="B14" s="383" t="s">
        <v>340</v>
      </c>
      <c r="C14" s="140"/>
      <c r="D14" s="140"/>
      <c r="E14" s="377">
        <v>1</v>
      </c>
      <c r="F14" s="141"/>
      <c r="H14" s="402" t="e">
        <f>$E$14*H11</f>
        <v>#REF!</v>
      </c>
      <c r="I14" s="402" t="e">
        <f t="shared" ref="I14:Q14" si="5">$E$14*I11</f>
        <v>#REF!</v>
      </c>
      <c r="J14" s="402">
        <f t="shared" si="5"/>
        <v>36</v>
      </c>
      <c r="K14" s="402">
        <f t="shared" si="5"/>
        <v>48</v>
      </c>
      <c r="L14" s="402">
        <f t="shared" si="5"/>
        <v>60</v>
      </c>
      <c r="M14" s="402">
        <f t="shared" si="5"/>
        <v>72</v>
      </c>
      <c r="N14" s="402">
        <f t="shared" si="5"/>
        <v>84</v>
      </c>
      <c r="O14" s="402">
        <f t="shared" si="5"/>
        <v>96</v>
      </c>
      <c r="P14" s="402">
        <f t="shared" si="5"/>
        <v>108</v>
      </c>
      <c r="Q14" s="402">
        <f t="shared" si="5"/>
        <v>120</v>
      </c>
      <c r="R14" s="400"/>
      <c r="S14" s="399"/>
      <c r="T14" s="399"/>
    </row>
    <row r="15" spans="1:20" ht="15">
      <c r="A15" s="382">
        <v>4</v>
      </c>
      <c r="B15" s="383" t="s">
        <v>341</v>
      </c>
      <c r="C15" s="140">
        <v>41730</v>
      </c>
      <c r="D15" s="140"/>
      <c r="E15" s="377">
        <v>1</v>
      </c>
      <c r="F15" s="141">
        <v>0.15</v>
      </c>
      <c r="H15" s="404" t="e">
        <f>H11*$E$15</f>
        <v>#REF!</v>
      </c>
      <c r="I15" s="404" t="e">
        <f t="shared" ref="I15:Q15" si="6">I11*$E$15</f>
        <v>#REF!</v>
      </c>
      <c r="J15" s="404">
        <f t="shared" si="6"/>
        <v>36</v>
      </c>
      <c r="K15" s="404">
        <f t="shared" si="6"/>
        <v>48</v>
      </c>
      <c r="L15" s="404">
        <f t="shared" si="6"/>
        <v>60</v>
      </c>
      <c r="M15" s="404">
        <f t="shared" si="6"/>
        <v>72</v>
      </c>
      <c r="N15" s="404">
        <f t="shared" si="6"/>
        <v>84</v>
      </c>
      <c r="O15" s="404">
        <f t="shared" si="6"/>
        <v>96</v>
      </c>
      <c r="P15" s="404">
        <f t="shared" si="6"/>
        <v>108</v>
      </c>
      <c r="Q15" s="404">
        <f t="shared" si="6"/>
        <v>120</v>
      </c>
      <c r="R15" s="400"/>
      <c r="S15" s="399"/>
      <c r="T15" s="399"/>
    </row>
    <row r="16" spans="1:20" ht="15">
      <c r="A16" s="154"/>
      <c r="B16" s="136"/>
      <c r="C16" s="140"/>
      <c r="D16" s="140"/>
      <c r="E16" s="154"/>
      <c r="F16" s="141"/>
      <c r="H16" s="399"/>
      <c r="I16" s="399"/>
      <c r="J16" s="399"/>
      <c r="K16" s="399"/>
      <c r="L16" s="399"/>
      <c r="M16" s="399"/>
      <c r="N16" s="399"/>
      <c r="O16" s="399"/>
      <c r="P16" s="399"/>
      <c r="Q16" s="399"/>
      <c r="R16" s="399"/>
      <c r="S16" s="399"/>
      <c r="T16" s="399"/>
    </row>
    <row r="17" spans="1:20" ht="15">
      <c r="A17" s="137"/>
      <c r="B17" s="359" t="s">
        <v>284</v>
      </c>
      <c r="C17" s="360" t="s">
        <v>205</v>
      </c>
      <c r="D17" s="360"/>
      <c r="E17" s="224"/>
      <c r="F17" s="136"/>
      <c r="G17" s="404">
        <v>0</v>
      </c>
      <c r="H17" s="404">
        <v>1</v>
      </c>
      <c r="I17" s="404">
        <v>0</v>
      </c>
      <c r="J17" s="404">
        <v>1</v>
      </c>
      <c r="K17" s="404">
        <v>2</v>
      </c>
      <c r="L17" s="404">
        <v>0</v>
      </c>
      <c r="M17" s="404">
        <v>0</v>
      </c>
      <c r="N17" s="404">
        <v>0</v>
      </c>
      <c r="O17" s="404">
        <v>0</v>
      </c>
      <c r="P17" s="404">
        <v>0</v>
      </c>
      <c r="Q17" s="404">
        <v>0</v>
      </c>
      <c r="R17" s="399"/>
      <c r="S17" s="399"/>
      <c r="T17" s="399"/>
    </row>
    <row r="18" spans="1:20" ht="15">
      <c r="A18" s="137"/>
      <c r="B18" s="359"/>
      <c r="C18" s="360"/>
      <c r="D18" s="360"/>
      <c r="E18" s="224"/>
      <c r="F18" s="136"/>
      <c r="G18" s="404">
        <v>0</v>
      </c>
      <c r="H18" s="404">
        <f>G18+H17</f>
        <v>1</v>
      </c>
      <c r="I18" s="404">
        <f t="shared" ref="I18:Q18" si="7">H18+I17</f>
        <v>1</v>
      </c>
      <c r="J18" s="404">
        <f t="shared" si="7"/>
        <v>2</v>
      </c>
      <c r="K18" s="404">
        <f t="shared" si="7"/>
        <v>4</v>
      </c>
      <c r="L18" s="404">
        <f t="shared" si="7"/>
        <v>4</v>
      </c>
      <c r="M18" s="404">
        <f t="shared" si="7"/>
        <v>4</v>
      </c>
      <c r="N18" s="404">
        <f t="shared" si="7"/>
        <v>4</v>
      </c>
      <c r="O18" s="404">
        <f t="shared" si="7"/>
        <v>4</v>
      </c>
      <c r="P18" s="404">
        <f t="shared" si="7"/>
        <v>4</v>
      </c>
      <c r="Q18" s="404">
        <f t="shared" si="7"/>
        <v>4</v>
      </c>
      <c r="R18" s="399"/>
      <c r="S18" s="399"/>
      <c r="T18" s="399"/>
    </row>
    <row r="19" spans="1:20" ht="15">
      <c r="A19" s="405">
        <v>1</v>
      </c>
      <c r="B19" s="384" t="s">
        <v>361</v>
      </c>
      <c r="C19" s="140">
        <v>42095</v>
      </c>
      <c r="D19" s="140"/>
      <c r="E19" s="224">
        <v>1</v>
      </c>
      <c r="F19" s="141">
        <v>0.5</v>
      </c>
      <c r="G19" s="404">
        <f>$E$19*G18</f>
        <v>0</v>
      </c>
      <c r="H19" s="404">
        <f t="shared" ref="H19:Q19" si="8">$E$19*H18</f>
        <v>1</v>
      </c>
      <c r="I19" s="404">
        <f t="shared" si="8"/>
        <v>1</v>
      </c>
      <c r="J19" s="404">
        <f t="shared" si="8"/>
        <v>2</v>
      </c>
      <c r="K19" s="404">
        <f t="shared" si="8"/>
        <v>4</v>
      </c>
      <c r="L19" s="404">
        <f t="shared" si="8"/>
        <v>4</v>
      </c>
      <c r="M19" s="404">
        <f t="shared" si="8"/>
        <v>4</v>
      </c>
      <c r="N19" s="404">
        <f t="shared" si="8"/>
        <v>4</v>
      </c>
      <c r="O19" s="404">
        <f t="shared" si="8"/>
        <v>4</v>
      </c>
      <c r="P19" s="404">
        <f t="shared" si="8"/>
        <v>4</v>
      </c>
      <c r="Q19" s="404">
        <f t="shared" si="8"/>
        <v>4</v>
      </c>
      <c r="R19" s="399"/>
      <c r="S19" s="399"/>
      <c r="T19" s="399"/>
    </row>
    <row r="20" spans="1:20" ht="15">
      <c r="A20" s="405">
        <v>2</v>
      </c>
      <c r="B20" s="384" t="s">
        <v>341</v>
      </c>
      <c r="C20" s="140">
        <v>42095</v>
      </c>
      <c r="D20" s="140"/>
      <c r="E20" s="224">
        <v>1</v>
      </c>
      <c r="F20" s="141">
        <v>0.15</v>
      </c>
      <c r="G20" s="404">
        <f>$E$20*G18</f>
        <v>0</v>
      </c>
      <c r="H20" s="404">
        <f t="shared" ref="H20:Q20" si="9">$E$20*H18</f>
        <v>1</v>
      </c>
      <c r="I20" s="404">
        <f t="shared" si="9"/>
        <v>1</v>
      </c>
      <c r="J20" s="404">
        <f t="shared" si="9"/>
        <v>2</v>
      </c>
      <c r="K20" s="404">
        <f t="shared" si="9"/>
        <v>4</v>
      </c>
      <c r="L20" s="404">
        <f t="shared" si="9"/>
        <v>4</v>
      </c>
      <c r="M20" s="404">
        <f t="shared" si="9"/>
        <v>4</v>
      </c>
      <c r="N20" s="404">
        <f t="shared" si="9"/>
        <v>4</v>
      </c>
      <c r="O20" s="404">
        <f t="shared" si="9"/>
        <v>4</v>
      </c>
      <c r="P20" s="404">
        <f t="shared" si="9"/>
        <v>4</v>
      </c>
      <c r="Q20" s="404">
        <f t="shared" si="9"/>
        <v>4</v>
      </c>
      <c r="R20" s="399"/>
      <c r="S20" s="399"/>
      <c r="T20" s="399"/>
    </row>
    <row r="21" spans="1:20" ht="15">
      <c r="A21" s="405">
        <v>3</v>
      </c>
      <c r="B21" s="384" t="s">
        <v>342</v>
      </c>
      <c r="C21" s="140">
        <v>42095</v>
      </c>
      <c r="D21" s="140"/>
      <c r="E21" s="224">
        <v>1</v>
      </c>
      <c r="F21" s="225">
        <v>0.15</v>
      </c>
      <c r="G21" s="404">
        <f>$E$21*G18</f>
        <v>0</v>
      </c>
      <c r="H21" s="404">
        <f t="shared" ref="H21:Q21" si="10">$E$21*H18</f>
        <v>1</v>
      </c>
      <c r="I21" s="404">
        <f t="shared" si="10"/>
        <v>1</v>
      </c>
      <c r="J21" s="404">
        <f t="shared" si="10"/>
        <v>2</v>
      </c>
      <c r="K21" s="404">
        <f t="shared" si="10"/>
        <v>4</v>
      </c>
      <c r="L21" s="404">
        <f t="shared" si="10"/>
        <v>4</v>
      </c>
      <c r="M21" s="404">
        <f t="shared" si="10"/>
        <v>4</v>
      </c>
      <c r="N21" s="404">
        <f t="shared" si="10"/>
        <v>4</v>
      </c>
      <c r="O21" s="404">
        <f t="shared" si="10"/>
        <v>4</v>
      </c>
      <c r="P21" s="404">
        <f t="shared" si="10"/>
        <v>4</v>
      </c>
      <c r="Q21" s="404">
        <f t="shared" si="10"/>
        <v>4</v>
      </c>
      <c r="R21" s="399"/>
      <c r="S21" s="399"/>
      <c r="T21" s="399"/>
    </row>
    <row r="22" spans="1:20" ht="15">
      <c r="A22" s="137"/>
      <c r="B22" s="142"/>
      <c r="C22" s="142"/>
      <c r="D22" s="142"/>
      <c r="E22" s="143"/>
      <c r="F22" s="144"/>
      <c r="I22" s="408"/>
    </row>
    <row r="23" spans="1:20" ht="26.25" customHeight="1">
      <c r="G23" t="s">
        <v>362</v>
      </c>
      <c r="I23" s="408">
        <v>0.1</v>
      </c>
    </row>
    <row r="24" spans="1:20" ht="23.25" customHeight="1">
      <c r="A24" s="137"/>
      <c r="B24" s="420" t="s">
        <v>195</v>
      </c>
      <c r="E24" s="139" t="s">
        <v>274</v>
      </c>
    </row>
    <row r="25" spans="1:20" ht="30.75" customHeight="1">
      <c r="A25" s="376">
        <v>1</v>
      </c>
      <c r="B25" s="376" t="s">
        <v>333</v>
      </c>
      <c r="D25" s="409" t="s">
        <v>197</v>
      </c>
      <c r="E25" s="407">
        <v>2.5</v>
      </c>
      <c r="F25" s="403"/>
      <c r="G25" s="403">
        <f>E25*12*G5</f>
        <v>30</v>
      </c>
      <c r="H25" s="403">
        <f>G25+G25*$I$23</f>
        <v>33</v>
      </c>
      <c r="I25" s="403">
        <f t="shared" ref="I25:Q25" si="11">H25+H25*$I$23</f>
        <v>36.299999999999997</v>
      </c>
      <c r="J25" s="403">
        <f t="shared" si="11"/>
        <v>39.93</v>
      </c>
      <c r="K25" s="403">
        <f t="shared" si="11"/>
        <v>43.923000000000002</v>
      </c>
      <c r="L25" s="403">
        <f t="shared" si="11"/>
        <v>48.315300000000001</v>
      </c>
      <c r="M25" s="403">
        <f t="shared" si="11"/>
        <v>53.146830000000001</v>
      </c>
      <c r="N25" s="403">
        <f t="shared" si="11"/>
        <v>58.461513000000004</v>
      </c>
      <c r="O25" s="403">
        <f t="shared" si="11"/>
        <v>64.307664299999999</v>
      </c>
      <c r="P25" s="403">
        <f t="shared" si="11"/>
        <v>70.738430730000005</v>
      </c>
      <c r="Q25" s="403">
        <f t="shared" si="11"/>
        <v>77.812273803000011</v>
      </c>
      <c r="R25" s="403">
        <f>SUM(G25:Q25)</f>
        <v>555.93501183300009</v>
      </c>
    </row>
    <row r="26" spans="1:20" ht="22.5" customHeight="1">
      <c r="A26" s="376">
        <v>2</v>
      </c>
      <c r="B26" s="378" t="s">
        <v>334</v>
      </c>
      <c r="D26" s="410">
        <v>41365</v>
      </c>
      <c r="E26" s="407">
        <v>1.5</v>
      </c>
      <c r="F26" s="403"/>
      <c r="G26" s="403">
        <f>E26*12*G6</f>
        <v>18</v>
      </c>
      <c r="H26" s="403">
        <f t="shared" ref="H26:Q26" si="12">G26+G26*$I$23</f>
        <v>19.8</v>
      </c>
      <c r="I26" s="403">
        <f t="shared" si="12"/>
        <v>21.78</v>
      </c>
      <c r="J26" s="403">
        <f t="shared" si="12"/>
        <v>23.958000000000002</v>
      </c>
      <c r="K26" s="403">
        <f t="shared" si="12"/>
        <v>26.353800000000003</v>
      </c>
      <c r="L26" s="403">
        <f t="shared" si="12"/>
        <v>28.989180000000005</v>
      </c>
      <c r="M26" s="403">
        <f t="shared" si="12"/>
        <v>31.888098000000006</v>
      </c>
      <c r="N26" s="403">
        <f t="shared" si="12"/>
        <v>35.076907800000008</v>
      </c>
      <c r="O26" s="403">
        <f t="shared" si="12"/>
        <v>38.584598580000005</v>
      </c>
      <c r="P26" s="403">
        <f t="shared" si="12"/>
        <v>42.443058438000008</v>
      </c>
      <c r="Q26" s="403">
        <f t="shared" si="12"/>
        <v>46.687364281800008</v>
      </c>
      <c r="R26" s="403">
        <f>SUM(G26:Q26)</f>
        <v>333.56100709980007</v>
      </c>
    </row>
    <row r="27" spans="1:20" ht="22.5" customHeight="1">
      <c r="A27" s="376">
        <v>3</v>
      </c>
      <c r="B27" s="378" t="s">
        <v>335</v>
      </c>
      <c r="D27" s="410">
        <v>41366</v>
      </c>
      <c r="E27" s="407">
        <v>1</v>
      </c>
      <c r="F27" s="403"/>
      <c r="G27" s="403">
        <f>E27*12*G7</f>
        <v>12</v>
      </c>
      <c r="H27" s="403">
        <f t="shared" ref="H27:Q27" si="13">G27+G27*$I$23</f>
        <v>13.2</v>
      </c>
      <c r="I27" s="403">
        <f t="shared" si="13"/>
        <v>14.52</v>
      </c>
      <c r="J27" s="403">
        <f t="shared" si="13"/>
        <v>15.972</v>
      </c>
      <c r="K27" s="403">
        <f t="shared" si="13"/>
        <v>17.569199999999999</v>
      </c>
      <c r="L27" s="403">
        <f t="shared" si="13"/>
        <v>19.32612</v>
      </c>
      <c r="M27" s="403">
        <f t="shared" si="13"/>
        <v>21.258731999999998</v>
      </c>
      <c r="N27" s="403">
        <f t="shared" si="13"/>
        <v>23.384605199999999</v>
      </c>
      <c r="O27" s="403">
        <f t="shared" si="13"/>
        <v>25.723065720000001</v>
      </c>
      <c r="P27" s="403">
        <f t="shared" si="13"/>
        <v>28.295372292000003</v>
      </c>
      <c r="Q27" s="403">
        <f t="shared" si="13"/>
        <v>31.124909521200003</v>
      </c>
      <c r="R27" s="403">
        <f>SUM(G27:Q27)</f>
        <v>222.3740047332</v>
      </c>
    </row>
    <row r="28" spans="1:20" ht="22.5" customHeight="1">
      <c r="A28" s="376">
        <v>8</v>
      </c>
      <c r="B28" s="378" t="s">
        <v>336</v>
      </c>
      <c r="D28" s="410">
        <v>41367</v>
      </c>
      <c r="E28" s="407">
        <v>0.33</v>
      </c>
      <c r="F28" s="403"/>
      <c r="G28" s="403">
        <f>E28*12*G8</f>
        <v>3.96</v>
      </c>
      <c r="H28" s="403">
        <f t="shared" ref="H28:Q28" si="14">G28+G28*$I$23</f>
        <v>4.3559999999999999</v>
      </c>
      <c r="I28" s="403">
        <f t="shared" si="14"/>
        <v>4.7915999999999999</v>
      </c>
      <c r="J28" s="403">
        <f t="shared" si="14"/>
        <v>5.2707600000000001</v>
      </c>
      <c r="K28" s="403">
        <f t="shared" si="14"/>
        <v>5.7978360000000002</v>
      </c>
      <c r="L28" s="403">
        <f t="shared" si="14"/>
        <v>6.3776196000000001</v>
      </c>
      <c r="M28" s="403">
        <f t="shared" si="14"/>
        <v>7.0153815599999998</v>
      </c>
      <c r="N28" s="403">
        <f t="shared" si="14"/>
        <v>7.7169197159999996</v>
      </c>
      <c r="O28" s="403">
        <f t="shared" si="14"/>
        <v>8.4886116875999988</v>
      </c>
      <c r="P28" s="403">
        <f t="shared" si="14"/>
        <v>9.337472856359998</v>
      </c>
      <c r="Q28" s="403">
        <f t="shared" si="14"/>
        <v>10.271220141995999</v>
      </c>
      <c r="R28" s="403">
        <f>SUM(G28:Q28)</f>
        <v>73.383421561955984</v>
      </c>
    </row>
    <row r="29" spans="1:20" ht="22.5" customHeight="1">
      <c r="A29" s="376">
        <v>9</v>
      </c>
      <c r="B29" s="378" t="s">
        <v>337</v>
      </c>
      <c r="D29" s="410">
        <v>41368</v>
      </c>
      <c r="E29" s="407">
        <v>0.25</v>
      </c>
      <c r="F29" s="403"/>
      <c r="G29" s="403">
        <f>E29*12*G9</f>
        <v>3</v>
      </c>
      <c r="H29" s="403">
        <f t="shared" ref="H29:Q29" si="15">G29+G29*$I$23</f>
        <v>3.3</v>
      </c>
      <c r="I29" s="403">
        <f t="shared" si="15"/>
        <v>3.63</v>
      </c>
      <c r="J29" s="403">
        <f t="shared" si="15"/>
        <v>3.9929999999999999</v>
      </c>
      <c r="K29" s="403">
        <f t="shared" si="15"/>
        <v>4.3922999999999996</v>
      </c>
      <c r="L29" s="403">
        <f t="shared" si="15"/>
        <v>4.8315299999999999</v>
      </c>
      <c r="M29" s="403">
        <f t="shared" si="15"/>
        <v>5.3146829999999996</v>
      </c>
      <c r="N29" s="403">
        <f t="shared" si="15"/>
        <v>5.8461512999999998</v>
      </c>
      <c r="O29" s="403">
        <f t="shared" si="15"/>
        <v>6.4307664300000003</v>
      </c>
      <c r="P29" s="403">
        <f t="shared" si="15"/>
        <v>7.0738430730000008</v>
      </c>
      <c r="Q29" s="403">
        <f t="shared" si="15"/>
        <v>7.7812273803000007</v>
      </c>
      <c r="R29" s="403">
        <f>SUM(G29:Q29)</f>
        <v>55.593501183299999</v>
      </c>
    </row>
    <row r="30" spans="1:20">
      <c r="A30" s="379"/>
      <c r="B30" s="380"/>
      <c r="E30" s="403"/>
      <c r="F30" s="403"/>
      <c r="G30" s="403"/>
      <c r="H30" s="403"/>
      <c r="I30" s="403"/>
      <c r="J30" s="403"/>
      <c r="K30" s="403"/>
      <c r="L30" s="403"/>
      <c r="M30" s="403"/>
      <c r="N30" s="403"/>
      <c r="O30" s="403"/>
      <c r="P30" s="403"/>
      <c r="Q30" s="403"/>
    </row>
    <row r="31" spans="1:20" s="412" customFormat="1" ht="26.25" customHeight="1">
      <c r="A31" s="419"/>
      <c r="B31" s="416" t="s">
        <v>349</v>
      </c>
      <c r="E31" s="414"/>
      <c r="F31" s="414"/>
      <c r="G31" s="414">
        <f>SUM(G25:G30)</f>
        <v>66.960000000000008</v>
      </c>
      <c r="H31" s="414">
        <f t="shared" ref="H31:Q31" si="16">SUM(H25:H30)</f>
        <v>73.655999999999992</v>
      </c>
      <c r="I31" s="414">
        <f t="shared" si="16"/>
        <v>81.021599999999992</v>
      </c>
      <c r="J31" s="414">
        <f t="shared" si="16"/>
        <v>89.12375999999999</v>
      </c>
      <c r="K31" s="414">
        <f t="shared" si="16"/>
        <v>98.036136000000013</v>
      </c>
      <c r="L31" s="414">
        <f t="shared" si="16"/>
        <v>107.83974960000002</v>
      </c>
      <c r="M31" s="414">
        <f t="shared" si="16"/>
        <v>118.62372456</v>
      </c>
      <c r="N31" s="414">
        <f t="shared" si="16"/>
        <v>130.486097016</v>
      </c>
      <c r="O31" s="414">
        <f t="shared" si="16"/>
        <v>143.53470671759999</v>
      </c>
      <c r="P31" s="414">
        <f t="shared" si="16"/>
        <v>157.88817738936001</v>
      </c>
      <c r="Q31" s="414">
        <f t="shared" si="16"/>
        <v>173.67699512829603</v>
      </c>
      <c r="R31" s="414">
        <f>SUM(G31:Q31)</f>
        <v>1240.8469464112561</v>
      </c>
    </row>
    <row r="32" spans="1:20">
      <c r="A32" s="379"/>
      <c r="B32" s="380"/>
      <c r="E32" s="403"/>
      <c r="F32" s="403"/>
      <c r="G32" s="403"/>
      <c r="H32" s="403"/>
      <c r="I32" s="403"/>
      <c r="J32" s="403"/>
      <c r="K32" s="403"/>
      <c r="L32" s="403"/>
      <c r="M32" s="403"/>
      <c r="N32" s="403"/>
      <c r="O32" s="403"/>
      <c r="P32" s="403"/>
      <c r="Q32" s="403"/>
    </row>
    <row r="33" spans="1:18">
      <c r="A33" s="379"/>
      <c r="B33" s="380"/>
      <c r="E33" s="403"/>
      <c r="F33" s="403"/>
      <c r="G33" s="403"/>
      <c r="H33" s="403"/>
      <c r="I33" s="403"/>
      <c r="J33" s="403"/>
      <c r="K33" s="403"/>
      <c r="L33" s="403"/>
      <c r="M33" s="403"/>
      <c r="N33" s="403"/>
      <c r="O33" s="403"/>
      <c r="P33" s="403"/>
      <c r="Q33" s="403"/>
    </row>
    <row r="34" spans="1:18" ht="15">
      <c r="A34" s="381" t="s">
        <v>354</v>
      </c>
      <c r="B34" s="168"/>
      <c r="E34" s="403"/>
      <c r="F34" s="403"/>
      <c r="G34" s="403"/>
      <c r="H34" s="403"/>
      <c r="I34" s="403"/>
      <c r="J34" s="403"/>
      <c r="K34" s="403"/>
      <c r="L34" s="403"/>
      <c r="M34" s="403"/>
      <c r="N34" s="403"/>
      <c r="O34" s="403"/>
      <c r="P34" s="403"/>
      <c r="Q34" s="403"/>
    </row>
    <row r="35" spans="1:18" ht="21" customHeight="1">
      <c r="A35" s="382">
        <v>1</v>
      </c>
      <c r="B35" s="383" t="s">
        <v>359</v>
      </c>
      <c r="E35" s="407">
        <v>0.4</v>
      </c>
      <c r="F35" s="403"/>
      <c r="G35" s="403">
        <v>0</v>
      </c>
      <c r="H35" s="404" t="e">
        <f>$E$35*12*H12</f>
        <v>#REF!</v>
      </c>
      <c r="I35" s="404" t="e">
        <f>$E$35*12*I12+$E$35*$I$23*12*I12</f>
        <v>#REF!</v>
      </c>
      <c r="J35" s="404">
        <f t="shared" ref="J35:Q35" si="17">$E$35*12*J12+$E$35*$I$23*12*J12</f>
        <v>38.016000000000012</v>
      </c>
      <c r="K35" s="404">
        <f t="shared" si="17"/>
        <v>50.688000000000002</v>
      </c>
      <c r="L35" s="404">
        <f t="shared" si="17"/>
        <v>63.360000000000014</v>
      </c>
      <c r="M35" s="404">
        <f t="shared" si="17"/>
        <v>76.032000000000025</v>
      </c>
      <c r="N35" s="404">
        <f t="shared" si="17"/>
        <v>88.704000000000022</v>
      </c>
      <c r="O35" s="404">
        <f t="shared" si="17"/>
        <v>101.376</v>
      </c>
      <c r="P35" s="404">
        <f t="shared" si="17"/>
        <v>114.04800000000003</v>
      </c>
      <c r="Q35" s="404">
        <f t="shared" si="17"/>
        <v>126.72000000000003</v>
      </c>
      <c r="R35" s="404" t="e">
        <f>SUM(G35:Q35)</f>
        <v>#REF!</v>
      </c>
    </row>
    <row r="36" spans="1:18" ht="21" customHeight="1">
      <c r="A36" s="382">
        <v>2</v>
      </c>
      <c r="B36" s="383" t="s">
        <v>340</v>
      </c>
      <c r="E36" s="407">
        <v>0.2</v>
      </c>
      <c r="F36" s="403"/>
      <c r="G36" s="403">
        <v>0</v>
      </c>
      <c r="H36" s="404" t="e">
        <f>$E$36*12*H13</f>
        <v>#REF!</v>
      </c>
      <c r="I36" s="404" t="e">
        <f>$E$36*12*I13+$E$36*$I$23*12*I13</f>
        <v>#REF!</v>
      </c>
      <c r="J36" s="404">
        <f t="shared" ref="J36:Q36" si="18">$E$36*12*J13+$E$36*$I$23*12*J13</f>
        <v>95.04</v>
      </c>
      <c r="K36" s="404">
        <f t="shared" si="18"/>
        <v>126.72000000000003</v>
      </c>
      <c r="L36" s="404">
        <f t="shared" si="18"/>
        <v>158.40000000000003</v>
      </c>
      <c r="M36" s="404">
        <f t="shared" si="18"/>
        <v>190.08</v>
      </c>
      <c r="N36" s="404">
        <f t="shared" si="18"/>
        <v>221.76000000000002</v>
      </c>
      <c r="O36" s="404">
        <f t="shared" si="18"/>
        <v>253.44000000000005</v>
      </c>
      <c r="P36" s="404">
        <f t="shared" si="18"/>
        <v>285.12000000000006</v>
      </c>
      <c r="Q36" s="404">
        <f t="shared" si="18"/>
        <v>316.80000000000007</v>
      </c>
      <c r="R36" s="404" t="e">
        <f>SUM(G36:Q36)</f>
        <v>#REF!</v>
      </c>
    </row>
    <row r="37" spans="1:18" ht="21" customHeight="1">
      <c r="A37" s="382">
        <v>3</v>
      </c>
      <c r="B37" s="383" t="s">
        <v>340</v>
      </c>
      <c r="E37" s="407">
        <v>0.2</v>
      </c>
      <c r="F37" s="403"/>
      <c r="G37" s="403">
        <v>0</v>
      </c>
      <c r="H37" s="404" t="e">
        <f>$E$37*12*H14</f>
        <v>#REF!</v>
      </c>
      <c r="I37" s="404" t="e">
        <f>$E$37*12*I14+$E$37*$I$23*12*I14</f>
        <v>#REF!</v>
      </c>
      <c r="J37" s="404">
        <f t="shared" ref="J37:Q37" si="19">$E$37*12*J14+$E$37*$I$23*12*J14</f>
        <v>95.04</v>
      </c>
      <c r="K37" s="404">
        <f t="shared" si="19"/>
        <v>126.72000000000003</v>
      </c>
      <c r="L37" s="404">
        <f t="shared" si="19"/>
        <v>158.40000000000003</v>
      </c>
      <c r="M37" s="404">
        <f t="shared" si="19"/>
        <v>190.08</v>
      </c>
      <c r="N37" s="404">
        <f t="shared" si="19"/>
        <v>221.76000000000002</v>
      </c>
      <c r="O37" s="404">
        <f t="shared" si="19"/>
        <v>253.44000000000005</v>
      </c>
      <c r="P37" s="404">
        <f t="shared" si="19"/>
        <v>285.12000000000006</v>
      </c>
      <c r="Q37" s="404">
        <f t="shared" si="19"/>
        <v>316.80000000000007</v>
      </c>
      <c r="R37" s="404" t="e">
        <f>SUM(G37:Q37)</f>
        <v>#REF!</v>
      </c>
    </row>
    <row r="38" spans="1:18" ht="21" customHeight="1">
      <c r="A38" s="382">
        <v>4</v>
      </c>
      <c r="B38" s="383" t="s">
        <v>341</v>
      </c>
      <c r="E38" s="407">
        <v>0.15</v>
      </c>
      <c r="F38" s="403"/>
      <c r="G38" s="403">
        <v>0</v>
      </c>
      <c r="H38" s="404" t="e">
        <f>$E$38*12*H15</f>
        <v>#REF!</v>
      </c>
      <c r="I38" s="404" t="e">
        <f>$E$38*12*I15+$E$38*$I$23*12*I15</f>
        <v>#REF!</v>
      </c>
      <c r="J38" s="404">
        <f t="shared" ref="J38:Q38" si="20">$E$38*12*J15+$E$38*$I$23*12*J15</f>
        <v>71.28</v>
      </c>
      <c r="K38" s="404">
        <f t="shared" si="20"/>
        <v>95.039999999999992</v>
      </c>
      <c r="L38" s="404">
        <f t="shared" si="20"/>
        <v>118.79999999999998</v>
      </c>
      <c r="M38" s="404">
        <f t="shared" si="20"/>
        <v>142.56</v>
      </c>
      <c r="N38" s="404">
        <f t="shared" si="20"/>
        <v>166.32</v>
      </c>
      <c r="O38" s="404">
        <f t="shared" si="20"/>
        <v>190.07999999999998</v>
      </c>
      <c r="P38" s="404">
        <f t="shared" si="20"/>
        <v>213.83999999999997</v>
      </c>
      <c r="Q38" s="404">
        <f t="shared" si="20"/>
        <v>237.59999999999997</v>
      </c>
      <c r="R38" s="404" t="e">
        <f>SUM(G38:Q38)</f>
        <v>#REF!</v>
      </c>
    </row>
    <row r="39" spans="1:18" ht="21" customHeight="1">
      <c r="A39" s="411"/>
      <c r="B39" s="227"/>
      <c r="C39" s="415"/>
      <c r="D39" s="415"/>
      <c r="E39" s="406"/>
      <c r="F39" s="403"/>
      <c r="G39" s="403"/>
      <c r="H39" s="404"/>
      <c r="I39" s="404"/>
      <c r="J39" s="404"/>
      <c r="K39" s="404"/>
      <c r="L39" s="404"/>
      <c r="M39" s="404"/>
      <c r="N39" s="404"/>
      <c r="O39" s="404"/>
      <c r="P39" s="404"/>
      <c r="Q39" s="404"/>
    </row>
    <row r="40" spans="1:18" s="412" customFormat="1" ht="21" customHeight="1">
      <c r="A40" s="417"/>
      <c r="B40" s="416" t="s">
        <v>349</v>
      </c>
      <c r="E40" s="413"/>
      <c r="F40" s="414"/>
      <c r="G40" s="414">
        <f>SUM(G35:G39)</f>
        <v>0</v>
      </c>
      <c r="H40" s="414" t="e">
        <f t="shared" ref="H40:Q40" si="21">SUM(H35:H39)</f>
        <v>#REF!</v>
      </c>
      <c r="I40" s="414" t="e">
        <f t="shared" si="21"/>
        <v>#REF!</v>
      </c>
      <c r="J40" s="414">
        <f t="shared" si="21"/>
        <v>299.37599999999998</v>
      </c>
      <c r="K40" s="414">
        <f t="shared" si="21"/>
        <v>399.16800000000001</v>
      </c>
      <c r="L40" s="414">
        <f t="shared" si="21"/>
        <v>498.96000000000004</v>
      </c>
      <c r="M40" s="414">
        <f t="shared" si="21"/>
        <v>598.75199999999995</v>
      </c>
      <c r="N40" s="414">
        <f t="shared" si="21"/>
        <v>698.5440000000001</v>
      </c>
      <c r="O40" s="414">
        <f t="shared" si="21"/>
        <v>798.33600000000001</v>
      </c>
      <c r="P40" s="414">
        <f t="shared" si="21"/>
        <v>898.12800000000016</v>
      </c>
      <c r="Q40" s="414">
        <f t="shared" si="21"/>
        <v>997.92000000000007</v>
      </c>
      <c r="R40" s="418" t="e">
        <f>SUM(G40:Q40)</f>
        <v>#REF!</v>
      </c>
    </row>
    <row r="41" spans="1:18" ht="15">
      <c r="A41" s="154"/>
      <c r="B41" s="136"/>
      <c r="E41" s="403"/>
      <c r="F41" s="403"/>
      <c r="G41" s="403"/>
      <c r="H41" s="403"/>
      <c r="I41" s="403"/>
      <c r="J41" s="403"/>
      <c r="K41" s="403"/>
      <c r="L41" s="403"/>
      <c r="M41" s="403"/>
      <c r="N41" s="403"/>
      <c r="O41" s="403"/>
      <c r="P41" s="403"/>
      <c r="Q41" s="403"/>
    </row>
    <row r="42" spans="1:18" ht="15">
      <c r="A42" s="137"/>
      <c r="B42" s="359" t="s">
        <v>284</v>
      </c>
      <c r="E42" s="403"/>
      <c r="F42" s="403"/>
      <c r="G42" s="403"/>
      <c r="H42" s="403"/>
      <c r="I42" s="403"/>
      <c r="J42" s="403"/>
      <c r="K42" s="403"/>
      <c r="L42" s="403"/>
      <c r="M42" s="403"/>
      <c r="N42" s="403"/>
      <c r="O42" s="403"/>
      <c r="P42" s="403"/>
      <c r="Q42" s="403"/>
    </row>
    <row r="43" spans="1:18" ht="15">
      <c r="A43" s="137"/>
      <c r="B43" s="359"/>
      <c r="E43" s="403"/>
      <c r="F43" s="403"/>
      <c r="G43" s="403"/>
      <c r="H43" s="403"/>
      <c r="I43" s="403"/>
      <c r="J43" s="403"/>
      <c r="K43" s="403"/>
      <c r="L43" s="403"/>
      <c r="M43" s="403"/>
      <c r="N43" s="403"/>
      <c r="O43" s="403"/>
      <c r="P43" s="403"/>
      <c r="Q43" s="403"/>
    </row>
    <row r="44" spans="1:18" ht="30.75" customHeight="1">
      <c r="A44" s="405">
        <v>1</v>
      </c>
      <c r="B44" s="384" t="s">
        <v>361</v>
      </c>
      <c r="E44" s="407">
        <v>0.5</v>
      </c>
      <c r="F44" s="403"/>
      <c r="G44" s="403">
        <v>0</v>
      </c>
      <c r="H44" s="404">
        <f>$E$44*12*H19</f>
        <v>6</v>
      </c>
      <c r="I44" s="404">
        <f t="shared" ref="I44:Q44" si="22">$E$44*12*I19+$E$44*$I$23*12*I19</f>
        <v>6.6</v>
      </c>
      <c r="J44" s="404">
        <f t="shared" si="22"/>
        <v>13.2</v>
      </c>
      <c r="K44" s="404">
        <f t="shared" si="22"/>
        <v>26.4</v>
      </c>
      <c r="L44" s="404">
        <f t="shared" si="22"/>
        <v>26.4</v>
      </c>
      <c r="M44" s="404">
        <f t="shared" si="22"/>
        <v>26.4</v>
      </c>
      <c r="N44" s="404">
        <f t="shared" si="22"/>
        <v>26.4</v>
      </c>
      <c r="O44" s="404">
        <f t="shared" si="22"/>
        <v>26.4</v>
      </c>
      <c r="P44" s="404">
        <f t="shared" si="22"/>
        <v>26.4</v>
      </c>
      <c r="Q44" s="404">
        <f t="shared" si="22"/>
        <v>26.4</v>
      </c>
      <c r="R44" s="404">
        <f>SUM(G44:Q44)</f>
        <v>210.60000000000002</v>
      </c>
    </row>
    <row r="45" spans="1:18" ht="30.75" customHeight="1">
      <c r="A45" s="405">
        <v>2</v>
      </c>
      <c r="B45" s="384" t="s">
        <v>341</v>
      </c>
      <c r="E45" s="407">
        <v>0.15</v>
      </c>
      <c r="F45" s="403"/>
      <c r="G45" s="403">
        <v>0</v>
      </c>
      <c r="H45" s="404">
        <f>$E$45*12*H20</f>
        <v>1.7999999999999998</v>
      </c>
      <c r="I45" s="404">
        <f t="shared" ref="I45:Q45" si="23">$E$45*12*I20+$E$45*$I$23*12*I20</f>
        <v>1.9799999999999998</v>
      </c>
      <c r="J45" s="404">
        <f t="shared" si="23"/>
        <v>3.9599999999999995</v>
      </c>
      <c r="K45" s="404">
        <f t="shared" si="23"/>
        <v>7.919999999999999</v>
      </c>
      <c r="L45" s="404">
        <f t="shared" si="23"/>
        <v>7.919999999999999</v>
      </c>
      <c r="M45" s="404">
        <f t="shared" si="23"/>
        <v>7.919999999999999</v>
      </c>
      <c r="N45" s="404">
        <f t="shared" si="23"/>
        <v>7.919999999999999</v>
      </c>
      <c r="O45" s="404">
        <f t="shared" si="23"/>
        <v>7.919999999999999</v>
      </c>
      <c r="P45" s="404">
        <f t="shared" si="23"/>
        <v>7.919999999999999</v>
      </c>
      <c r="Q45" s="404">
        <f t="shared" si="23"/>
        <v>7.919999999999999</v>
      </c>
      <c r="R45" s="404">
        <f>SUM(G45:Q45)</f>
        <v>63.18</v>
      </c>
    </row>
    <row r="46" spans="1:18" ht="30.75" customHeight="1">
      <c r="A46" s="405">
        <v>3</v>
      </c>
      <c r="B46" s="384" t="s">
        <v>342</v>
      </c>
      <c r="E46" s="407">
        <v>0.15</v>
      </c>
      <c r="F46" s="403"/>
      <c r="G46" s="403">
        <v>0</v>
      </c>
      <c r="H46" s="404">
        <f>$E$46*12*H21</f>
        <v>1.7999999999999998</v>
      </c>
      <c r="I46" s="404">
        <f t="shared" ref="I46:Q46" si="24">$E$46*12*I21+$E$46*$I$23*12*I21</f>
        <v>1.9799999999999998</v>
      </c>
      <c r="J46" s="404">
        <f t="shared" si="24"/>
        <v>3.9599999999999995</v>
      </c>
      <c r="K46" s="404">
        <f t="shared" si="24"/>
        <v>7.919999999999999</v>
      </c>
      <c r="L46" s="404">
        <f t="shared" si="24"/>
        <v>7.919999999999999</v>
      </c>
      <c r="M46" s="404">
        <f t="shared" si="24"/>
        <v>7.919999999999999</v>
      </c>
      <c r="N46" s="404">
        <f t="shared" si="24"/>
        <v>7.919999999999999</v>
      </c>
      <c r="O46" s="404">
        <f t="shared" si="24"/>
        <v>7.919999999999999</v>
      </c>
      <c r="P46" s="404">
        <f t="shared" si="24"/>
        <v>7.919999999999999</v>
      </c>
      <c r="Q46" s="404">
        <f t="shared" si="24"/>
        <v>7.919999999999999</v>
      </c>
      <c r="R46" s="404">
        <f>SUM(G46:Q46)</f>
        <v>63.18</v>
      </c>
    </row>
    <row r="47" spans="1:18">
      <c r="E47" s="403"/>
      <c r="F47" s="403"/>
      <c r="G47" s="403"/>
      <c r="H47" s="403"/>
      <c r="I47" s="403"/>
      <c r="J47" s="403"/>
      <c r="K47" s="403"/>
      <c r="L47" s="403"/>
      <c r="M47" s="403"/>
      <c r="N47" s="403"/>
      <c r="O47" s="403"/>
      <c r="P47" s="403"/>
      <c r="Q47" s="403"/>
    </row>
    <row r="48" spans="1:18" ht="21" customHeight="1">
      <c r="A48" s="412"/>
      <c r="B48" s="416" t="s">
        <v>349</v>
      </c>
      <c r="C48" s="412"/>
      <c r="D48" s="412"/>
      <c r="E48" s="414"/>
      <c r="F48" s="414"/>
      <c r="G48" s="414">
        <f>SUM(G44:G47)</f>
        <v>0</v>
      </c>
      <c r="H48" s="414">
        <f t="shared" ref="H48:R48" si="25">SUM(H44:H47)</f>
        <v>9.6</v>
      </c>
      <c r="I48" s="414">
        <f t="shared" si="25"/>
        <v>10.56</v>
      </c>
      <c r="J48" s="414">
        <f t="shared" si="25"/>
        <v>21.12</v>
      </c>
      <c r="K48" s="414">
        <f t="shared" si="25"/>
        <v>42.24</v>
      </c>
      <c r="L48" s="414">
        <f t="shared" si="25"/>
        <v>42.24</v>
      </c>
      <c r="M48" s="414">
        <f t="shared" si="25"/>
        <v>42.24</v>
      </c>
      <c r="N48" s="414">
        <f t="shared" si="25"/>
        <v>42.24</v>
      </c>
      <c r="O48" s="414">
        <f t="shared" si="25"/>
        <v>42.24</v>
      </c>
      <c r="P48" s="414">
        <f t="shared" si="25"/>
        <v>42.24</v>
      </c>
      <c r="Q48" s="414">
        <f t="shared" si="25"/>
        <v>42.24</v>
      </c>
      <c r="R48" s="414">
        <f t="shared" si="25"/>
        <v>336.96000000000004</v>
      </c>
    </row>
    <row r="50" spans="2:18" ht="23.25" customHeight="1">
      <c r="B50" s="421" t="s">
        <v>363</v>
      </c>
      <c r="C50" s="421"/>
      <c r="D50" s="421"/>
      <c r="E50" s="421"/>
      <c r="F50" s="421"/>
      <c r="G50" s="421">
        <f t="shared" ref="G50:Q50" si="26">G31+G40+G48</f>
        <v>66.960000000000008</v>
      </c>
      <c r="H50" s="421" t="e">
        <f t="shared" si="26"/>
        <v>#REF!</v>
      </c>
      <c r="I50" s="421" t="e">
        <f t="shared" si="26"/>
        <v>#REF!</v>
      </c>
      <c r="J50" s="421">
        <f t="shared" si="26"/>
        <v>409.61975999999999</v>
      </c>
      <c r="K50" s="421">
        <f t="shared" si="26"/>
        <v>539.44413599999996</v>
      </c>
      <c r="L50" s="421">
        <f t="shared" si="26"/>
        <v>649.03974960000005</v>
      </c>
      <c r="M50" s="421">
        <f t="shared" si="26"/>
        <v>759.61572455999999</v>
      </c>
      <c r="N50" s="421">
        <f t="shared" si="26"/>
        <v>871.27009701600014</v>
      </c>
      <c r="O50" s="421">
        <f t="shared" si="26"/>
        <v>984.11070671760001</v>
      </c>
      <c r="P50" s="421">
        <f t="shared" si="26"/>
        <v>1098.2561773893601</v>
      </c>
      <c r="Q50" s="421">
        <f t="shared" si="26"/>
        <v>1213.8369951282962</v>
      </c>
      <c r="R50" s="421" t="e">
        <f>SUM(G50:Q50)</f>
        <v>#REF!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5">
    <pageSetUpPr fitToPage="1"/>
  </sheetPr>
  <dimension ref="A1:AL62"/>
  <sheetViews>
    <sheetView zoomScale="70" zoomScaleNormal="70" workbookViewId="0">
      <pane xSplit="2" ySplit="4" topLeftCell="C15" activePane="bottomRight" state="frozen"/>
      <selection pane="topRight" activeCell="C1" sqref="C1"/>
      <selection pane="bottomLeft" activeCell="A5" sqref="A5"/>
      <selection pane="bottomRight" activeCell="U17" sqref="P17:U19"/>
    </sheetView>
  </sheetViews>
  <sheetFormatPr defaultRowHeight="12.75"/>
  <cols>
    <col min="1" max="1" width="6.42578125" style="1" customWidth="1"/>
    <col min="2" max="2" width="35.7109375" style="5" customWidth="1"/>
    <col min="3" max="3" width="9.7109375" style="1" customWidth="1"/>
    <col min="4" max="4" width="7.7109375" style="26" customWidth="1"/>
    <col min="5" max="5" width="7.7109375" style="1" customWidth="1"/>
    <col min="6" max="6" width="7.7109375" style="26" customWidth="1"/>
    <col min="7" max="7" width="7.7109375" style="1" customWidth="1"/>
    <col min="8" max="8" width="8.5703125" style="26" bestFit="1" customWidth="1"/>
    <col min="9" max="9" width="7.7109375" style="1" customWidth="1"/>
    <col min="10" max="10" width="9.42578125" style="26" customWidth="1"/>
    <col min="11" max="11" width="7.7109375" style="1" customWidth="1"/>
    <col min="12" max="12" width="10" style="26" customWidth="1"/>
    <col min="13" max="13" width="7.7109375" style="1" customWidth="1"/>
    <col min="14" max="14" width="10.28515625" style="26" bestFit="1" customWidth="1"/>
    <col min="15" max="15" width="7.7109375" style="1" customWidth="1"/>
    <col min="16" max="16" width="10.28515625" style="26" bestFit="1" customWidth="1"/>
    <col min="17" max="17" width="7.7109375" style="1" customWidth="1"/>
    <col min="18" max="18" width="10.7109375" style="26" bestFit="1" customWidth="1"/>
    <col min="19" max="19" width="7.7109375" style="1" customWidth="1"/>
    <col min="20" max="20" width="10.7109375" style="26" bestFit="1" customWidth="1"/>
    <col min="21" max="21" width="7.7109375" style="1" customWidth="1"/>
    <col min="22" max="22" width="12.28515625" style="26" customWidth="1"/>
    <col min="23" max="23" width="13.7109375" style="1" bestFit="1" customWidth="1"/>
    <col min="24" max="25" width="13.7109375" style="1" customWidth="1"/>
    <col min="26" max="26" width="14.85546875" style="1" customWidth="1"/>
    <col min="27" max="27" width="13.85546875" style="1" bestFit="1" customWidth="1"/>
    <col min="28" max="16384" width="9.140625" style="1"/>
  </cols>
  <sheetData>
    <row r="1" spans="1:26" ht="24" customHeight="1">
      <c r="A1" s="1274" t="s">
        <v>307</v>
      </c>
      <c r="B1" s="1274"/>
      <c r="C1" s="1274"/>
      <c r="D1" s="1274"/>
      <c r="E1" s="1274"/>
      <c r="F1" s="1274"/>
      <c r="G1" s="1274"/>
      <c r="H1" s="1274"/>
      <c r="I1" s="1274"/>
      <c r="J1" s="1274"/>
      <c r="K1" s="1274"/>
      <c r="L1" s="1274"/>
      <c r="M1" s="1274"/>
      <c r="N1" s="1274"/>
      <c r="O1" s="1274"/>
      <c r="P1" s="1274"/>
      <c r="Q1" s="1274"/>
      <c r="R1" s="1274"/>
      <c r="S1" s="1274"/>
      <c r="T1" s="1274"/>
      <c r="U1" s="1274"/>
      <c r="V1" s="1274"/>
      <c r="W1" s="1274"/>
      <c r="X1" s="1274"/>
      <c r="Y1" s="1274"/>
      <c r="Z1" s="1274"/>
    </row>
    <row r="2" spans="1:26">
      <c r="C2" s="6"/>
      <c r="D2" s="7"/>
      <c r="E2" s="6"/>
      <c r="F2" s="7"/>
      <c r="G2" s="6"/>
      <c r="H2" s="7"/>
      <c r="I2" s="6"/>
      <c r="J2" s="7"/>
      <c r="K2" s="6"/>
      <c r="L2" s="7"/>
      <c r="M2" s="6"/>
      <c r="N2" s="7"/>
      <c r="O2" s="6"/>
      <c r="P2" s="7"/>
      <c r="Q2" s="6"/>
      <c r="R2" s="7"/>
      <c r="S2" s="6"/>
      <c r="T2" s="7"/>
      <c r="U2" s="6"/>
      <c r="V2" s="7"/>
      <c r="W2" s="6"/>
      <c r="X2" s="6"/>
      <c r="Y2" s="6"/>
      <c r="Z2" s="6"/>
    </row>
    <row r="3" spans="1:26" ht="24.75" customHeight="1">
      <c r="A3" s="1285" t="s">
        <v>21</v>
      </c>
      <c r="B3" s="1281" t="s">
        <v>5</v>
      </c>
      <c r="C3" s="1283"/>
      <c r="D3" s="1275" t="e">
        <f>'Fin Smmry'!#REF!</f>
        <v>#REF!</v>
      </c>
      <c r="E3" s="1275"/>
      <c r="F3" s="1275" t="e">
        <f>'Fin Smmry'!#REF!</f>
        <v>#REF!</v>
      </c>
      <c r="G3" s="1275"/>
      <c r="H3" s="1275" t="e">
        <f>'Fin Smmry'!#REF!</f>
        <v>#REF!</v>
      </c>
      <c r="I3" s="1275"/>
      <c r="J3" s="1275" t="str">
        <f>'Fin Smmry'!J2</f>
        <v>Year 3</v>
      </c>
      <c r="K3" s="1275"/>
      <c r="L3" s="1275" t="str">
        <f>'Fin Smmry'!K2</f>
        <v>Year 4</v>
      </c>
      <c r="M3" s="1275"/>
      <c r="N3" s="1275" t="str">
        <f>'Fin Smmry'!L2</f>
        <v>Year 5</v>
      </c>
      <c r="O3" s="1275"/>
      <c r="P3" s="1275" t="str">
        <f>'Fin Smmry'!M2</f>
        <v>Year 6</v>
      </c>
      <c r="Q3" s="1275"/>
      <c r="R3" s="1275" t="str">
        <f>'Fin Smmry'!N2</f>
        <v>Year 7</v>
      </c>
      <c r="S3" s="1275"/>
      <c r="T3" s="1275" t="str">
        <f>'Fin Smmry'!O2</f>
        <v>Year 8</v>
      </c>
      <c r="U3" s="1275"/>
      <c r="V3" s="1275" t="str">
        <f>'Fin Smmry'!P2</f>
        <v>Year 9</v>
      </c>
      <c r="W3" s="1275"/>
      <c r="X3" s="1279" t="str">
        <f>'Fin Smmry'!Q2</f>
        <v>Year 10</v>
      </c>
      <c r="Y3" s="1280"/>
      <c r="Z3" s="8" t="s">
        <v>6</v>
      </c>
    </row>
    <row r="4" spans="1:26" s="6" customFormat="1" ht="45">
      <c r="A4" s="1286"/>
      <c r="B4" s="1282"/>
      <c r="C4" s="1284"/>
      <c r="D4" s="9" t="s">
        <v>7</v>
      </c>
      <c r="E4" s="10" t="s">
        <v>8</v>
      </c>
      <c r="F4" s="9" t="s">
        <v>7</v>
      </c>
      <c r="G4" s="10" t="s">
        <v>8</v>
      </c>
      <c r="H4" s="9" t="s">
        <v>7</v>
      </c>
      <c r="I4" s="10" t="s">
        <v>8</v>
      </c>
      <c r="J4" s="9" t="s">
        <v>7</v>
      </c>
      <c r="K4" s="10" t="s">
        <v>8</v>
      </c>
      <c r="L4" s="9" t="s">
        <v>7</v>
      </c>
      <c r="M4" s="10" t="s">
        <v>8</v>
      </c>
      <c r="N4" s="9" t="s">
        <v>7</v>
      </c>
      <c r="O4" s="10" t="s">
        <v>8</v>
      </c>
      <c r="P4" s="9" t="s">
        <v>7</v>
      </c>
      <c r="Q4" s="10" t="s">
        <v>8</v>
      </c>
      <c r="R4" s="9" t="s">
        <v>7</v>
      </c>
      <c r="S4" s="10" t="s">
        <v>8</v>
      </c>
      <c r="T4" s="9" t="s">
        <v>7</v>
      </c>
      <c r="U4" s="10" t="s">
        <v>8</v>
      </c>
      <c r="V4" s="9" t="s">
        <v>7</v>
      </c>
      <c r="W4" s="10" t="s">
        <v>8</v>
      </c>
      <c r="X4" s="9" t="s">
        <v>7</v>
      </c>
      <c r="Y4" s="10" t="s">
        <v>8</v>
      </c>
      <c r="Z4" s="11"/>
    </row>
    <row r="5" spans="1:26" ht="24" customHeight="1">
      <c r="A5" s="1276">
        <v>1</v>
      </c>
      <c r="B5" s="1277" t="s">
        <v>9</v>
      </c>
      <c r="C5" s="12" t="s">
        <v>10</v>
      </c>
      <c r="D5" s="21">
        <v>0</v>
      </c>
      <c r="E5" s="14" t="e">
        <f>D5/$Z$6</f>
        <v>#REF!</v>
      </c>
      <c r="F5" s="21" t="e">
        <f>'Key Assumptions'!#REF!</f>
        <v>#REF!</v>
      </c>
      <c r="G5" s="14" t="e">
        <f>F5/$Z$6</f>
        <v>#REF!</v>
      </c>
      <c r="H5" s="21" t="e">
        <f>'Key Assumptions'!#REF!</f>
        <v>#REF!</v>
      </c>
      <c r="I5" s="14" t="e">
        <f>H5/$Z$6</f>
        <v>#REF!</v>
      </c>
      <c r="J5" s="21" t="e">
        <f>'Key Assumptions'!#REF!</f>
        <v>#REF!</v>
      </c>
      <c r="K5" s="14" t="e">
        <f>J5/$Z$6</f>
        <v>#REF!</v>
      </c>
      <c r="L5" s="21" t="e">
        <f>'Key Assumptions'!#REF!</f>
        <v>#REF!</v>
      </c>
      <c r="M5" s="14" t="e">
        <f>L5/$Z$6</f>
        <v>#REF!</v>
      </c>
      <c r="N5" s="21" t="e">
        <f>'Key Assumptions'!#REF!</f>
        <v>#REF!</v>
      </c>
      <c r="O5" s="14" t="e">
        <f>N5/$Z$6</f>
        <v>#REF!</v>
      </c>
      <c r="P5" s="21" t="e">
        <f>'Key Assumptions'!#REF!</f>
        <v>#REF!</v>
      </c>
      <c r="Q5" s="14" t="e">
        <f>P5/$Z$6</f>
        <v>#REF!</v>
      </c>
      <c r="R5" s="21" t="e">
        <f>'Key Assumptions'!#REF!</f>
        <v>#REF!</v>
      </c>
      <c r="S5" s="14" t="e">
        <f>R5/$Z$6</f>
        <v>#REF!</v>
      </c>
      <c r="T5" s="21" t="e">
        <f>'Key Assumptions'!#REF!</f>
        <v>#REF!</v>
      </c>
      <c r="U5" s="14" t="e">
        <f>T5/$Z$6</f>
        <v>#REF!</v>
      </c>
      <c r="V5" s="21" t="e">
        <f>'Key Assumptions'!#REF!</f>
        <v>#REF!</v>
      </c>
      <c r="W5" s="14" t="e">
        <f>V5/$Z$6</f>
        <v>#REF!</v>
      </c>
      <c r="X5" s="21" t="e">
        <f>'Key Assumptions'!#REF!</f>
        <v>#REF!</v>
      </c>
      <c r="Y5" s="14" t="e">
        <f>X5/$Z$6</f>
        <v>#REF!</v>
      </c>
      <c r="Z5" s="15"/>
    </row>
    <row r="6" spans="1:26" ht="24" customHeight="1">
      <c r="A6" s="1276"/>
      <c r="B6" s="1278"/>
      <c r="C6" s="16" t="s">
        <v>11</v>
      </c>
      <c r="D6" s="17">
        <f>D5</f>
        <v>0</v>
      </c>
      <c r="E6" s="18" t="e">
        <f>E5</f>
        <v>#REF!</v>
      </c>
      <c r="F6" s="17" t="e">
        <f>D6+F5</f>
        <v>#REF!</v>
      </c>
      <c r="G6" s="19" t="e">
        <f>E6+G5</f>
        <v>#REF!</v>
      </c>
      <c r="H6" s="17" t="e">
        <f t="shared" ref="H6:X6" si="0">F6+H5</f>
        <v>#REF!</v>
      </c>
      <c r="I6" s="19" t="e">
        <f>G6+I5</f>
        <v>#REF!</v>
      </c>
      <c r="J6" s="17" t="e">
        <f t="shared" si="0"/>
        <v>#REF!</v>
      </c>
      <c r="K6" s="19" t="e">
        <f>I6+K5</f>
        <v>#REF!</v>
      </c>
      <c r="L6" s="17" t="e">
        <f t="shared" si="0"/>
        <v>#REF!</v>
      </c>
      <c r="M6" s="19" t="e">
        <f>K6+M5</f>
        <v>#REF!</v>
      </c>
      <c r="N6" s="17" t="e">
        <f t="shared" si="0"/>
        <v>#REF!</v>
      </c>
      <c r="O6" s="19" t="e">
        <f>M6+O5</f>
        <v>#REF!</v>
      </c>
      <c r="P6" s="17" t="e">
        <f t="shared" si="0"/>
        <v>#REF!</v>
      </c>
      <c r="Q6" s="19" t="e">
        <f>O6+Q5</f>
        <v>#REF!</v>
      </c>
      <c r="R6" s="17" t="e">
        <f t="shared" si="0"/>
        <v>#REF!</v>
      </c>
      <c r="S6" s="19" t="e">
        <f>Q6+S5</f>
        <v>#REF!</v>
      </c>
      <c r="T6" s="17" t="e">
        <f t="shared" si="0"/>
        <v>#REF!</v>
      </c>
      <c r="U6" s="19" t="e">
        <f>S6+U5</f>
        <v>#REF!</v>
      </c>
      <c r="V6" s="17" t="e">
        <f t="shared" si="0"/>
        <v>#REF!</v>
      </c>
      <c r="W6" s="19" t="e">
        <f>U6+W5</f>
        <v>#REF!</v>
      </c>
      <c r="X6" s="17" t="e">
        <f t="shared" si="0"/>
        <v>#REF!</v>
      </c>
      <c r="Y6" s="19" t="e">
        <f>W6+Y5</f>
        <v>#REF!</v>
      </c>
      <c r="Z6" s="20" t="e">
        <f>X6</f>
        <v>#REF!</v>
      </c>
    </row>
    <row r="7" spans="1:26" ht="24" customHeight="1">
      <c r="A7" s="1276">
        <v>2</v>
      </c>
      <c r="B7" s="1277" t="s">
        <v>12</v>
      </c>
      <c r="C7" s="12" t="s">
        <v>10</v>
      </c>
      <c r="D7" s="21">
        <f>D5</f>
        <v>0</v>
      </c>
      <c r="E7" s="14" t="e">
        <f>D7/$Z$8</f>
        <v>#REF!</v>
      </c>
      <c r="F7" s="21" t="e">
        <f>F5</f>
        <v>#REF!</v>
      </c>
      <c r="G7" s="14" t="e">
        <f>F7/$Z$8</f>
        <v>#REF!</v>
      </c>
      <c r="H7" s="21" t="e">
        <f>H5</f>
        <v>#REF!</v>
      </c>
      <c r="I7" s="14" t="e">
        <f>H7/$Z$8</f>
        <v>#REF!</v>
      </c>
      <c r="J7" s="21" t="e">
        <f>J5</f>
        <v>#REF!</v>
      </c>
      <c r="K7" s="14" t="e">
        <f>J7/$Z$8</f>
        <v>#REF!</v>
      </c>
      <c r="L7" s="21" t="e">
        <f>L5</f>
        <v>#REF!</v>
      </c>
      <c r="M7" s="14" t="e">
        <f>L7/$Z$8</f>
        <v>#REF!</v>
      </c>
      <c r="N7" s="21" t="e">
        <f>N5</f>
        <v>#REF!</v>
      </c>
      <c r="O7" s="14" t="e">
        <f>N7/$Z$8</f>
        <v>#REF!</v>
      </c>
      <c r="P7" s="21" t="e">
        <f>P5</f>
        <v>#REF!</v>
      </c>
      <c r="Q7" s="14" t="e">
        <f>P7/$Z$8</f>
        <v>#REF!</v>
      </c>
      <c r="R7" s="21" t="e">
        <f>R5</f>
        <v>#REF!</v>
      </c>
      <c r="S7" s="14" t="e">
        <f>R7/$Z$8</f>
        <v>#REF!</v>
      </c>
      <c r="T7" s="21" t="e">
        <f>T5</f>
        <v>#REF!</v>
      </c>
      <c r="U7" s="14" t="e">
        <f>T7/$Z$8</f>
        <v>#REF!</v>
      </c>
      <c r="V7" s="21" t="e">
        <f>V5</f>
        <v>#REF!</v>
      </c>
      <c r="W7" s="14" t="e">
        <f>V7/$Z$8</f>
        <v>#REF!</v>
      </c>
      <c r="X7" s="21" t="e">
        <f>X5</f>
        <v>#REF!</v>
      </c>
      <c r="Y7" s="14" t="e">
        <f>X7/$Z$8</f>
        <v>#REF!</v>
      </c>
      <c r="Z7" s="15"/>
    </row>
    <row r="8" spans="1:26" ht="24" customHeight="1">
      <c r="A8" s="1276"/>
      <c r="B8" s="1278"/>
      <c r="C8" s="16" t="s">
        <v>11</v>
      </c>
      <c r="D8" s="17">
        <f>D7</f>
        <v>0</v>
      </c>
      <c r="E8" s="18" t="e">
        <f>E7</f>
        <v>#REF!</v>
      </c>
      <c r="F8" s="17" t="e">
        <f t="shared" ref="F8:W8" si="1">D8+F7</f>
        <v>#REF!</v>
      </c>
      <c r="G8" s="19" t="e">
        <f>E8+G7</f>
        <v>#REF!</v>
      </c>
      <c r="H8" s="17" t="e">
        <f t="shared" si="1"/>
        <v>#REF!</v>
      </c>
      <c r="I8" s="19" t="e">
        <f t="shared" si="1"/>
        <v>#REF!</v>
      </c>
      <c r="J8" s="17" t="e">
        <f t="shared" si="1"/>
        <v>#REF!</v>
      </c>
      <c r="K8" s="19" t="e">
        <f t="shared" si="1"/>
        <v>#REF!</v>
      </c>
      <c r="L8" s="17" t="e">
        <f t="shared" si="1"/>
        <v>#REF!</v>
      </c>
      <c r="M8" s="19" t="e">
        <f t="shared" si="1"/>
        <v>#REF!</v>
      </c>
      <c r="N8" s="17" t="e">
        <f t="shared" si="1"/>
        <v>#REF!</v>
      </c>
      <c r="O8" s="19" t="e">
        <f t="shared" si="1"/>
        <v>#REF!</v>
      </c>
      <c r="P8" s="17" t="e">
        <f t="shared" si="1"/>
        <v>#REF!</v>
      </c>
      <c r="Q8" s="19" t="e">
        <f t="shared" si="1"/>
        <v>#REF!</v>
      </c>
      <c r="R8" s="17" t="e">
        <f t="shared" si="1"/>
        <v>#REF!</v>
      </c>
      <c r="S8" s="19" t="e">
        <f t="shared" si="1"/>
        <v>#REF!</v>
      </c>
      <c r="T8" s="17" t="e">
        <f t="shared" si="1"/>
        <v>#REF!</v>
      </c>
      <c r="U8" s="19" t="e">
        <f t="shared" si="1"/>
        <v>#REF!</v>
      </c>
      <c r="V8" s="17" t="e">
        <f t="shared" si="1"/>
        <v>#REF!</v>
      </c>
      <c r="W8" s="19" t="e">
        <f t="shared" si="1"/>
        <v>#REF!</v>
      </c>
      <c r="X8" s="17" t="e">
        <f>V8+X7</f>
        <v>#REF!</v>
      </c>
      <c r="Y8" s="19" t="e">
        <f>W8+Y7</f>
        <v>#REF!</v>
      </c>
      <c r="Z8" s="20" t="e">
        <f>X8</f>
        <v>#REF!</v>
      </c>
    </row>
    <row r="9" spans="1:26" ht="24" customHeight="1">
      <c r="A9" s="1276">
        <v>3</v>
      </c>
      <c r="B9" s="1287" t="s">
        <v>13</v>
      </c>
      <c r="C9" s="12" t="s">
        <v>10</v>
      </c>
      <c r="D9" s="21">
        <f>D7</f>
        <v>0</v>
      </c>
      <c r="E9" s="14" t="e">
        <f>D9/$Z$10</f>
        <v>#REF!</v>
      </c>
      <c r="F9" s="21" t="e">
        <f>F7</f>
        <v>#REF!</v>
      </c>
      <c r="G9" s="14" t="e">
        <f>F9/$Z$10</f>
        <v>#REF!</v>
      </c>
      <c r="H9" s="21" t="e">
        <f>H7</f>
        <v>#REF!</v>
      </c>
      <c r="I9" s="14" t="e">
        <f>H9/$Z$10</f>
        <v>#REF!</v>
      </c>
      <c r="J9" s="21" t="e">
        <f>J7</f>
        <v>#REF!</v>
      </c>
      <c r="K9" s="14" t="e">
        <f>J9/$Z$10</f>
        <v>#REF!</v>
      </c>
      <c r="L9" s="21" t="e">
        <f>L7</f>
        <v>#REF!</v>
      </c>
      <c r="M9" s="14" t="e">
        <f>L9/$Z$10</f>
        <v>#REF!</v>
      </c>
      <c r="N9" s="21" t="e">
        <f>N7</f>
        <v>#REF!</v>
      </c>
      <c r="O9" s="14" t="e">
        <f>N9/$Z$10</f>
        <v>#REF!</v>
      </c>
      <c r="P9" s="21" t="e">
        <f t="shared" ref="P9:X9" si="2">P7</f>
        <v>#REF!</v>
      </c>
      <c r="Q9" s="22" t="e">
        <f t="shared" si="2"/>
        <v>#REF!</v>
      </c>
      <c r="R9" s="21" t="e">
        <f t="shared" si="2"/>
        <v>#REF!</v>
      </c>
      <c r="S9" s="22" t="e">
        <f t="shared" si="2"/>
        <v>#REF!</v>
      </c>
      <c r="T9" s="21" t="e">
        <f t="shared" si="2"/>
        <v>#REF!</v>
      </c>
      <c r="U9" s="22" t="e">
        <f t="shared" si="2"/>
        <v>#REF!</v>
      </c>
      <c r="V9" s="21" t="e">
        <f t="shared" si="2"/>
        <v>#REF!</v>
      </c>
      <c r="W9" s="22" t="e">
        <f t="shared" si="2"/>
        <v>#REF!</v>
      </c>
      <c r="X9" s="21" t="e">
        <f t="shared" si="2"/>
        <v>#REF!</v>
      </c>
      <c r="Y9" s="14" t="e">
        <f>X9/$Z$10</f>
        <v>#REF!</v>
      </c>
      <c r="Z9" s="23"/>
    </row>
    <row r="10" spans="1:26" ht="24" customHeight="1">
      <c r="A10" s="1276"/>
      <c r="B10" s="1288"/>
      <c r="C10" s="16" t="s">
        <v>11</v>
      </c>
      <c r="D10" s="17">
        <f>D9</f>
        <v>0</v>
      </c>
      <c r="E10" s="18" t="e">
        <f>E9</f>
        <v>#REF!</v>
      </c>
      <c r="F10" s="17" t="e">
        <f t="shared" ref="F10:N10" si="3">D10+F9</f>
        <v>#REF!</v>
      </c>
      <c r="G10" s="18" t="e">
        <f t="shared" si="3"/>
        <v>#REF!</v>
      </c>
      <c r="H10" s="17" t="e">
        <f t="shared" si="3"/>
        <v>#REF!</v>
      </c>
      <c r="I10" s="18" t="e">
        <f t="shared" si="3"/>
        <v>#REF!</v>
      </c>
      <c r="J10" s="17" t="e">
        <f t="shared" si="3"/>
        <v>#REF!</v>
      </c>
      <c r="K10" s="18" t="e">
        <f t="shared" si="3"/>
        <v>#REF!</v>
      </c>
      <c r="L10" s="17" t="e">
        <f t="shared" si="3"/>
        <v>#REF!</v>
      </c>
      <c r="M10" s="18" t="e">
        <f t="shared" si="3"/>
        <v>#REF!</v>
      </c>
      <c r="N10" s="17" t="e">
        <f t="shared" si="3"/>
        <v>#REF!</v>
      </c>
      <c r="O10" s="19" t="e">
        <f>O8</f>
        <v>#REF!</v>
      </c>
      <c r="P10" s="17" t="e">
        <f t="shared" ref="P10:V10" si="4">N10+P9</f>
        <v>#REF!</v>
      </c>
      <c r="Q10" s="18" t="e">
        <f t="shared" si="4"/>
        <v>#REF!</v>
      </c>
      <c r="R10" s="17" t="e">
        <f t="shared" si="4"/>
        <v>#REF!</v>
      </c>
      <c r="S10" s="18" t="e">
        <f t="shared" si="4"/>
        <v>#REF!</v>
      </c>
      <c r="T10" s="17" t="e">
        <f t="shared" si="4"/>
        <v>#REF!</v>
      </c>
      <c r="U10" s="18" t="e">
        <f t="shared" si="4"/>
        <v>#REF!</v>
      </c>
      <c r="V10" s="17" t="e">
        <f t="shared" si="4"/>
        <v>#REF!</v>
      </c>
      <c r="W10" s="19" t="e">
        <f>W8</f>
        <v>#REF!</v>
      </c>
      <c r="X10" s="17" t="e">
        <f>V10+X9</f>
        <v>#REF!</v>
      </c>
      <c r="Y10" s="19" t="e">
        <f>Y8</f>
        <v>#REF!</v>
      </c>
      <c r="Z10" s="20" t="e">
        <f>X10</f>
        <v>#REF!</v>
      </c>
    </row>
    <row r="11" spans="1:26" ht="24" customHeight="1">
      <c r="A11" s="1276">
        <v>4</v>
      </c>
      <c r="B11" s="1287" t="s">
        <v>14</v>
      </c>
      <c r="C11" s="12" t="s">
        <v>10</v>
      </c>
      <c r="D11" s="21">
        <f>D9</f>
        <v>0</v>
      </c>
      <c r="E11" s="14" t="e">
        <f>D11/$Z$10</f>
        <v>#REF!</v>
      </c>
      <c r="F11" s="21" t="e">
        <f>F9</f>
        <v>#REF!</v>
      </c>
      <c r="G11" s="14" t="e">
        <f>F11/$Z$10</f>
        <v>#REF!</v>
      </c>
      <c r="H11" s="21" t="e">
        <f>H9</f>
        <v>#REF!</v>
      </c>
      <c r="I11" s="14" t="e">
        <f>H11/$Z$10</f>
        <v>#REF!</v>
      </c>
      <c r="J11" s="21" t="e">
        <f>J9</f>
        <v>#REF!</v>
      </c>
      <c r="K11" s="14" t="e">
        <f>J11/$Z$10</f>
        <v>#REF!</v>
      </c>
      <c r="L11" s="21" t="e">
        <f>L9</f>
        <v>#REF!</v>
      </c>
      <c r="M11" s="14" t="e">
        <f>L11/$Z$10</f>
        <v>#REF!</v>
      </c>
      <c r="N11" s="21" t="e">
        <f>N9</f>
        <v>#REF!</v>
      </c>
      <c r="O11" s="14" t="e">
        <f>N11/$Z$10</f>
        <v>#REF!</v>
      </c>
      <c r="P11" s="21" t="e">
        <f t="shared" ref="P11:V11" si="5">P9</f>
        <v>#REF!</v>
      </c>
      <c r="Q11" s="22" t="e">
        <f t="shared" si="5"/>
        <v>#REF!</v>
      </c>
      <c r="R11" s="21" t="e">
        <f t="shared" si="5"/>
        <v>#REF!</v>
      </c>
      <c r="S11" s="22" t="e">
        <f t="shared" si="5"/>
        <v>#REF!</v>
      </c>
      <c r="T11" s="21" t="e">
        <f t="shared" si="5"/>
        <v>#REF!</v>
      </c>
      <c r="U11" s="22" t="e">
        <f t="shared" si="5"/>
        <v>#REF!</v>
      </c>
      <c r="V11" s="21" t="e">
        <f t="shared" si="5"/>
        <v>#REF!</v>
      </c>
      <c r="W11" s="22" t="e">
        <f>W9</f>
        <v>#REF!</v>
      </c>
      <c r="X11" s="21" t="e">
        <f>X9</f>
        <v>#REF!</v>
      </c>
      <c r="Y11" s="14" t="e">
        <f>X11/$Z$10</f>
        <v>#REF!</v>
      </c>
      <c r="Z11" s="15"/>
    </row>
    <row r="12" spans="1:26" ht="24" customHeight="1">
      <c r="A12" s="1276"/>
      <c r="B12" s="1288"/>
      <c r="C12" s="16" t="s">
        <v>11</v>
      </c>
      <c r="D12" s="17">
        <f>D11</f>
        <v>0</v>
      </c>
      <c r="E12" s="18" t="e">
        <f>E11</f>
        <v>#REF!</v>
      </c>
      <c r="F12" s="17" t="e">
        <f>D12+F11</f>
        <v>#REF!</v>
      </c>
      <c r="G12" s="19" t="e">
        <f>G10</f>
        <v>#REF!</v>
      </c>
      <c r="H12" s="17" t="e">
        <f>F12+H11</f>
        <v>#REF!</v>
      </c>
      <c r="I12" s="19" t="e">
        <f>I10</f>
        <v>#REF!</v>
      </c>
      <c r="J12" s="17" t="e">
        <f>H12+J11</f>
        <v>#REF!</v>
      </c>
      <c r="K12" s="19" t="e">
        <f>K10</f>
        <v>#REF!</v>
      </c>
      <c r="L12" s="17" t="e">
        <f>J12+L11</f>
        <v>#REF!</v>
      </c>
      <c r="M12" s="19" t="e">
        <f>M10</f>
        <v>#REF!</v>
      </c>
      <c r="N12" s="17" t="e">
        <f>L12+N11</f>
        <v>#REF!</v>
      </c>
      <c r="O12" s="19" t="e">
        <f>O10</f>
        <v>#REF!</v>
      </c>
      <c r="P12" s="17" t="e">
        <f>N12+P11</f>
        <v>#REF!</v>
      </c>
      <c r="Q12" s="19" t="e">
        <f>Q10</f>
        <v>#REF!</v>
      </c>
      <c r="R12" s="17" t="e">
        <f>P12+R11</f>
        <v>#REF!</v>
      </c>
      <c r="S12" s="19" t="e">
        <f>S10</f>
        <v>#REF!</v>
      </c>
      <c r="T12" s="17" t="e">
        <f>R12+T11</f>
        <v>#REF!</v>
      </c>
      <c r="U12" s="19" t="e">
        <f>U10</f>
        <v>#REF!</v>
      </c>
      <c r="V12" s="17" t="e">
        <f>T12+V11</f>
        <v>#REF!</v>
      </c>
      <c r="W12" s="19" t="e">
        <f>W10</f>
        <v>#REF!</v>
      </c>
      <c r="X12" s="17" t="e">
        <f>V12+X11</f>
        <v>#REF!</v>
      </c>
      <c r="Y12" s="19" t="e">
        <f>Y10</f>
        <v>#REF!</v>
      </c>
      <c r="Z12" s="20" t="e">
        <f>X12</f>
        <v>#REF!</v>
      </c>
    </row>
    <row r="13" spans="1:26" ht="24" customHeight="1">
      <c r="A13" s="1276">
        <v>5</v>
      </c>
      <c r="B13" s="1287" t="s">
        <v>276</v>
      </c>
      <c r="C13" s="12" t="s">
        <v>10</v>
      </c>
      <c r="D13" s="21" t="e">
        <f>'Key Assumptions'!#REF!</f>
        <v>#REF!</v>
      </c>
      <c r="E13" s="14" t="e">
        <f>D13/$Z$14</f>
        <v>#REF!</v>
      </c>
      <c r="F13" s="21" t="e">
        <f>'Key Assumptions'!#REF!</f>
        <v>#REF!</v>
      </c>
      <c r="G13" s="14" t="e">
        <f>F13/$Z$14</f>
        <v>#REF!</v>
      </c>
      <c r="H13" s="21" t="e">
        <f>'Key Assumptions'!#REF!</f>
        <v>#REF!</v>
      </c>
      <c r="I13" s="14" t="e">
        <f>H13/$Z$14</f>
        <v>#REF!</v>
      </c>
      <c r="J13" s="21" t="e">
        <f>'Key Assumptions'!#REF!</f>
        <v>#REF!</v>
      </c>
      <c r="K13" s="24" t="e">
        <f>J13/$Z$14</f>
        <v>#REF!</v>
      </c>
      <c r="L13" s="21" t="e">
        <f>'Key Assumptions'!#REF!</f>
        <v>#REF!</v>
      </c>
      <c r="M13" s="24" t="e">
        <f>L13/$Z$14</f>
        <v>#REF!</v>
      </c>
      <c r="N13" s="21" t="e">
        <f>'Key Assumptions'!#REF!</f>
        <v>#REF!</v>
      </c>
      <c r="O13" s="24" t="e">
        <f>N13/$Z$14</f>
        <v>#REF!</v>
      </c>
      <c r="P13" s="21" t="e">
        <f>'Key Assumptions'!#REF!</f>
        <v>#REF!</v>
      </c>
      <c r="Q13" s="24" t="e">
        <f>P13/$Z$14</f>
        <v>#REF!</v>
      </c>
      <c r="R13" s="21" t="e">
        <f>'Key Assumptions'!#REF!</f>
        <v>#REF!</v>
      </c>
      <c r="S13" s="24" t="e">
        <f>R13/$Z$14</f>
        <v>#REF!</v>
      </c>
      <c r="T13" s="21" t="e">
        <f>'Key Assumptions'!#REF!</f>
        <v>#REF!</v>
      </c>
      <c r="U13" s="24" t="e">
        <f>T13/$Z$14</f>
        <v>#REF!</v>
      </c>
      <c r="V13" s="21" t="e">
        <f>'Key Assumptions'!#REF!</f>
        <v>#REF!</v>
      </c>
      <c r="W13" s="24" t="e">
        <f>V13/$Z$14</f>
        <v>#REF!</v>
      </c>
      <c r="X13" s="21" t="e">
        <f>'Key Assumptions'!#REF!</f>
        <v>#REF!</v>
      </c>
      <c r="Y13" s="24" t="e">
        <f>X13/$Z$14</f>
        <v>#REF!</v>
      </c>
      <c r="Z13" s="15"/>
    </row>
    <row r="14" spans="1:26" ht="24" customHeight="1">
      <c r="A14" s="1276"/>
      <c r="B14" s="1288"/>
      <c r="C14" s="16" t="s">
        <v>11</v>
      </c>
      <c r="D14" s="17" t="e">
        <f>D13</f>
        <v>#REF!</v>
      </c>
      <c r="E14" s="18" t="e">
        <f>E13</f>
        <v>#REF!</v>
      </c>
      <c r="F14" s="17" t="e">
        <f>D14+F13</f>
        <v>#REF!</v>
      </c>
      <c r="G14" s="19" t="e">
        <f>G13</f>
        <v>#REF!</v>
      </c>
      <c r="H14" s="17" t="e">
        <f t="shared" ref="H14:Y14" si="6">F14+H13</f>
        <v>#REF!</v>
      </c>
      <c r="I14" s="19" t="e">
        <f t="shared" si="6"/>
        <v>#REF!</v>
      </c>
      <c r="J14" s="17" t="e">
        <f t="shared" si="6"/>
        <v>#REF!</v>
      </c>
      <c r="K14" s="19" t="e">
        <f t="shared" si="6"/>
        <v>#REF!</v>
      </c>
      <c r="L14" s="17" t="e">
        <f t="shared" si="6"/>
        <v>#REF!</v>
      </c>
      <c r="M14" s="19" t="e">
        <f t="shared" si="6"/>
        <v>#REF!</v>
      </c>
      <c r="N14" s="17" t="e">
        <f t="shared" si="6"/>
        <v>#REF!</v>
      </c>
      <c r="O14" s="19" t="e">
        <f t="shared" si="6"/>
        <v>#REF!</v>
      </c>
      <c r="P14" s="17" t="e">
        <f t="shared" si="6"/>
        <v>#REF!</v>
      </c>
      <c r="Q14" s="19" t="e">
        <f t="shared" si="6"/>
        <v>#REF!</v>
      </c>
      <c r="R14" s="17" t="e">
        <f t="shared" si="6"/>
        <v>#REF!</v>
      </c>
      <c r="S14" s="19" t="e">
        <f t="shared" si="6"/>
        <v>#REF!</v>
      </c>
      <c r="T14" s="17" t="e">
        <f t="shared" si="6"/>
        <v>#REF!</v>
      </c>
      <c r="U14" s="19" t="e">
        <f t="shared" si="6"/>
        <v>#REF!</v>
      </c>
      <c r="V14" s="17" t="e">
        <f t="shared" si="6"/>
        <v>#REF!</v>
      </c>
      <c r="W14" s="19" t="e">
        <f t="shared" si="6"/>
        <v>#REF!</v>
      </c>
      <c r="X14" s="17" t="e">
        <f t="shared" si="6"/>
        <v>#REF!</v>
      </c>
      <c r="Y14" s="19" t="e">
        <f t="shared" si="6"/>
        <v>#REF!</v>
      </c>
      <c r="Z14" s="20" t="e">
        <f>X14</f>
        <v>#REF!</v>
      </c>
    </row>
    <row r="15" spans="1:26" ht="24" customHeight="1">
      <c r="A15" s="1276">
        <v>6</v>
      </c>
      <c r="B15" s="1287" t="s">
        <v>15</v>
      </c>
      <c r="C15" s="12" t="s">
        <v>10</v>
      </c>
      <c r="D15" s="13">
        <f>D9</f>
        <v>0</v>
      </c>
      <c r="E15" s="14" t="e">
        <f>D15/$Z$16</f>
        <v>#REF!</v>
      </c>
      <c r="F15" s="13" t="e">
        <f>F9</f>
        <v>#REF!</v>
      </c>
      <c r="G15" s="14" t="e">
        <f>F15/$Z$16</f>
        <v>#REF!</v>
      </c>
      <c r="H15" s="13" t="e">
        <f>H9</f>
        <v>#REF!</v>
      </c>
      <c r="I15" s="14" t="e">
        <f>H15/$Z$16</f>
        <v>#REF!</v>
      </c>
      <c r="J15" s="13" t="e">
        <f>J9</f>
        <v>#REF!</v>
      </c>
      <c r="K15" s="14" t="e">
        <f>J15/$Z$16</f>
        <v>#REF!</v>
      </c>
      <c r="L15" s="13" t="e">
        <f>L9</f>
        <v>#REF!</v>
      </c>
      <c r="M15" s="14" t="e">
        <f>L15/$Z$16</f>
        <v>#REF!</v>
      </c>
      <c r="N15" s="13" t="e">
        <f>N9</f>
        <v>#REF!</v>
      </c>
      <c r="O15" s="14" t="e">
        <f>N15/$Z$16</f>
        <v>#REF!</v>
      </c>
      <c r="P15" s="13" t="e">
        <f>P9</f>
        <v>#REF!</v>
      </c>
      <c r="Q15" s="14" t="e">
        <f>Q5</f>
        <v>#REF!</v>
      </c>
      <c r="R15" s="13" t="e">
        <f>R9</f>
        <v>#REF!</v>
      </c>
      <c r="S15" s="14" t="e">
        <f>S5</f>
        <v>#REF!</v>
      </c>
      <c r="T15" s="13" t="e">
        <f>T9</f>
        <v>#REF!</v>
      </c>
      <c r="U15" s="14" t="e">
        <f>U5</f>
        <v>#REF!</v>
      </c>
      <c r="V15" s="13" t="e">
        <f>V9</f>
        <v>#REF!</v>
      </c>
      <c r="W15" s="14" t="e">
        <f>W5</f>
        <v>#REF!</v>
      </c>
      <c r="X15" s="13" t="e">
        <f>X9</f>
        <v>#REF!</v>
      </c>
      <c r="Y15" s="14" t="e">
        <f>Y5</f>
        <v>#REF!</v>
      </c>
      <c r="Z15" s="15"/>
    </row>
    <row r="16" spans="1:26" ht="24" customHeight="1">
      <c r="A16" s="1276"/>
      <c r="B16" s="1288"/>
      <c r="C16" s="16" t="s">
        <v>11</v>
      </c>
      <c r="D16" s="17">
        <f>D15</f>
        <v>0</v>
      </c>
      <c r="E16" s="18" t="e">
        <f>E15</f>
        <v>#REF!</v>
      </c>
      <c r="F16" s="17" t="e">
        <f>D16+F15</f>
        <v>#REF!</v>
      </c>
      <c r="G16" s="19" t="e">
        <f>E16+G15</f>
        <v>#REF!</v>
      </c>
      <c r="H16" s="17" t="e">
        <f t="shared" ref="H16:V16" si="7">F16+H15</f>
        <v>#REF!</v>
      </c>
      <c r="I16" s="19" t="e">
        <f>G16+I15</f>
        <v>#REF!</v>
      </c>
      <c r="J16" s="17" t="e">
        <f t="shared" si="7"/>
        <v>#REF!</v>
      </c>
      <c r="K16" s="19" t="e">
        <f>I16+K15</f>
        <v>#REF!</v>
      </c>
      <c r="L16" s="17" t="e">
        <f t="shared" si="7"/>
        <v>#REF!</v>
      </c>
      <c r="M16" s="19" t="e">
        <f>K16+M15</f>
        <v>#REF!</v>
      </c>
      <c r="N16" s="17" t="e">
        <f t="shared" si="7"/>
        <v>#REF!</v>
      </c>
      <c r="O16" s="19" t="e">
        <f>M16+O15</f>
        <v>#REF!</v>
      </c>
      <c r="P16" s="17" t="e">
        <f t="shared" si="7"/>
        <v>#REF!</v>
      </c>
      <c r="Q16" s="19" t="e">
        <f>O16+Q15</f>
        <v>#REF!</v>
      </c>
      <c r="R16" s="17" t="e">
        <f t="shared" si="7"/>
        <v>#REF!</v>
      </c>
      <c r="S16" s="19" t="e">
        <f>Q16+S15</f>
        <v>#REF!</v>
      </c>
      <c r="T16" s="17" t="e">
        <f t="shared" si="7"/>
        <v>#REF!</v>
      </c>
      <c r="U16" s="18" t="e">
        <f>S16+U15</f>
        <v>#REF!</v>
      </c>
      <c r="V16" s="17" t="e">
        <f t="shared" si="7"/>
        <v>#REF!</v>
      </c>
      <c r="W16" s="18" t="e">
        <f>U16+W15</f>
        <v>#REF!</v>
      </c>
      <c r="X16" s="17" t="e">
        <f>V16+X15</f>
        <v>#REF!</v>
      </c>
      <c r="Y16" s="18" t="e">
        <f>W16+Y15</f>
        <v>#REF!</v>
      </c>
      <c r="Z16" s="20" t="e">
        <f>X16</f>
        <v>#REF!</v>
      </c>
    </row>
    <row r="17" spans="1:38" s="330" customFormat="1" ht="24" customHeight="1">
      <c r="A17" s="1276">
        <v>7</v>
      </c>
      <c r="B17" s="1287" t="s">
        <v>16</v>
      </c>
      <c r="C17" s="326" t="s">
        <v>10</v>
      </c>
      <c r="D17" s="327" t="e">
        <f>'Key Assumptions'!#REF!</f>
        <v>#REF!</v>
      </c>
      <c r="E17" s="328" t="e">
        <f>D17/$Z$18</f>
        <v>#REF!</v>
      </c>
      <c r="F17" s="327" t="e">
        <f>'Key Assumptions'!#REF!</f>
        <v>#REF!</v>
      </c>
      <c r="G17" s="328" t="e">
        <f>F17/$Z$18</f>
        <v>#REF!</v>
      </c>
      <c r="H17" s="327" t="e">
        <f>'Key Assumptions'!#REF!</f>
        <v>#REF!</v>
      </c>
      <c r="I17" s="328" t="e">
        <f>H17/$Z$18</f>
        <v>#REF!</v>
      </c>
      <c r="J17" s="327" t="e">
        <f>'Key Assumptions'!#REF!</f>
        <v>#REF!</v>
      </c>
      <c r="K17" s="328" t="e">
        <f>J17/$Z$18</f>
        <v>#REF!</v>
      </c>
      <c r="L17" s="327" t="e">
        <f>'Key Assumptions'!#REF!</f>
        <v>#REF!</v>
      </c>
      <c r="M17" s="328" t="e">
        <f>L17/$Z$18</f>
        <v>#REF!</v>
      </c>
      <c r="N17" s="327" t="e">
        <f>'Key Assumptions'!#REF!</f>
        <v>#REF!</v>
      </c>
      <c r="O17" s="328" t="e">
        <f>N17/$Z$18</f>
        <v>#REF!</v>
      </c>
      <c r="P17" s="327" t="e">
        <f>'Key Assumptions'!#REF!</f>
        <v>#REF!</v>
      </c>
      <c r="Q17" s="328" t="e">
        <f>P17/$Z$18</f>
        <v>#REF!</v>
      </c>
      <c r="R17" s="327" t="e">
        <f>'Key Assumptions'!#REF!</f>
        <v>#REF!</v>
      </c>
      <c r="S17" s="328" t="e">
        <f>R17/$Z$18</f>
        <v>#REF!</v>
      </c>
      <c r="T17" s="327" t="e">
        <f>'Key Assumptions'!#REF!</f>
        <v>#REF!</v>
      </c>
      <c r="U17" s="328" t="e">
        <f>T17/$Z$18</f>
        <v>#REF!</v>
      </c>
      <c r="V17" s="327" t="e">
        <f>'Key Assumptions'!#REF!</f>
        <v>#REF!</v>
      </c>
      <c r="W17" s="328" t="e">
        <f>V17/$Z$18</f>
        <v>#REF!</v>
      </c>
      <c r="X17" s="327" t="e">
        <f>'Key Assumptions'!#REF!</f>
        <v>#REF!</v>
      </c>
      <c r="Y17" s="328" t="e">
        <f>X17/$Z$18</f>
        <v>#REF!</v>
      </c>
      <c r="Z17" s="329"/>
    </row>
    <row r="18" spans="1:38" ht="24" customHeight="1">
      <c r="A18" s="1276"/>
      <c r="B18" s="1288"/>
      <c r="C18" s="16" t="s">
        <v>11</v>
      </c>
      <c r="D18" s="17" t="e">
        <f>D17</f>
        <v>#REF!</v>
      </c>
      <c r="E18" s="18" t="e">
        <f>E17</f>
        <v>#REF!</v>
      </c>
      <c r="F18" s="17" t="e">
        <f t="shared" ref="F18:Y18" si="8">D18+F17</f>
        <v>#REF!</v>
      </c>
      <c r="G18" s="19" t="e">
        <f t="shared" si="8"/>
        <v>#REF!</v>
      </c>
      <c r="H18" s="17" t="e">
        <f t="shared" si="8"/>
        <v>#REF!</v>
      </c>
      <c r="I18" s="19" t="e">
        <f t="shared" si="8"/>
        <v>#REF!</v>
      </c>
      <c r="J18" s="17" t="e">
        <f t="shared" si="8"/>
        <v>#REF!</v>
      </c>
      <c r="K18" s="19" t="e">
        <f t="shared" si="8"/>
        <v>#REF!</v>
      </c>
      <c r="L18" s="17" t="e">
        <f t="shared" si="8"/>
        <v>#REF!</v>
      </c>
      <c r="M18" s="19" t="e">
        <f t="shared" si="8"/>
        <v>#REF!</v>
      </c>
      <c r="N18" s="17" t="e">
        <f t="shared" si="8"/>
        <v>#REF!</v>
      </c>
      <c r="O18" s="19" t="e">
        <f t="shared" si="8"/>
        <v>#REF!</v>
      </c>
      <c r="P18" s="17" t="e">
        <f t="shared" si="8"/>
        <v>#REF!</v>
      </c>
      <c r="Q18" s="19" t="e">
        <f t="shared" si="8"/>
        <v>#REF!</v>
      </c>
      <c r="R18" s="17" t="e">
        <f t="shared" si="8"/>
        <v>#REF!</v>
      </c>
      <c r="S18" s="19" t="e">
        <f t="shared" si="8"/>
        <v>#REF!</v>
      </c>
      <c r="T18" s="17" t="e">
        <f t="shared" si="8"/>
        <v>#REF!</v>
      </c>
      <c r="U18" s="19" t="e">
        <f t="shared" si="8"/>
        <v>#REF!</v>
      </c>
      <c r="V18" s="17" t="e">
        <f t="shared" si="8"/>
        <v>#REF!</v>
      </c>
      <c r="W18" s="19" t="e">
        <f t="shared" si="8"/>
        <v>#REF!</v>
      </c>
      <c r="X18" s="17" t="e">
        <f t="shared" si="8"/>
        <v>#REF!</v>
      </c>
      <c r="Y18" s="19" t="e">
        <f t="shared" si="8"/>
        <v>#REF!</v>
      </c>
      <c r="Z18" s="20" t="e">
        <f>X18</f>
        <v>#REF!</v>
      </c>
    </row>
    <row r="19" spans="1:38" s="330" customFormat="1" ht="24" customHeight="1">
      <c r="A19" s="1276">
        <v>8</v>
      </c>
      <c r="B19" s="1287" t="s">
        <v>17</v>
      </c>
      <c r="C19" s="326" t="s">
        <v>10</v>
      </c>
      <c r="D19" s="327">
        <f>'Revenue Assumptions'!D31</f>
        <v>0</v>
      </c>
      <c r="E19" s="328">
        <f>D19/$Z$20</f>
        <v>0</v>
      </c>
      <c r="F19" s="327">
        <f>'Revenue Assumptions'!E31</f>
        <v>5100</v>
      </c>
      <c r="G19" s="328">
        <f>F19/$Z$20</f>
        <v>0.16574585635359115</v>
      </c>
      <c r="H19" s="327">
        <f>'Revenue Assumptions'!F31</f>
        <v>1010</v>
      </c>
      <c r="I19" s="328">
        <f>H19/$Z$20</f>
        <v>3.2824179395515109E-2</v>
      </c>
      <c r="J19" s="327">
        <f>'Revenue Assumptions'!G31</f>
        <v>700</v>
      </c>
      <c r="K19" s="328">
        <f>J19/$Z$20</f>
        <v>2.2749431264218394E-2</v>
      </c>
      <c r="L19" s="327">
        <f>'Revenue Assumptions'!H31</f>
        <v>2970</v>
      </c>
      <c r="M19" s="328">
        <f>L19/$Z$20</f>
        <v>9.6522586935326615E-2</v>
      </c>
      <c r="N19" s="327">
        <f>'Revenue Assumptions'!I31</f>
        <v>4200</v>
      </c>
      <c r="O19" s="328">
        <f>N19/$Z$20</f>
        <v>0.13649658758531036</v>
      </c>
      <c r="P19" s="327">
        <f>'Revenue Assumptions'!J31</f>
        <v>4200</v>
      </c>
      <c r="Q19" s="328">
        <f>P19/$Z$20</f>
        <v>0.13649658758531036</v>
      </c>
      <c r="R19" s="327">
        <f>'Revenue Assumptions'!K31</f>
        <v>3240</v>
      </c>
      <c r="S19" s="328">
        <f>R19/$Z$20</f>
        <v>0.10529736756581086</v>
      </c>
      <c r="T19" s="327">
        <f>'Revenue Assumptions'!L31</f>
        <v>3120</v>
      </c>
      <c r="U19" s="328">
        <f>T19/$Z$20</f>
        <v>0.10139746506337341</v>
      </c>
      <c r="V19" s="327">
        <f>'Revenue Assumptions'!M31</f>
        <v>3110</v>
      </c>
      <c r="W19" s="328">
        <f>V19/$Z$20</f>
        <v>0.10107247318817029</v>
      </c>
      <c r="X19" s="327">
        <f>'Revenue Assumptions'!N31</f>
        <v>3120</v>
      </c>
      <c r="Y19" s="328">
        <f>X19/$Z$20</f>
        <v>0.10139746506337341</v>
      </c>
      <c r="Z19" s="329"/>
    </row>
    <row r="20" spans="1:38" ht="24" customHeight="1">
      <c r="A20" s="1276"/>
      <c r="B20" s="1288"/>
      <c r="C20" s="157" t="s">
        <v>11</v>
      </c>
      <c r="D20" s="21">
        <f>D19</f>
        <v>0</v>
      </c>
      <c r="E20" s="166">
        <f>E19</f>
        <v>0</v>
      </c>
      <c r="F20" s="21">
        <f>F19+D20</f>
        <v>5100</v>
      </c>
      <c r="G20" s="22">
        <f t="shared" ref="G20:W20" si="9">E20+G19</f>
        <v>0.16574585635359115</v>
      </c>
      <c r="H20" s="21">
        <f t="shared" si="9"/>
        <v>6110</v>
      </c>
      <c r="I20" s="22">
        <f t="shared" si="9"/>
        <v>0.19857003574910626</v>
      </c>
      <c r="J20" s="21">
        <f t="shared" si="9"/>
        <v>6810</v>
      </c>
      <c r="K20" s="22">
        <f t="shared" si="9"/>
        <v>0.22131946701332464</v>
      </c>
      <c r="L20" s="21">
        <f t="shared" si="9"/>
        <v>9780</v>
      </c>
      <c r="M20" s="22">
        <f t="shared" si="9"/>
        <v>0.31784205394865128</v>
      </c>
      <c r="N20" s="21">
        <f t="shared" si="9"/>
        <v>13980</v>
      </c>
      <c r="O20" s="22">
        <f t="shared" si="9"/>
        <v>0.45433864153396164</v>
      </c>
      <c r="P20" s="21">
        <f t="shared" si="9"/>
        <v>18180</v>
      </c>
      <c r="Q20" s="22">
        <f t="shared" si="9"/>
        <v>0.590835229119272</v>
      </c>
      <c r="R20" s="21">
        <f t="shared" si="9"/>
        <v>21420</v>
      </c>
      <c r="S20" s="22">
        <f t="shared" si="9"/>
        <v>0.69613259668508287</v>
      </c>
      <c r="T20" s="21">
        <f t="shared" si="9"/>
        <v>24540</v>
      </c>
      <c r="U20" s="22">
        <f t="shared" si="9"/>
        <v>0.79753006174845631</v>
      </c>
      <c r="V20" s="21">
        <f t="shared" si="9"/>
        <v>27650</v>
      </c>
      <c r="W20" s="22">
        <f t="shared" si="9"/>
        <v>0.89860253493662656</v>
      </c>
      <c r="X20" s="21">
        <f>V20+X19</f>
        <v>30770</v>
      </c>
      <c r="Y20" s="22">
        <f>W20+Y19</f>
        <v>1</v>
      </c>
      <c r="Z20" s="20">
        <f>X20</f>
        <v>30770</v>
      </c>
      <c r="AA20" s="158">
        <f>Z20-'Revenue Assumptions'!O31</f>
        <v>0</v>
      </c>
    </row>
    <row r="21" spans="1:38" s="325" customFormat="1" ht="24" customHeight="1">
      <c r="A21" s="1276">
        <v>9</v>
      </c>
      <c r="B21" s="1287" t="s">
        <v>239</v>
      </c>
      <c r="C21" s="321" t="s">
        <v>10</v>
      </c>
      <c r="D21" s="322">
        <f>'Revenue Assumptions'!D15</f>
        <v>0</v>
      </c>
      <c r="E21" s="323">
        <f>D21/$Z$22</f>
        <v>0</v>
      </c>
      <c r="F21" s="322">
        <f>'Revenue Assumptions'!E15</f>
        <v>200</v>
      </c>
      <c r="G21" s="323">
        <f>F21/$Z$22</f>
        <v>2.5316455696202532E-3</v>
      </c>
      <c r="H21" s="322">
        <f>'Revenue Assumptions'!F15</f>
        <v>1200</v>
      </c>
      <c r="I21" s="323">
        <f>H21/$Z$22</f>
        <v>1.5189873417721518E-2</v>
      </c>
      <c r="J21" s="322">
        <f>'Revenue Assumptions'!G15</f>
        <v>2400</v>
      </c>
      <c r="K21" s="323">
        <f>J21/$Z$22</f>
        <v>3.0379746835443037E-2</v>
      </c>
      <c r="L21" s="322">
        <f>'Revenue Assumptions'!H15</f>
        <v>3200</v>
      </c>
      <c r="M21" s="323">
        <f>L21/$Z$22</f>
        <v>4.0506329113924051E-2</v>
      </c>
      <c r="N21" s="322">
        <f>'Revenue Assumptions'!I15</f>
        <v>8000</v>
      </c>
      <c r="O21" s="323">
        <f>N21/$Z$22</f>
        <v>0.10126582278481013</v>
      </c>
      <c r="P21" s="322">
        <f>'Revenue Assumptions'!J15</f>
        <v>9600</v>
      </c>
      <c r="Q21" s="323">
        <f>P21/$Z$22</f>
        <v>0.12151898734177215</v>
      </c>
      <c r="R21" s="322">
        <f>'Revenue Assumptions'!K15</f>
        <v>11200</v>
      </c>
      <c r="S21" s="323">
        <f>R21/$Z$22</f>
        <v>0.14177215189873418</v>
      </c>
      <c r="T21" s="322">
        <f>'Revenue Assumptions'!L15</f>
        <v>12800</v>
      </c>
      <c r="U21" s="323">
        <f>T21/$Z$22</f>
        <v>0.16202531645569621</v>
      </c>
      <c r="V21" s="322">
        <f>'Revenue Assumptions'!M15</f>
        <v>14400</v>
      </c>
      <c r="W21" s="323">
        <f>V21/$Z$22</f>
        <v>0.18227848101265823</v>
      </c>
      <c r="X21" s="322">
        <f>'Revenue Assumptions'!N15</f>
        <v>16000</v>
      </c>
      <c r="Y21" s="323">
        <f>X21/$Z$22</f>
        <v>0.20253164556962025</v>
      </c>
      <c r="Z21" s="324"/>
      <c r="AA21" s="331"/>
    </row>
    <row r="22" spans="1:38" ht="24" customHeight="1">
      <c r="A22" s="1276"/>
      <c r="B22" s="1288"/>
      <c r="C22" s="16" t="s">
        <v>11</v>
      </c>
      <c r="D22" s="17"/>
      <c r="E22" s="18">
        <v>0</v>
      </c>
      <c r="F22" s="17">
        <f t="shared" ref="F22:W22" si="10">D22+F21</f>
        <v>200</v>
      </c>
      <c r="G22" s="18">
        <f t="shared" si="10"/>
        <v>2.5316455696202532E-3</v>
      </c>
      <c r="H22" s="17">
        <f t="shared" si="10"/>
        <v>1400</v>
      </c>
      <c r="I22" s="18">
        <f t="shared" si="10"/>
        <v>1.7721518987341773E-2</v>
      </c>
      <c r="J22" s="17">
        <f t="shared" si="10"/>
        <v>3800</v>
      </c>
      <c r="K22" s="18">
        <f t="shared" si="10"/>
        <v>4.810126582278481E-2</v>
      </c>
      <c r="L22" s="17">
        <f t="shared" si="10"/>
        <v>7000</v>
      </c>
      <c r="M22" s="18">
        <f t="shared" si="10"/>
        <v>8.8607594936708861E-2</v>
      </c>
      <c r="N22" s="17">
        <f t="shared" si="10"/>
        <v>15000</v>
      </c>
      <c r="O22" s="18">
        <f t="shared" si="10"/>
        <v>0.189873417721519</v>
      </c>
      <c r="P22" s="17">
        <f t="shared" si="10"/>
        <v>24600</v>
      </c>
      <c r="Q22" s="18">
        <f t="shared" si="10"/>
        <v>0.31139240506329113</v>
      </c>
      <c r="R22" s="17">
        <f t="shared" si="10"/>
        <v>35800</v>
      </c>
      <c r="S22" s="18">
        <f t="shared" si="10"/>
        <v>0.45316455696202529</v>
      </c>
      <c r="T22" s="17">
        <f t="shared" si="10"/>
        <v>48600</v>
      </c>
      <c r="U22" s="18">
        <f t="shared" si="10"/>
        <v>0.61518987341772147</v>
      </c>
      <c r="V22" s="17">
        <f t="shared" si="10"/>
        <v>63000</v>
      </c>
      <c r="W22" s="18">
        <f t="shared" si="10"/>
        <v>0.79746835443037967</v>
      </c>
      <c r="X22" s="17">
        <f>V22+X21</f>
        <v>79000</v>
      </c>
      <c r="Y22" s="18">
        <f>W22+Y21</f>
        <v>0.99999999999999989</v>
      </c>
      <c r="Z22" s="20">
        <f>X22</f>
        <v>79000</v>
      </c>
      <c r="AA22" s="158"/>
    </row>
    <row r="23" spans="1:38" s="375" customFormat="1" ht="24" customHeight="1">
      <c r="A23" s="1276">
        <v>10</v>
      </c>
      <c r="B23" s="1287" t="s">
        <v>18</v>
      </c>
      <c r="C23" s="370" t="s">
        <v>10</v>
      </c>
      <c r="D23" s="371">
        <v>0</v>
      </c>
      <c r="E23" s="372">
        <f>D23/$Z$24</f>
        <v>0</v>
      </c>
      <c r="F23" s="371">
        <f>'Revenue Assumptions'!E24+'Revenue Assumptions'!E17</f>
        <v>330000</v>
      </c>
      <c r="G23" s="372">
        <f>F23/$Z$24</f>
        <v>2.9004614370468029E-2</v>
      </c>
      <c r="H23" s="371">
        <f>'Revenue Assumptions'!F24+'Revenue Assumptions'!F17</f>
        <v>380000</v>
      </c>
      <c r="I23" s="372">
        <f>H23/$Z$24</f>
        <v>3.3399252911448032E-2</v>
      </c>
      <c r="J23" s="371">
        <f>'Revenue Assumptions'!G24+'Revenue Assumptions'!G17</f>
        <v>435000</v>
      </c>
      <c r="K23" s="372">
        <f>J23/$Z$24</f>
        <v>3.8233355306526037E-2</v>
      </c>
      <c r="L23" s="371">
        <f>'Revenue Assumptions'!H24+'Revenue Assumptions'!H17</f>
        <v>642500</v>
      </c>
      <c r="M23" s="372">
        <f>L23/$Z$24</f>
        <v>5.6471105251593059E-2</v>
      </c>
      <c r="N23" s="371">
        <f>'Revenue Assumptions'!I24+'Revenue Assumptions'!I17</f>
        <v>920000</v>
      </c>
      <c r="O23" s="372">
        <f>N23/$Z$24</f>
        <v>8.0861349154032078E-2</v>
      </c>
      <c r="P23" s="371">
        <f>'Revenue Assumptions'!J24+'Revenue Assumptions'!J17</f>
        <v>1260000</v>
      </c>
      <c r="Q23" s="372">
        <f>P23/$Z$24</f>
        <v>0.11074489123269611</v>
      </c>
      <c r="R23" s="371">
        <f>'Revenue Assumptions'!K24+'Revenue Assumptions'!K17</f>
        <v>1470000</v>
      </c>
      <c r="S23" s="372">
        <f>R23/$Z$24</f>
        <v>0.12920237310481214</v>
      </c>
      <c r="T23" s="371">
        <f>'Revenue Assumptions'!L24+'Revenue Assumptions'!L17</f>
        <v>1760000</v>
      </c>
      <c r="U23" s="372">
        <f>T23/$Z$24</f>
        <v>0.15469127664249616</v>
      </c>
      <c r="V23" s="371">
        <f>'Revenue Assumptions'!M24+'Revenue Assumptions'!M17</f>
        <v>1980000</v>
      </c>
      <c r="W23" s="372">
        <f>V23/$Z$24</f>
        <v>0.17402768622280818</v>
      </c>
      <c r="X23" s="371">
        <f>'Revenue Assumptions'!N24+'Revenue Assumptions'!N17</f>
        <v>2200000</v>
      </c>
      <c r="Y23" s="372">
        <f>X23/$Z$24</f>
        <v>0.1933640958031202</v>
      </c>
      <c r="Z23" s="373"/>
      <c r="AA23" s="374"/>
    </row>
    <row r="24" spans="1:38" ht="24" customHeight="1">
      <c r="A24" s="1276"/>
      <c r="B24" s="1288"/>
      <c r="C24" s="16" t="s">
        <v>11</v>
      </c>
      <c r="D24" s="17">
        <f>D23</f>
        <v>0</v>
      </c>
      <c r="E24" s="18">
        <f>E23</f>
        <v>0</v>
      </c>
      <c r="F24" s="17">
        <f t="shared" ref="F24:T24" si="11">D24+F23</f>
        <v>330000</v>
      </c>
      <c r="G24" s="18">
        <f>E24+G23</f>
        <v>2.9004614370468029E-2</v>
      </c>
      <c r="H24" s="17">
        <f t="shared" si="11"/>
        <v>710000</v>
      </c>
      <c r="I24" s="18">
        <f>G24+I23</f>
        <v>6.2403867281916062E-2</v>
      </c>
      <c r="J24" s="17">
        <f t="shared" si="11"/>
        <v>1145000</v>
      </c>
      <c r="K24" s="18">
        <f>I24+K23</f>
        <v>0.1006372225884421</v>
      </c>
      <c r="L24" s="17">
        <f t="shared" si="11"/>
        <v>1787500</v>
      </c>
      <c r="M24" s="18">
        <f>K24+M23</f>
        <v>0.15710832784003514</v>
      </c>
      <c r="N24" s="17">
        <f t="shared" si="11"/>
        <v>2707500</v>
      </c>
      <c r="O24" s="18">
        <f>M24+O23</f>
        <v>0.23796967699406724</v>
      </c>
      <c r="P24" s="17">
        <f t="shared" si="11"/>
        <v>3967500</v>
      </c>
      <c r="Q24" s="18">
        <f>O24+Q23</f>
        <v>0.34871456822676333</v>
      </c>
      <c r="R24" s="17">
        <f t="shared" si="11"/>
        <v>5437500</v>
      </c>
      <c r="S24" s="18">
        <f>Q24+S23</f>
        <v>0.47791694133157547</v>
      </c>
      <c r="T24" s="17">
        <f t="shared" si="11"/>
        <v>7197500</v>
      </c>
      <c r="U24" s="18">
        <f>S24+U23</f>
        <v>0.63260821797407163</v>
      </c>
      <c r="V24" s="17">
        <f>T24+V23</f>
        <v>9177500</v>
      </c>
      <c r="W24" s="18">
        <f>U24+W23</f>
        <v>0.8066359041968798</v>
      </c>
      <c r="X24" s="17">
        <f>V24+X23</f>
        <v>11377500</v>
      </c>
      <c r="Y24" s="18">
        <f>W24+Y23</f>
        <v>1</v>
      </c>
      <c r="Z24" s="20">
        <f>X24</f>
        <v>11377500</v>
      </c>
      <c r="AA24" s="158"/>
    </row>
    <row r="25" spans="1:38" ht="42" customHeight="1">
      <c r="A25" s="160">
        <v>11</v>
      </c>
      <c r="B25" s="358" t="s">
        <v>19</v>
      </c>
      <c r="C25" s="157" t="s">
        <v>10</v>
      </c>
      <c r="D25" s="21"/>
      <c r="E25" s="156">
        <v>0</v>
      </c>
      <c r="F25" s="21"/>
      <c r="G25" s="156">
        <v>0.95</v>
      </c>
      <c r="H25" s="21"/>
      <c r="I25" s="156">
        <v>0.8</v>
      </c>
      <c r="J25" s="21"/>
      <c r="K25" s="156">
        <v>0.9</v>
      </c>
      <c r="L25" s="21"/>
      <c r="M25" s="156">
        <v>0.9</v>
      </c>
      <c r="N25" s="21"/>
      <c r="O25" s="156">
        <v>0.9</v>
      </c>
      <c r="P25" s="21"/>
      <c r="Q25" s="156">
        <v>0.85</v>
      </c>
      <c r="R25" s="21"/>
      <c r="S25" s="156">
        <v>0.85</v>
      </c>
      <c r="T25" s="21"/>
      <c r="U25" s="156">
        <v>0.85</v>
      </c>
      <c r="V25" s="21"/>
      <c r="W25" s="156">
        <v>0.85</v>
      </c>
      <c r="X25" s="222"/>
      <c r="Y25" s="222">
        <v>0.85</v>
      </c>
      <c r="Z25" s="25"/>
    </row>
    <row r="27" spans="1:38" ht="15" hidden="1">
      <c r="B27" s="147"/>
      <c r="C27" s="148"/>
      <c r="D27" s="149"/>
      <c r="E27" s="148"/>
      <c r="F27" s="150"/>
      <c r="G27" s="148"/>
      <c r="H27" s="150"/>
      <c r="I27" s="148"/>
      <c r="J27" s="150"/>
      <c r="K27" s="148"/>
      <c r="L27" s="150"/>
      <c r="M27" s="148"/>
      <c r="N27" s="150"/>
      <c r="O27" s="148"/>
      <c r="P27" s="150"/>
      <c r="Q27" s="148"/>
      <c r="R27" s="150"/>
      <c r="S27" s="148"/>
      <c r="T27" s="150"/>
      <c r="U27" s="148"/>
      <c r="V27" s="150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</row>
    <row r="28" spans="1:38" ht="15" hidden="1">
      <c r="B28" s="151"/>
      <c r="C28" s="148"/>
      <c r="D28" s="150"/>
      <c r="E28" s="148"/>
      <c r="F28" s="150"/>
      <c r="G28" s="152"/>
      <c r="H28" s="150"/>
      <c r="I28" s="152"/>
      <c r="J28" s="150"/>
      <c r="K28" s="152"/>
      <c r="L28" s="150"/>
      <c r="M28" s="152"/>
      <c r="N28" s="150"/>
      <c r="O28" s="152"/>
      <c r="P28" s="150"/>
      <c r="Q28" s="152"/>
      <c r="R28" s="150"/>
      <c r="S28" s="152"/>
      <c r="T28" s="150"/>
      <c r="U28" s="152"/>
      <c r="V28" s="153"/>
      <c r="W28" s="152"/>
      <c r="X28" s="152"/>
      <c r="Y28" s="152"/>
      <c r="Z28" s="115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</row>
    <row r="29" spans="1:38" hidden="1">
      <c r="Z29" s="27"/>
    </row>
    <row r="30" spans="1:38">
      <c r="B30" s="187"/>
      <c r="I30" s="26"/>
      <c r="W30" s="28"/>
      <c r="X30" s="28"/>
      <c r="Y30" s="28"/>
    </row>
    <row r="31" spans="1:38">
      <c r="B31" s="187"/>
      <c r="C31" s="27"/>
      <c r="I31" s="26"/>
      <c r="W31" s="28"/>
      <c r="X31" s="28"/>
      <c r="Y31" s="28"/>
    </row>
    <row r="32" spans="1:38">
      <c r="B32" s="187"/>
      <c r="C32" s="27"/>
      <c r="I32" s="26"/>
      <c r="K32" s="26"/>
      <c r="M32" s="26"/>
      <c r="O32" s="26"/>
      <c r="Q32" s="26"/>
      <c r="S32" s="26"/>
      <c r="U32" s="26"/>
      <c r="W32" s="28"/>
      <c r="X32" s="28"/>
      <c r="Y32" s="28"/>
    </row>
    <row r="33" spans="2:27">
      <c r="D33" s="1"/>
      <c r="F33" s="1"/>
      <c r="H33" s="1"/>
      <c r="J33" s="1"/>
      <c r="L33" s="1"/>
      <c r="N33" s="1"/>
      <c r="P33" s="1"/>
      <c r="R33" s="1"/>
      <c r="T33" s="1"/>
      <c r="V33" s="1"/>
    </row>
    <row r="34" spans="2:27">
      <c r="W34" s="28"/>
      <c r="X34" s="28"/>
      <c r="Y34" s="28"/>
    </row>
    <row r="43" spans="2:27">
      <c r="B43" s="1"/>
    </row>
    <row r="44" spans="2:27">
      <c r="B44" s="3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9"/>
      <c r="P44" s="29"/>
      <c r="Q44" s="29"/>
      <c r="R44" s="29"/>
    </row>
    <row r="45" spans="2:27">
      <c r="B45" s="3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29"/>
      <c r="P45" s="29"/>
      <c r="Q45" s="29"/>
      <c r="R45" s="29"/>
      <c r="AA45" s="30"/>
    </row>
    <row r="49" spans="6:14" ht="15">
      <c r="F49" s="31"/>
      <c r="G49" s="32"/>
      <c r="H49" s="31"/>
      <c r="I49" s="32"/>
      <c r="J49" s="31"/>
      <c r="K49" s="32"/>
      <c r="L49" s="31"/>
      <c r="M49" s="32"/>
      <c r="N49" s="31"/>
    </row>
    <row r="50" spans="6:14" ht="15">
      <c r="F50" s="33"/>
      <c r="G50" s="33"/>
      <c r="H50" s="33"/>
      <c r="I50" s="33"/>
      <c r="J50" s="33"/>
      <c r="K50" s="33"/>
      <c r="L50" s="33"/>
      <c r="M50" s="33"/>
      <c r="N50" s="33"/>
    </row>
    <row r="62" spans="6:14" ht="15">
      <c r="H62" s="34"/>
    </row>
  </sheetData>
  <mergeCells count="35">
    <mergeCell ref="A23:A24"/>
    <mergeCell ref="B23:B24"/>
    <mergeCell ref="A19:A20"/>
    <mergeCell ref="B19:B20"/>
    <mergeCell ref="A21:A22"/>
    <mergeCell ref="B21:B22"/>
    <mergeCell ref="A15:A16"/>
    <mergeCell ref="B15:B16"/>
    <mergeCell ref="A17:A18"/>
    <mergeCell ref="B17:B18"/>
    <mergeCell ref="A9:A10"/>
    <mergeCell ref="B9:B10"/>
    <mergeCell ref="A11:A12"/>
    <mergeCell ref="B11:B12"/>
    <mergeCell ref="A13:A14"/>
    <mergeCell ref="B13:B14"/>
    <mergeCell ref="A7:A8"/>
    <mergeCell ref="B7:B8"/>
    <mergeCell ref="J3:K3"/>
    <mergeCell ref="L3:M3"/>
    <mergeCell ref="N3:O3"/>
    <mergeCell ref="B3:B4"/>
    <mergeCell ref="C3:C4"/>
    <mergeCell ref="D3:E3"/>
    <mergeCell ref="F3:G3"/>
    <mergeCell ref="H3:I3"/>
    <mergeCell ref="A3:A4"/>
    <mergeCell ref="A1:Z1"/>
    <mergeCell ref="T3:U3"/>
    <mergeCell ref="V3:W3"/>
    <mergeCell ref="A5:A6"/>
    <mergeCell ref="B5:B6"/>
    <mergeCell ref="P3:Q3"/>
    <mergeCell ref="R3:S3"/>
    <mergeCell ref="X3:Y3"/>
  </mergeCells>
  <pageMargins left="0.32" right="0.38" top="0.52" bottom="0.75" header="0.3" footer="0.3"/>
  <pageSetup paperSize="5" scale="5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2:R42"/>
  <sheetViews>
    <sheetView topLeftCell="A2" zoomScale="85" zoomScaleNormal="85" workbookViewId="0">
      <pane xSplit="3" ySplit="2" topLeftCell="D23" activePane="bottomRight" state="frozen"/>
      <selection activeCell="A2" sqref="A2"/>
      <selection pane="topRight" activeCell="D2" sqref="D2"/>
      <selection pane="bottomLeft" activeCell="A5" sqref="A5"/>
      <selection pane="bottomRight" activeCell="I27" sqref="I27"/>
    </sheetView>
  </sheetViews>
  <sheetFormatPr defaultColWidth="15.5703125" defaultRowHeight="15"/>
  <cols>
    <col min="1" max="1" width="9.140625" style="251" customWidth="1"/>
    <col min="2" max="2" width="46.28515625" style="251" customWidth="1"/>
    <col min="3" max="3" width="10.42578125" style="251" customWidth="1"/>
    <col min="4" max="4" width="10.140625" style="251" customWidth="1"/>
    <col min="5" max="6" width="12.7109375" style="251" bestFit="1" customWidth="1"/>
    <col min="7" max="7" width="12.7109375" style="251" customWidth="1"/>
    <col min="8" max="8" width="14.28515625" style="251" customWidth="1"/>
    <col min="9" max="9" width="14.28515625" style="251" bestFit="1" customWidth="1"/>
    <col min="10" max="13" width="14.42578125" style="251" customWidth="1"/>
    <col min="14" max="14" width="14.42578125" style="251" bestFit="1" customWidth="1"/>
    <col min="15" max="15" width="15.42578125" style="251" bestFit="1" customWidth="1"/>
    <col min="16" max="16" width="56" style="257" bestFit="1" customWidth="1"/>
    <col min="17" max="17" width="11.5703125" style="251" bestFit="1" customWidth="1"/>
    <col min="18" max="18" width="10.5703125" style="251" bestFit="1" customWidth="1"/>
    <col min="19" max="242" width="9.140625" style="251" customWidth="1"/>
    <col min="243" max="243" width="32.7109375" style="251" bestFit="1" customWidth="1"/>
    <col min="244" max="246" width="21.42578125" style="251" customWidth="1"/>
    <col min="247" max="247" width="23.5703125" style="251" customWidth="1"/>
    <col min="248" max="248" width="9.42578125" style="251" customWidth="1"/>
    <col min="249" max="249" width="15.28515625" style="251" bestFit="1" customWidth="1"/>
    <col min="250" max="250" width="8" style="251" customWidth="1"/>
    <col min="251" max="251" width="12.5703125" style="251" bestFit="1" customWidth="1"/>
    <col min="252" max="252" width="11.85546875" style="251" customWidth="1"/>
    <col min="253" max="16384" width="15.5703125" style="251"/>
  </cols>
  <sheetData>
    <row r="2" spans="1:16" ht="30.75" customHeight="1">
      <c r="A2" s="1290" t="s">
        <v>331</v>
      </c>
      <c r="B2" s="1290"/>
      <c r="C2" s="1290"/>
      <c r="D2" s="1290"/>
      <c r="E2" s="1290"/>
      <c r="F2" s="1290"/>
      <c r="G2" s="1290"/>
      <c r="H2" s="1290"/>
      <c r="I2" s="1290"/>
      <c r="J2" s="1290"/>
      <c r="K2" s="1290"/>
      <c r="L2" s="1290"/>
      <c r="M2" s="1290"/>
      <c r="N2" s="1290"/>
      <c r="O2" s="1290"/>
    </row>
    <row r="3" spans="1:16" s="252" customFormat="1" ht="25.5">
      <c r="A3" s="353" t="s">
        <v>21</v>
      </c>
      <c r="B3" s="353" t="s">
        <v>5</v>
      </c>
      <c r="C3" s="353"/>
      <c r="D3" s="354" t="s">
        <v>288</v>
      </c>
      <c r="E3" s="354" t="s">
        <v>156</v>
      </c>
      <c r="F3" s="354" t="s">
        <v>157</v>
      </c>
      <c r="G3" s="354" t="s">
        <v>162</v>
      </c>
      <c r="H3" s="354" t="s">
        <v>163</v>
      </c>
      <c r="I3" s="354" t="s">
        <v>164</v>
      </c>
      <c r="J3" s="354" t="s">
        <v>190</v>
      </c>
      <c r="K3" s="354" t="s">
        <v>191</v>
      </c>
      <c r="L3" s="354" t="s">
        <v>192</v>
      </c>
      <c r="M3" s="354" t="s">
        <v>193</v>
      </c>
      <c r="N3" s="354" t="s">
        <v>194</v>
      </c>
      <c r="O3" s="355" t="s">
        <v>291</v>
      </c>
      <c r="P3" s="258"/>
    </row>
    <row r="4" spans="1:16" ht="30">
      <c r="A4" s="241">
        <v>1</v>
      </c>
      <c r="B4" s="253" t="s">
        <v>292</v>
      </c>
      <c r="C4" s="297"/>
      <c r="D4" s="297"/>
      <c r="E4" s="280">
        <v>25</v>
      </c>
      <c r="F4" s="230">
        <v>50</v>
      </c>
      <c r="G4" s="230">
        <v>25</v>
      </c>
      <c r="H4" s="230"/>
      <c r="I4" s="230"/>
      <c r="J4" s="230"/>
      <c r="K4" s="230"/>
      <c r="L4" s="230"/>
      <c r="M4" s="230"/>
      <c r="N4" s="230"/>
      <c r="O4" s="231">
        <f>E4+F4+G4+H4+I4+J4+K4+L4+M4+N4</f>
        <v>100</v>
      </c>
      <c r="P4" s="259"/>
    </row>
    <row r="5" spans="1:16" ht="35.25" customHeight="1">
      <c r="A5" s="241">
        <v>2</v>
      </c>
      <c r="B5" s="303" t="s">
        <v>294</v>
      </c>
      <c r="C5" s="229"/>
      <c r="D5" s="229"/>
      <c r="E5" s="281">
        <v>20</v>
      </c>
      <c r="F5" s="230">
        <v>20</v>
      </c>
      <c r="G5" s="230">
        <v>20</v>
      </c>
      <c r="H5" s="230">
        <v>20</v>
      </c>
      <c r="I5" s="230">
        <v>20</v>
      </c>
      <c r="J5" s="230">
        <v>20</v>
      </c>
      <c r="K5" s="230">
        <v>20</v>
      </c>
      <c r="L5" s="230">
        <v>20</v>
      </c>
      <c r="M5" s="230">
        <v>20</v>
      </c>
      <c r="N5" s="230">
        <v>20</v>
      </c>
      <c r="O5" s="231">
        <f>SUM(E5:N5)</f>
        <v>200</v>
      </c>
      <c r="P5" s="259"/>
    </row>
    <row r="6" spans="1:16" ht="35.25" customHeight="1">
      <c r="A6" s="241">
        <v>3</v>
      </c>
      <c r="B6" s="304" t="s">
        <v>308</v>
      </c>
      <c r="C6" s="229"/>
      <c r="D6" s="229"/>
      <c r="E6" s="282">
        <v>50</v>
      </c>
      <c r="F6" s="247">
        <v>50</v>
      </c>
      <c r="G6" s="247">
        <v>50</v>
      </c>
      <c r="H6" s="247">
        <v>75</v>
      </c>
      <c r="I6" s="247">
        <v>90</v>
      </c>
      <c r="J6" s="247">
        <v>120</v>
      </c>
      <c r="K6" s="247">
        <v>140</v>
      </c>
      <c r="L6" s="247">
        <v>160</v>
      </c>
      <c r="M6" s="247">
        <v>180</v>
      </c>
      <c r="N6" s="247">
        <v>200</v>
      </c>
      <c r="O6" s="231">
        <f>SUM(E6:N6)</f>
        <v>1115</v>
      </c>
      <c r="P6" s="259"/>
    </row>
    <row r="7" spans="1:16" ht="35.25" customHeight="1">
      <c r="A7" s="1293" t="s">
        <v>293</v>
      </c>
      <c r="B7" s="1294"/>
      <c r="C7" s="229"/>
      <c r="D7" s="229"/>
      <c r="E7" s="281"/>
      <c r="F7" s="230"/>
      <c r="G7" s="230"/>
      <c r="H7" s="230"/>
      <c r="I7" s="230"/>
      <c r="J7" s="230"/>
      <c r="K7" s="230"/>
      <c r="L7" s="230"/>
      <c r="M7" s="230"/>
      <c r="N7" s="230"/>
      <c r="O7" s="231"/>
      <c r="P7" s="259"/>
    </row>
    <row r="8" spans="1:16" ht="35.25" customHeight="1">
      <c r="A8" s="241">
        <v>1</v>
      </c>
      <c r="B8" s="304" t="s">
        <v>306</v>
      </c>
      <c r="C8" s="254"/>
      <c r="D8" s="254"/>
      <c r="E8" s="283">
        <v>0.1</v>
      </c>
      <c r="F8" s="234">
        <v>0.1</v>
      </c>
      <c r="G8" s="234">
        <v>0.1</v>
      </c>
      <c r="H8" s="234">
        <v>0.1</v>
      </c>
      <c r="I8" s="234">
        <v>0.2</v>
      </c>
      <c r="J8" s="234">
        <v>0.2</v>
      </c>
      <c r="K8" s="234">
        <v>0.2</v>
      </c>
      <c r="L8" s="234">
        <v>0.2</v>
      </c>
      <c r="M8" s="234">
        <v>0.2</v>
      </c>
      <c r="N8" s="234">
        <v>0.2</v>
      </c>
      <c r="O8" s="235">
        <v>0.2</v>
      </c>
      <c r="P8" s="259"/>
    </row>
    <row r="9" spans="1:16" ht="35.25" customHeight="1">
      <c r="A9" s="241">
        <f>+A8+1</f>
        <v>2</v>
      </c>
      <c r="B9" s="303" t="s">
        <v>295</v>
      </c>
      <c r="C9" s="229"/>
      <c r="D9" s="229"/>
      <c r="E9" s="284">
        <f>E4*E5*E8</f>
        <v>50</v>
      </c>
      <c r="F9" s="236">
        <f>(F5*(F4+E4)+E5*F4)*F8</f>
        <v>250</v>
      </c>
      <c r="G9" s="236">
        <f>(G5*(G4+F4+E4)+SUM(E5+F5)*G4)*G8</f>
        <v>300</v>
      </c>
      <c r="H9" s="236">
        <f t="shared" ref="H9:N9" si="0">(H5*100)*H8</f>
        <v>200</v>
      </c>
      <c r="I9" s="236">
        <f t="shared" si="0"/>
        <v>400</v>
      </c>
      <c r="J9" s="236">
        <f t="shared" si="0"/>
        <v>400</v>
      </c>
      <c r="K9" s="236">
        <f t="shared" si="0"/>
        <v>400</v>
      </c>
      <c r="L9" s="236">
        <f t="shared" si="0"/>
        <v>400</v>
      </c>
      <c r="M9" s="236">
        <f t="shared" si="0"/>
        <v>400</v>
      </c>
      <c r="N9" s="236">
        <f t="shared" si="0"/>
        <v>400</v>
      </c>
      <c r="O9" s="246">
        <f>SUM(E9:N9)</f>
        <v>3200</v>
      </c>
      <c r="P9" s="259"/>
    </row>
    <row r="10" spans="1:16" s="278" customFormat="1" ht="35.25" customHeight="1">
      <c r="A10" s="277">
        <f>+A9+1</f>
        <v>3</v>
      </c>
      <c r="B10" s="303" t="str">
        <f>'Key Assumptions'!B103</f>
        <v xml:space="preserve">
Of this Rs 56.2 lacs will be considered in the form of Assets purchased  for this re-skilling business and has been treated as opening Assets in Year 1. 
Pre-operative expenses during the period 1st April 21012 till 31st March 21014 of Rs 182.9 lacs will also be considered as promoters contribution. </v>
      </c>
      <c r="C10" s="310" t="e">
        <f>'Key Assumptions'!#REF!</f>
        <v>#REF!</v>
      </c>
      <c r="D10" s="229"/>
      <c r="E10" s="285" t="e">
        <f t="shared" ref="E10:N10" si="1">E9*$C$10</f>
        <v>#REF!</v>
      </c>
      <c r="F10" s="244" t="e">
        <f t="shared" si="1"/>
        <v>#REF!</v>
      </c>
      <c r="G10" s="244" t="e">
        <f t="shared" si="1"/>
        <v>#REF!</v>
      </c>
      <c r="H10" s="244" t="e">
        <f t="shared" si="1"/>
        <v>#REF!</v>
      </c>
      <c r="I10" s="244" t="e">
        <f t="shared" si="1"/>
        <v>#REF!</v>
      </c>
      <c r="J10" s="244" t="e">
        <f t="shared" si="1"/>
        <v>#REF!</v>
      </c>
      <c r="K10" s="244" t="e">
        <f t="shared" si="1"/>
        <v>#REF!</v>
      </c>
      <c r="L10" s="244" t="e">
        <f t="shared" si="1"/>
        <v>#REF!</v>
      </c>
      <c r="M10" s="244" t="e">
        <f t="shared" si="1"/>
        <v>#REF!</v>
      </c>
      <c r="N10" s="244" t="e">
        <f t="shared" si="1"/>
        <v>#REF!</v>
      </c>
      <c r="O10" s="246" t="e">
        <f>SUM(E10:N10)</f>
        <v>#REF!</v>
      </c>
      <c r="P10" s="336"/>
    </row>
    <row r="11" spans="1:16" s="278" customFormat="1" ht="35.25" customHeight="1">
      <c r="A11" s="277">
        <f>+A10+1</f>
        <v>4</v>
      </c>
      <c r="B11" s="303" t="str">
        <f>'Key Assumptions'!B104</f>
        <v xml:space="preserve">- Promoters initial Contribution  </v>
      </c>
      <c r="C11" s="310" t="e">
        <f>'Key Assumptions'!#REF!</f>
        <v>#REF!</v>
      </c>
      <c r="D11" s="229"/>
      <c r="E11" s="286">
        <v>0</v>
      </c>
      <c r="F11" s="248">
        <v>0</v>
      </c>
      <c r="G11" s="248">
        <v>0</v>
      </c>
      <c r="H11" s="248" t="e">
        <f>$C$11*E9</f>
        <v>#REF!</v>
      </c>
      <c r="I11" s="248" t="e">
        <f>$C$11*(E9+F9)</f>
        <v>#REF!</v>
      </c>
      <c r="J11" s="248" t="e">
        <f>$C$11*(E9+F9+G9)</f>
        <v>#REF!</v>
      </c>
      <c r="K11" s="248" t="e">
        <f>$C$11*(E9+F9+G9+H9)</f>
        <v>#REF!</v>
      </c>
      <c r="L11" s="248" t="e">
        <f>$C$11*(E9+F9+G9+H9+I9)</f>
        <v>#REF!</v>
      </c>
      <c r="M11" s="248" t="e">
        <f>$C$11*(E9+F9+G9+H9+I9+J9)</f>
        <v>#REF!</v>
      </c>
      <c r="N11" s="248" t="e">
        <f>$C$11*(E9+F9+G9+H9+I9+J9+K9)</f>
        <v>#REF!</v>
      </c>
      <c r="O11" s="246" t="e">
        <f>SUM(E11:N11)</f>
        <v>#REF!</v>
      </c>
      <c r="P11" s="336"/>
    </row>
    <row r="12" spans="1:16" s="278" customFormat="1" ht="35.25" customHeight="1">
      <c r="A12" s="277">
        <f>+A11+1</f>
        <v>5</v>
      </c>
      <c r="B12" s="303" t="e">
        <f>'Key Assumptions'!#REF!</f>
        <v>#REF!</v>
      </c>
      <c r="C12" s="310" t="e">
        <f>'Key Assumptions'!#REF!</f>
        <v>#REF!</v>
      </c>
      <c r="D12" s="229"/>
      <c r="E12" s="285" t="e">
        <f>$C$12*E6</f>
        <v>#REF!</v>
      </c>
      <c r="F12" s="244" t="e">
        <f t="shared" ref="F12:N12" si="2">E12+$C$12*F6</f>
        <v>#REF!</v>
      </c>
      <c r="G12" s="244" t="e">
        <f t="shared" si="2"/>
        <v>#REF!</v>
      </c>
      <c r="H12" s="244" t="e">
        <f t="shared" si="2"/>
        <v>#REF!</v>
      </c>
      <c r="I12" s="244" t="e">
        <f t="shared" si="2"/>
        <v>#REF!</v>
      </c>
      <c r="J12" s="244" t="e">
        <f t="shared" si="2"/>
        <v>#REF!</v>
      </c>
      <c r="K12" s="244" t="e">
        <f t="shared" si="2"/>
        <v>#REF!</v>
      </c>
      <c r="L12" s="244" t="e">
        <f t="shared" si="2"/>
        <v>#REF!</v>
      </c>
      <c r="M12" s="244" t="e">
        <f t="shared" si="2"/>
        <v>#REF!</v>
      </c>
      <c r="N12" s="244" t="e">
        <f t="shared" si="2"/>
        <v>#REF!</v>
      </c>
      <c r="O12" s="246" t="e">
        <f>SUM(E12:N12)</f>
        <v>#REF!</v>
      </c>
      <c r="P12" s="279"/>
    </row>
    <row r="13" spans="1:16" ht="35.25" customHeight="1">
      <c r="A13" s="1293" t="s">
        <v>296</v>
      </c>
      <c r="B13" s="1294"/>
      <c r="C13" s="298"/>
      <c r="D13" s="298"/>
      <c r="E13" s="237"/>
      <c r="F13" s="237"/>
      <c r="G13" s="237"/>
      <c r="H13" s="237"/>
      <c r="I13" s="237"/>
      <c r="J13" s="237"/>
      <c r="K13" s="237"/>
      <c r="L13" s="237"/>
      <c r="M13" s="237"/>
      <c r="N13" s="237"/>
      <c r="O13" s="238"/>
      <c r="P13" s="259"/>
    </row>
    <row r="14" spans="1:16" ht="35.25" customHeight="1">
      <c r="A14" s="232"/>
      <c r="B14" s="356" t="s">
        <v>312</v>
      </c>
      <c r="C14" s="298"/>
      <c r="D14" s="298"/>
      <c r="E14" s="233"/>
      <c r="F14" s="233"/>
      <c r="G14" s="233"/>
      <c r="H14" s="233"/>
      <c r="I14" s="233"/>
      <c r="J14" s="233"/>
      <c r="K14" s="233"/>
      <c r="L14" s="233"/>
      <c r="M14" s="233"/>
      <c r="N14" s="233"/>
      <c r="O14" s="256"/>
      <c r="P14" s="259"/>
    </row>
    <row r="15" spans="1:16" ht="35.25" customHeight="1">
      <c r="A15" s="241">
        <v>1</v>
      </c>
      <c r="B15" s="305" t="s">
        <v>309</v>
      </c>
      <c r="C15" s="298">
        <v>4</v>
      </c>
      <c r="D15" s="273"/>
      <c r="E15" s="287">
        <f>(E5*E4*E8*C15)</f>
        <v>200</v>
      </c>
      <c r="F15" s="230">
        <f>(($E$5+$F$5)*($E$4+$F$4))*$C$15*F8</f>
        <v>1200</v>
      </c>
      <c r="G15" s="230">
        <f>(SUM(E5:G5)*($G$4+$F$4+$E$4))*$C$15*G8</f>
        <v>2400</v>
      </c>
      <c r="H15" s="230">
        <f>(SUM(E5:H5)*($G$4+$F$4+$E$4))*$C$15*H8</f>
        <v>3200</v>
      </c>
      <c r="I15" s="230">
        <f>(SUM(E5:I5)*($G$4+$F$4+$E$4))*$C$15*I8</f>
        <v>8000</v>
      </c>
      <c r="J15" s="230">
        <f>(SUM(E5:J5)*($G$4+$F$4+$E$4))*$C$15*J8</f>
        <v>9600</v>
      </c>
      <c r="K15" s="230">
        <f>(SUM(E5:K5)*($G$4+$F$4+$E$4))*$C$15*K8</f>
        <v>11200</v>
      </c>
      <c r="L15" s="230">
        <f>(SUM(E5:L5)*($G$4+$F$4+$E$4))*$C$15*L8</f>
        <v>12800</v>
      </c>
      <c r="M15" s="230">
        <f>(SUM(E5:M5)*($G$4+$F$4+$E$4))*$C$15*M8</f>
        <v>14400</v>
      </c>
      <c r="N15" s="230">
        <f>(SUM(E5:N5)*($G$4+$F$4+$E$4))*$C$15*N8</f>
        <v>16000</v>
      </c>
      <c r="O15" s="231">
        <f>SUM(E15:N15)</f>
        <v>79000</v>
      </c>
      <c r="P15" s="259"/>
    </row>
    <row r="16" spans="1:16" ht="35.25" customHeight="1">
      <c r="A16" s="241">
        <f>A15+1</f>
        <v>2</v>
      </c>
      <c r="B16" s="305" t="s">
        <v>310</v>
      </c>
      <c r="C16" s="298">
        <v>25</v>
      </c>
      <c r="D16" s="273"/>
      <c r="E16" s="288">
        <f>$C$16</f>
        <v>25</v>
      </c>
      <c r="F16" s="230">
        <f t="shared" ref="F16:N16" si="3">$C$16</f>
        <v>25</v>
      </c>
      <c r="G16" s="230">
        <f t="shared" si="3"/>
        <v>25</v>
      </c>
      <c r="H16" s="230">
        <f t="shared" si="3"/>
        <v>25</v>
      </c>
      <c r="I16" s="230">
        <f t="shared" si="3"/>
        <v>25</v>
      </c>
      <c r="J16" s="230">
        <f t="shared" si="3"/>
        <v>25</v>
      </c>
      <c r="K16" s="230">
        <f t="shared" si="3"/>
        <v>25</v>
      </c>
      <c r="L16" s="230">
        <f t="shared" si="3"/>
        <v>25</v>
      </c>
      <c r="M16" s="230">
        <f t="shared" si="3"/>
        <v>25</v>
      </c>
      <c r="N16" s="230">
        <f t="shared" si="3"/>
        <v>25</v>
      </c>
      <c r="O16" s="231"/>
      <c r="P16" s="259"/>
    </row>
    <row r="17" spans="1:18" ht="35.25" customHeight="1">
      <c r="A17" s="241">
        <f>A16+1</f>
        <v>3</v>
      </c>
      <c r="B17" s="305" t="s">
        <v>311</v>
      </c>
      <c r="C17" s="229"/>
      <c r="D17" s="229"/>
      <c r="E17" s="289">
        <f>E15*E16</f>
        <v>5000</v>
      </c>
      <c r="F17" s="248">
        <f t="shared" ref="F17:N17" si="4">F15*F16</f>
        <v>30000</v>
      </c>
      <c r="G17" s="248">
        <f t="shared" si="4"/>
        <v>60000</v>
      </c>
      <c r="H17" s="248">
        <f t="shared" si="4"/>
        <v>80000</v>
      </c>
      <c r="I17" s="248">
        <f t="shared" si="4"/>
        <v>200000</v>
      </c>
      <c r="J17" s="248">
        <f t="shared" si="4"/>
        <v>240000</v>
      </c>
      <c r="K17" s="248">
        <f t="shared" si="4"/>
        <v>280000</v>
      </c>
      <c r="L17" s="248">
        <f t="shared" si="4"/>
        <v>320000</v>
      </c>
      <c r="M17" s="248">
        <f t="shared" si="4"/>
        <v>360000</v>
      </c>
      <c r="N17" s="248">
        <f t="shared" si="4"/>
        <v>400000</v>
      </c>
      <c r="O17" s="239">
        <f>E17+F17+G17+H17+I17+J17+K17+L17+M17+N17</f>
        <v>1975000</v>
      </c>
      <c r="P17" s="259"/>
    </row>
    <row r="18" spans="1:18" ht="35.25" customHeight="1">
      <c r="A18" s="241">
        <f>A17+1</f>
        <v>4</v>
      </c>
      <c r="B18" s="306"/>
      <c r="C18" s="300" t="s">
        <v>297</v>
      </c>
      <c r="D18" s="300"/>
      <c r="E18" s="335">
        <v>0.65</v>
      </c>
      <c r="F18" s="235">
        <v>0.7</v>
      </c>
      <c r="G18" s="235">
        <v>0.75</v>
      </c>
      <c r="H18" s="235">
        <v>0.75</v>
      </c>
      <c r="I18" s="235">
        <v>0.8</v>
      </c>
      <c r="J18" s="235">
        <v>0.85</v>
      </c>
      <c r="K18" s="235">
        <f>J18</f>
        <v>0.85</v>
      </c>
      <c r="L18" s="235">
        <v>0.9</v>
      </c>
      <c r="M18" s="235">
        <f>L18</f>
        <v>0.9</v>
      </c>
      <c r="N18" s="235">
        <f>M18</f>
        <v>0.9</v>
      </c>
      <c r="O18" s="239"/>
      <c r="P18" s="259"/>
    </row>
    <row r="19" spans="1:18" ht="35.25" customHeight="1">
      <c r="A19" s="241"/>
      <c r="B19" s="357" t="s">
        <v>313</v>
      </c>
      <c r="C19" s="299"/>
      <c r="D19" s="299"/>
      <c r="E19" s="290"/>
      <c r="F19" s="249"/>
      <c r="G19" s="249"/>
      <c r="H19" s="249"/>
      <c r="I19" s="249"/>
      <c r="J19" s="249"/>
      <c r="K19" s="249"/>
      <c r="L19" s="249"/>
      <c r="M19" s="249"/>
      <c r="N19" s="249"/>
      <c r="O19" s="250"/>
      <c r="P19" s="259"/>
    </row>
    <row r="20" spans="1:18" ht="35.25" customHeight="1">
      <c r="A20" s="241">
        <v>1</v>
      </c>
      <c r="B20" s="307" t="s">
        <v>314</v>
      </c>
      <c r="C20" s="300">
        <v>200</v>
      </c>
      <c r="D20" s="300"/>
      <c r="E20" s="291">
        <f>$C$20</f>
        <v>200</v>
      </c>
      <c r="F20" s="245">
        <f t="shared" ref="F20:N20" si="5">$C$20</f>
        <v>200</v>
      </c>
      <c r="G20" s="245">
        <f t="shared" si="5"/>
        <v>200</v>
      </c>
      <c r="H20" s="245">
        <f t="shared" si="5"/>
        <v>200</v>
      </c>
      <c r="I20" s="245">
        <f t="shared" si="5"/>
        <v>200</v>
      </c>
      <c r="J20" s="245">
        <f t="shared" si="5"/>
        <v>200</v>
      </c>
      <c r="K20" s="245">
        <f t="shared" si="5"/>
        <v>200</v>
      </c>
      <c r="L20" s="245">
        <f t="shared" si="5"/>
        <v>200</v>
      </c>
      <c r="M20" s="245">
        <f t="shared" si="5"/>
        <v>200</v>
      </c>
      <c r="N20" s="245">
        <f t="shared" si="5"/>
        <v>200</v>
      </c>
      <c r="O20" s="239"/>
      <c r="P20" s="259"/>
    </row>
    <row r="21" spans="1:18" ht="35.25" customHeight="1">
      <c r="A21" s="241">
        <f>A20+1</f>
        <v>2</v>
      </c>
      <c r="B21" s="307" t="s">
        <v>315</v>
      </c>
      <c r="C21" s="300">
        <v>50</v>
      </c>
      <c r="D21" s="300"/>
      <c r="E21" s="291">
        <f>$C$21</f>
        <v>50</v>
      </c>
      <c r="F21" s="245">
        <f t="shared" ref="F21:N21" si="6">$C$21</f>
        <v>50</v>
      </c>
      <c r="G21" s="245">
        <f t="shared" si="6"/>
        <v>50</v>
      </c>
      <c r="H21" s="245">
        <f t="shared" si="6"/>
        <v>50</v>
      </c>
      <c r="I21" s="245">
        <f t="shared" si="6"/>
        <v>50</v>
      </c>
      <c r="J21" s="245">
        <f t="shared" si="6"/>
        <v>50</v>
      </c>
      <c r="K21" s="245">
        <f t="shared" si="6"/>
        <v>50</v>
      </c>
      <c r="L21" s="245">
        <f t="shared" si="6"/>
        <v>50</v>
      </c>
      <c r="M21" s="245">
        <f t="shared" si="6"/>
        <v>50</v>
      </c>
      <c r="N21" s="245">
        <f t="shared" si="6"/>
        <v>50</v>
      </c>
      <c r="O21" s="239"/>
      <c r="P21" s="259"/>
    </row>
    <row r="22" spans="1:18" ht="35.25" customHeight="1">
      <c r="A22" s="241">
        <f>A21+1</f>
        <v>3</v>
      </c>
      <c r="B22" s="304" t="s">
        <v>316</v>
      </c>
      <c r="C22" s="311"/>
      <c r="D22" s="229"/>
      <c r="E22" s="292">
        <f t="shared" ref="E22:N22" si="7">E6*E20*E21</f>
        <v>500000</v>
      </c>
      <c r="F22" s="240">
        <f t="shared" si="7"/>
        <v>500000</v>
      </c>
      <c r="G22" s="240">
        <f t="shared" si="7"/>
        <v>500000</v>
      </c>
      <c r="H22" s="240">
        <f t="shared" si="7"/>
        <v>750000</v>
      </c>
      <c r="I22" s="240">
        <f t="shared" si="7"/>
        <v>900000</v>
      </c>
      <c r="J22" s="240">
        <f t="shared" si="7"/>
        <v>1200000</v>
      </c>
      <c r="K22" s="240">
        <f t="shared" si="7"/>
        <v>1400000</v>
      </c>
      <c r="L22" s="240">
        <f t="shared" si="7"/>
        <v>1600000</v>
      </c>
      <c r="M22" s="240">
        <f t="shared" si="7"/>
        <v>1800000</v>
      </c>
      <c r="N22" s="240">
        <f t="shared" si="7"/>
        <v>2000000</v>
      </c>
      <c r="O22" s="239">
        <f>E22+F22+G22+H22+I22+J22+K22+L22+M22+N22</f>
        <v>11150000</v>
      </c>
      <c r="P22" s="260"/>
      <c r="Q22" s="255"/>
      <c r="R22" s="255">
        <f>Q22/4</f>
        <v>0</v>
      </c>
    </row>
    <row r="23" spans="1:18" ht="35.25" customHeight="1">
      <c r="A23" s="241"/>
      <c r="B23" s="308" t="s">
        <v>329</v>
      </c>
      <c r="C23" s="312"/>
      <c r="D23" s="301"/>
      <c r="E23" s="293">
        <f>E17+E22</f>
        <v>505000</v>
      </c>
      <c r="F23" s="261">
        <f t="shared" ref="F23:N23" si="8">F17+F22</f>
        <v>530000</v>
      </c>
      <c r="G23" s="261">
        <f t="shared" si="8"/>
        <v>560000</v>
      </c>
      <c r="H23" s="261">
        <f t="shared" si="8"/>
        <v>830000</v>
      </c>
      <c r="I23" s="261">
        <f t="shared" si="8"/>
        <v>1100000</v>
      </c>
      <c r="J23" s="261">
        <f t="shared" si="8"/>
        <v>1440000</v>
      </c>
      <c r="K23" s="261">
        <f t="shared" si="8"/>
        <v>1680000</v>
      </c>
      <c r="L23" s="261">
        <f t="shared" si="8"/>
        <v>1920000</v>
      </c>
      <c r="M23" s="261">
        <f t="shared" si="8"/>
        <v>2160000</v>
      </c>
      <c r="N23" s="261">
        <f t="shared" si="8"/>
        <v>2400000</v>
      </c>
      <c r="O23" s="262">
        <f>E23+F23+G23+H23+I23+J23+K23+L23+M23+N23</f>
        <v>13125000</v>
      </c>
      <c r="P23" s="279"/>
      <c r="Q23" s="255"/>
      <c r="R23" s="255"/>
    </row>
    <row r="24" spans="1:18" ht="35.25" customHeight="1">
      <c r="A24" s="242"/>
      <c r="B24" s="308" t="s">
        <v>330</v>
      </c>
      <c r="C24" s="312"/>
      <c r="D24" s="301"/>
      <c r="E24" s="293">
        <f>E22*E18</f>
        <v>325000</v>
      </c>
      <c r="F24" s="293">
        <f>F22*F18</f>
        <v>350000</v>
      </c>
      <c r="G24" s="293">
        <f t="shared" ref="G24:N24" si="9">G22*G18</f>
        <v>375000</v>
      </c>
      <c r="H24" s="293">
        <f t="shared" si="9"/>
        <v>562500</v>
      </c>
      <c r="I24" s="293">
        <f t="shared" si="9"/>
        <v>720000</v>
      </c>
      <c r="J24" s="293">
        <f t="shared" si="9"/>
        <v>1020000</v>
      </c>
      <c r="K24" s="293">
        <f t="shared" si="9"/>
        <v>1190000</v>
      </c>
      <c r="L24" s="293">
        <f t="shared" si="9"/>
        <v>1440000</v>
      </c>
      <c r="M24" s="293">
        <f t="shared" si="9"/>
        <v>1620000</v>
      </c>
      <c r="N24" s="293">
        <f t="shared" si="9"/>
        <v>1800000</v>
      </c>
      <c r="O24" s="262">
        <f>E24+F24+G24+H24+I24+J24+K24+L24+M24+N24</f>
        <v>9402500</v>
      </c>
      <c r="P24" s="279"/>
      <c r="Q24" s="255"/>
      <c r="R24" s="255"/>
    </row>
    <row r="25" spans="1:18" ht="35.25" customHeight="1">
      <c r="A25" s="241"/>
      <c r="B25" s="308" t="s">
        <v>317</v>
      </c>
      <c r="C25" s="313">
        <f>'Key Assumptions'!I77</f>
        <v>0</v>
      </c>
      <c r="D25" s="301"/>
      <c r="E25" s="294">
        <f>$C$25*E23</f>
        <v>0</v>
      </c>
      <c r="F25" s="263">
        <f t="shared" ref="F25:N25" si="10">$C$25*F23</f>
        <v>0</v>
      </c>
      <c r="G25" s="263">
        <f t="shared" si="10"/>
        <v>0</v>
      </c>
      <c r="H25" s="263">
        <f t="shared" si="10"/>
        <v>0</v>
      </c>
      <c r="I25" s="263">
        <f t="shared" si="10"/>
        <v>0</v>
      </c>
      <c r="J25" s="263">
        <f t="shared" si="10"/>
        <v>0</v>
      </c>
      <c r="K25" s="263">
        <f t="shared" si="10"/>
        <v>0</v>
      </c>
      <c r="L25" s="263">
        <f t="shared" si="10"/>
        <v>0</v>
      </c>
      <c r="M25" s="263">
        <f t="shared" si="10"/>
        <v>0</v>
      </c>
      <c r="N25" s="263">
        <f t="shared" si="10"/>
        <v>0</v>
      </c>
      <c r="O25" s="262">
        <f>E25+F25+G25+H25+I25+J25+K25+L25+M25+N25</f>
        <v>0</v>
      </c>
      <c r="P25" s="279"/>
      <c r="Q25" s="255"/>
      <c r="R25" s="255"/>
    </row>
    <row r="26" spans="1:18" ht="25.5" customHeight="1">
      <c r="A26" s="1293" t="s">
        <v>324</v>
      </c>
      <c r="B26" s="1294"/>
      <c r="C26" s="240"/>
      <c r="D26" s="229"/>
      <c r="E26" s="281"/>
      <c r="F26" s="230"/>
      <c r="G26" s="230"/>
      <c r="H26" s="230"/>
      <c r="I26" s="230"/>
      <c r="J26" s="230"/>
      <c r="K26" s="230"/>
      <c r="L26" s="230"/>
      <c r="M26" s="230"/>
      <c r="N26" s="230"/>
      <c r="O26" s="239"/>
      <c r="P26" s="233"/>
      <c r="Q26" s="255"/>
      <c r="R26" s="255"/>
    </row>
    <row r="27" spans="1:18" ht="31.5" customHeight="1">
      <c r="A27" s="241">
        <v>1</v>
      </c>
      <c r="B27" s="304" t="s">
        <v>319</v>
      </c>
      <c r="C27" s="240"/>
      <c r="D27" s="229"/>
      <c r="E27" s="286">
        <f>E17</f>
        <v>5000</v>
      </c>
      <c r="F27" s="248">
        <f t="shared" ref="F27:N27" si="11">F17</f>
        <v>30000</v>
      </c>
      <c r="G27" s="248">
        <f t="shared" si="11"/>
        <v>60000</v>
      </c>
      <c r="H27" s="248">
        <f t="shared" si="11"/>
        <v>80000</v>
      </c>
      <c r="I27" s="248">
        <f t="shared" si="11"/>
        <v>200000</v>
      </c>
      <c r="J27" s="248">
        <f t="shared" si="11"/>
        <v>240000</v>
      </c>
      <c r="K27" s="248">
        <f t="shared" si="11"/>
        <v>280000</v>
      </c>
      <c r="L27" s="248">
        <f t="shared" si="11"/>
        <v>320000</v>
      </c>
      <c r="M27" s="248">
        <f t="shared" si="11"/>
        <v>360000</v>
      </c>
      <c r="N27" s="248">
        <f t="shared" si="11"/>
        <v>400000</v>
      </c>
      <c r="O27" s="239"/>
      <c r="P27" s="233"/>
      <c r="Q27" s="255"/>
      <c r="R27" s="255"/>
    </row>
    <row r="28" spans="1:18" ht="43.5" customHeight="1">
      <c r="A28" s="241">
        <f>A27+1</f>
        <v>2</v>
      </c>
      <c r="B28" s="304" t="s">
        <v>320</v>
      </c>
      <c r="C28" s="314">
        <v>0.5</v>
      </c>
      <c r="D28" s="229"/>
      <c r="E28" s="286">
        <f>E22*$C$28</f>
        <v>250000</v>
      </c>
      <c r="F28" s="248">
        <f t="shared" ref="F28:N28" si="12">F22*$C$28</f>
        <v>250000</v>
      </c>
      <c r="G28" s="248">
        <f t="shared" si="12"/>
        <v>250000</v>
      </c>
      <c r="H28" s="248">
        <f t="shared" si="12"/>
        <v>375000</v>
      </c>
      <c r="I28" s="248">
        <f t="shared" si="12"/>
        <v>450000</v>
      </c>
      <c r="J28" s="248">
        <f t="shared" si="12"/>
        <v>600000</v>
      </c>
      <c r="K28" s="248">
        <f t="shared" si="12"/>
        <v>700000</v>
      </c>
      <c r="L28" s="248">
        <f t="shared" si="12"/>
        <v>800000</v>
      </c>
      <c r="M28" s="248">
        <f t="shared" si="12"/>
        <v>900000</v>
      </c>
      <c r="N28" s="248">
        <f t="shared" si="12"/>
        <v>1000000</v>
      </c>
      <c r="O28" s="239"/>
      <c r="P28" s="233"/>
      <c r="Q28" s="255"/>
      <c r="R28" s="255"/>
    </row>
    <row r="29" spans="1:18" ht="31.5" customHeight="1">
      <c r="A29" s="241">
        <f>A28+1</f>
        <v>3</v>
      </c>
      <c r="B29" s="304" t="s">
        <v>321</v>
      </c>
      <c r="C29" s="240"/>
      <c r="D29" s="229"/>
      <c r="E29" s="295">
        <f>SUM(E27:E28)</f>
        <v>255000</v>
      </c>
      <c r="F29" s="264">
        <f t="shared" ref="F29:N29" si="13">SUM(F27:F28)</f>
        <v>280000</v>
      </c>
      <c r="G29" s="264">
        <f t="shared" si="13"/>
        <v>310000</v>
      </c>
      <c r="H29" s="264">
        <f t="shared" si="13"/>
        <v>455000</v>
      </c>
      <c r="I29" s="264">
        <f t="shared" si="13"/>
        <v>650000</v>
      </c>
      <c r="J29" s="264">
        <f t="shared" si="13"/>
        <v>840000</v>
      </c>
      <c r="K29" s="264">
        <f t="shared" si="13"/>
        <v>980000</v>
      </c>
      <c r="L29" s="264">
        <f t="shared" si="13"/>
        <v>1120000</v>
      </c>
      <c r="M29" s="264">
        <f t="shared" si="13"/>
        <v>1260000</v>
      </c>
      <c r="N29" s="264">
        <f t="shared" si="13"/>
        <v>1400000</v>
      </c>
      <c r="O29" s="239"/>
      <c r="P29" s="233"/>
      <c r="Q29" s="255"/>
      <c r="R29" s="255"/>
    </row>
    <row r="30" spans="1:18" ht="31.5" customHeight="1">
      <c r="A30" s="241">
        <f>A29+1</f>
        <v>4</v>
      </c>
      <c r="B30" s="304" t="s">
        <v>318</v>
      </c>
      <c r="C30" s="240">
        <v>50</v>
      </c>
      <c r="D30" s="229"/>
      <c r="E30" s="296">
        <f>$C$30</f>
        <v>50</v>
      </c>
      <c r="F30" s="265">
        <f t="shared" ref="F30:N30" si="14">$C$30</f>
        <v>50</v>
      </c>
      <c r="G30" s="265">
        <f t="shared" si="14"/>
        <v>50</v>
      </c>
      <c r="H30" s="265">
        <f t="shared" si="14"/>
        <v>50</v>
      </c>
      <c r="I30" s="265">
        <f t="shared" si="14"/>
        <v>50</v>
      </c>
      <c r="J30" s="265">
        <f t="shared" si="14"/>
        <v>50</v>
      </c>
      <c r="K30" s="265">
        <f t="shared" si="14"/>
        <v>50</v>
      </c>
      <c r="L30" s="265">
        <f t="shared" si="14"/>
        <v>50</v>
      </c>
      <c r="M30" s="265">
        <f t="shared" si="14"/>
        <v>50</v>
      </c>
      <c r="N30" s="265">
        <f t="shared" si="14"/>
        <v>50</v>
      </c>
      <c r="O30" s="239"/>
      <c r="P30" s="233"/>
      <c r="Q30" s="255"/>
      <c r="R30" s="255"/>
    </row>
    <row r="31" spans="1:18" ht="31.5" customHeight="1">
      <c r="A31" s="241">
        <f>A30+1</f>
        <v>5</v>
      </c>
      <c r="B31" s="304" t="s">
        <v>322</v>
      </c>
      <c r="C31" s="229"/>
      <c r="D31" s="302"/>
      <c r="E31" s="281">
        <f>(E29/E30)</f>
        <v>5100</v>
      </c>
      <c r="F31" s="230">
        <f>(F29/F30)-(E31*0.9)</f>
        <v>1010</v>
      </c>
      <c r="G31" s="230">
        <f>ROUND((G29/G30)-(E31+F31)*0.9,-1)</f>
        <v>700</v>
      </c>
      <c r="H31" s="266">
        <f>ROUND((H29/H30)-(E31+F31+G31)*0.9,-1)</f>
        <v>2970</v>
      </c>
      <c r="I31" s="266">
        <f>ROUND((I29/I30)-(E31+F31+G31+H31)*0.9,-2)</f>
        <v>4200</v>
      </c>
      <c r="J31" s="266">
        <f>ROUND((J29/J30)-(F31+E31+G31+H31+I31)*0.9,-2)</f>
        <v>4200</v>
      </c>
      <c r="K31" s="266">
        <f>ROUND((K29/K30)-(E31+F31+G31+H31+I31+J31)*0.9,-1)</f>
        <v>3240</v>
      </c>
      <c r="L31" s="266">
        <f>ROUND((L29/L30)-(E31+F31+G31+H31+I31+J31+K31)*0.9,-1)</f>
        <v>3120</v>
      </c>
      <c r="M31" s="266">
        <f>ROUND((M29/M30)-(E31+F31+G31+H31+I31+J31+K31+L31)*0.9,-1)</f>
        <v>3110</v>
      </c>
      <c r="N31" s="266">
        <f>ROUND((N29/N30)-(E31+F31+G31+H31+I31+J31+K31+L31+M31)*0.9,-1)</f>
        <v>3120</v>
      </c>
      <c r="O31" s="262">
        <f>E31+F31+G31+H31+I31+J31+K31+L31+M31+N31</f>
        <v>30770</v>
      </c>
      <c r="P31" s="233"/>
      <c r="Q31" s="255"/>
    </row>
    <row r="32" spans="1:18" s="269" customFormat="1" ht="31.5" customHeight="1">
      <c r="A32" s="241">
        <v>6</v>
      </c>
      <c r="B32" s="309" t="s">
        <v>323</v>
      </c>
      <c r="C32" s="272">
        <f>'Key Assumptions'!J79</f>
        <v>0</v>
      </c>
      <c r="D32" s="272"/>
      <c r="E32" s="294">
        <f>E31*$C$32</f>
        <v>0</v>
      </c>
      <c r="F32" s="263">
        <f t="shared" ref="F32:N32" si="15">F31*$C$32</f>
        <v>0</v>
      </c>
      <c r="G32" s="263">
        <f t="shared" si="15"/>
        <v>0</v>
      </c>
      <c r="H32" s="263">
        <f t="shared" si="15"/>
        <v>0</v>
      </c>
      <c r="I32" s="263">
        <f t="shared" si="15"/>
        <v>0</v>
      </c>
      <c r="J32" s="263">
        <f t="shared" si="15"/>
        <v>0</v>
      </c>
      <c r="K32" s="263">
        <f t="shared" si="15"/>
        <v>0</v>
      </c>
      <c r="L32" s="263">
        <f t="shared" si="15"/>
        <v>0</v>
      </c>
      <c r="M32" s="263">
        <f t="shared" si="15"/>
        <v>0</v>
      </c>
      <c r="N32" s="263">
        <f t="shared" si="15"/>
        <v>0</v>
      </c>
      <c r="O32" s="268">
        <f>E32+F32+G32+H32+I32+J32+K32+L32+M32+N32</f>
        <v>0</v>
      </c>
      <c r="P32" s="279"/>
    </row>
    <row r="33" spans="1:16" s="269" customFormat="1" ht="31.5" customHeight="1">
      <c r="A33" s="1295" t="s">
        <v>325</v>
      </c>
      <c r="B33" s="1295"/>
      <c r="C33" s="272"/>
      <c r="D33" s="272"/>
      <c r="E33" s="270"/>
      <c r="F33" s="270"/>
      <c r="G33" s="270"/>
      <c r="H33" s="270"/>
      <c r="I33" s="270"/>
      <c r="J33" s="270"/>
      <c r="K33" s="270"/>
      <c r="L33" s="270"/>
      <c r="M33" s="270"/>
      <c r="N33" s="270"/>
      <c r="O33" s="271"/>
      <c r="P33" s="270"/>
    </row>
    <row r="34" spans="1:16" s="269" customFormat="1" ht="31.5" customHeight="1">
      <c r="A34" s="241">
        <v>1</v>
      </c>
      <c r="B34" s="309" t="s">
        <v>326</v>
      </c>
      <c r="C34" s="272" t="e">
        <f>'Key Assumptions'!#REF!</f>
        <v>#REF!</v>
      </c>
      <c r="D34" s="1291"/>
      <c r="E34" s="1296"/>
      <c r="F34" s="1289"/>
      <c r="G34" s="1289" t="e">
        <f>C34</f>
        <v>#REF!</v>
      </c>
      <c r="H34" s="1289" t="e">
        <f>C34</f>
        <v>#REF!</v>
      </c>
      <c r="I34" s="1289" t="str">
        <f>C35</f>
        <v xml:space="preserve"> of persons Re-Skilled</v>
      </c>
      <c r="J34" s="1289" t="str">
        <f>C35</f>
        <v xml:space="preserve"> of persons Re-Skilled</v>
      </c>
      <c r="K34" s="1289" t="str">
        <f>C35</f>
        <v xml:space="preserve"> of persons Re-Skilled</v>
      </c>
      <c r="L34" s="1289" t="str">
        <f>C35</f>
        <v xml:space="preserve"> of persons Re-Skilled</v>
      </c>
      <c r="M34" s="1289" t="str">
        <f>C35</f>
        <v xml:space="preserve"> of persons Re-Skilled</v>
      </c>
      <c r="N34" s="1289" t="str">
        <f>C35</f>
        <v xml:space="preserve"> of persons Re-Skilled</v>
      </c>
      <c r="O34" s="1297"/>
      <c r="P34" s="270"/>
    </row>
    <row r="35" spans="1:16" s="269" customFormat="1" ht="31.5" customHeight="1">
      <c r="A35" s="241">
        <v>2</v>
      </c>
      <c r="B35" s="309" t="s">
        <v>327</v>
      </c>
      <c r="C35" s="272" t="str">
        <f>'Key Assumptions'!J83</f>
        <v xml:space="preserve"> of persons Re-Skilled</v>
      </c>
      <c r="D35" s="1292"/>
      <c r="E35" s="1296"/>
      <c r="F35" s="1289"/>
      <c r="G35" s="1289"/>
      <c r="H35" s="1289"/>
      <c r="I35" s="1289"/>
      <c r="J35" s="1289"/>
      <c r="K35" s="1289"/>
      <c r="L35" s="1289"/>
      <c r="M35" s="1289"/>
      <c r="N35" s="1289"/>
      <c r="O35" s="1298"/>
      <c r="P35" s="270"/>
    </row>
    <row r="36" spans="1:16" s="269" customFormat="1" ht="31.5" customHeight="1">
      <c r="A36" s="242">
        <v>3</v>
      </c>
      <c r="B36" s="267" t="s">
        <v>328</v>
      </c>
      <c r="C36" s="272"/>
      <c r="D36" s="272"/>
      <c r="E36" s="274">
        <f>E34*E23*10%</f>
        <v>0</v>
      </c>
      <c r="F36" s="263">
        <f>F34*F23*10%</f>
        <v>0</v>
      </c>
      <c r="G36" s="263" t="e">
        <f>(E17+F17+G17+E24+F24+G24)*10%*G34</f>
        <v>#REF!</v>
      </c>
      <c r="H36" s="263" t="e">
        <f>(H17+H24)*10%*H34+G36</f>
        <v>#REF!</v>
      </c>
      <c r="I36" s="316" t="e">
        <f t="shared" ref="I36:N36" si="16">(I17+I24)*10%*I34+H36</f>
        <v>#VALUE!</v>
      </c>
      <c r="J36" s="316" t="e">
        <f t="shared" si="16"/>
        <v>#VALUE!</v>
      </c>
      <c r="K36" s="316" t="e">
        <f t="shared" si="16"/>
        <v>#VALUE!</v>
      </c>
      <c r="L36" s="316" t="e">
        <f t="shared" si="16"/>
        <v>#VALUE!</v>
      </c>
      <c r="M36" s="316" t="e">
        <f t="shared" si="16"/>
        <v>#VALUE!</v>
      </c>
      <c r="N36" s="316" t="e">
        <f t="shared" si="16"/>
        <v>#VALUE!</v>
      </c>
      <c r="O36" s="268" t="e">
        <f>SUM(E36:N36)</f>
        <v>#REF!</v>
      </c>
      <c r="P36" s="279"/>
    </row>
    <row r="37" spans="1:16" ht="30.75" customHeight="1">
      <c r="A37" s="315"/>
      <c r="B37" s="315"/>
      <c r="C37" s="315"/>
      <c r="D37" s="315"/>
      <c r="E37" s="315"/>
      <c r="G37" s="317"/>
      <c r="H37" s="317"/>
      <c r="I37" s="317"/>
      <c r="J37" s="317"/>
      <c r="K37" s="317"/>
      <c r="L37" s="317"/>
      <c r="M37" s="317"/>
      <c r="N37" s="317"/>
      <c r="O37" s="317"/>
      <c r="P37" s="337"/>
    </row>
    <row r="38" spans="1:16" ht="27" customHeight="1">
      <c r="A38" s="315" t="s">
        <v>298</v>
      </c>
      <c r="B38" s="315"/>
      <c r="C38" s="315"/>
      <c r="D38" s="315"/>
      <c r="E38" s="315"/>
      <c r="P38" s="338"/>
    </row>
    <row r="39" spans="1:16">
      <c r="P39" s="338"/>
    </row>
    <row r="40" spans="1:16">
      <c r="P40" s="338"/>
    </row>
    <row r="41" spans="1:16">
      <c r="P41" s="338"/>
    </row>
    <row r="42" spans="1:16">
      <c r="P42" s="338"/>
    </row>
  </sheetData>
  <mergeCells count="17">
    <mergeCell ref="M34:M35"/>
    <mergeCell ref="N34:N35"/>
    <mergeCell ref="A2:O2"/>
    <mergeCell ref="D34:D35"/>
    <mergeCell ref="A26:B26"/>
    <mergeCell ref="A13:B13"/>
    <mergeCell ref="A7:B7"/>
    <mergeCell ref="A33:B33"/>
    <mergeCell ref="E34:E35"/>
    <mergeCell ref="F34:F35"/>
    <mergeCell ref="G34:G35"/>
    <mergeCell ref="H34:H35"/>
    <mergeCell ref="O34:O35"/>
    <mergeCell ref="I34:I35"/>
    <mergeCell ref="J34:J35"/>
    <mergeCell ref="K34:K35"/>
    <mergeCell ref="L34:L35"/>
  </mergeCells>
  <pageMargins left="0.2" right="0.2" top="0.75" bottom="0.75" header="0.3" footer="0.3"/>
  <pageSetup paperSize="9" scale="51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"/>
  <sheetViews>
    <sheetView workbookViewId="0">
      <selection activeCell="A2" sqref="A2"/>
    </sheetView>
  </sheetViews>
  <sheetFormatPr defaultRowHeight="12.75"/>
  <cols>
    <col min="1" max="1" width="51.140625" customWidth="1"/>
    <col min="2" max="4" width="0" hidden="1" customWidth="1"/>
    <col min="5" max="7" width="7.42578125" bestFit="1" customWidth="1"/>
    <col min="8" max="8" width="9.5703125" customWidth="1"/>
  </cols>
  <sheetData>
    <row r="1" spans="1:14" ht="28.5" customHeight="1">
      <c r="A1" s="1299" t="s">
        <v>177</v>
      </c>
      <c r="B1" s="1299"/>
      <c r="C1" s="1299"/>
      <c r="D1" s="1299"/>
      <c r="E1" s="1299"/>
      <c r="F1" s="1299"/>
      <c r="G1" s="1299"/>
      <c r="H1" s="1299"/>
      <c r="I1" s="136"/>
      <c r="J1" s="136"/>
      <c r="K1" s="136"/>
      <c r="L1" s="136"/>
      <c r="M1" s="136"/>
      <c r="N1" s="136"/>
    </row>
    <row r="2" spans="1:14" ht="15">
      <c r="A2" s="162"/>
      <c r="B2" s="113"/>
      <c r="C2" s="113"/>
      <c r="D2" s="113"/>
      <c r="E2" s="207" t="s">
        <v>303</v>
      </c>
      <c r="F2" s="207" t="s">
        <v>210</v>
      </c>
      <c r="G2" s="207" t="s">
        <v>211</v>
      </c>
      <c r="H2" s="208" t="s">
        <v>6</v>
      </c>
      <c r="I2" s="136"/>
      <c r="J2" s="136"/>
      <c r="K2" s="136"/>
      <c r="L2" s="136"/>
      <c r="M2" s="136"/>
      <c r="N2" s="136"/>
    </row>
    <row r="3" spans="1:14" ht="15" hidden="1">
      <c r="A3" s="113"/>
      <c r="B3" s="113"/>
      <c r="C3" s="113"/>
      <c r="D3" s="136"/>
      <c r="E3" s="216"/>
      <c r="F3" s="216"/>
      <c r="G3" s="216"/>
      <c r="H3" s="209"/>
      <c r="I3" s="136"/>
      <c r="J3" s="136"/>
      <c r="K3" s="136"/>
      <c r="L3" s="136"/>
      <c r="M3" s="136"/>
      <c r="N3" s="136"/>
    </row>
    <row r="4" spans="1:14" ht="15">
      <c r="A4" s="210" t="s">
        <v>280</v>
      </c>
      <c r="B4" s="211"/>
      <c r="C4" s="211"/>
      <c r="D4" s="212"/>
      <c r="E4" s="164"/>
      <c r="F4" s="164"/>
      <c r="G4" s="164"/>
      <c r="H4" s="162"/>
      <c r="I4" s="136"/>
      <c r="J4" s="136"/>
      <c r="K4" s="136"/>
      <c r="L4" s="136"/>
      <c r="M4" s="136"/>
      <c r="N4" s="136"/>
    </row>
    <row r="5" spans="1:14" ht="15">
      <c r="A5" s="213" t="s">
        <v>236</v>
      </c>
      <c r="B5" s="214"/>
      <c r="C5" s="214"/>
      <c r="D5" s="215"/>
      <c r="E5" s="164"/>
      <c r="F5" s="203">
        <v>3</v>
      </c>
      <c r="G5" s="164">
        <v>0</v>
      </c>
      <c r="H5" s="162"/>
      <c r="I5" s="136"/>
      <c r="J5" s="136"/>
      <c r="K5" s="136"/>
      <c r="L5" s="136"/>
      <c r="M5" s="136"/>
      <c r="N5" s="136"/>
    </row>
    <row r="6" spans="1:14" ht="15">
      <c r="A6" s="213" t="s">
        <v>304</v>
      </c>
      <c r="B6" s="214"/>
      <c r="C6" s="214"/>
      <c r="D6" s="215"/>
      <c r="E6" s="164"/>
      <c r="F6" s="203">
        <v>10</v>
      </c>
      <c r="G6" s="164"/>
      <c r="H6" s="162"/>
      <c r="I6" s="136"/>
      <c r="J6" s="136"/>
      <c r="K6" s="136"/>
      <c r="L6" s="136"/>
      <c r="M6" s="136"/>
      <c r="N6" s="136"/>
    </row>
    <row r="7" spans="1:14" ht="15">
      <c r="A7" s="213" t="s">
        <v>237</v>
      </c>
      <c r="B7" s="214"/>
      <c r="C7" s="214"/>
      <c r="D7" s="215"/>
      <c r="E7" s="164"/>
      <c r="F7" s="203">
        <v>2</v>
      </c>
      <c r="G7" s="164"/>
      <c r="H7" s="162"/>
      <c r="I7" s="136"/>
      <c r="J7" s="136"/>
      <c r="K7" s="136"/>
      <c r="L7" s="136"/>
      <c r="M7" s="136"/>
      <c r="N7" s="136"/>
    </row>
    <row r="8" spans="1:14" ht="15">
      <c r="A8" s="213" t="s">
        <v>153</v>
      </c>
      <c r="B8" s="214"/>
      <c r="C8" s="214"/>
      <c r="D8" s="215"/>
      <c r="E8" s="164"/>
      <c r="F8" s="164">
        <v>25</v>
      </c>
      <c r="G8" s="164"/>
      <c r="H8" s="162"/>
      <c r="I8" s="136"/>
      <c r="J8" s="136"/>
      <c r="K8" s="136"/>
      <c r="L8" s="136"/>
      <c r="M8" s="136"/>
      <c r="N8" s="136"/>
    </row>
    <row r="9" spans="1:14" ht="15">
      <c r="A9" s="213" t="s">
        <v>238</v>
      </c>
      <c r="B9" s="214"/>
      <c r="C9" s="214"/>
      <c r="D9" s="215"/>
      <c r="E9" s="164"/>
      <c r="F9" s="164">
        <f>F5*F7*F8*F6</f>
        <v>1500</v>
      </c>
      <c r="G9" s="164"/>
      <c r="H9" s="162"/>
      <c r="I9" s="136"/>
      <c r="J9" s="136"/>
      <c r="K9" s="136"/>
      <c r="L9" s="136"/>
      <c r="M9" s="136"/>
      <c r="N9" s="136"/>
    </row>
    <row r="10" spans="1:14" ht="15">
      <c r="A10" s="351" t="s">
        <v>281</v>
      </c>
      <c r="B10" s="352"/>
      <c r="C10" s="352"/>
      <c r="D10" s="220"/>
      <c r="E10" s="206">
        <f>E9*5000*2/10^5</f>
        <v>0</v>
      </c>
      <c r="F10" s="206">
        <f>F9*0*3/10^5</f>
        <v>0</v>
      </c>
      <c r="G10" s="206">
        <f>G9*5000*2/10^5</f>
        <v>0</v>
      </c>
      <c r="H10" s="204">
        <f>SUM(E10:G10)</f>
        <v>0</v>
      </c>
      <c r="I10" s="195" t="e">
        <f>H10-'Fin Smmry'!#REF!</f>
        <v>#REF!</v>
      </c>
      <c r="J10" s="136"/>
      <c r="K10" s="136"/>
      <c r="L10" s="136"/>
      <c r="M10" s="136"/>
      <c r="N10" s="136"/>
    </row>
    <row r="11" spans="1:14" ht="15">
      <c r="A11" s="114"/>
      <c r="B11" s="114"/>
      <c r="C11" s="114"/>
      <c r="D11" s="136"/>
      <c r="E11" s="217"/>
      <c r="F11" s="217"/>
      <c r="G11" s="217"/>
      <c r="H11" s="217"/>
      <c r="I11" s="136"/>
      <c r="J11" s="136"/>
      <c r="K11" s="136"/>
      <c r="L11" s="136"/>
      <c r="M11" s="136"/>
      <c r="N11" s="136"/>
    </row>
    <row r="12" spans="1:14" ht="15">
      <c r="A12" s="210"/>
      <c r="B12" s="218"/>
      <c r="C12" s="218"/>
      <c r="D12" s="212"/>
      <c r="E12" s="163"/>
      <c r="F12" s="205"/>
      <c r="G12" s="163"/>
      <c r="H12" s="163"/>
      <c r="I12" s="136"/>
      <c r="J12" s="136"/>
      <c r="K12" s="136"/>
      <c r="L12" s="136"/>
      <c r="M12" s="136"/>
      <c r="N12" s="136"/>
    </row>
    <row r="13" spans="1:14" ht="15">
      <c r="A13" s="219" t="s">
        <v>305</v>
      </c>
      <c r="B13" s="220"/>
      <c r="C13" s="221"/>
      <c r="D13" s="220"/>
      <c r="E13" s="206">
        <v>0</v>
      </c>
      <c r="F13" s="206">
        <f>F9</f>
        <v>1500</v>
      </c>
      <c r="G13" s="206">
        <f>G9</f>
        <v>0</v>
      </c>
      <c r="H13" s="204">
        <f>SUM(E13:G13)</f>
        <v>1500</v>
      </c>
      <c r="I13" s="136"/>
      <c r="J13" s="136"/>
      <c r="K13" s="136"/>
      <c r="L13" s="136"/>
      <c r="M13" s="136"/>
      <c r="N13" s="136"/>
    </row>
    <row r="15" spans="1:14">
      <c r="A15" s="243" t="s">
        <v>301</v>
      </c>
    </row>
    <row r="16" spans="1:14">
      <c r="A16" s="243" t="s">
        <v>302</v>
      </c>
    </row>
  </sheetData>
  <mergeCells count="1">
    <mergeCell ref="A1:H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3">
    <pageSetUpPr fitToPage="1"/>
  </sheetPr>
  <dimension ref="A1:AA134"/>
  <sheetViews>
    <sheetView showGridLines="0" topLeftCell="A70" zoomScale="80" zoomScaleNormal="80" workbookViewId="0">
      <selection activeCell="S73" sqref="S73"/>
    </sheetView>
  </sheetViews>
  <sheetFormatPr defaultRowHeight="12.75"/>
  <cols>
    <col min="1" max="1" width="6.42578125" style="922" customWidth="1"/>
    <col min="2" max="2" width="18.7109375" style="913" customWidth="1"/>
    <col min="3" max="3" width="11.42578125" style="913" customWidth="1"/>
    <col min="4" max="4" width="7.85546875" style="913" customWidth="1"/>
    <col min="5" max="5" width="23.42578125" style="913" customWidth="1"/>
    <col min="6" max="6" width="13.28515625" style="913" customWidth="1"/>
    <col min="7" max="8" width="10.140625" style="913" customWidth="1"/>
    <col min="9" max="9" width="19.7109375" style="913" customWidth="1"/>
    <col min="10" max="10" width="12" style="913" customWidth="1"/>
    <col min="11" max="11" width="7.42578125" style="913" bestFit="1" customWidth="1"/>
    <col min="12" max="12" width="11.28515625" style="913" bestFit="1" customWidth="1"/>
    <col min="13" max="13" width="7.42578125" style="913" bestFit="1" customWidth="1"/>
    <col min="14" max="14" width="15.28515625" style="913" bestFit="1" customWidth="1"/>
    <col min="15" max="15" width="8.5703125" style="913" bestFit="1" customWidth="1"/>
    <col min="16" max="16" width="9.7109375" style="913" customWidth="1"/>
    <col min="17" max="24" width="8.5703125" style="913" bestFit="1" customWidth="1"/>
    <col min="25" max="26" width="8.5703125" style="214" bestFit="1" customWidth="1"/>
    <col min="27" max="29" width="11" style="214" bestFit="1" customWidth="1"/>
    <col min="30" max="16384" width="9.140625" style="214"/>
  </cols>
  <sheetData>
    <row r="1" spans="1:27" ht="15.75">
      <c r="A1" s="1314" t="s">
        <v>76</v>
      </c>
      <c r="B1" s="1314"/>
      <c r="C1" s="1314"/>
      <c r="D1" s="1314"/>
      <c r="E1" s="1314"/>
      <c r="F1" s="1314"/>
      <c r="G1" s="1314"/>
      <c r="H1" s="1314"/>
      <c r="I1" s="1314"/>
      <c r="J1" s="1314"/>
      <c r="K1" s="1314"/>
      <c r="L1" s="1314"/>
      <c r="M1" s="1314"/>
      <c r="N1" s="1314"/>
      <c r="O1" s="1314"/>
      <c r="P1" s="1314"/>
      <c r="Q1" s="1314"/>
      <c r="R1" s="1314"/>
      <c r="S1" s="1314"/>
      <c r="T1" s="1314"/>
      <c r="U1" s="1314"/>
      <c r="V1" s="1314"/>
      <c r="W1" s="1314"/>
      <c r="X1" s="1314"/>
      <c r="Y1" s="1314"/>
      <c r="Z1" s="1314"/>
    </row>
    <row r="2" spans="1:27" ht="15.75" hidden="1">
      <c r="A2" s="1317" t="e">
        <f>#REF!</f>
        <v>#REF!</v>
      </c>
      <c r="B2" s="1317"/>
      <c r="C2" s="1317"/>
      <c r="D2" s="1317"/>
      <c r="E2" s="1317"/>
      <c r="F2" s="1317"/>
      <c r="G2" s="1317"/>
      <c r="H2" s="1317"/>
      <c r="I2" s="1317"/>
      <c r="J2" s="1317"/>
      <c r="K2" s="1317"/>
      <c r="L2" s="1317"/>
      <c r="M2" s="1317"/>
      <c r="N2" s="1317"/>
      <c r="O2" s="1317"/>
      <c r="P2" s="1317"/>
      <c r="Q2" s="1317"/>
      <c r="R2" s="1317"/>
      <c r="S2" s="1317"/>
      <c r="T2" s="1317"/>
      <c r="U2" s="1317"/>
      <c r="V2" s="1317"/>
      <c r="W2" s="1317"/>
    </row>
    <row r="3" spans="1:27" ht="15.95" customHeight="1">
      <c r="A3" s="914" t="s">
        <v>21</v>
      </c>
      <c r="B3" s="518"/>
      <c r="C3" s="518" t="s">
        <v>77</v>
      </c>
      <c r="O3" s="915"/>
      <c r="P3" s="915"/>
      <c r="Q3" s="915"/>
      <c r="R3" s="915"/>
      <c r="S3" s="915" t="s">
        <v>211</v>
      </c>
      <c r="T3" s="915" t="s">
        <v>213</v>
      </c>
      <c r="U3" s="915" t="s">
        <v>214</v>
      </c>
      <c r="V3" s="915" t="s">
        <v>215</v>
      </c>
      <c r="W3" s="915"/>
      <c r="X3" s="915"/>
      <c r="Y3" s="915"/>
      <c r="Z3" s="915"/>
      <c r="AA3" s="916" t="s">
        <v>220</v>
      </c>
    </row>
    <row r="4" spans="1:27" ht="15.95" customHeight="1">
      <c r="A4" s="917"/>
      <c r="B4" s="918"/>
      <c r="C4" s="918"/>
      <c r="D4" s="918"/>
      <c r="E4" s="918"/>
      <c r="F4" s="918"/>
      <c r="G4" s="918"/>
      <c r="H4" s="918"/>
      <c r="Y4" s="913"/>
      <c r="Z4" s="913"/>
    </row>
    <row r="5" spans="1:27" s="913" customFormat="1" ht="15.95" customHeight="1">
      <c r="A5" s="917"/>
      <c r="B5" s="918"/>
      <c r="C5" s="918"/>
      <c r="D5" s="918"/>
      <c r="E5" s="918"/>
      <c r="F5" s="918"/>
      <c r="G5" s="918"/>
      <c r="H5" s="918"/>
    </row>
    <row r="6" spans="1:27" s="913" customFormat="1" ht="15.95" customHeight="1">
      <c r="A6" s="919">
        <v>1</v>
      </c>
      <c r="B6" s="913" t="s">
        <v>570</v>
      </c>
    </row>
    <row r="7" spans="1:27" ht="15.95" customHeight="1">
      <c r="A7" s="919">
        <v>2</v>
      </c>
      <c r="B7" s="913" t="s">
        <v>285</v>
      </c>
      <c r="G7" s="920" t="s">
        <v>286</v>
      </c>
      <c r="S7" s="921"/>
      <c r="Y7" s="913"/>
      <c r="Z7" s="913"/>
    </row>
    <row r="8" spans="1:27" ht="15.95" customHeight="1">
      <c r="A8" s="919"/>
      <c r="G8" s="920"/>
      <c r="J8" s="922"/>
      <c r="K8" s="1307" t="s">
        <v>156</v>
      </c>
      <c r="L8" s="1307"/>
      <c r="M8" s="1307"/>
      <c r="N8" s="1307"/>
      <c r="O8" s="1307" t="s">
        <v>157</v>
      </c>
      <c r="P8" s="1307"/>
      <c r="Q8" s="1307"/>
      <c r="R8" s="1307"/>
      <c r="S8" s="1005" t="s">
        <v>162</v>
      </c>
      <c r="T8" s="1005" t="s">
        <v>163</v>
      </c>
      <c r="U8" s="1005" t="s">
        <v>164</v>
      </c>
      <c r="V8" s="1005" t="s">
        <v>190</v>
      </c>
      <c r="W8" s="1005" t="s">
        <v>191</v>
      </c>
      <c r="X8" s="1005" t="s">
        <v>192</v>
      </c>
      <c r="Y8" s="1005" t="s">
        <v>193</v>
      </c>
      <c r="Z8" s="1005" t="s">
        <v>194</v>
      </c>
    </row>
    <row r="9" spans="1:27" ht="15.95" customHeight="1">
      <c r="A9" s="919">
        <v>3</v>
      </c>
      <c r="B9" s="913" t="s">
        <v>469</v>
      </c>
      <c r="G9" s="923" t="s">
        <v>474</v>
      </c>
      <c r="K9" s="1005" t="s">
        <v>608</v>
      </c>
      <c r="L9" s="1005" t="s">
        <v>609</v>
      </c>
      <c r="M9" s="1005" t="s">
        <v>610</v>
      </c>
      <c r="N9" s="1005" t="s">
        <v>611</v>
      </c>
      <c r="O9" s="1005" t="s">
        <v>608</v>
      </c>
      <c r="P9" s="1005" t="s">
        <v>609</v>
      </c>
      <c r="Q9" s="1005" t="s">
        <v>610</v>
      </c>
      <c r="R9" s="1005" t="s">
        <v>611</v>
      </c>
      <c r="S9" s="1006"/>
      <c r="T9" s="1006"/>
      <c r="U9" s="1006"/>
      <c r="V9" s="1006"/>
      <c r="W9" s="1006"/>
      <c r="X9" s="1006"/>
      <c r="Y9" s="1006"/>
      <c r="Z9" s="1006"/>
    </row>
    <row r="10" spans="1:27" s="913" customFormat="1" ht="15.95" customHeight="1">
      <c r="A10" s="919">
        <v>4</v>
      </c>
      <c r="B10" s="913" t="s">
        <v>470</v>
      </c>
      <c r="G10" s="924">
        <v>0.1</v>
      </c>
      <c r="J10" s="960" t="s">
        <v>743</v>
      </c>
      <c r="K10" s="925">
        <v>1</v>
      </c>
      <c r="L10" s="926">
        <f>K10</f>
        <v>1</v>
      </c>
      <c r="M10" s="926">
        <f>L10</f>
        <v>1</v>
      </c>
      <c r="N10" s="926">
        <f>M10</f>
        <v>1</v>
      </c>
      <c r="O10" s="926">
        <f>N10+N10*G10</f>
        <v>1.1000000000000001</v>
      </c>
      <c r="P10" s="926">
        <f>O10</f>
        <v>1.1000000000000001</v>
      </c>
      <c r="Q10" s="926">
        <f>P10</f>
        <v>1.1000000000000001</v>
      </c>
      <c r="R10" s="926">
        <f>Q10</f>
        <v>1.1000000000000001</v>
      </c>
      <c r="S10" s="927">
        <f>R10+R10*$G$10</f>
        <v>1.2100000000000002</v>
      </c>
      <c r="T10" s="927">
        <f t="shared" ref="T10:Z10" si="0">S10+S10*$G$10</f>
        <v>1.3310000000000002</v>
      </c>
      <c r="U10" s="927">
        <f t="shared" si="0"/>
        <v>1.4641000000000002</v>
      </c>
      <c r="V10" s="927">
        <f t="shared" si="0"/>
        <v>1.6105100000000001</v>
      </c>
      <c r="W10" s="927">
        <f t="shared" si="0"/>
        <v>1.7715610000000002</v>
      </c>
      <c r="X10" s="927">
        <f t="shared" si="0"/>
        <v>1.9487171000000001</v>
      </c>
      <c r="Y10" s="927">
        <f t="shared" si="0"/>
        <v>2.1435888100000002</v>
      </c>
      <c r="Z10" s="927">
        <f t="shared" si="0"/>
        <v>2.3579476910000001</v>
      </c>
    </row>
    <row r="11" spans="1:27" s="913" customFormat="1" ht="15.95" customHeight="1">
      <c r="A11" s="919"/>
      <c r="G11" s="924"/>
      <c r="J11" s="925"/>
      <c r="K11" s="925"/>
      <c r="L11" s="926"/>
      <c r="M11" s="926"/>
      <c r="N11" s="926"/>
      <c r="O11" s="926"/>
      <c r="P11" s="926"/>
      <c r="Q11" s="926"/>
      <c r="R11" s="926"/>
      <c r="S11" s="927"/>
      <c r="T11" s="927"/>
      <c r="U11" s="927"/>
      <c r="V11" s="927"/>
      <c r="W11" s="927"/>
      <c r="X11" s="927"/>
      <c r="Y11" s="927"/>
      <c r="Z11" s="927"/>
    </row>
    <row r="12" spans="1:27" s="913" customFormat="1" ht="21.75" customHeight="1">
      <c r="A12" s="919">
        <v>5</v>
      </c>
      <c r="B12" s="913" t="s">
        <v>403</v>
      </c>
      <c r="E12" s="928"/>
      <c r="G12" s="929">
        <f>SUM(J12:Z12)</f>
        <v>3</v>
      </c>
      <c r="H12" s="913" t="s">
        <v>234</v>
      </c>
      <c r="J12" s="930"/>
      <c r="K12" s="930">
        <v>0</v>
      </c>
      <c r="L12" s="931">
        <f>K12</f>
        <v>0</v>
      </c>
      <c r="M12" s="931">
        <f>L12</f>
        <v>0</v>
      </c>
      <c r="N12" s="931">
        <f>M12</f>
        <v>0</v>
      </c>
      <c r="O12" s="932">
        <v>1</v>
      </c>
      <c r="P12" s="930">
        <v>0</v>
      </c>
      <c r="Q12" s="930">
        <v>0</v>
      </c>
      <c r="R12" s="930">
        <v>0</v>
      </c>
      <c r="S12" s="930">
        <v>0</v>
      </c>
      <c r="T12" s="930">
        <v>0</v>
      </c>
      <c r="U12" s="930">
        <v>1</v>
      </c>
      <c r="V12" s="930">
        <v>0</v>
      </c>
      <c r="W12" s="930">
        <v>1</v>
      </c>
      <c r="X12" s="930">
        <v>0</v>
      </c>
      <c r="Y12" s="930">
        <v>0</v>
      </c>
      <c r="Z12" s="933">
        <v>0</v>
      </c>
    </row>
    <row r="13" spans="1:27" s="913" customFormat="1" ht="15.95" customHeight="1">
      <c r="A13" s="919"/>
      <c r="C13" s="928" t="s">
        <v>571</v>
      </c>
      <c r="J13" s="931"/>
      <c r="K13" s="931">
        <f>K12</f>
        <v>0</v>
      </c>
      <c r="L13" s="931">
        <f t="shared" ref="L13:S13" si="1">K13+L12</f>
        <v>0</v>
      </c>
      <c r="M13" s="931">
        <f t="shared" si="1"/>
        <v>0</v>
      </c>
      <c r="N13" s="931">
        <f t="shared" si="1"/>
        <v>0</v>
      </c>
      <c r="O13" s="931">
        <f t="shared" si="1"/>
        <v>1</v>
      </c>
      <c r="P13" s="931">
        <f t="shared" si="1"/>
        <v>1</v>
      </c>
      <c r="Q13" s="931">
        <f t="shared" si="1"/>
        <v>1</v>
      </c>
      <c r="R13" s="931">
        <f t="shared" si="1"/>
        <v>1</v>
      </c>
      <c r="S13" s="931">
        <f t="shared" si="1"/>
        <v>1</v>
      </c>
      <c r="T13" s="931">
        <f t="shared" ref="T13:Z13" si="2">S13+T12</f>
        <v>1</v>
      </c>
      <c r="U13" s="931">
        <f t="shared" si="2"/>
        <v>2</v>
      </c>
      <c r="V13" s="931">
        <f t="shared" si="2"/>
        <v>2</v>
      </c>
      <c r="W13" s="931">
        <f t="shared" si="2"/>
        <v>3</v>
      </c>
      <c r="X13" s="931">
        <f t="shared" si="2"/>
        <v>3</v>
      </c>
      <c r="Y13" s="931">
        <f t="shared" si="2"/>
        <v>3</v>
      </c>
      <c r="Z13" s="931">
        <f t="shared" si="2"/>
        <v>3</v>
      </c>
      <c r="AA13" s="934"/>
    </row>
    <row r="14" spans="1:27" s="913" customFormat="1" ht="15.95" customHeight="1">
      <c r="A14" s="919"/>
      <c r="G14" s="924"/>
      <c r="J14" s="925"/>
      <c r="K14" s="925"/>
      <c r="L14" s="926"/>
      <c r="M14" s="926"/>
      <c r="N14" s="926"/>
      <c r="O14" s="926"/>
      <c r="P14" s="926"/>
      <c r="Q14" s="926"/>
      <c r="R14" s="926"/>
      <c r="S14" s="927"/>
      <c r="T14" s="927"/>
      <c r="U14" s="927"/>
      <c r="V14" s="927"/>
      <c r="W14" s="927"/>
      <c r="X14" s="927"/>
      <c r="Y14" s="927"/>
      <c r="Z14" s="927"/>
    </row>
    <row r="15" spans="1:27" s="913" customFormat="1" ht="15.95" customHeight="1">
      <c r="A15" s="919"/>
      <c r="B15" s="935" t="s">
        <v>737</v>
      </c>
      <c r="C15" s="936"/>
      <c r="G15" s="924"/>
      <c r="J15" s="925"/>
      <c r="K15" s="925"/>
      <c r="L15" s="926"/>
      <c r="M15" s="926"/>
      <c r="N15" s="926"/>
      <c r="O15" s="926"/>
      <c r="P15" s="926"/>
      <c r="Q15" s="926"/>
      <c r="R15" s="926"/>
      <c r="S15" s="927"/>
      <c r="T15" s="927"/>
      <c r="U15" s="927"/>
      <c r="V15" s="927"/>
      <c r="W15" s="927"/>
      <c r="X15" s="927"/>
      <c r="Y15" s="927"/>
      <c r="Z15" s="927"/>
    </row>
    <row r="17" spans="1:26">
      <c r="K17" s="1307" t="s">
        <v>156</v>
      </c>
      <c r="L17" s="1307"/>
      <c r="M17" s="1307"/>
      <c r="N17" s="1307"/>
      <c r="O17" s="1307" t="s">
        <v>157</v>
      </c>
      <c r="P17" s="1307"/>
      <c r="Q17" s="1307"/>
      <c r="R17" s="1307"/>
      <c r="S17" s="1005" t="s">
        <v>162</v>
      </c>
      <c r="T17" s="1005" t="s">
        <v>163</v>
      </c>
      <c r="U17" s="1005" t="s">
        <v>164</v>
      </c>
      <c r="V17" s="1005" t="s">
        <v>190</v>
      </c>
      <c r="W17" s="1005" t="s">
        <v>191</v>
      </c>
      <c r="X17" s="1005" t="s">
        <v>192</v>
      </c>
      <c r="Y17" s="1005" t="s">
        <v>193</v>
      </c>
      <c r="Z17" s="1005" t="s">
        <v>194</v>
      </c>
    </row>
    <row r="18" spans="1:26" s="913" customFormat="1" ht="15.95" customHeight="1">
      <c r="A18" s="919">
        <v>6</v>
      </c>
      <c r="B18" s="913" t="s">
        <v>300</v>
      </c>
      <c r="G18" s="921"/>
      <c r="J18" s="919"/>
      <c r="K18" s="1005" t="s">
        <v>608</v>
      </c>
      <c r="L18" s="1005" t="s">
        <v>609</v>
      </c>
      <c r="M18" s="1005" t="s">
        <v>610</v>
      </c>
      <c r="N18" s="1005" t="s">
        <v>611</v>
      </c>
      <c r="O18" s="1005" t="s">
        <v>608</v>
      </c>
      <c r="P18" s="1005" t="s">
        <v>609</v>
      </c>
      <c r="Q18" s="1005" t="s">
        <v>610</v>
      </c>
      <c r="R18" s="1005" t="s">
        <v>611</v>
      </c>
      <c r="S18" s="1006"/>
      <c r="T18" s="1006"/>
      <c r="U18" s="1006"/>
      <c r="V18" s="1006"/>
      <c r="W18" s="1006"/>
      <c r="X18" s="1006"/>
      <c r="Y18" s="1006"/>
      <c r="Z18" s="1006"/>
    </row>
    <row r="19" spans="1:26" s="913" customFormat="1" ht="15.95" customHeight="1">
      <c r="A19" s="919"/>
      <c r="B19" s="913" t="s">
        <v>575</v>
      </c>
      <c r="G19" s="939">
        <v>2</v>
      </c>
      <c r="H19" s="913" t="s">
        <v>405</v>
      </c>
      <c r="J19" s="919"/>
      <c r="K19" s="931">
        <f>G19</f>
        <v>2</v>
      </c>
      <c r="L19" s="931">
        <f>K19</f>
        <v>2</v>
      </c>
      <c r="M19" s="931">
        <f>L19</f>
        <v>2</v>
      </c>
      <c r="N19" s="931">
        <f>M19</f>
        <v>2</v>
      </c>
      <c r="O19" s="931">
        <f>N19</f>
        <v>2</v>
      </c>
      <c r="P19" s="931">
        <f>O19</f>
        <v>2</v>
      </c>
      <c r="Q19" s="931">
        <f t="shared" ref="Q19:Z19" si="3">P19</f>
        <v>2</v>
      </c>
      <c r="R19" s="931">
        <f t="shared" si="3"/>
        <v>2</v>
      </c>
      <c r="S19" s="931">
        <f>R19</f>
        <v>2</v>
      </c>
      <c r="T19" s="931">
        <f t="shared" si="3"/>
        <v>2</v>
      </c>
      <c r="U19" s="931">
        <f t="shared" si="3"/>
        <v>2</v>
      </c>
      <c r="V19" s="931">
        <f t="shared" si="3"/>
        <v>2</v>
      </c>
      <c r="W19" s="931">
        <f t="shared" si="3"/>
        <v>2</v>
      </c>
      <c r="X19" s="931">
        <f t="shared" si="3"/>
        <v>2</v>
      </c>
      <c r="Y19" s="931">
        <f t="shared" si="3"/>
        <v>2</v>
      </c>
      <c r="Z19" s="931">
        <f t="shared" si="3"/>
        <v>2</v>
      </c>
    </row>
    <row r="20" spans="1:26" s="913" customFormat="1" ht="15.95" customHeight="1">
      <c r="A20" s="919"/>
      <c r="B20" s="928"/>
      <c r="C20" s="940" t="s">
        <v>406</v>
      </c>
      <c r="D20" s="918"/>
      <c r="E20" s="918"/>
      <c r="G20" s="939"/>
      <c r="J20" s="919"/>
      <c r="K20" s="919"/>
      <c r="L20" s="919"/>
      <c r="M20" s="919"/>
      <c r="N20" s="919"/>
      <c r="O20" s="937"/>
      <c r="P20" s="937"/>
      <c r="Q20" s="937"/>
      <c r="R20" s="937"/>
      <c r="S20" s="937"/>
      <c r="T20" s="937"/>
      <c r="U20" s="937"/>
      <c r="V20" s="937"/>
      <c r="W20" s="937"/>
      <c r="X20" s="937"/>
      <c r="Y20" s="937"/>
      <c r="Z20" s="937"/>
    </row>
    <row r="21" spans="1:26" s="913" customFormat="1" ht="15.95" customHeight="1">
      <c r="A21" s="919"/>
      <c r="B21" s="928"/>
      <c r="C21" s="940" t="s">
        <v>488</v>
      </c>
      <c r="D21" s="918"/>
      <c r="E21" s="918"/>
      <c r="G21" s="939"/>
      <c r="J21" s="919"/>
      <c r="K21" s="919"/>
      <c r="L21" s="919"/>
      <c r="M21" s="919"/>
      <c r="N21" s="919"/>
      <c r="O21" s="937"/>
      <c r="P21" s="937"/>
      <c r="Q21" s="937"/>
      <c r="R21" s="937"/>
      <c r="S21" s="937"/>
      <c r="T21" s="937"/>
      <c r="U21" s="937"/>
      <c r="V21" s="937"/>
      <c r="W21" s="937"/>
      <c r="X21" s="937"/>
      <c r="Y21" s="937"/>
      <c r="Z21" s="937"/>
    </row>
    <row r="22" spans="1:26" s="913" customFormat="1" ht="15.95" customHeight="1">
      <c r="A22" s="919"/>
      <c r="B22" s="913" t="s">
        <v>660</v>
      </c>
      <c r="C22" s="928"/>
      <c r="G22" s="939">
        <v>2</v>
      </c>
      <c r="H22" s="913" t="s">
        <v>405</v>
      </c>
      <c r="J22" s="919"/>
      <c r="K22" s="931">
        <f>G22</f>
        <v>2</v>
      </c>
      <c r="L22" s="931">
        <f t="shared" ref="L22:Z22" si="4">K22</f>
        <v>2</v>
      </c>
      <c r="M22" s="931">
        <f t="shared" si="4"/>
        <v>2</v>
      </c>
      <c r="N22" s="931">
        <f t="shared" si="4"/>
        <v>2</v>
      </c>
      <c r="O22" s="931">
        <f t="shared" si="4"/>
        <v>2</v>
      </c>
      <c r="P22" s="931">
        <f t="shared" si="4"/>
        <v>2</v>
      </c>
      <c r="Q22" s="931">
        <f t="shared" si="4"/>
        <v>2</v>
      </c>
      <c r="R22" s="931">
        <f t="shared" si="4"/>
        <v>2</v>
      </c>
      <c r="S22" s="931">
        <f t="shared" si="4"/>
        <v>2</v>
      </c>
      <c r="T22" s="931">
        <f t="shared" si="4"/>
        <v>2</v>
      </c>
      <c r="U22" s="931">
        <f t="shared" si="4"/>
        <v>2</v>
      </c>
      <c r="V22" s="931">
        <f t="shared" si="4"/>
        <v>2</v>
      </c>
      <c r="W22" s="931">
        <f t="shared" si="4"/>
        <v>2</v>
      </c>
      <c r="X22" s="931">
        <f t="shared" si="4"/>
        <v>2</v>
      </c>
      <c r="Y22" s="931">
        <f t="shared" si="4"/>
        <v>2</v>
      </c>
      <c r="Z22" s="931">
        <f t="shared" si="4"/>
        <v>2</v>
      </c>
    </row>
    <row r="23" spans="1:26" s="913" customFormat="1" ht="15.95" customHeight="1">
      <c r="A23" s="919"/>
      <c r="B23" s="928"/>
      <c r="C23" s="928" t="s">
        <v>406</v>
      </c>
      <c r="G23" s="941"/>
      <c r="H23" s="918"/>
      <c r="J23" s="919"/>
      <c r="K23" s="919"/>
      <c r="L23" s="919"/>
      <c r="M23" s="919"/>
      <c r="N23" s="919"/>
      <c r="O23" s="937"/>
      <c r="P23" s="937"/>
      <c r="Q23" s="937"/>
      <c r="R23" s="937"/>
      <c r="S23" s="937"/>
      <c r="T23" s="937"/>
      <c r="U23" s="937"/>
      <c r="V23" s="937"/>
      <c r="W23" s="937"/>
      <c r="X23" s="937"/>
      <c r="Y23" s="937"/>
      <c r="Z23" s="937"/>
    </row>
    <row r="24" spans="1:26" s="913" customFormat="1" ht="15.95" customHeight="1">
      <c r="A24" s="919"/>
      <c r="B24" s="928"/>
      <c r="C24" s="928" t="s">
        <v>488</v>
      </c>
      <c r="G24" s="939"/>
      <c r="J24" s="919"/>
      <c r="K24" s="919"/>
      <c r="L24" s="919"/>
      <c r="M24" s="919"/>
      <c r="N24" s="919"/>
      <c r="O24" s="937"/>
      <c r="P24" s="937"/>
      <c r="Q24" s="937"/>
      <c r="R24" s="937"/>
      <c r="S24" s="937"/>
      <c r="T24" s="937"/>
      <c r="U24" s="937"/>
      <c r="V24" s="937"/>
      <c r="W24" s="937"/>
      <c r="X24" s="937"/>
      <c r="Y24" s="937"/>
      <c r="Z24" s="937"/>
    </row>
    <row r="25" spans="1:26" s="913" customFormat="1" ht="15.95" customHeight="1">
      <c r="A25" s="919"/>
      <c r="B25" s="913" t="s">
        <v>659</v>
      </c>
      <c r="G25" s="939">
        <v>3</v>
      </c>
      <c r="H25" s="913" t="s">
        <v>405</v>
      </c>
      <c r="J25" s="919"/>
      <c r="K25" s="942">
        <v>1</v>
      </c>
      <c r="L25" s="917">
        <f>K25</f>
        <v>1</v>
      </c>
      <c r="M25" s="917">
        <f t="shared" ref="M25:Z25" si="5">L25</f>
        <v>1</v>
      </c>
      <c r="N25" s="917">
        <f t="shared" si="5"/>
        <v>1</v>
      </c>
      <c r="O25" s="917">
        <f>N25</f>
        <v>1</v>
      </c>
      <c r="P25" s="917">
        <f t="shared" si="5"/>
        <v>1</v>
      </c>
      <c r="Q25" s="917">
        <f t="shared" si="5"/>
        <v>1</v>
      </c>
      <c r="R25" s="917">
        <f t="shared" si="5"/>
        <v>1</v>
      </c>
      <c r="S25" s="930">
        <v>3</v>
      </c>
      <c r="T25" s="919">
        <f t="shared" si="5"/>
        <v>3</v>
      </c>
      <c r="U25" s="919">
        <f t="shared" si="5"/>
        <v>3</v>
      </c>
      <c r="V25" s="919">
        <f t="shared" si="5"/>
        <v>3</v>
      </c>
      <c r="W25" s="919">
        <f t="shared" si="5"/>
        <v>3</v>
      </c>
      <c r="X25" s="919">
        <f t="shared" si="5"/>
        <v>3</v>
      </c>
      <c r="Y25" s="919">
        <f t="shared" si="5"/>
        <v>3</v>
      </c>
      <c r="Z25" s="919">
        <f t="shared" si="5"/>
        <v>3</v>
      </c>
    </row>
    <row r="26" spans="1:26" s="913" customFormat="1" ht="15.95" customHeight="1">
      <c r="A26" s="919"/>
      <c r="B26" s="928"/>
      <c r="C26" s="928" t="s">
        <v>407</v>
      </c>
      <c r="G26" s="939"/>
      <c r="J26" s="919"/>
      <c r="K26" s="919"/>
      <c r="L26" s="919"/>
      <c r="M26" s="919"/>
      <c r="N26" s="919"/>
      <c r="O26" s="937"/>
      <c r="P26" s="937"/>
      <c r="Q26" s="937"/>
      <c r="R26" s="937"/>
      <c r="S26" s="937"/>
      <c r="T26" s="937"/>
      <c r="U26" s="937"/>
      <c r="V26" s="937"/>
      <c r="W26" s="937"/>
      <c r="X26" s="937"/>
      <c r="Y26" s="937"/>
      <c r="Z26" s="937"/>
    </row>
    <row r="27" spans="1:26" s="913" customFormat="1" ht="15.95" customHeight="1">
      <c r="A27" s="919"/>
      <c r="B27" s="928"/>
      <c r="C27" s="928" t="s">
        <v>408</v>
      </c>
      <c r="G27" s="939"/>
      <c r="J27" s="919"/>
      <c r="K27" s="919"/>
      <c r="L27" s="919"/>
      <c r="M27" s="919"/>
      <c r="N27" s="919"/>
      <c r="O27" s="937"/>
      <c r="P27" s="937"/>
      <c r="Q27" s="937"/>
      <c r="R27" s="937"/>
      <c r="S27" s="937"/>
      <c r="T27" s="937"/>
      <c r="U27" s="937"/>
      <c r="V27" s="937"/>
      <c r="W27" s="937"/>
      <c r="X27" s="937"/>
      <c r="Y27" s="937"/>
      <c r="Z27" s="937"/>
    </row>
    <row r="28" spans="1:26" s="913" customFormat="1" ht="15.95" customHeight="1">
      <c r="A28" s="919"/>
      <c r="B28" s="928"/>
      <c r="C28" s="928" t="s">
        <v>489</v>
      </c>
      <c r="G28" s="939"/>
      <c r="J28" s="919"/>
      <c r="K28" s="919"/>
      <c r="L28" s="919"/>
      <c r="M28" s="919"/>
      <c r="N28" s="919"/>
      <c r="O28" s="937"/>
      <c r="P28" s="937"/>
      <c r="Q28" s="937"/>
      <c r="R28" s="937"/>
      <c r="S28" s="937"/>
      <c r="T28" s="937"/>
      <c r="U28" s="937"/>
      <c r="V28" s="937"/>
      <c r="W28" s="937"/>
      <c r="X28" s="937"/>
      <c r="Y28" s="937"/>
      <c r="Z28" s="937"/>
    </row>
    <row r="29" spans="1:26" s="913" customFormat="1" ht="15.95" customHeight="1">
      <c r="A29" s="919"/>
      <c r="B29" s="928"/>
      <c r="C29" s="928"/>
      <c r="G29" s="939"/>
      <c r="J29" s="919"/>
      <c r="K29" s="1307" t="s">
        <v>156</v>
      </c>
      <c r="L29" s="1307"/>
      <c r="M29" s="1307"/>
      <c r="N29" s="1307"/>
      <c r="O29" s="1307" t="s">
        <v>157</v>
      </c>
      <c r="P29" s="1307"/>
      <c r="Q29" s="1307"/>
      <c r="R29" s="1307"/>
      <c r="S29" s="1005" t="s">
        <v>162</v>
      </c>
      <c r="T29" s="1005" t="s">
        <v>163</v>
      </c>
      <c r="U29" s="1005" t="s">
        <v>164</v>
      </c>
      <c r="V29" s="1005" t="s">
        <v>190</v>
      </c>
      <c r="W29" s="1005" t="s">
        <v>191</v>
      </c>
      <c r="X29" s="1005" t="s">
        <v>192</v>
      </c>
      <c r="Y29" s="1005" t="s">
        <v>193</v>
      </c>
      <c r="Z29" s="1005" t="s">
        <v>194</v>
      </c>
    </row>
    <row r="30" spans="1:26" s="913" customFormat="1" ht="15.95" customHeight="1">
      <c r="A30" s="919"/>
      <c r="C30" s="928"/>
      <c r="G30" s="939"/>
      <c r="J30" s="919"/>
      <c r="K30" s="1005" t="s">
        <v>608</v>
      </c>
      <c r="L30" s="1005" t="s">
        <v>609</v>
      </c>
      <c r="M30" s="1005" t="s">
        <v>610</v>
      </c>
      <c r="N30" s="1005" t="s">
        <v>611</v>
      </c>
      <c r="O30" s="1005" t="s">
        <v>608</v>
      </c>
      <c r="P30" s="1005" t="s">
        <v>609</v>
      </c>
      <c r="Q30" s="1005" t="s">
        <v>610</v>
      </c>
      <c r="R30" s="1005" t="s">
        <v>611</v>
      </c>
      <c r="S30" s="1006"/>
      <c r="T30" s="1006"/>
      <c r="U30" s="1006"/>
      <c r="V30" s="1006"/>
      <c r="W30" s="1006"/>
      <c r="X30" s="1006"/>
      <c r="Y30" s="1006"/>
      <c r="Z30" s="1006"/>
    </row>
    <row r="31" spans="1:26" s="913" customFormat="1" ht="15.95" customHeight="1">
      <c r="A31" s="919"/>
      <c r="B31" s="935" t="s">
        <v>737</v>
      </c>
      <c r="C31" s="943"/>
      <c r="G31" s="939"/>
      <c r="J31" s="919"/>
      <c r="K31" s="919"/>
      <c r="L31" s="919"/>
      <c r="M31" s="919"/>
      <c r="N31" s="919"/>
      <c r="O31" s="937"/>
      <c r="P31" s="937"/>
      <c r="Q31" s="937"/>
      <c r="R31" s="937"/>
      <c r="S31" s="937"/>
      <c r="T31" s="937"/>
      <c r="U31" s="937"/>
      <c r="V31" s="937"/>
      <c r="W31" s="937"/>
      <c r="X31" s="937"/>
      <c r="Y31" s="937"/>
      <c r="Z31" s="937"/>
    </row>
    <row r="32" spans="1:26" s="913" customFormat="1" ht="15.95" customHeight="1">
      <c r="A32" s="919">
        <v>7</v>
      </c>
      <c r="B32" s="913" t="s">
        <v>708</v>
      </c>
      <c r="C32" s="928"/>
      <c r="G32" s="929">
        <f>SUM(J32:Z32)</f>
        <v>120</v>
      </c>
      <c r="H32" s="913" t="s">
        <v>234</v>
      </c>
      <c r="J32" s="929"/>
      <c r="K32" s="944">
        <v>3</v>
      </c>
      <c r="L32" s="945">
        <f>K32</f>
        <v>3</v>
      </c>
      <c r="M32" s="945">
        <f>L32</f>
        <v>3</v>
      </c>
      <c r="N32" s="945">
        <f>M32</f>
        <v>3</v>
      </c>
      <c r="O32" s="930">
        <v>3</v>
      </c>
      <c r="P32" s="931">
        <f>O32</f>
        <v>3</v>
      </c>
      <c r="Q32" s="931">
        <f>P32</f>
        <v>3</v>
      </c>
      <c r="R32" s="931">
        <f>Q32</f>
        <v>3</v>
      </c>
      <c r="S32" s="930">
        <v>12</v>
      </c>
      <c r="T32" s="930">
        <v>12</v>
      </c>
      <c r="U32" s="930">
        <v>12</v>
      </c>
      <c r="V32" s="930">
        <v>12</v>
      </c>
      <c r="W32" s="930">
        <v>12</v>
      </c>
      <c r="X32" s="930">
        <v>12</v>
      </c>
      <c r="Y32" s="930">
        <v>12</v>
      </c>
      <c r="Z32" s="930">
        <v>12</v>
      </c>
    </row>
    <row r="33" spans="1:27" s="913" customFormat="1" ht="15.95" customHeight="1">
      <c r="A33" s="919"/>
      <c r="C33" s="928" t="s">
        <v>572</v>
      </c>
      <c r="J33" s="930"/>
      <c r="K33" s="945">
        <f>K32</f>
        <v>3</v>
      </c>
      <c r="L33" s="945">
        <f t="shared" ref="L33:S33" si="6">K33+L32</f>
        <v>6</v>
      </c>
      <c r="M33" s="945">
        <f t="shared" si="6"/>
        <v>9</v>
      </c>
      <c r="N33" s="945">
        <f t="shared" si="6"/>
        <v>12</v>
      </c>
      <c r="O33" s="931">
        <f t="shared" si="6"/>
        <v>15</v>
      </c>
      <c r="P33" s="931">
        <f t="shared" si="6"/>
        <v>18</v>
      </c>
      <c r="Q33" s="931">
        <f t="shared" si="6"/>
        <v>21</v>
      </c>
      <c r="R33" s="931">
        <f t="shared" si="6"/>
        <v>24</v>
      </c>
      <c r="S33" s="931">
        <f t="shared" si="6"/>
        <v>36</v>
      </c>
      <c r="T33" s="931">
        <f t="shared" ref="T33:Z33" si="7">S33+T32</f>
        <v>48</v>
      </c>
      <c r="U33" s="931">
        <f t="shared" si="7"/>
        <v>60</v>
      </c>
      <c r="V33" s="931">
        <f t="shared" si="7"/>
        <v>72</v>
      </c>
      <c r="W33" s="931">
        <f t="shared" si="7"/>
        <v>84</v>
      </c>
      <c r="X33" s="931">
        <f t="shared" si="7"/>
        <v>96</v>
      </c>
      <c r="Y33" s="931">
        <f t="shared" si="7"/>
        <v>108</v>
      </c>
      <c r="Z33" s="931">
        <f t="shared" si="7"/>
        <v>120</v>
      </c>
    </row>
    <row r="34" spans="1:27" s="913" customFormat="1" ht="15.95" customHeight="1">
      <c r="A34" s="919">
        <v>8</v>
      </c>
      <c r="B34" s="913" t="s">
        <v>576</v>
      </c>
      <c r="G34" s="921"/>
      <c r="J34" s="919"/>
      <c r="K34" s="919"/>
      <c r="L34" s="919"/>
      <c r="M34" s="919"/>
      <c r="N34" s="919"/>
      <c r="O34" s="937"/>
      <c r="P34" s="937"/>
      <c r="Q34" s="937"/>
      <c r="R34" s="937"/>
      <c r="S34" s="937"/>
      <c r="T34" s="937"/>
      <c r="U34" s="937"/>
      <c r="V34" s="937"/>
      <c r="W34" s="937"/>
      <c r="X34" s="937"/>
      <c r="Y34" s="937"/>
      <c r="Z34" s="938"/>
    </row>
    <row r="35" spans="1:27" s="913" customFormat="1" ht="15.95" customHeight="1">
      <c r="A35" s="919"/>
      <c r="B35" s="928" t="s">
        <v>404</v>
      </c>
      <c r="E35" s="1310" t="s">
        <v>584</v>
      </c>
      <c r="F35" s="1310"/>
      <c r="G35" s="1310"/>
      <c r="H35" s="1310"/>
      <c r="J35" s="930"/>
      <c r="K35" s="944">
        <v>25</v>
      </c>
      <c r="L35" s="945">
        <f>K35</f>
        <v>25</v>
      </c>
      <c r="M35" s="945">
        <f t="shared" ref="M35:R35" si="8">L35</f>
        <v>25</v>
      </c>
      <c r="N35" s="945">
        <f t="shared" si="8"/>
        <v>25</v>
      </c>
      <c r="O35" s="945">
        <f>N35</f>
        <v>25</v>
      </c>
      <c r="P35" s="945">
        <f t="shared" si="8"/>
        <v>25</v>
      </c>
      <c r="Q35" s="945">
        <f t="shared" si="8"/>
        <v>25</v>
      </c>
      <c r="R35" s="945">
        <f t="shared" si="8"/>
        <v>25</v>
      </c>
      <c r="S35" s="946">
        <f>R35</f>
        <v>25</v>
      </c>
      <c r="T35" s="946">
        <f>S35</f>
        <v>25</v>
      </c>
      <c r="U35" s="946">
        <f>T35</f>
        <v>25</v>
      </c>
      <c r="V35" s="944">
        <v>25</v>
      </c>
      <c r="W35" s="931">
        <v>25</v>
      </c>
      <c r="X35" s="931">
        <f t="shared" ref="W35:Z36" si="9">W35</f>
        <v>25</v>
      </c>
      <c r="Y35" s="931">
        <f t="shared" si="9"/>
        <v>25</v>
      </c>
      <c r="Z35" s="931">
        <f t="shared" si="9"/>
        <v>25</v>
      </c>
      <c r="AA35" s="934"/>
    </row>
    <row r="36" spans="1:27" s="913" customFormat="1" ht="15.95" customHeight="1">
      <c r="A36" s="919"/>
      <c r="B36" s="928" t="s">
        <v>624</v>
      </c>
      <c r="G36" s="921"/>
      <c r="J36" s="930"/>
      <c r="K36" s="947">
        <v>0.75</v>
      </c>
      <c r="L36" s="948">
        <v>0.75</v>
      </c>
      <c r="M36" s="948">
        <v>0.75</v>
      </c>
      <c r="N36" s="948">
        <v>0.75</v>
      </c>
      <c r="O36" s="948">
        <v>0.75</v>
      </c>
      <c r="P36" s="948">
        <v>0.75</v>
      </c>
      <c r="Q36" s="948">
        <v>0.75</v>
      </c>
      <c r="R36" s="948">
        <v>0.75</v>
      </c>
      <c r="S36" s="930">
        <v>4</v>
      </c>
      <c r="T36" s="931">
        <f>S36</f>
        <v>4</v>
      </c>
      <c r="U36" s="931">
        <f>T36</f>
        <v>4</v>
      </c>
      <c r="V36" s="931">
        <f>U36</f>
        <v>4</v>
      </c>
      <c r="W36" s="931">
        <f t="shared" si="9"/>
        <v>4</v>
      </c>
      <c r="X36" s="930">
        <v>4</v>
      </c>
      <c r="Y36" s="931">
        <f>X36</f>
        <v>4</v>
      </c>
      <c r="Z36" s="931">
        <f>Y36</f>
        <v>4</v>
      </c>
      <c r="AA36" s="949"/>
    </row>
    <row r="37" spans="1:27" s="913" customFormat="1" ht="15.95" customHeight="1">
      <c r="A37" s="919"/>
      <c r="B37" s="928" t="s">
        <v>573</v>
      </c>
      <c r="G37" s="921"/>
      <c r="J37" s="930"/>
      <c r="K37" s="944">
        <v>1</v>
      </c>
      <c r="L37" s="945">
        <f>K37</f>
        <v>1</v>
      </c>
      <c r="M37" s="945">
        <f t="shared" ref="M37:R37" si="10">L37</f>
        <v>1</v>
      </c>
      <c r="N37" s="945">
        <f t="shared" si="10"/>
        <v>1</v>
      </c>
      <c r="O37" s="945">
        <f>N37</f>
        <v>1</v>
      </c>
      <c r="P37" s="945">
        <f t="shared" si="10"/>
        <v>1</v>
      </c>
      <c r="Q37" s="945">
        <f t="shared" si="10"/>
        <v>1</v>
      </c>
      <c r="R37" s="945">
        <f t="shared" si="10"/>
        <v>1</v>
      </c>
      <c r="S37" s="930">
        <v>1</v>
      </c>
      <c r="T37" s="931">
        <f t="shared" ref="T37:Z37" si="11">S37</f>
        <v>1</v>
      </c>
      <c r="U37" s="931">
        <f t="shared" si="11"/>
        <v>1</v>
      </c>
      <c r="V37" s="931">
        <f t="shared" si="11"/>
        <v>1</v>
      </c>
      <c r="W37" s="931">
        <v>1</v>
      </c>
      <c r="X37" s="931">
        <v>1</v>
      </c>
      <c r="Y37" s="931">
        <f t="shared" si="11"/>
        <v>1</v>
      </c>
      <c r="Z37" s="931">
        <f t="shared" si="11"/>
        <v>1</v>
      </c>
      <c r="AA37" s="934"/>
    </row>
    <row r="38" spans="1:27" s="913" customFormat="1" ht="15.95" customHeight="1">
      <c r="A38" s="919"/>
      <c r="G38" s="921"/>
      <c r="J38" s="930"/>
      <c r="K38" s="930"/>
      <c r="L38" s="930"/>
      <c r="M38" s="930"/>
      <c r="N38" s="930"/>
      <c r="O38" s="930"/>
      <c r="P38" s="930"/>
      <c r="Q38" s="930"/>
      <c r="R38" s="930"/>
      <c r="S38" s="930"/>
      <c r="T38" s="930"/>
      <c r="U38" s="930"/>
      <c r="V38" s="930"/>
      <c r="W38" s="930"/>
      <c r="X38" s="930"/>
      <c r="Y38" s="930"/>
      <c r="Z38" s="933"/>
    </row>
    <row r="39" spans="1:27" s="913" customFormat="1" ht="15.95" customHeight="1">
      <c r="A39" s="919">
        <f>A34+1</f>
        <v>9</v>
      </c>
      <c r="B39" s="913" t="s">
        <v>663</v>
      </c>
      <c r="G39" s="921"/>
      <c r="J39" s="919"/>
      <c r="K39" s="919"/>
      <c r="L39" s="919"/>
      <c r="M39" s="919"/>
      <c r="N39" s="919"/>
      <c r="O39" s="937"/>
      <c r="P39" s="937"/>
      <c r="Q39" s="937"/>
      <c r="R39" s="937"/>
      <c r="S39" s="937"/>
      <c r="T39" s="937"/>
      <c r="U39" s="937"/>
      <c r="V39" s="937"/>
      <c r="W39" s="937"/>
      <c r="X39" s="937"/>
      <c r="Y39" s="937"/>
      <c r="Z39" s="938"/>
    </row>
    <row r="40" spans="1:27" s="913" customFormat="1" ht="15.95" customHeight="1">
      <c r="A40" s="919"/>
      <c r="B40" s="928" t="s">
        <v>404</v>
      </c>
      <c r="E40" s="1310" t="s">
        <v>584</v>
      </c>
      <c r="F40" s="1310"/>
      <c r="G40" s="1310"/>
      <c r="H40" s="1310"/>
      <c r="J40" s="930"/>
      <c r="K40" s="944">
        <v>25</v>
      </c>
      <c r="L40" s="945">
        <f t="shared" ref="L40:U40" si="12">K40</f>
        <v>25</v>
      </c>
      <c r="M40" s="945">
        <f t="shared" si="12"/>
        <v>25</v>
      </c>
      <c r="N40" s="945">
        <f t="shared" si="12"/>
        <v>25</v>
      </c>
      <c r="O40" s="945">
        <f t="shared" si="12"/>
        <v>25</v>
      </c>
      <c r="P40" s="945">
        <f t="shared" si="12"/>
        <v>25</v>
      </c>
      <c r="Q40" s="945">
        <f t="shared" si="12"/>
        <v>25</v>
      </c>
      <c r="R40" s="945">
        <f t="shared" si="12"/>
        <v>25</v>
      </c>
      <c r="S40" s="946">
        <f t="shared" si="12"/>
        <v>25</v>
      </c>
      <c r="T40" s="946">
        <f t="shared" si="12"/>
        <v>25</v>
      </c>
      <c r="U40" s="946">
        <f t="shared" si="12"/>
        <v>25</v>
      </c>
      <c r="V40" s="944">
        <v>25</v>
      </c>
      <c r="W40" s="931">
        <f>V40</f>
        <v>25</v>
      </c>
      <c r="X40" s="931">
        <f>W40</f>
        <v>25</v>
      </c>
      <c r="Y40" s="931">
        <f>X40</f>
        <v>25</v>
      </c>
      <c r="Z40" s="931">
        <f>Y40</f>
        <v>25</v>
      </c>
      <c r="AA40" s="934"/>
    </row>
    <row r="41" spans="1:27" s="913" customFormat="1" ht="15.95" customHeight="1">
      <c r="A41" s="919"/>
      <c r="B41" s="928" t="s">
        <v>624</v>
      </c>
      <c r="G41" s="921"/>
      <c r="J41" s="930"/>
      <c r="K41" s="947">
        <v>0.75</v>
      </c>
      <c r="L41" s="948">
        <v>0.75</v>
      </c>
      <c r="M41" s="948">
        <v>0.75</v>
      </c>
      <c r="N41" s="948">
        <v>0.75</v>
      </c>
      <c r="O41" s="948">
        <v>0.75</v>
      </c>
      <c r="P41" s="948">
        <f t="shared" ref="P41:R42" si="13">O41</f>
        <v>0.75</v>
      </c>
      <c r="Q41" s="948">
        <f t="shared" si="13"/>
        <v>0.75</v>
      </c>
      <c r="R41" s="948">
        <f t="shared" si="13"/>
        <v>0.75</v>
      </c>
      <c r="S41" s="930">
        <v>4</v>
      </c>
      <c r="T41" s="931">
        <f>S41</f>
        <v>4</v>
      </c>
      <c r="U41" s="931">
        <f>T41</f>
        <v>4</v>
      </c>
      <c r="V41" s="930">
        <v>4</v>
      </c>
      <c r="W41" s="931">
        <f>V41</f>
        <v>4</v>
      </c>
      <c r="X41" s="931">
        <v>4</v>
      </c>
      <c r="Y41" s="931">
        <v>4</v>
      </c>
      <c r="Z41" s="930">
        <v>4</v>
      </c>
      <c r="AA41" s="949"/>
    </row>
    <row r="42" spans="1:27" s="913" customFormat="1" ht="15.95" customHeight="1">
      <c r="A42" s="919"/>
      <c r="B42" s="928" t="s">
        <v>573</v>
      </c>
      <c r="G42" s="921"/>
      <c r="J42" s="930"/>
      <c r="K42" s="944">
        <v>1</v>
      </c>
      <c r="L42" s="945">
        <f>K42</f>
        <v>1</v>
      </c>
      <c r="M42" s="945">
        <f>L42</f>
        <v>1</v>
      </c>
      <c r="N42" s="945">
        <f>M42</f>
        <v>1</v>
      </c>
      <c r="O42" s="945">
        <f>N42</f>
        <v>1</v>
      </c>
      <c r="P42" s="945">
        <f t="shared" si="13"/>
        <v>1</v>
      </c>
      <c r="Q42" s="945">
        <f t="shared" si="13"/>
        <v>1</v>
      </c>
      <c r="R42" s="945">
        <f t="shared" si="13"/>
        <v>1</v>
      </c>
      <c r="S42" s="930">
        <v>1</v>
      </c>
      <c r="T42" s="931">
        <f>S42</f>
        <v>1</v>
      </c>
      <c r="U42" s="931">
        <f>T42</f>
        <v>1</v>
      </c>
      <c r="V42" s="931">
        <f>U42</f>
        <v>1</v>
      </c>
      <c r="W42" s="931">
        <f>V42</f>
        <v>1</v>
      </c>
      <c r="X42" s="931">
        <f>W42</f>
        <v>1</v>
      </c>
      <c r="Y42" s="931">
        <f>X42</f>
        <v>1</v>
      </c>
      <c r="Z42" s="931">
        <f>Y42</f>
        <v>1</v>
      </c>
      <c r="AA42" s="934"/>
    </row>
    <row r="43" spans="1:27" s="913" customFormat="1" ht="15.95" customHeight="1">
      <c r="A43" s="919"/>
      <c r="B43" s="928"/>
      <c r="G43" s="921"/>
      <c r="J43" s="930"/>
      <c r="K43" s="944"/>
      <c r="L43" s="945"/>
      <c r="M43" s="945"/>
      <c r="N43" s="945"/>
      <c r="O43" s="945"/>
      <c r="P43" s="945"/>
      <c r="Q43" s="945"/>
      <c r="R43" s="945"/>
      <c r="S43" s="930"/>
      <c r="T43" s="931"/>
      <c r="U43" s="931"/>
      <c r="V43" s="931"/>
      <c r="W43" s="931"/>
      <c r="X43" s="931"/>
      <c r="Y43" s="931"/>
      <c r="Z43" s="931"/>
      <c r="AA43" s="934"/>
    </row>
    <row r="44" spans="1:27" s="913" customFormat="1" ht="15.95" customHeight="1">
      <c r="A44" s="919">
        <f>A39+1</f>
        <v>10</v>
      </c>
      <c r="B44" s="913" t="s">
        <v>577</v>
      </c>
      <c r="G44" s="921"/>
      <c r="J44" s="930"/>
      <c r="K44" s="930"/>
      <c r="L44" s="930"/>
      <c r="M44" s="930"/>
      <c r="N44" s="930"/>
      <c r="O44" s="930"/>
      <c r="P44" s="930"/>
      <c r="Q44" s="930"/>
      <c r="R44" s="930"/>
      <c r="S44" s="930"/>
      <c r="T44" s="930"/>
      <c r="U44" s="930"/>
      <c r="V44" s="930"/>
      <c r="W44" s="930"/>
      <c r="X44" s="930"/>
      <c r="Y44" s="930"/>
      <c r="Z44" s="933"/>
    </row>
    <row r="45" spans="1:27" s="913" customFormat="1" ht="15.95" customHeight="1">
      <c r="A45" s="919"/>
      <c r="B45" s="928" t="s">
        <v>404</v>
      </c>
      <c r="E45" s="1310" t="s">
        <v>584</v>
      </c>
      <c r="F45" s="1310"/>
      <c r="G45" s="1310"/>
      <c r="H45" s="1310"/>
      <c r="J45" s="930"/>
      <c r="K45" s="944">
        <v>25</v>
      </c>
      <c r="L45" s="950">
        <f>K45</f>
        <v>25</v>
      </c>
      <c r="M45" s="950">
        <f t="shared" ref="M45:R45" si="14">L45</f>
        <v>25</v>
      </c>
      <c r="N45" s="950">
        <f t="shared" si="14"/>
        <v>25</v>
      </c>
      <c r="O45" s="950">
        <f>N45</f>
        <v>25</v>
      </c>
      <c r="P45" s="950">
        <f t="shared" si="14"/>
        <v>25</v>
      </c>
      <c r="Q45" s="950">
        <f t="shared" si="14"/>
        <v>25</v>
      </c>
      <c r="R45" s="950">
        <f t="shared" si="14"/>
        <v>25</v>
      </c>
      <c r="S45" s="950">
        <f>R45</f>
        <v>25</v>
      </c>
      <c r="T45" s="944">
        <v>25</v>
      </c>
      <c r="U45" s="950">
        <f t="shared" ref="U45:Z45" si="15">T45</f>
        <v>25</v>
      </c>
      <c r="V45" s="950">
        <f t="shared" si="15"/>
        <v>25</v>
      </c>
      <c r="W45" s="950">
        <f t="shared" si="15"/>
        <v>25</v>
      </c>
      <c r="X45" s="950">
        <f t="shared" si="15"/>
        <v>25</v>
      </c>
      <c r="Y45" s="950">
        <f t="shared" si="15"/>
        <v>25</v>
      </c>
      <c r="Z45" s="950">
        <f t="shared" si="15"/>
        <v>25</v>
      </c>
    </row>
    <row r="46" spans="1:27" s="913" customFormat="1" ht="15.95" customHeight="1">
      <c r="A46" s="919"/>
      <c r="B46" s="928" t="s">
        <v>624</v>
      </c>
      <c r="G46" s="921"/>
      <c r="J46" s="930"/>
      <c r="K46" s="944">
        <v>2</v>
      </c>
      <c r="L46" s="950">
        <f>K46</f>
        <v>2</v>
      </c>
      <c r="M46" s="950">
        <f>L46</f>
        <v>2</v>
      </c>
      <c r="N46" s="950">
        <f>M46</f>
        <v>2</v>
      </c>
      <c r="O46" s="944">
        <v>2</v>
      </c>
      <c r="P46" s="950">
        <f>O46</f>
        <v>2</v>
      </c>
      <c r="Q46" s="950">
        <f>P46</f>
        <v>2</v>
      </c>
      <c r="R46" s="950">
        <f>Q46</f>
        <v>2</v>
      </c>
      <c r="S46" s="951">
        <v>8</v>
      </c>
      <c r="T46" s="944">
        <v>8</v>
      </c>
      <c r="U46" s="950">
        <f>T46</f>
        <v>8</v>
      </c>
      <c r="V46" s="950">
        <f t="shared" ref="V46:Z47" si="16">U46</f>
        <v>8</v>
      </c>
      <c r="W46" s="950">
        <f t="shared" si="16"/>
        <v>8</v>
      </c>
      <c r="X46" s="950">
        <f t="shared" si="16"/>
        <v>8</v>
      </c>
      <c r="Y46" s="950">
        <f t="shared" si="16"/>
        <v>8</v>
      </c>
      <c r="Z46" s="950">
        <f t="shared" si="16"/>
        <v>8</v>
      </c>
      <c r="AA46" s="934"/>
    </row>
    <row r="47" spans="1:27" s="913" customFormat="1" ht="15.95" customHeight="1">
      <c r="A47" s="919"/>
      <c r="B47" s="928" t="s">
        <v>573</v>
      </c>
      <c r="G47" s="921"/>
      <c r="J47" s="930"/>
      <c r="K47" s="944">
        <v>1</v>
      </c>
      <c r="L47" s="950">
        <f>K47</f>
        <v>1</v>
      </c>
      <c r="M47" s="950">
        <f t="shared" ref="M47:U47" si="17">L47</f>
        <v>1</v>
      </c>
      <c r="N47" s="950">
        <f t="shared" si="17"/>
        <v>1</v>
      </c>
      <c r="O47" s="950">
        <f>N47</f>
        <v>1</v>
      </c>
      <c r="P47" s="950">
        <f t="shared" si="17"/>
        <v>1</v>
      </c>
      <c r="Q47" s="950">
        <f t="shared" si="17"/>
        <v>1</v>
      </c>
      <c r="R47" s="950">
        <f t="shared" si="17"/>
        <v>1</v>
      </c>
      <c r="S47" s="950">
        <f>R47</f>
        <v>1</v>
      </c>
      <c r="T47" s="950">
        <f t="shared" si="17"/>
        <v>1</v>
      </c>
      <c r="U47" s="950">
        <f t="shared" si="17"/>
        <v>1</v>
      </c>
      <c r="V47" s="950">
        <f t="shared" si="16"/>
        <v>1</v>
      </c>
      <c r="W47" s="950">
        <f t="shared" si="16"/>
        <v>1</v>
      </c>
      <c r="X47" s="950">
        <f t="shared" si="16"/>
        <v>1</v>
      </c>
      <c r="Y47" s="950">
        <f t="shared" si="16"/>
        <v>1</v>
      </c>
      <c r="Z47" s="950">
        <f t="shared" si="16"/>
        <v>1</v>
      </c>
      <c r="AA47" s="934"/>
    </row>
    <row r="48" spans="1:27" s="913" customFormat="1" ht="15.95" customHeight="1">
      <c r="A48" s="919"/>
      <c r="B48" s="928"/>
      <c r="G48" s="921"/>
      <c r="J48" s="930"/>
      <c r="K48" s="944"/>
      <c r="L48" s="950"/>
      <c r="M48" s="950"/>
      <c r="N48" s="950"/>
      <c r="O48" s="950"/>
      <c r="P48" s="950"/>
      <c r="Q48" s="950"/>
      <c r="R48" s="950"/>
      <c r="S48" s="950"/>
      <c r="T48" s="950"/>
      <c r="U48" s="950"/>
      <c r="V48" s="950"/>
      <c r="W48" s="950"/>
      <c r="X48" s="950"/>
      <c r="Y48" s="950"/>
      <c r="Z48" s="950"/>
      <c r="AA48" s="934"/>
    </row>
    <row r="49" spans="1:27" s="913" customFormat="1" ht="15.95" customHeight="1">
      <c r="A49" s="919">
        <v>11</v>
      </c>
      <c r="B49" s="935" t="s">
        <v>736</v>
      </c>
      <c r="C49" s="943"/>
      <c r="G49" s="939"/>
      <c r="J49" s="919"/>
      <c r="K49" s="919"/>
      <c r="L49" s="919"/>
      <c r="M49" s="919"/>
      <c r="N49" s="919"/>
      <c r="O49" s="937"/>
      <c r="P49" s="937"/>
      <c r="Q49" s="937"/>
      <c r="R49" s="937"/>
      <c r="S49" s="937"/>
      <c r="T49" s="937"/>
      <c r="U49" s="937"/>
      <c r="V49" s="937"/>
      <c r="W49" s="937"/>
      <c r="X49" s="937"/>
      <c r="Y49" s="937"/>
      <c r="Z49" s="937"/>
    </row>
    <row r="50" spans="1:27" s="913" customFormat="1" ht="15.95" customHeight="1">
      <c r="A50" s="919"/>
      <c r="B50" s="913" t="s">
        <v>684</v>
      </c>
      <c r="C50" s="928"/>
      <c r="G50" s="939">
        <v>1</v>
      </c>
      <c r="H50" s="913" t="s">
        <v>405</v>
      </c>
      <c r="J50" s="919"/>
      <c r="K50" s="931">
        <f>G50</f>
        <v>1</v>
      </c>
      <c r="L50" s="931">
        <f t="shared" ref="L50:Z50" si="18">K50</f>
        <v>1</v>
      </c>
      <c r="M50" s="931">
        <f t="shared" si="18"/>
        <v>1</v>
      </c>
      <c r="N50" s="931">
        <f t="shared" si="18"/>
        <v>1</v>
      </c>
      <c r="O50" s="931">
        <f t="shared" si="18"/>
        <v>1</v>
      </c>
      <c r="P50" s="931">
        <f t="shared" si="18"/>
        <v>1</v>
      </c>
      <c r="Q50" s="931">
        <f t="shared" si="18"/>
        <v>1</v>
      </c>
      <c r="R50" s="931">
        <f t="shared" si="18"/>
        <v>1</v>
      </c>
      <c r="S50" s="931">
        <f t="shared" si="18"/>
        <v>1</v>
      </c>
      <c r="T50" s="931">
        <f t="shared" si="18"/>
        <v>1</v>
      </c>
      <c r="U50" s="931">
        <f t="shared" si="18"/>
        <v>1</v>
      </c>
      <c r="V50" s="931">
        <f t="shared" si="18"/>
        <v>1</v>
      </c>
      <c r="W50" s="931">
        <f t="shared" si="18"/>
        <v>1</v>
      </c>
      <c r="X50" s="931">
        <f t="shared" si="18"/>
        <v>1</v>
      </c>
      <c r="Y50" s="931">
        <f t="shared" si="18"/>
        <v>1</v>
      </c>
      <c r="Z50" s="931">
        <f t="shared" si="18"/>
        <v>1</v>
      </c>
    </row>
    <row r="51" spans="1:27" s="913" customFormat="1" ht="15.95" customHeight="1">
      <c r="A51" s="919"/>
      <c r="B51" s="913" t="s">
        <v>775</v>
      </c>
      <c r="C51" s="928"/>
      <c r="G51" s="939">
        <v>1</v>
      </c>
      <c r="H51" s="913" t="s">
        <v>405</v>
      </c>
      <c r="J51" s="919"/>
      <c r="K51" s="931">
        <f>G51</f>
        <v>1</v>
      </c>
      <c r="L51" s="931">
        <f t="shared" ref="L51:Z51" si="19">K51</f>
        <v>1</v>
      </c>
      <c r="M51" s="931">
        <f t="shared" si="19"/>
        <v>1</v>
      </c>
      <c r="N51" s="931">
        <f t="shared" si="19"/>
        <v>1</v>
      </c>
      <c r="O51" s="931">
        <f t="shared" si="19"/>
        <v>1</v>
      </c>
      <c r="P51" s="931">
        <f t="shared" si="19"/>
        <v>1</v>
      </c>
      <c r="Q51" s="931">
        <f t="shared" si="19"/>
        <v>1</v>
      </c>
      <c r="R51" s="931">
        <f t="shared" si="19"/>
        <v>1</v>
      </c>
      <c r="S51" s="931">
        <f t="shared" si="19"/>
        <v>1</v>
      </c>
      <c r="T51" s="931">
        <f t="shared" si="19"/>
        <v>1</v>
      </c>
      <c r="U51" s="931">
        <f t="shared" si="19"/>
        <v>1</v>
      </c>
      <c r="V51" s="931">
        <f t="shared" si="19"/>
        <v>1</v>
      </c>
      <c r="W51" s="931">
        <f t="shared" si="19"/>
        <v>1</v>
      </c>
      <c r="X51" s="931">
        <f t="shared" si="19"/>
        <v>1</v>
      </c>
      <c r="Y51" s="931">
        <f t="shared" si="19"/>
        <v>1</v>
      </c>
      <c r="Z51" s="931">
        <f t="shared" si="19"/>
        <v>1</v>
      </c>
    </row>
    <row r="52" spans="1:27" s="913" customFormat="1" ht="15.95" customHeight="1">
      <c r="A52" s="919"/>
      <c r="B52" s="913" t="s">
        <v>685</v>
      </c>
      <c r="C52" s="928"/>
      <c r="G52" s="939">
        <v>1</v>
      </c>
      <c r="H52" s="913" t="s">
        <v>405</v>
      </c>
      <c r="J52" s="919"/>
      <c r="K52" s="931">
        <f>G52</f>
        <v>1</v>
      </c>
      <c r="L52" s="931">
        <f t="shared" ref="L52:Z52" si="20">K52</f>
        <v>1</v>
      </c>
      <c r="M52" s="931">
        <f t="shared" si="20"/>
        <v>1</v>
      </c>
      <c r="N52" s="931">
        <f t="shared" si="20"/>
        <v>1</v>
      </c>
      <c r="O52" s="931">
        <f t="shared" si="20"/>
        <v>1</v>
      </c>
      <c r="P52" s="931">
        <f t="shared" si="20"/>
        <v>1</v>
      </c>
      <c r="Q52" s="931">
        <f t="shared" si="20"/>
        <v>1</v>
      </c>
      <c r="R52" s="931">
        <f t="shared" si="20"/>
        <v>1</v>
      </c>
      <c r="S52" s="931">
        <f t="shared" si="20"/>
        <v>1</v>
      </c>
      <c r="T52" s="931">
        <f t="shared" si="20"/>
        <v>1</v>
      </c>
      <c r="U52" s="931">
        <f t="shared" si="20"/>
        <v>1</v>
      </c>
      <c r="V52" s="931">
        <f t="shared" si="20"/>
        <v>1</v>
      </c>
      <c r="W52" s="931">
        <f t="shared" si="20"/>
        <v>1</v>
      </c>
      <c r="X52" s="931">
        <f t="shared" si="20"/>
        <v>1</v>
      </c>
      <c r="Y52" s="931">
        <f t="shared" si="20"/>
        <v>1</v>
      </c>
      <c r="Z52" s="931">
        <f t="shared" si="20"/>
        <v>1</v>
      </c>
    </row>
    <row r="53" spans="1:27" s="913" customFormat="1" ht="15.95" customHeight="1">
      <c r="A53" s="919"/>
      <c r="B53" s="928"/>
      <c r="G53" s="921"/>
      <c r="J53" s="930"/>
      <c r="K53" s="944"/>
      <c r="L53" s="950"/>
      <c r="M53" s="950"/>
      <c r="N53" s="950"/>
      <c r="O53" s="950"/>
      <c r="P53" s="950"/>
      <c r="Q53" s="950"/>
      <c r="R53" s="950"/>
      <c r="S53" s="950"/>
      <c r="T53" s="950"/>
      <c r="U53" s="950"/>
      <c r="V53" s="950"/>
      <c r="W53" s="950"/>
      <c r="X53" s="950"/>
      <c r="Y53" s="950"/>
      <c r="Z53" s="950"/>
      <c r="AA53" s="934"/>
    </row>
    <row r="54" spans="1:27" s="913" customFormat="1" ht="15.95" customHeight="1">
      <c r="A54" s="919"/>
      <c r="B54" s="935" t="s">
        <v>680</v>
      </c>
      <c r="C54" s="936"/>
      <c r="G54" s="921"/>
      <c r="J54" s="930"/>
      <c r="K54" s="944"/>
      <c r="L54" s="950"/>
      <c r="M54" s="950"/>
      <c r="N54" s="950"/>
      <c r="O54" s="950"/>
      <c r="P54" s="950"/>
      <c r="Q54" s="950"/>
      <c r="R54" s="950"/>
      <c r="S54" s="950"/>
      <c r="T54" s="950"/>
      <c r="U54" s="950"/>
      <c r="V54" s="950"/>
      <c r="W54" s="950"/>
      <c r="X54" s="950"/>
      <c r="Y54" s="950"/>
      <c r="Z54" s="950"/>
      <c r="AA54" s="934"/>
    </row>
    <row r="55" spans="1:27" s="913" customFormat="1" ht="15.95" customHeight="1">
      <c r="A55" s="919"/>
      <c r="B55" s="243"/>
      <c r="G55" s="921"/>
      <c r="J55" s="930"/>
      <c r="K55" s="944"/>
      <c r="L55" s="950"/>
      <c r="M55" s="950"/>
      <c r="N55" s="950"/>
      <c r="O55" s="950"/>
      <c r="P55" s="950"/>
      <c r="Q55" s="950"/>
      <c r="R55" s="950"/>
      <c r="S55" s="950"/>
      <c r="T55" s="950"/>
      <c r="U55" s="950"/>
      <c r="V55" s="950"/>
      <c r="W55" s="950"/>
      <c r="X55" s="950"/>
      <c r="Y55" s="950"/>
      <c r="Z55" s="950"/>
      <c r="AA55" s="934"/>
    </row>
    <row r="56" spans="1:27" s="913" customFormat="1" ht="15.95" customHeight="1">
      <c r="A56" s="919"/>
      <c r="B56" s="913" t="s">
        <v>738</v>
      </c>
      <c r="C56" s="928"/>
      <c r="G56" s="929">
        <f>SUM(J56:Z56)</f>
        <v>62</v>
      </c>
      <c r="H56" s="913" t="s">
        <v>234</v>
      </c>
      <c r="J56" s="929"/>
      <c r="K56" s="944">
        <v>2</v>
      </c>
      <c r="L56" s="945">
        <v>3</v>
      </c>
      <c r="M56" s="945">
        <v>2</v>
      </c>
      <c r="N56" s="945">
        <v>2</v>
      </c>
      <c r="O56" s="930">
        <v>5</v>
      </c>
      <c r="P56" s="931">
        <v>2</v>
      </c>
      <c r="Q56" s="931">
        <v>3</v>
      </c>
      <c r="R56" s="931">
        <v>2</v>
      </c>
      <c r="S56" s="930">
        <v>12</v>
      </c>
      <c r="T56" s="930">
        <v>5</v>
      </c>
      <c r="U56" s="930">
        <v>4</v>
      </c>
      <c r="V56" s="930">
        <v>5</v>
      </c>
      <c r="W56" s="930">
        <v>1</v>
      </c>
      <c r="X56" s="930">
        <v>5</v>
      </c>
      <c r="Y56" s="930">
        <v>5</v>
      </c>
      <c r="Z56" s="930">
        <v>4</v>
      </c>
    </row>
    <row r="57" spans="1:27" s="913" customFormat="1" ht="15.95" customHeight="1">
      <c r="A57" s="919"/>
      <c r="C57" s="928" t="s">
        <v>739</v>
      </c>
      <c r="J57" s="930"/>
      <c r="K57" s="945">
        <f>K56</f>
        <v>2</v>
      </c>
      <c r="L57" s="945">
        <f t="shared" ref="L57:Z57" si="21">K57+L56</f>
        <v>5</v>
      </c>
      <c r="M57" s="945">
        <f t="shared" si="21"/>
        <v>7</v>
      </c>
      <c r="N57" s="945">
        <f t="shared" si="21"/>
        <v>9</v>
      </c>
      <c r="O57" s="931">
        <f t="shared" si="21"/>
        <v>14</v>
      </c>
      <c r="P57" s="931">
        <f t="shared" si="21"/>
        <v>16</v>
      </c>
      <c r="Q57" s="931">
        <f t="shared" si="21"/>
        <v>19</v>
      </c>
      <c r="R57" s="931">
        <f t="shared" si="21"/>
        <v>21</v>
      </c>
      <c r="S57" s="931">
        <f t="shared" si="21"/>
        <v>33</v>
      </c>
      <c r="T57" s="931">
        <f t="shared" si="21"/>
        <v>38</v>
      </c>
      <c r="U57" s="931">
        <f t="shared" si="21"/>
        <v>42</v>
      </c>
      <c r="V57" s="931">
        <f t="shared" si="21"/>
        <v>47</v>
      </c>
      <c r="W57" s="931">
        <f t="shared" si="21"/>
        <v>48</v>
      </c>
      <c r="X57" s="931">
        <f t="shared" si="21"/>
        <v>53</v>
      </c>
      <c r="Y57" s="931">
        <f t="shared" si="21"/>
        <v>58</v>
      </c>
      <c r="Z57" s="931">
        <f t="shared" si="21"/>
        <v>62</v>
      </c>
    </row>
    <row r="58" spans="1:27" s="913" customFormat="1" ht="15.95" customHeight="1">
      <c r="A58" s="919"/>
      <c r="B58" s="243"/>
      <c r="G58" s="921"/>
      <c r="J58" s="930"/>
      <c r="K58" s="944"/>
      <c r="L58" s="950"/>
      <c r="M58" s="950"/>
      <c r="N58" s="950"/>
      <c r="O58" s="950"/>
      <c r="P58" s="950"/>
      <c r="Q58" s="950"/>
      <c r="R58" s="950"/>
      <c r="S58" s="950"/>
      <c r="T58" s="950"/>
      <c r="U58" s="950"/>
      <c r="V58" s="950"/>
      <c r="W58" s="950"/>
      <c r="X58" s="950"/>
      <c r="Y58" s="950"/>
      <c r="Z58" s="950"/>
      <c r="AA58" s="934"/>
    </row>
    <row r="59" spans="1:27" s="913" customFormat="1" ht="15.95" customHeight="1">
      <c r="A59" s="919">
        <v>12</v>
      </c>
      <c r="B59" s="913" t="s">
        <v>681</v>
      </c>
      <c r="G59" s="921"/>
      <c r="J59" s="930"/>
      <c r="K59" s="930"/>
      <c r="L59" s="930"/>
      <c r="M59" s="930"/>
      <c r="N59" s="930"/>
      <c r="O59" s="930"/>
      <c r="P59" s="930"/>
      <c r="Q59" s="930"/>
      <c r="R59" s="930"/>
      <c r="S59" s="930"/>
      <c r="T59" s="930"/>
      <c r="U59" s="930"/>
      <c r="V59" s="930"/>
      <c r="W59" s="930"/>
      <c r="X59" s="930"/>
      <c r="Y59" s="930"/>
      <c r="Z59" s="933"/>
      <c r="AA59" s="934"/>
    </row>
    <row r="60" spans="1:27" s="913" customFormat="1" ht="15.95" customHeight="1">
      <c r="A60" s="919"/>
      <c r="B60" s="928" t="s">
        <v>404</v>
      </c>
      <c r="E60" s="1310" t="s">
        <v>584</v>
      </c>
      <c r="F60" s="1310"/>
      <c r="G60" s="1310"/>
      <c r="H60" s="1310"/>
      <c r="J60" s="930"/>
      <c r="K60" s="944">
        <v>25</v>
      </c>
      <c r="L60" s="950">
        <f t="shared" ref="L60:S60" si="22">K60</f>
        <v>25</v>
      </c>
      <c r="M60" s="950">
        <f t="shared" si="22"/>
        <v>25</v>
      </c>
      <c r="N60" s="950">
        <f t="shared" si="22"/>
        <v>25</v>
      </c>
      <c r="O60" s="950">
        <f t="shared" si="22"/>
        <v>25</v>
      </c>
      <c r="P60" s="950">
        <f t="shared" si="22"/>
        <v>25</v>
      </c>
      <c r="Q60" s="950">
        <f t="shared" si="22"/>
        <v>25</v>
      </c>
      <c r="R60" s="950">
        <f t="shared" si="22"/>
        <v>25</v>
      </c>
      <c r="S60" s="950">
        <f t="shared" si="22"/>
        <v>25</v>
      </c>
      <c r="T60" s="944">
        <v>30</v>
      </c>
      <c r="U60" s="950">
        <f t="shared" ref="U60:Z62" si="23">T60</f>
        <v>30</v>
      </c>
      <c r="V60" s="950">
        <f t="shared" si="23"/>
        <v>30</v>
      </c>
      <c r="W60" s="950">
        <f t="shared" si="23"/>
        <v>30</v>
      </c>
      <c r="X60" s="950">
        <f t="shared" si="23"/>
        <v>30</v>
      </c>
      <c r="Y60" s="950">
        <f t="shared" si="23"/>
        <v>30</v>
      </c>
      <c r="Z60" s="950">
        <f t="shared" si="23"/>
        <v>30</v>
      </c>
      <c r="AA60" s="934"/>
    </row>
    <row r="61" spans="1:27" s="913" customFormat="1" ht="15.95" customHeight="1">
      <c r="A61" s="919"/>
      <c r="B61" s="928" t="s">
        <v>624</v>
      </c>
      <c r="G61" s="921"/>
      <c r="J61" s="930"/>
      <c r="K61" s="944">
        <v>1</v>
      </c>
      <c r="L61" s="950">
        <f t="shared" ref="L61:N62" si="24">K61</f>
        <v>1</v>
      </c>
      <c r="M61" s="950">
        <f t="shared" si="24"/>
        <v>1</v>
      </c>
      <c r="N61" s="950">
        <f t="shared" si="24"/>
        <v>1</v>
      </c>
      <c r="O61" s="944">
        <v>1</v>
      </c>
      <c r="P61" s="950">
        <f t="shared" ref="P61:R62" si="25">O61</f>
        <v>1</v>
      </c>
      <c r="Q61" s="950">
        <f t="shared" si="25"/>
        <v>1</v>
      </c>
      <c r="R61" s="950">
        <f t="shared" si="25"/>
        <v>1</v>
      </c>
      <c r="S61" s="951">
        <v>4</v>
      </c>
      <c r="T61" s="944">
        <v>4</v>
      </c>
      <c r="U61" s="950">
        <f t="shared" si="23"/>
        <v>4</v>
      </c>
      <c r="V61" s="950">
        <f t="shared" si="23"/>
        <v>4</v>
      </c>
      <c r="W61" s="950">
        <f t="shared" si="23"/>
        <v>4</v>
      </c>
      <c r="X61" s="950">
        <f t="shared" si="23"/>
        <v>4</v>
      </c>
      <c r="Y61" s="950">
        <f t="shared" si="23"/>
        <v>4</v>
      </c>
      <c r="Z61" s="950">
        <f t="shared" si="23"/>
        <v>4</v>
      </c>
      <c r="AA61" s="934"/>
    </row>
    <row r="62" spans="1:27" s="913" customFormat="1" ht="15.95" customHeight="1">
      <c r="A62" s="919"/>
      <c r="B62" s="928" t="s">
        <v>573</v>
      </c>
      <c r="G62" s="921"/>
      <c r="J62" s="930"/>
      <c r="K62" s="944">
        <v>1</v>
      </c>
      <c r="L62" s="950">
        <f t="shared" si="24"/>
        <v>1</v>
      </c>
      <c r="M62" s="950">
        <f t="shared" si="24"/>
        <v>1</v>
      </c>
      <c r="N62" s="950">
        <f t="shared" si="24"/>
        <v>1</v>
      </c>
      <c r="O62" s="950">
        <f>N62</f>
        <v>1</v>
      </c>
      <c r="P62" s="950">
        <f t="shared" si="25"/>
        <v>1</v>
      </c>
      <c r="Q62" s="950">
        <f t="shared" si="25"/>
        <v>1</v>
      </c>
      <c r="R62" s="950">
        <f t="shared" si="25"/>
        <v>1</v>
      </c>
      <c r="S62" s="950">
        <f>R62</f>
        <v>1</v>
      </c>
      <c r="T62" s="950">
        <f>S62</f>
        <v>1</v>
      </c>
      <c r="U62" s="950">
        <f t="shared" si="23"/>
        <v>1</v>
      </c>
      <c r="V62" s="950">
        <f t="shared" si="23"/>
        <v>1</v>
      </c>
      <c r="W62" s="950">
        <f t="shared" si="23"/>
        <v>1</v>
      </c>
      <c r="X62" s="950">
        <f t="shared" si="23"/>
        <v>1</v>
      </c>
      <c r="Y62" s="950">
        <f t="shared" si="23"/>
        <v>1</v>
      </c>
      <c r="Z62" s="950">
        <f t="shared" si="23"/>
        <v>1</v>
      </c>
      <c r="AA62" s="934"/>
    </row>
    <row r="63" spans="1:27" s="913" customFormat="1" ht="15.95" customHeight="1">
      <c r="A63" s="919"/>
      <c r="B63" s="928"/>
      <c r="G63" s="921"/>
      <c r="J63" s="930"/>
      <c r="K63" s="944"/>
      <c r="L63" s="950"/>
      <c r="M63" s="950"/>
      <c r="N63" s="950"/>
      <c r="O63" s="950"/>
      <c r="P63" s="950"/>
      <c r="Q63" s="950"/>
      <c r="R63" s="950"/>
      <c r="S63" s="950"/>
      <c r="T63" s="950"/>
      <c r="U63" s="950"/>
      <c r="V63" s="950"/>
      <c r="W63" s="950"/>
      <c r="X63" s="950"/>
      <c r="Y63" s="950"/>
      <c r="Z63" s="950"/>
      <c r="AA63" s="934"/>
    </row>
    <row r="64" spans="1:27" s="913" customFormat="1" ht="15.95" customHeight="1">
      <c r="A64" s="919">
        <v>14</v>
      </c>
      <c r="B64" s="913" t="s">
        <v>682</v>
      </c>
      <c r="G64" s="921"/>
      <c r="J64" s="930"/>
      <c r="K64" s="930"/>
      <c r="L64" s="930"/>
      <c r="M64" s="930"/>
      <c r="N64" s="930"/>
      <c r="O64" s="930"/>
      <c r="P64" s="930"/>
      <c r="Q64" s="930"/>
      <c r="R64" s="930"/>
      <c r="S64" s="930"/>
      <c r="T64" s="930"/>
      <c r="U64" s="930"/>
      <c r="V64" s="930"/>
      <c r="W64" s="930"/>
      <c r="X64" s="930"/>
      <c r="Y64" s="930"/>
      <c r="Z64" s="933"/>
      <c r="AA64" s="934"/>
    </row>
    <row r="65" spans="1:27" s="913" customFormat="1" ht="15.95" customHeight="1">
      <c r="A65" s="919"/>
      <c r="B65" s="928" t="s">
        <v>404</v>
      </c>
      <c r="E65" s="1310" t="s">
        <v>584</v>
      </c>
      <c r="F65" s="1310"/>
      <c r="G65" s="1310"/>
      <c r="H65" s="1310"/>
      <c r="J65" s="930"/>
      <c r="K65" s="944">
        <v>25</v>
      </c>
      <c r="L65" s="950">
        <f t="shared" ref="L65:S65" si="26">K65</f>
        <v>25</v>
      </c>
      <c r="M65" s="950">
        <f t="shared" si="26"/>
        <v>25</v>
      </c>
      <c r="N65" s="950">
        <f t="shared" si="26"/>
        <v>25</v>
      </c>
      <c r="O65" s="950">
        <f t="shared" si="26"/>
        <v>25</v>
      </c>
      <c r="P65" s="950">
        <f t="shared" si="26"/>
        <v>25</v>
      </c>
      <c r="Q65" s="950">
        <f t="shared" si="26"/>
        <v>25</v>
      </c>
      <c r="R65" s="950">
        <f t="shared" si="26"/>
        <v>25</v>
      </c>
      <c r="S65" s="950">
        <f t="shared" si="26"/>
        <v>25</v>
      </c>
      <c r="T65" s="944">
        <v>30</v>
      </c>
      <c r="U65" s="950">
        <f t="shared" ref="U65:Z67" si="27">T65</f>
        <v>30</v>
      </c>
      <c r="V65" s="950">
        <f t="shared" si="27"/>
        <v>30</v>
      </c>
      <c r="W65" s="950">
        <f t="shared" si="27"/>
        <v>30</v>
      </c>
      <c r="X65" s="950">
        <f t="shared" si="27"/>
        <v>30</v>
      </c>
      <c r="Y65" s="950">
        <f t="shared" si="27"/>
        <v>30</v>
      </c>
      <c r="Z65" s="950">
        <f t="shared" si="27"/>
        <v>30</v>
      </c>
      <c r="AA65" s="934"/>
    </row>
    <row r="66" spans="1:27" s="913" customFormat="1" ht="15.95" customHeight="1">
      <c r="A66" s="919"/>
      <c r="B66" s="928" t="s">
        <v>624</v>
      </c>
      <c r="G66" s="921"/>
      <c r="J66" s="930"/>
      <c r="K66" s="944">
        <v>1.25</v>
      </c>
      <c r="L66" s="950">
        <f t="shared" ref="L66:N67" si="28">K66</f>
        <v>1.25</v>
      </c>
      <c r="M66" s="950">
        <f t="shared" si="28"/>
        <v>1.25</v>
      </c>
      <c r="N66" s="950">
        <f t="shared" si="28"/>
        <v>1.25</v>
      </c>
      <c r="O66" s="944">
        <v>1.25</v>
      </c>
      <c r="P66" s="950">
        <f t="shared" ref="P66:R67" si="29">O66</f>
        <v>1.25</v>
      </c>
      <c r="Q66" s="950">
        <f t="shared" si="29"/>
        <v>1.25</v>
      </c>
      <c r="R66" s="950">
        <f t="shared" si="29"/>
        <v>1.25</v>
      </c>
      <c r="S66" s="951">
        <v>6</v>
      </c>
      <c r="T66" s="944">
        <v>6</v>
      </c>
      <c r="U66" s="950">
        <f t="shared" si="27"/>
        <v>6</v>
      </c>
      <c r="V66" s="950">
        <f t="shared" si="27"/>
        <v>6</v>
      </c>
      <c r="W66" s="950">
        <f t="shared" si="27"/>
        <v>6</v>
      </c>
      <c r="X66" s="950">
        <f t="shared" si="27"/>
        <v>6</v>
      </c>
      <c r="Y66" s="950">
        <f t="shared" si="27"/>
        <v>6</v>
      </c>
      <c r="Z66" s="950">
        <f t="shared" si="27"/>
        <v>6</v>
      </c>
      <c r="AA66" s="934"/>
    </row>
    <row r="67" spans="1:27" s="913" customFormat="1" ht="15.95" customHeight="1">
      <c r="A67" s="919"/>
      <c r="B67" s="928" t="s">
        <v>573</v>
      </c>
      <c r="G67" s="921"/>
      <c r="J67" s="930"/>
      <c r="K67" s="944">
        <v>1</v>
      </c>
      <c r="L67" s="950">
        <f t="shared" si="28"/>
        <v>1</v>
      </c>
      <c r="M67" s="950">
        <f t="shared" si="28"/>
        <v>1</v>
      </c>
      <c r="N67" s="950">
        <f t="shared" si="28"/>
        <v>1</v>
      </c>
      <c r="O67" s="950">
        <f>N67</f>
        <v>1</v>
      </c>
      <c r="P67" s="950">
        <f t="shared" si="29"/>
        <v>1</v>
      </c>
      <c r="Q67" s="950">
        <f t="shared" si="29"/>
        <v>1</v>
      </c>
      <c r="R67" s="950">
        <f t="shared" si="29"/>
        <v>1</v>
      </c>
      <c r="S67" s="950">
        <f>R67</f>
        <v>1</v>
      </c>
      <c r="T67" s="950">
        <f>S67</f>
        <v>1</v>
      </c>
      <c r="U67" s="950">
        <f t="shared" si="27"/>
        <v>1</v>
      </c>
      <c r="V67" s="950">
        <f t="shared" si="27"/>
        <v>1</v>
      </c>
      <c r="W67" s="950">
        <f t="shared" si="27"/>
        <v>1</v>
      </c>
      <c r="X67" s="950">
        <f t="shared" si="27"/>
        <v>1</v>
      </c>
      <c r="Y67" s="950">
        <f t="shared" si="27"/>
        <v>1</v>
      </c>
      <c r="Z67" s="950">
        <f t="shared" si="27"/>
        <v>1</v>
      </c>
      <c r="AA67" s="934"/>
    </row>
    <row r="68" spans="1:27" s="913" customFormat="1" ht="15.95" customHeight="1">
      <c r="A68" s="919"/>
      <c r="B68" s="928"/>
      <c r="G68" s="921"/>
      <c r="J68" s="930"/>
      <c r="K68" s="944"/>
      <c r="L68" s="950"/>
      <c r="M68" s="950"/>
      <c r="N68" s="950"/>
      <c r="O68" s="950"/>
      <c r="P68" s="950"/>
      <c r="Q68" s="950"/>
      <c r="R68" s="950"/>
      <c r="S68" s="950"/>
      <c r="T68" s="950"/>
      <c r="U68" s="950"/>
      <c r="V68" s="950"/>
      <c r="W68" s="950"/>
      <c r="X68" s="950"/>
      <c r="Y68" s="950"/>
      <c r="Z68" s="950"/>
      <c r="AA68" s="934"/>
    </row>
    <row r="69" spans="1:27" s="913" customFormat="1" ht="15.95" customHeight="1">
      <c r="A69" s="919">
        <f>A64+1</f>
        <v>15</v>
      </c>
      <c r="B69" s="913" t="s">
        <v>683</v>
      </c>
      <c r="G69" s="921"/>
      <c r="J69" s="930"/>
      <c r="K69" s="930"/>
      <c r="L69" s="930"/>
      <c r="M69" s="930"/>
      <c r="N69" s="930"/>
      <c r="O69" s="930"/>
      <c r="P69" s="930"/>
      <c r="Q69" s="930"/>
      <c r="R69" s="930"/>
      <c r="S69" s="930"/>
      <c r="T69" s="930"/>
      <c r="U69" s="930"/>
      <c r="V69" s="930"/>
      <c r="W69" s="930"/>
      <c r="X69" s="930"/>
      <c r="Y69" s="930"/>
      <c r="Z69" s="933"/>
      <c r="AA69" s="934"/>
    </row>
    <row r="70" spans="1:27" s="913" customFormat="1" ht="15.95" customHeight="1">
      <c r="A70" s="919"/>
      <c r="B70" s="928" t="s">
        <v>404</v>
      </c>
      <c r="E70" s="1310" t="s">
        <v>584</v>
      </c>
      <c r="F70" s="1310"/>
      <c r="G70" s="1310"/>
      <c r="H70" s="1310"/>
      <c r="J70" s="930"/>
      <c r="K70" s="944">
        <v>25</v>
      </c>
      <c r="L70" s="950">
        <f t="shared" ref="L70:S70" si="30">K70</f>
        <v>25</v>
      </c>
      <c r="M70" s="950">
        <f t="shared" si="30"/>
        <v>25</v>
      </c>
      <c r="N70" s="950">
        <f t="shared" si="30"/>
        <v>25</v>
      </c>
      <c r="O70" s="950">
        <f t="shared" si="30"/>
        <v>25</v>
      </c>
      <c r="P70" s="950">
        <f t="shared" si="30"/>
        <v>25</v>
      </c>
      <c r="Q70" s="950">
        <f t="shared" si="30"/>
        <v>25</v>
      </c>
      <c r="R70" s="950">
        <f t="shared" si="30"/>
        <v>25</v>
      </c>
      <c r="S70" s="950">
        <f t="shared" si="30"/>
        <v>25</v>
      </c>
      <c r="T70" s="944">
        <v>30</v>
      </c>
      <c r="U70" s="950">
        <f t="shared" ref="U70:Z72" si="31">T70</f>
        <v>30</v>
      </c>
      <c r="V70" s="950">
        <f t="shared" si="31"/>
        <v>30</v>
      </c>
      <c r="W70" s="950">
        <f t="shared" si="31"/>
        <v>30</v>
      </c>
      <c r="X70" s="950">
        <f t="shared" si="31"/>
        <v>30</v>
      </c>
      <c r="Y70" s="950">
        <f t="shared" si="31"/>
        <v>30</v>
      </c>
      <c r="Z70" s="950">
        <f t="shared" si="31"/>
        <v>30</v>
      </c>
      <c r="AA70" s="934"/>
    </row>
    <row r="71" spans="1:27" s="913" customFormat="1" ht="15.95" customHeight="1">
      <c r="A71" s="919"/>
      <c r="B71" s="928" t="s">
        <v>624</v>
      </c>
      <c r="G71" s="921"/>
      <c r="J71" s="930"/>
      <c r="K71" s="944">
        <v>1.25</v>
      </c>
      <c r="L71" s="950">
        <f t="shared" ref="L71:N72" si="32">K71</f>
        <v>1.25</v>
      </c>
      <c r="M71" s="950">
        <f t="shared" si="32"/>
        <v>1.25</v>
      </c>
      <c r="N71" s="950">
        <f t="shared" si="32"/>
        <v>1.25</v>
      </c>
      <c r="O71" s="944">
        <v>1.25</v>
      </c>
      <c r="P71" s="950">
        <f t="shared" ref="P71:R72" si="33">O71</f>
        <v>1.25</v>
      </c>
      <c r="Q71" s="950">
        <f t="shared" si="33"/>
        <v>1.25</v>
      </c>
      <c r="R71" s="950">
        <f t="shared" si="33"/>
        <v>1.25</v>
      </c>
      <c r="S71" s="951">
        <v>6</v>
      </c>
      <c r="T71" s="944">
        <v>6</v>
      </c>
      <c r="U71" s="950">
        <f t="shared" si="31"/>
        <v>6</v>
      </c>
      <c r="V71" s="950">
        <f t="shared" si="31"/>
        <v>6</v>
      </c>
      <c r="W71" s="950">
        <f t="shared" si="31"/>
        <v>6</v>
      </c>
      <c r="X71" s="950">
        <f t="shared" si="31"/>
        <v>6</v>
      </c>
      <c r="Y71" s="950">
        <f t="shared" si="31"/>
        <v>6</v>
      </c>
      <c r="Z71" s="950">
        <f t="shared" si="31"/>
        <v>6</v>
      </c>
      <c r="AA71" s="934"/>
    </row>
    <row r="72" spans="1:27" s="913" customFormat="1" ht="15.95" customHeight="1">
      <c r="A72" s="919"/>
      <c r="B72" s="928" t="s">
        <v>573</v>
      </c>
      <c r="G72" s="921"/>
      <c r="J72" s="930"/>
      <c r="K72" s="944">
        <v>1</v>
      </c>
      <c r="L72" s="950">
        <f t="shared" si="32"/>
        <v>1</v>
      </c>
      <c r="M72" s="950">
        <f t="shared" si="32"/>
        <v>1</v>
      </c>
      <c r="N72" s="950">
        <f t="shared" si="32"/>
        <v>1</v>
      </c>
      <c r="O72" s="950">
        <f>N72</f>
        <v>1</v>
      </c>
      <c r="P72" s="950">
        <f t="shared" si="33"/>
        <v>1</v>
      </c>
      <c r="Q72" s="950">
        <f t="shared" si="33"/>
        <v>1</v>
      </c>
      <c r="R72" s="950">
        <f t="shared" si="33"/>
        <v>1</v>
      </c>
      <c r="S72" s="950">
        <f>R72</f>
        <v>1</v>
      </c>
      <c r="T72" s="950">
        <f>S72</f>
        <v>1</v>
      </c>
      <c r="U72" s="950">
        <f t="shared" si="31"/>
        <v>1</v>
      </c>
      <c r="V72" s="950">
        <f t="shared" si="31"/>
        <v>1</v>
      </c>
      <c r="W72" s="950">
        <f t="shared" si="31"/>
        <v>1</v>
      </c>
      <c r="X72" s="950">
        <f t="shared" si="31"/>
        <v>1</v>
      </c>
      <c r="Y72" s="950">
        <f t="shared" si="31"/>
        <v>1</v>
      </c>
      <c r="Z72" s="950">
        <f t="shared" si="31"/>
        <v>1</v>
      </c>
      <c r="AA72" s="934"/>
    </row>
    <row r="73" spans="1:27" s="913" customFormat="1" ht="15.95" customHeight="1">
      <c r="A73" s="919"/>
      <c r="B73" s="928"/>
      <c r="G73" s="921"/>
      <c r="J73" s="930"/>
      <c r="K73" s="944"/>
      <c r="L73" s="950"/>
      <c r="M73" s="950"/>
      <c r="N73" s="950"/>
      <c r="O73" s="950"/>
      <c r="P73" s="950"/>
      <c r="Q73" s="950"/>
      <c r="R73" s="950"/>
      <c r="S73" s="950"/>
      <c r="T73" s="950"/>
      <c r="U73" s="950"/>
      <c r="V73" s="950"/>
      <c r="W73" s="950"/>
      <c r="X73" s="950"/>
      <c r="Y73" s="950"/>
      <c r="Z73" s="950"/>
      <c r="AA73" s="934"/>
    </row>
    <row r="74" spans="1:27" s="913" customFormat="1" ht="15.95" customHeight="1">
      <c r="A74" s="919">
        <v>17</v>
      </c>
      <c r="B74" s="913" t="s">
        <v>235</v>
      </c>
      <c r="H74" s="920" t="s">
        <v>286</v>
      </c>
    </row>
    <row r="75" spans="1:27" s="913" customFormat="1" ht="15.75" customHeight="1">
      <c r="A75" s="919">
        <f>A74+1</f>
        <v>18</v>
      </c>
      <c r="B75" s="518" t="s">
        <v>574</v>
      </c>
      <c r="O75" s="934"/>
      <c r="P75" s="934"/>
      <c r="Q75" s="934"/>
      <c r="R75" s="934"/>
      <c r="S75" s="934"/>
      <c r="T75" s="934"/>
      <c r="U75" s="934"/>
    </row>
    <row r="76" spans="1:27" s="913" customFormat="1" ht="26.25" customHeight="1">
      <c r="A76" s="919"/>
      <c r="B76" s="952" t="s">
        <v>641</v>
      </c>
      <c r="S76" s="924">
        <v>1.1000000000000001</v>
      </c>
      <c r="T76" s="924">
        <v>1.1000000000000001</v>
      </c>
      <c r="U76" s="924">
        <v>1.1000000000000001</v>
      </c>
      <c r="V76" s="924">
        <v>1.1000000000000001</v>
      </c>
      <c r="W76" s="924">
        <v>1.1000000000000001</v>
      </c>
      <c r="X76" s="924">
        <v>1.1000000000000001</v>
      </c>
      <c r="Y76" s="924">
        <v>1.1000000000000001</v>
      </c>
      <c r="Z76" s="924">
        <v>1.1000000000000001</v>
      </c>
    </row>
    <row r="77" spans="1:27" s="913" customFormat="1">
      <c r="A77" s="919"/>
      <c r="B77" s="953" t="str">
        <f>B19</f>
        <v>(a) 76 Days Re-Skilling course</v>
      </c>
      <c r="C77" s="934"/>
      <c r="D77" s="934"/>
      <c r="E77" s="934"/>
      <c r="F77" s="954" t="s">
        <v>268</v>
      </c>
      <c r="G77" s="955">
        <v>2500</v>
      </c>
      <c r="H77" s="956">
        <v>0.1</v>
      </c>
      <c r="I77" s="957"/>
      <c r="J77" s="958"/>
      <c r="K77" s="921">
        <f t="shared" ref="K77:K82" si="34">G77</f>
        <v>2500</v>
      </c>
      <c r="L77" s="921">
        <f t="shared" ref="L77:L82" si="35">K77</f>
        <v>2500</v>
      </c>
      <c r="M77" s="921">
        <f t="shared" ref="M77:N79" si="36">L77</f>
        <v>2500</v>
      </c>
      <c r="N77" s="921">
        <f t="shared" si="36"/>
        <v>2500</v>
      </c>
      <c r="O77" s="921">
        <f t="shared" ref="O77:O82" si="37">N77+N77*H77</f>
        <v>2750</v>
      </c>
      <c r="P77" s="921">
        <f t="shared" ref="P77:R79" si="38">O77</f>
        <v>2750</v>
      </c>
      <c r="Q77" s="921">
        <f t="shared" si="38"/>
        <v>2750</v>
      </c>
      <c r="R77" s="921">
        <f t="shared" si="38"/>
        <v>2750</v>
      </c>
      <c r="S77" s="921">
        <f>R77*S76</f>
        <v>3025.0000000000005</v>
      </c>
      <c r="T77" s="921">
        <f t="shared" ref="T77:Z77" si="39">S77*T76</f>
        <v>3327.5000000000009</v>
      </c>
      <c r="U77" s="921">
        <f t="shared" si="39"/>
        <v>3660.2500000000014</v>
      </c>
      <c r="V77" s="921">
        <f t="shared" si="39"/>
        <v>4026.2750000000019</v>
      </c>
      <c r="W77" s="921">
        <f t="shared" si="39"/>
        <v>4428.9025000000029</v>
      </c>
      <c r="X77" s="921">
        <f t="shared" si="39"/>
        <v>4871.7927500000033</v>
      </c>
      <c r="Y77" s="921">
        <f t="shared" si="39"/>
        <v>5358.9720250000037</v>
      </c>
      <c r="Z77" s="921">
        <f t="shared" si="39"/>
        <v>5894.8692275000049</v>
      </c>
    </row>
    <row r="78" spans="1:27" s="913" customFormat="1">
      <c r="A78" s="919"/>
      <c r="B78" s="953" t="str">
        <f>B22</f>
        <v>(b) 30 Days Re-Skilling course</v>
      </c>
      <c r="C78" s="934"/>
      <c r="D78" s="934"/>
      <c r="E78" s="934"/>
      <c r="F78" s="954" t="s">
        <v>268</v>
      </c>
      <c r="G78" s="955">
        <v>1500</v>
      </c>
      <c r="H78" s="956">
        <v>0.1</v>
      </c>
      <c r="I78" s="957"/>
      <c r="J78" s="958"/>
      <c r="K78" s="921">
        <f t="shared" si="34"/>
        <v>1500</v>
      </c>
      <c r="L78" s="921">
        <f t="shared" si="35"/>
        <v>1500</v>
      </c>
      <c r="M78" s="921">
        <f t="shared" si="36"/>
        <v>1500</v>
      </c>
      <c r="N78" s="921">
        <f t="shared" si="36"/>
        <v>1500</v>
      </c>
      <c r="O78" s="921">
        <f t="shared" si="37"/>
        <v>1650</v>
      </c>
      <c r="P78" s="921">
        <f>O78</f>
        <v>1650</v>
      </c>
      <c r="Q78" s="921">
        <f>P78</f>
        <v>1650</v>
      </c>
      <c r="R78" s="921">
        <f>Q78</f>
        <v>1650</v>
      </c>
      <c r="S78" s="921">
        <f t="shared" ref="S78:Z78" si="40">R78*S76</f>
        <v>1815.0000000000002</v>
      </c>
      <c r="T78" s="921">
        <f t="shared" si="40"/>
        <v>1996.5000000000005</v>
      </c>
      <c r="U78" s="921">
        <f t="shared" si="40"/>
        <v>2196.1500000000005</v>
      </c>
      <c r="V78" s="921">
        <f t="shared" si="40"/>
        <v>2415.7650000000008</v>
      </c>
      <c r="W78" s="921">
        <f t="shared" si="40"/>
        <v>2657.3415000000009</v>
      </c>
      <c r="X78" s="921">
        <f t="shared" si="40"/>
        <v>2923.0756500000011</v>
      </c>
      <c r="Y78" s="921">
        <f t="shared" si="40"/>
        <v>3215.3832150000017</v>
      </c>
      <c r="Z78" s="921">
        <f t="shared" si="40"/>
        <v>3536.9215365000023</v>
      </c>
    </row>
    <row r="79" spans="1:27" s="913" customFormat="1">
      <c r="A79" s="919"/>
      <c r="B79" s="959" t="str">
        <f>B25</f>
        <v>(c) 7 Days Re-Skilling course</v>
      </c>
      <c r="C79" s="934"/>
      <c r="D79" s="934"/>
      <c r="E79" s="934"/>
      <c r="F79" s="954" t="s">
        <v>268</v>
      </c>
      <c r="G79" s="955">
        <v>500</v>
      </c>
      <c r="H79" s="956">
        <v>0.1</v>
      </c>
      <c r="I79" s="957"/>
      <c r="J79" s="958"/>
      <c r="K79" s="921">
        <f t="shared" si="34"/>
        <v>500</v>
      </c>
      <c r="L79" s="921">
        <f t="shared" si="35"/>
        <v>500</v>
      </c>
      <c r="M79" s="921">
        <f t="shared" si="36"/>
        <v>500</v>
      </c>
      <c r="N79" s="921">
        <f t="shared" si="36"/>
        <v>500</v>
      </c>
      <c r="O79" s="921">
        <f t="shared" si="37"/>
        <v>550</v>
      </c>
      <c r="P79" s="921">
        <f t="shared" si="38"/>
        <v>550</v>
      </c>
      <c r="Q79" s="921">
        <f t="shared" si="38"/>
        <v>550</v>
      </c>
      <c r="R79" s="921">
        <f t="shared" si="38"/>
        <v>550</v>
      </c>
      <c r="S79" s="921">
        <f>R79*S76</f>
        <v>605</v>
      </c>
      <c r="T79" s="921">
        <f t="shared" ref="T79:Z79" si="41">S79*T76</f>
        <v>665.5</v>
      </c>
      <c r="U79" s="921">
        <f t="shared" si="41"/>
        <v>732.05000000000007</v>
      </c>
      <c r="V79" s="921">
        <f t="shared" si="41"/>
        <v>805.25500000000011</v>
      </c>
      <c r="W79" s="921">
        <f t="shared" si="41"/>
        <v>885.78050000000019</v>
      </c>
      <c r="X79" s="921">
        <f t="shared" si="41"/>
        <v>974.35855000000026</v>
      </c>
      <c r="Y79" s="921">
        <f t="shared" si="41"/>
        <v>1071.7944050000003</v>
      </c>
      <c r="Z79" s="921">
        <f t="shared" si="41"/>
        <v>1178.9738455000004</v>
      </c>
    </row>
    <row r="80" spans="1:27" s="913" customFormat="1">
      <c r="A80" s="919"/>
      <c r="B80" s="959" t="str">
        <f>B50</f>
        <v>(d) 75 days Mobile Repairing Course</v>
      </c>
      <c r="C80" s="934"/>
      <c r="D80" s="934"/>
      <c r="E80" s="934"/>
      <c r="F80" s="954" t="s">
        <v>268</v>
      </c>
      <c r="G80" s="955">
        <v>6200</v>
      </c>
      <c r="H80" s="956">
        <v>0.1</v>
      </c>
      <c r="I80" s="957"/>
      <c r="J80" s="958"/>
      <c r="K80" s="921">
        <f t="shared" si="34"/>
        <v>6200</v>
      </c>
      <c r="L80" s="921">
        <f t="shared" si="35"/>
        <v>6200</v>
      </c>
      <c r="M80" s="921">
        <f t="shared" ref="M80:N82" si="42">L80</f>
        <v>6200</v>
      </c>
      <c r="N80" s="921">
        <f t="shared" si="42"/>
        <v>6200</v>
      </c>
      <c r="O80" s="921">
        <f t="shared" si="37"/>
        <v>6820</v>
      </c>
      <c r="P80" s="921">
        <f t="shared" ref="P80:R82" si="43">O80</f>
        <v>6820</v>
      </c>
      <c r="Q80" s="921">
        <f t="shared" si="43"/>
        <v>6820</v>
      </c>
      <c r="R80" s="921">
        <f t="shared" si="43"/>
        <v>6820</v>
      </c>
      <c r="S80" s="921">
        <f>R80*S76</f>
        <v>7502.0000000000009</v>
      </c>
      <c r="T80" s="921">
        <f t="shared" ref="T80:Z80" si="44">S80*T76</f>
        <v>8252.2000000000025</v>
      </c>
      <c r="U80" s="921">
        <f t="shared" si="44"/>
        <v>9077.4200000000037</v>
      </c>
      <c r="V80" s="921">
        <f t="shared" si="44"/>
        <v>9985.1620000000057</v>
      </c>
      <c r="W80" s="921">
        <f t="shared" si="44"/>
        <v>10983.678200000008</v>
      </c>
      <c r="X80" s="921">
        <f t="shared" si="44"/>
        <v>12082.046020000009</v>
      </c>
      <c r="Y80" s="921">
        <f t="shared" si="44"/>
        <v>13290.25062200001</v>
      </c>
      <c r="Z80" s="921">
        <f t="shared" si="44"/>
        <v>14619.275684200013</v>
      </c>
    </row>
    <row r="81" spans="1:26" s="913" customFormat="1">
      <c r="A81" s="919"/>
      <c r="B81" s="959" t="str">
        <f>B51</f>
        <v>(e) 50 days Hospitality Assistant Course</v>
      </c>
      <c r="C81" s="934"/>
      <c r="D81" s="934"/>
      <c r="E81" s="934"/>
      <c r="F81" s="954" t="s">
        <v>268</v>
      </c>
      <c r="G81" s="955">
        <v>5200</v>
      </c>
      <c r="H81" s="956">
        <v>0.1</v>
      </c>
      <c r="I81" s="957"/>
      <c r="J81" s="958"/>
      <c r="K81" s="921">
        <f t="shared" si="34"/>
        <v>5200</v>
      </c>
      <c r="L81" s="921">
        <f t="shared" si="35"/>
        <v>5200</v>
      </c>
      <c r="M81" s="921">
        <f t="shared" si="42"/>
        <v>5200</v>
      </c>
      <c r="N81" s="921">
        <f t="shared" si="42"/>
        <v>5200</v>
      </c>
      <c r="O81" s="921">
        <f t="shared" si="37"/>
        <v>5720</v>
      </c>
      <c r="P81" s="921">
        <f t="shared" si="43"/>
        <v>5720</v>
      </c>
      <c r="Q81" s="921">
        <f t="shared" si="43"/>
        <v>5720</v>
      </c>
      <c r="R81" s="921">
        <f t="shared" si="43"/>
        <v>5720</v>
      </c>
      <c r="S81" s="921">
        <f>R81*S76</f>
        <v>6292.0000000000009</v>
      </c>
      <c r="T81" s="921">
        <f t="shared" ref="T81:Z81" si="45">S81*T76</f>
        <v>6921.2000000000016</v>
      </c>
      <c r="U81" s="921">
        <f t="shared" si="45"/>
        <v>7613.3200000000024</v>
      </c>
      <c r="V81" s="921">
        <f t="shared" si="45"/>
        <v>8374.6520000000037</v>
      </c>
      <c r="W81" s="921">
        <f t="shared" si="45"/>
        <v>9212.1172000000042</v>
      </c>
      <c r="X81" s="921">
        <f t="shared" si="45"/>
        <v>10133.328920000005</v>
      </c>
      <c r="Y81" s="921">
        <f t="shared" si="45"/>
        <v>11146.661812000008</v>
      </c>
      <c r="Z81" s="921">
        <f t="shared" si="45"/>
        <v>12261.32799320001</v>
      </c>
    </row>
    <row r="82" spans="1:26" s="913" customFormat="1">
      <c r="A82" s="919"/>
      <c r="B82" s="959" t="str">
        <f>B52</f>
        <v>(f) 50 days Sales Associate Course</v>
      </c>
      <c r="C82" s="934"/>
      <c r="D82" s="934"/>
      <c r="E82" s="934"/>
      <c r="F82" s="954" t="s">
        <v>268</v>
      </c>
      <c r="G82" s="955">
        <v>5200</v>
      </c>
      <c r="H82" s="956">
        <v>0.1</v>
      </c>
      <c r="I82" s="957"/>
      <c r="J82" s="958"/>
      <c r="K82" s="921">
        <f t="shared" si="34"/>
        <v>5200</v>
      </c>
      <c r="L82" s="921">
        <f t="shared" si="35"/>
        <v>5200</v>
      </c>
      <c r="M82" s="921">
        <f t="shared" si="42"/>
        <v>5200</v>
      </c>
      <c r="N82" s="921">
        <f t="shared" si="42"/>
        <v>5200</v>
      </c>
      <c r="O82" s="921">
        <f t="shared" si="37"/>
        <v>5720</v>
      </c>
      <c r="P82" s="921">
        <f t="shared" si="43"/>
        <v>5720</v>
      </c>
      <c r="Q82" s="921">
        <f t="shared" si="43"/>
        <v>5720</v>
      </c>
      <c r="R82" s="921">
        <f t="shared" si="43"/>
        <v>5720</v>
      </c>
      <c r="S82" s="921">
        <f>R82*S76</f>
        <v>6292.0000000000009</v>
      </c>
      <c r="T82" s="921">
        <f t="shared" ref="T82:Z82" si="46">S82*T76</f>
        <v>6921.2000000000016</v>
      </c>
      <c r="U82" s="921">
        <f t="shared" si="46"/>
        <v>7613.3200000000024</v>
      </c>
      <c r="V82" s="921">
        <f t="shared" si="46"/>
        <v>8374.6520000000037</v>
      </c>
      <c r="W82" s="921">
        <f t="shared" si="46"/>
        <v>9212.1172000000042</v>
      </c>
      <c r="X82" s="921">
        <f t="shared" si="46"/>
        <v>10133.328920000005</v>
      </c>
      <c r="Y82" s="921">
        <f t="shared" si="46"/>
        <v>11146.661812000008</v>
      </c>
      <c r="Z82" s="921">
        <f t="shared" si="46"/>
        <v>12261.32799320001</v>
      </c>
    </row>
    <row r="83" spans="1:26" s="913" customFormat="1" ht="28.5" customHeight="1">
      <c r="A83" s="922"/>
      <c r="B83" s="518" t="s">
        <v>642</v>
      </c>
      <c r="C83" s="934"/>
      <c r="D83" s="934"/>
      <c r="E83" s="934"/>
      <c r="F83" s="960" t="s">
        <v>268</v>
      </c>
      <c r="G83" s="961">
        <v>125</v>
      </c>
      <c r="H83" s="913" t="s">
        <v>411</v>
      </c>
      <c r="I83" s="924">
        <v>0.25</v>
      </c>
      <c r="J83" s="962" t="s">
        <v>579</v>
      </c>
      <c r="K83" s="962"/>
      <c r="L83" s="962"/>
      <c r="M83" s="962"/>
      <c r="N83" s="962"/>
      <c r="O83" s="963"/>
      <c r="P83" s="963"/>
      <c r="Q83" s="963"/>
      <c r="R83" s="963"/>
      <c r="T83" s="915" t="s">
        <v>0</v>
      </c>
      <c r="U83" s="915" t="s">
        <v>1</v>
      </c>
      <c r="V83" s="915" t="s">
        <v>2</v>
      </c>
      <c r="W83" s="915" t="s">
        <v>3</v>
      </c>
      <c r="X83" s="915" t="s">
        <v>4</v>
      </c>
      <c r="Y83" s="915" t="s">
        <v>196</v>
      </c>
      <c r="Z83" s="915" t="s">
        <v>282</v>
      </c>
    </row>
    <row r="84" spans="1:26" s="913" customFormat="1" ht="30" customHeight="1">
      <c r="A84" s="922"/>
      <c r="B84" s="1310" t="s">
        <v>810</v>
      </c>
      <c r="C84" s="1315"/>
      <c r="D84" s="1315"/>
      <c r="E84" s="1315"/>
      <c r="F84" s="960"/>
      <c r="G84" s="961"/>
      <c r="I84" s="964"/>
      <c r="J84" s="962"/>
      <c r="K84" s="962"/>
      <c r="L84" s="962"/>
      <c r="M84" s="962"/>
      <c r="N84" s="962"/>
      <c r="T84" s="915"/>
      <c r="U84" s="915"/>
      <c r="V84" s="915"/>
      <c r="W84" s="915"/>
      <c r="X84" s="915"/>
      <c r="Y84" s="915"/>
      <c r="Z84" s="915"/>
    </row>
    <row r="85" spans="1:26" s="913" customFormat="1" ht="29.25" customHeight="1">
      <c r="A85" s="922"/>
      <c r="B85" s="1308" t="s">
        <v>643</v>
      </c>
      <c r="C85" s="1308"/>
      <c r="D85" s="1308"/>
      <c r="E85" s="1308"/>
      <c r="F85" s="960" t="s">
        <v>268</v>
      </c>
      <c r="G85" s="924">
        <v>0.2</v>
      </c>
      <c r="H85" s="965" t="s">
        <v>580</v>
      </c>
      <c r="I85" s="924">
        <v>0.15</v>
      </c>
      <c r="J85" s="962" t="s">
        <v>579</v>
      </c>
      <c r="K85" s="962"/>
      <c r="L85" s="962"/>
      <c r="M85" s="962"/>
      <c r="N85" s="962"/>
      <c r="O85" s="966"/>
      <c r="P85" s="966"/>
      <c r="Q85" s="966"/>
      <c r="R85" s="966"/>
      <c r="T85" s="915"/>
      <c r="U85" s="915"/>
      <c r="V85" s="915"/>
      <c r="W85" s="915"/>
      <c r="X85" s="915"/>
      <c r="Y85" s="915"/>
      <c r="Z85" s="915"/>
    </row>
    <row r="86" spans="1:26" s="913" customFormat="1" ht="35.25" customHeight="1">
      <c r="A86" s="922"/>
      <c r="B86" s="1310" t="s">
        <v>676</v>
      </c>
      <c r="C86" s="1315"/>
      <c r="D86" s="1315"/>
      <c r="E86" s="1315"/>
      <c r="F86" s="960"/>
      <c r="G86" s="924"/>
      <c r="I86" s="964"/>
      <c r="J86" s="962"/>
      <c r="K86" s="962"/>
      <c r="L86" s="962"/>
      <c r="M86" s="962"/>
      <c r="N86" s="962"/>
      <c r="T86" s="915"/>
      <c r="U86" s="915"/>
      <c r="V86" s="915"/>
      <c r="W86" s="915"/>
      <c r="X86" s="915"/>
      <c r="Y86" s="915"/>
      <c r="Z86" s="915"/>
    </row>
    <row r="87" spans="1:26" s="921" customFormat="1" ht="35.25" customHeight="1">
      <c r="A87" s="950"/>
      <c r="B87" s="967"/>
      <c r="C87" s="967"/>
      <c r="D87" s="967"/>
      <c r="E87" s="967"/>
      <c r="F87" s="968"/>
      <c r="G87" s="939"/>
      <c r="H87" s="969"/>
      <c r="I87" s="957"/>
    </row>
    <row r="88" spans="1:26" s="913" customFormat="1" ht="25.5" customHeight="1">
      <c r="A88" s="919">
        <f>A75+1</f>
        <v>19</v>
      </c>
      <c r="B88" s="518" t="s">
        <v>581</v>
      </c>
      <c r="C88" s="934"/>
      <c r="D88" s="934"/>
      <c r="E88" s="934"/>
      <c r="F88" s="960" t="s">
        <v>268</v>
      </c>
      <c r="G88" s="970">
        <v>7500</v>
      </c>
      <c r="H88" s="924">
        <v>0.1</v>
      </c>
      <c r="I88" s="962" t="s">
        <v>410</v>
      </c>
      <c r="J88" s="958"/>
      <c r="K88" s="921">
        <f>G88</f>
        <v>7500</v>
      </c>
      <c r="L88" s="921">
        <f>K88</f>
        <v>7500</v>
      </c>
      <c r="M88" s="921">
        <f>L88</f>
        <v>7500</v>
      </c>
      <c r="N88" s="921">
        <f>M88</f>
        <v>7500</v>
      </c>
      <c r="O88" s="921">
        <f>N88+N88*H88</f>
        <v>8250</v>
      </c>
      <c r="P88" s="921">
        <f>O88</f>
        <v>8250</v>
      </c>
      <c r="Q88" s="921">
        <f>P88</f>
        <v>8250</v>
      </c>
      <c r="R88" s="921">
        <f>Q88</f>
        <v>8250</v>
      </c>
      <c r="S88" s="921">
        <f>R88+R88*$H$88</f>
        <v>9075</v>
      </c>
      <c r="T88" s="921">
        <f t="shared" ref="T88:Z88" si="47">S88+S88*$H$88</f>
        <v>9982.5</v>
      </c>
      <c r="U88" s="921">
        <f t="shared" si="47"/>
        <v>10980.75</v>
      </c>
      <c r="V88" s="921">
        <f t="shared" si="47"/>
        <v>12078.825000000001</v>
      </c>
      <c r="W88" s="921">
        <f t="shared" si="47"/>
        <v>13286.7075</v>
      </c>
      <c r="X88" s="921">
        <f t="shared" si="47"/>
        <v>14615.378250000002</v>
      </c>
      <c r="Y88" s="921">
        <f t="shared" si="47"/>
        <v>16076.916075000001</v>
      </c>
      <c r="Z88" s="921">
        <f t="shared" si="47"/>
        <v>17684.607682500002</v>
      </c>
    </row>
    <row r="89" spans="1:26" s="913" customFormat="1">
      <c r="A89" s="922"/>
      <c r="B89" s="518"/>
      <c r="C89" s="934"/>
      <c r="D89" s="934"/>
      <c r="E89" s="934"/>
      <c r="G89" s="964"/>
      <c r="J89" s="962"/>
      <c r="K89" s="962"/>
      <c r="L89" s="962"/>
      <c r="M89" s="962"/>
      <c r="N89" s="962"/>
      <c r="T89" s="915"/>
      <c r="U89" s="915"/>
      <c r="V89" s="915"/>
      <c r="W89" s="915"/>
      <c r="X89" s="915"/>
      <c r="Y89" s="915"/>
      <c r="Z89" s="915"/>
    </row>
    <row r="90" spans="1:26" s="913" customFormat="1">
      <c r="A90" s="971">
        <f>A88+1</f>
        <v>20</v>
      </c>
      <c r="B90" s="972" t="s">
        <v>338</v>
      </c>
      <c r="C90" s="972"/>
      <c r="D90" s="972"/>
      <c r="E90" s="972"/>
      <c r="J90" s="962"/>
      <c r="K90" s="962"/>
      <c r="L90" s="962"/>
      <c r="M90" s="962"/>
      <c r="N90" s="962"/>
      <c r="T90" s="915"/>
      <c r="U90" s="915"/>
      <c r="V90" s="915"/>
      <c r="W90" s="915"/>
      <c r="X90" s="915"/>
      <c r="Y90" s="915"/>
      <c r="Z90" s="915"/>
    </row>
    <row r="91" spans="1:26" s="913" customFormat="1" ht="18" customHeight="1">
      <c r="A91" s="922"/>
      <c r="B91" s="973" t="s">
        <v>409</v>
      </c>
      <c r="C91" s="972"/>
      <c r="D91" s="972"/>
      <c r="E91" s="974"/>
      <c r="F91" s="960" t="s">
        <v>268</v>
      </c>
      <c r="G91" s="939">
        <v>800</v>
      </c>
      <c r="H91" s="972" t="s">
        <v>594</v>
      </c>
      <c r="J91" s="962"/>
      <c r="K91" s="962"/>
      <c r="L91" s="962"/>
      <c r="M91" s="962"/>
      <c r="N91" s="962"/>
      <c r="T91" s="915"/>
      <c r="U91" s="915"/>
      <c r="V91" s="915"/>
      <c r="W91" s="915"/>
      <c r="X91" s="915"/>
      <c r="Y91" s="915"/>
      <c r="Z91" s="915"/>
    </row>
    <row r="92" spans="1:26" s="913" customFormat="1" ht="18" customHeight="1">
      <c r="A92" s="922"/>
      <c r="B92" s="973" t="s">
        <v>661</v>
      </c>
      <c r="C92" s="972"/>
      <c r="D92" s="972"/>
      <c r="E92" s="974"/>
      <c r="F92" s="960" t="s">
        <v>268</v>
      </c>
      <c r="G92" s="939">
        <v>800</v>
      </c>
      <c r="H92" s="972" t="s">
        <v>594</v>
      </c>
      <c r="J92" s="962"/>
      <c r="K92" s="962"/>
      <c r="L92" s="962"/>
      <c r="M92" s="962"/>
      <c r="N92" s="962"/>
      <c r="T92" s="915"/>
      <c r="U92" s="915"/>
      <c r="V92" s="915"/>
      <c r="W92" s="915"/>
      <c r="X92" s="915"/>
      <c r="Y92" s="915"/>
      <c r="Z92" s="915"/>
    </row>
    <row r="93" spans="1:26" s="913" customFormat="1" ht="21" customHeight="1">
      <c r="A93" s="922"/>
      <c r="B93" s="973" t="s">
        <v>417</v>
      </c>
      <c r="C93" s="972"/>
      <c r="D93" s="972"/>
      <c r="E93" s="974"/>
      <c r="F93" s="960" t="s">
        <v>268</v>
      </c>
      <c r="G93" s="939">
        <v>500</v>
      </c>
      <c r="H93" s="972" t="s">
        <v>594</v>
      </c>
      <c r="J93" s="962"/>
      <c r="K93" s="962"/>
      <c r="L93" s="962"/>
      <c r="M93" s="962"/>
      <c r="N93" s="962"/>
      <c r="T93" s="915"/>
      <c r="U93" s="915"/>
      <c r="V93" s="915"/>
      <c r="W93" s="915"/>
      <c r="X93" s="915"/>
      <c r="Y93" s="915"/>
      <c r="Z93" s="915"/>
    </row>
    <row r="94" spans="1:26" s="913" customFormat="1" ht="30" customHeight="1">
      <c r="A94" s="919">
        <v>21</v>
      </c>
      <c r="B94" s="1310" t="s">
        <v>582</v>
      </c>
      <c r="C94" s="1310"/>
      <c r="D94" s="1310"/>
      <c r="E94" s="1310"/>
      <c r="F94" s="960" t="s">
        <v>268</v>
      </c>
      <c r="G94" s="929">
        <f>K94*M94</f>
        <v>30000</v>
      </c>
      <c r="J94" s="960" t="s">
        <v>556</v>
      </c>
      <c r="K94" s="939">
        <v>1200</v>
      </c>
      <c r="L94" s="965" t="s">
        <v>559</v>
      </c>
      <c r="M94" s="930">
        <v>25</v>
      </c>
      <c r="N94" s="962" t="s">
        <v>578</v>
      </c>
      <c r="U94" s="915"/>
      <c r="V94" s="915"/>
      <c r="W94" s="915"/>
      <c r="X94" s="915"/>
      <c r="Y94" s="915"/>
      <c r="Z94" s="915"/>
    </row>
    <row r="95" spans="1:26" s="913" customFormat="1" ht="32.25" customHeight="1">
      <c r="A95" s="919"/>
      <c r="B95" s="1316" t="s">
        <v>583</v>
      </c>
      <c r="C95" s="1316"/>
      <c r="D95" s="1316"/>
      <c r="E95" s="1316"/>
      <c r="F95" s="960"/>
      <c r="G95" s="939"/>
      <c r="J95" s="962"/>
      <c r="K95" s="962"/>
      <c r="L95" s="962"/>
      <c r="M95" s="962"/>
      <c r="N95" s="962"/>
      <c r="T95" s="915"/>
      <c r="U95" s="915"/>
      <c r="V95" s="915"/>
      <c r="W95" s="915"/>
      <c r="X95" s="915"/>
      <c r="Y95" s="915"/>
      <c r="Z95" s="915"/>
    </row>
    <row r="96" spans="1:26" s="913" customFormat="1" ht="21" customHeight="1">
      <c r="A96" s="919">
        <v>22</v>
      </c>
      <c r="B96" s="1311" t="s">
        <v>596</v>
      </c>
      <c r="C96" s="1311"/>
      <c r="D96" s="1311"/>
      <c r="E96" s="1311"/>
      <c r="F96" s="960"/>
      <c r="G96" s="939"/>
      <c r="J96" s="962"/>
      <c r="K96" s="962"/>
      <c r="L96" s="962"/>
      <c r="M96" s="962"/>
      <c r="N96" s="962"/>
      <c r="T96" s="915"/>
      <c r="U96" s="915"/>
      <c r="V96" s="915"/>
      <c r="W96" s="915"/>
      <c r="X96" s="915"/>
      <c r="Y96" s="915"/>
      <c r="Z96" s="915"/>
    </row>
    <row r="97" spans="1:26" s="913" customFormat="1" ht="21" customHeight="1">
      <c r="A97" s="919">
        <v>23</v>
      </c>
      <c r="B97" s="913" t="s">
        <v>585</v>
      </c>
      <c r="E97" s="921"/>
      <c r="F97" s="960"/>
      <c r="G97" s="939"/>
      <c r="J97" s="962"/>
      <c r="K97" s="962"/>
      <c r="L97" s="962"/>
      <c r="M97" s="962"/>
      <c r="N97" s="962"/>
      <c r="T97" s="915"/>
      <c r="U97" s="915"/>
      <c r="V97" s="915"/>
      <c r="W97" s="915"/>
      <c r="X97" s="915"/>
      <c r="Y97" s="915"/>
      <c r="Z97" s="915"/>
    </row>
    <row r="98" spans="1:26" s="913" customFormat="1" ht="21" customHeight="1">
      <c r="A98" s="919">
        <v>24</v>
      </c>
      <c r="B98" s="913" t="s">
        <v>586</v>
      </c>
      <c r="E98" s="921"/>
      <c r="F98" s="960"/>
      <c r="G98" s="939"/>
      <c r="J98" s="962"/>
      <c r="K98" s="962"/>
      <c r="L98" s="962"/>
      <c r="M98" s="962"/>
      <c r="N98" s="962"/>
      <c r="T98" s="915"/>
      <c r="U98" s="915"/>
      <c r="V98" s="915"/>
      <c r="W98" s="915"/>
      <c r="X98" s="915"/>
      <c r="Y98" s="915"/>
      <c r="Z98" s="915"/>
    </row>
    <row r="99" spans="1:26" s="913" customFormat="1" ht="21" customHeight="1">
      <c r="A99" s="919">
        <v>25</v>
      </c>
      <c r="B99" s="913" t="s">
        <v>595</v>
      </c>
      <c r="E99" s="921"/>
      <c r="F99" s="960"/>
      <c r="G99" s="939"/>
      <c r="J99" s="962"/>
      <c r="K99" s="962"/>
      <c r="L99" s="962"/>
      <c r="M99" s="962"/>
      <c r="N99" s="962"/>
      <c r="T99" s="915"/>
      <c r="U99" s="915"/>
      <c r="V99" s="915"/>
      <c r="W99" s="915"/>
      <c r="X99" s="915"/>
      <c r="Y99" s="915"/>
      <c r="Z99" s="915"/>
    </row>
    <row r="100" spans="1:26" s="913" customFormat="1" ht="21" customHeight="1">
      <c r="A100" s="919">
        <v>26</v>
      </c>
      <c r="B100" s="913" t="s">
        <v>567</v>
      </c>
      <c r="E100" s="921"/>
      <c r="F100" s="960"/>
      <c r="G100" s="939"/>
      <c r="J100" s="962"/>
      <c r="K100" s="962"/>
      <c r="L100" s="962"/>
      <c r="M100" s="962"/>
      <c r="N100" s="962"/>
      <c r="T100" s="915"/>
      <c r="U100" s="915"/>
      <c r="V100" s="915"/>
      <c r="W100" s="915"/>
      <c r="X100" s="915"/>
      <c r="Y100" s="915"/>
      <c r="Z100" s="915"/>
    </row>
    <row r="101" spans="1:26" s="913" customFormat="1" ht="47.25" customHeight="1">
      <c r="A101" s="919">
        <v>27</v>
      </c>
      <c r="B101" s="1312" t="s">
        <v>597</v>
      </c>
      <c r="C101" s="1312"/>
      <c r="D101" s="1312"/>
      <c r="E101" s="1312"/>
      <c r="F101" s="1312"/>
      <c r="G101" s="1312"/>
      <c r="H101" s="1312"/>
      <c r="I101" s="1312"/>
      <c r="J101" s="1312"/>
      <c r="K101" s="1312"/>
      <c r="L101" s="1312"/>
      <c r="M101" s="1312"/>
      <c r="N101" s="1312"/>
      <c r="O101" s="961">
        <v>5</v>
      </c>
      <c r="P101" s="913" t="s">
        <v>587</v>
      </c>
      <c r="Q101" s="975"/>
      <c r="R101" s="975"/>
      <c r="T101" s="915"/>
      <c r="U101" s="915"/>
      <c r="V101" s="915"/>
      <c r="W101" s="915"/>
      <c r="X101" s="915"/>
      <c r="Y101" s="915"/>
      <c r="Z101" s="915"/>
    </row>
    <row r="102" spans="1:26" s="913" customFormat="1" ht="47.25" customHeight="1">
      <c r="A102" s="976">
        <v>28</v>
      </c>
      <c r="B102" s="1309" t="s">
        <v>644</v>
      </c>
      <c r="C102" s="1309"/>
      <c r="D102" s="1309"/>
      <c r="E102" s="1309"/>
      <c r="F102" s="977">
        <f>SUM(I106:R106)</f>
        <v>374.35854850000004</v>
      </c>
      <c r="G102" s="975"/>
      <c r="H102" s="975"/>
      <c r="I102" s="975"/>
      <c r="J102" s="975"/>
      <c r="K102" s="975"/>
      <c r="L102" s="975"/>
      <c r="M102" s="975"/>
      <c r="N102" s="975"/>
      <c r="O102" s="961"/>
      <c r="Q102" s="975"/>
      <c r="R102" s="975"/>
      <c r="T102" s="915"/>
      <c r="U102" s="915"/>
      <c r="V102" s="915"/>
      <c r="W102" s="915"/>
      <c r="X102" s="915"/>
      <c r="Y102" s="915"/>
      <c r="Z102" s="915"/>
    </row>
    <row r="103" spans="1:26" s="913" customFormat="1">
      <c r="A103" s="919"/>
      <c r="B103" s="1306" t="s">
        <v>673</v>
      </c>
      <c r="C103" s="1306"/>
      <c r="D103" s="1306"/>
      <c r="E103" s="1306"/>
      <c r="F103" s="1306"/>
      <c r="G103" s="1306"/>
      <c r="H103" s="1306"/>
      <c r="I103" s="1306"/>
      <c r="J103" s="1306"/>
      <c r="K103" s="1306"/>
      <c r="L103" s="1306"/>
      <c r="M103" s="1306"/>
      <c r="N103" s="1306"/>
      <c r="O103" s="975"/>
      <c r="P103" s="920" t="s">
        <v>592</v>
      </c>
      <c r="R103" s="975"/>
      <c r="T103" s="915"/>
      <c r="U103" s="915"/>
      <c r="V103" s="915"/>
      <c r="W103" s="915"/>
      <c r="X103" s="915"/>
      <c r="Y103" s="915"/>
      <c r="Z103" s="915"/>
    </row>
    <row r="104" spans="1:26" s="913" customFormat="1" ht="23.25" customHeight="1">
      <c r="A104" s="922"/>
      <c r="B104" s="928" t="s">
        <v>674</v>
      </c>
      <c r="E104" s="921"/>
      <c r="F104" s="960" t="s">
        <v>268</v>
      </c>
      <c r="G104" s="921">
        <f>'Pre-operative cost'!J54+'Pre-operative cost'!G76</f>
        <v>224.35854850000004</v>
      </c>
      <c r="H104" s="913" t="s">
        <v>628</v>
      </c>
      <c r="I104" s="1305" t="s">
        <v>156</v>
      </c>
      <c r="J104" s="1305"/>
      <c r="K104" s="1305"/>
      <c r="L104" s="1305"/>
      <c r="M104" s="1305" t="s">
        <v>157</v>
      </c>
      <c r="N104" s="1305"/>
      <c r="O104" s="1305"/>
      <c r="P104" s="1305"/>
      <c r="Q104" s="919" t="s">
        <v>162</v>
      </c>
      <c r="R104" s="919" t="s">
        <v>163</v>
      </c>
      <c r="T104" s="915"/>
      <c r="U104" s="915"/>
      <c r="V104" s="915"/>
      <c r="W104" s="915"/>
      <c r="X104" s="915"/>
      <c r="Y104" s="915"/>
      <c r="Z104" s="915"/>
    </row>
    <row r="105" spans="1:26" s="913" customFormat="1" ht="23.25" customHeight="1">
      <c r="A105" s="922"/>
      <c r="B105" s="928"/>
      <c r="E105" s="921"/>
      <c r="F105" s="960"/>
      <c r="G105" s="921"/>
      <c r="I105" s="922" t="s">
        <v>608</v>
      </c>
      <c r="J105" s="922" t="s">
        <v>609</v>
      </c>
      <c r="K105" s="922" t="s">
        <v>610</v>
      </c>
      <c r="L105" s="922" t="s">
        <v>611</v>
      </c>
      <c r="M105" s="950" t="s">
        <v>608</v>
      </c>
      <c r="N105" s="950" t="s">
        <v>609</v>
      </c>
      <c r="O105" s="950" t="s">
        <v>610</v>
      </c>
      <c r="P105" s="950" t="s">
        <v>611</v>
      </c>
      <c r="Q105" s="919"/>
      <c r="R105" s="919"/>
      <c r="T105" s="915"/>
      <c r="U105" s="915"/>
      <c r="V105" s="915"/>
      <c r="W105" s="915"/>
      <c r="X105" s="915"/>
      <c r="Y105" s="915"/>
      <c r="Z105" s="915"/>
    </row>
    <row r="106" spans="1:26" s="913" customFormat="1" ht="23.25" customHeight="1">
      <c r="A106" s="922"/>
      <c r="B106" s="928"/>
      <c r="E106" s="921"/>
      <c r="F106" s="960"/>
      <c r="G106" s="921"/>
      <c r="I106" s="919">
        <f>G104</f>
        <v>224.35854850000004</v>
      </c>
      <c r="J106" s="929">
        <f>'Fin Smmry'!C79</f>
        <v>20</v>
      </c>
      <c r="K106" s="929">
        <f>'Fin Smmry'!D79</f>
        <v>20</v>
      </c>
      <c r="L106" s="929">
        <f>'Fin Smmry'!E79</f>
        <v>20</v>
      </c>
      <c r="M106" s="929">
        <f>'Fin Smmry'!F79</f>
        <v>20</v>
      </c>
      <c r="N106" s="929">
        <f>'Fin Smmry'!G79</f>
        <v>20</v>
      </c>
      <c r="O106" s="929">
        <f>'Fin Smmry'!H79</f>
        <v>20</v>
      </c>
      <c r="P106" s="929">
        <f>'Fin Smmry'!I79</f>
        <v>20</v>
      </c>
      <c r="Q106" s="929">
        <f>'Fin Smmry'!J79</f>
        <v>10</v>
      </c>
      <c r="R106" s="958">
        <f>'Fin Smmry'!K79</f>
        <v>0</v>
      </c>
      <c r="S106" s="958">
        <f>'Fin Smmry'!L79</f>
        <v>0</v>
      </c>
      <c r="T106" s="958">
        <f>'Fin Smmry'!M79</f>
        <v>0</v>
      </c>
      <c r="U106" s="958">
        <f>'Fin Smmry'!N79</f>
        <v>0</v>
      </c>
      <c r="V106" s="958">
        <f>'Fin Smmry'!O79</f>
        <v>0</v>
      </c>
      <c r="W106" s="915"/>
      <c r="X106" s="915"/>
      <c r="Y106" s="915"/>
      <c r="Z106" s="915"/>
    </row>
    <row r="107" spans="1:26" s="913" customFormat="1" ht="30" customHeight="1">
      <c r="A107" s="919">
        <v>29</v>
      </c>
      <c r="B107" s="913" t="s">
        <v>799</v>
      </c>
      <c r="C107" s="978"/>
      <c r="D107" s="978"/>
      <c r="E107" s="978"/>
      <c r="F107" s="1010">
        <f>'Pre-operative cost'!G76</f>
        <v>30.317728963499988</v>
      </c>
      <c r="G107" s="962"/>
      <c r="J107" s="962"/>
      <c r="K107" s="962"/>
      <c r="L107" s="962"/>
      <c r="M107" s="962"/>
      <c r="N107" s="962"/>
      <c r="O107" s="914"/>
      <c r="P107" s="914"/>
      <c r="Q107" s="914"/>
      <c r="R107" s="914"/>
      <c r="S107" s="914"/>
      <c r="T107" s="915"/>
      <c r="U107" s="915"/>
      <c r="V107" s="915"/>
      <c r="W107" s="915"/>
      <c r="X107" s="915"/>
      <c r="Y107" s="915"/>
      <c r="Z107" s="915"/>
    </row>
    <row r="108" spans="1:26" s="913" customFormat="1" ht="30" customHeight="1">
      <c r="A108" s="919"/>
      <c r="B108" s="979" t="s">
        <v>38</v>
      </c>
      <c r="C108" s="980"/>
      <c r="D108" s="981"/>
      <c r="E108" s="980" t="s">
        <v>765</v>
      </c>
      <c r="F108" s="960"/>
      <c r="G108" s="962"/>
      <c r="J108" s="962"/>
      <c r="K108" s="962"/>
      <c r="L108" s="962"/>
      <c r="M108" s="962"/>
      <c r="N108" s="962"/>
      <c r="O108" s="914"/>
      <c r="P108" s="914"/>
      <c r="Q108" s="914"/>
      <c r="R108" s="914"/>
      <c r="S108" s="914"/>
      <c r="T108" s="915"/>
      <c r="U108" s="915"/>
      <c r="V108" s="915"/>
      <c r="W108" s="915"/>
      <c r="X108" s="915"/>
      <c r="Y108" s="915"/>
      <c r="Z108" s="915"/>
    </row>
    <row r="109" spans="1:26" s="913" customFormat="1" ht="17.25" customHeight="1">
      <c r="A109" s="919"/>
      <c r="B109" s="982"/>
      <c r="C109" s="982"/>
      <c r="D109" s="983"/>
      <c r="E109" s="984"/>
      <c r="F109" s="960"/>
      <c r="G109" s="962"/>
      <c r="I109" s="985"/>
      <c r="J109" s="962"/>
      <c r="K109" s="962"/>
      <c r="L109" s="962"/>
      <c r="M109" s="962"/>
      <c r="N109" s="962"/>
      <c r="O109" s="914"/>
      <c r="P109" s="914"/>
      <c r="Q109" s="914"/>
      <c r="R109" s="914"/>
      <c r="S109" s="914"/>
      <c r="T109" s="915"/>
      <c r="U109" s="915"/>
      <c r="V109" s="915"/>
      <c r="W109" s="915"/>
      <c r="X109" s="915"/>
      <c r="Y109" s="915"/>
      <c r="Z109" s="915"/>
    </row>
    <row r="110" spans="1:26" s="913" customFormat="1" ht="18.75" customHeight="1">
      <c r="A110" s="919"/>
      <c r="B110" s="986" t="s">
        <v>434</v>
      </c>
      <c r="C110" s="987"/>
      <c r="D110" s="988"/>
      <c r="E110" s="1011">
        <f>4.7*7</f>
        <v>32.9</v>
      </c>
      <c r="F110" s="960"/>
      <c r="G110" s="962"/>
      <c r="J110" s="962"/>
      <c r="K110" s="962"/>
      <c r="L110" s="962"/>
      <c r="M110" s="962"/>
      <c r="N110" s="962"/>
      <c r="O110" s="914"/>
      <c r="P110" s="914"/>
      <c r="Q110" s="914"/>
      <c r="R110" s="914"/>
      <c r="S110" s="914"/>
      <c r="T110" s="915"/>
      <c r="U110" s="915"/>
      <c r="V110" s="915"/>
      <c r="W110" s="915"/>
      <c r="X110" s="915"/>
      <c r="Y110" s="915"/>
      <c r="Z110" s="915"/>
    </row>
    <row r="111" spans="1:26" s="913" customFormat="1" ht="18.75" customHeight="1">
      <c r="A111" s="919"/>
      <c r="B111" s="986" t="s">
        <v>455</v>
      </c>
      <c r="C111" s="990"/>
      <c r="D111" s="991"/>
      <c r="E111" s="1011">
        <f>651782/10^5</f>
        <v>6.5178200000000004</v>
      </c>
      <c r="F111" s="960"/>
      <c r="G111" s="962"/>
      <c r="K111" s="962"/>
      <c r="L111" s="962"/>
      <c r="M111" s="962"/>
      <c r="N111" s="962"/>
      <c r="O111" s="914"/>
      <c r="P111" s="914"/>
      <c r="Q111" s="914"/>
      <c r="R111" s="914"/>
      <c r="S111" s="914"/>
      <c r="T111" s="915"/>
      <c r="U111" s="915"/>
      <c r="V111" s="915"/>
      <c r="W111" s="915"/>
      <c r="X111" s="915"/>
      <c r="Y111" s="915"/>
      <c r="Z111" s="915"/>
    </row>
    <row r="112" spans="1:26" s="913" customFormat="1" ht="18.75" customHeight="1">
      <c r="A112" s="919"/>
      <c r="B112" s="986" t="s">
        <v>456</v>
      </c>
      <c r="C112" s="992"/>
      <c r="D112" s="993"/>
      <c r="E112" s="1011">
        <f>30388/10^5</f>
        <v>0.30387999999999998</v>
      </c>
      <c r="F112" s="960"/>
      <c r="G112" s="962"/>
      <c r="J112" s="962"/>
      <c r="K112" s="962"/>
      <c r="L112" s="962"/>
      <c r="M112" s="962"/>
      <c r="N112" s="962"/>
      <c r="O112" s="914"/>
      <c r="P112" s="914"/>
      <c r="Q112" s="914"/>
      <c r="R112" s="914"/>
      <c r="S112" s="914"/>
      <c r="T112" s="915"/>
      <c r="U112" s="915"/>
      <c r="V112" s="915"/>
      <c r="W112" s="915"/>
      <c r="X112" s="915"/>
      <c r="Y112" s="915"/>
      <c r="Z112" s="915"/>
    </row>
    <row r="113" spans="1:26" s="913" customFormat="1" ht="18.75" customHeight="1">
      <c r="A113" s="919"/>
      <c r="B113" s="986" t="s">
        <v>457</v>
      </c>
      <c r="C113" s="994"/>
      <c r="D113" s="991"/>
      <c r="E113" s="1012">
        <f>2899703/10^5</f>
        <v>28.997029999999999</v>
      </c>
      <c r="F113" s="960"/>
      <c r="G113" s="962"/>
      <c r="J113" s="962"/>
      <c r="K113" s="962"/>
      <c r="L113" s="962"/>
      <c r="M113" s="962"/>
      <c r="N113" s="962"/>
      <c r="O113" s="914"/>
      <c r="P113" s="914"/>
      <c r="Q113" s="914"/>
      <c r="R113" s="914"/>
      <c r="S113" s="914"/>
      <c r="T113" s="915"/>
      <c r="U113" s="915"/>
      <c r="V113" s="915"/>
      <c r="W113" s="915"/>
      <c r="X113" s="915"/>
      <c r="Y113" s="915"/>
      <c r="Z113" s="915"/>
    </row>
    <row r="114" spans="1:26" s="913" customFormat="1" ht="18" customHeight="1">
      <c r="A114" s="919"/>
      <c r="B114" s="986" t="s">
        <v>458</v>
      </c>
      <c r="C114" s="995"/>
      <c r="D114" s="993"/>
      <c r="E114" s="1011">
        <f>1305225/10^5</f>
        <v>13.052250000000001</v>
      </c>
      <c r="F114" s="960"/>
      <c r="G114" s="962"/>
      <c r="J114" s="962"/>
      <c r="K114" s="962"/>
      <c r="L114" s="962"/>
      <c r="M114" s="962"/>
      <c r="N114" s="962"/>
      <c r="O114" s="914"/>
      <c r="P114" s="914"/>
      <c r="Q114" s="914"/>
      <c r="R114" s="914"/>
      <c r="S114" s="914"/>
      <c r="T114" s="915"/>
      <c r="U114" s="915"/>
      <c r="V114" s="915"/>
      <c r="W114" s="915"/>
      <c r="X114" s="915"/>
      <c r="Y114" s="915"/>
      <c r="Z114" s="915"/>
    </row>
    <row r="115" spans="1:26" s="913" customFormat="1" ht="27" customHeight="1">
      <c r="A115" s="919"/>
      <c r="B115" s="986" t="s">
        <v>459</v>
      </c>
      <c r="C115" s="992"/>
      <c r="D115" s="993"/>
      <c r="E115" s="1011">
        <f>2903024/10^5</f>
        <v>29.030239999999999</v>
      </c>
      <c r="F115" s="960"/>
      <c r="G115" s="962"/>
      <c r="J115" s="962"/>
      <c r="K115" s="962"/>
      <c r="L115" s="962"/>
      <c r="M115" s="962"/>
      <c r="N115" s="962"/>
      <c r="O115" s="914"/>
      <c r="P115" s="914"/>
      <c r="Q115" s="914"/>
      <c r="R115" s="914"/>
      <c r="S115" s="914"/>
      <c r="T115" s="915"/>
      <c r="U115" s="915"/>
      <c r="V115" s="915"/>
      <c r="W115" s="915"/>
      <c r="X115" s="915"/>
      <c r="Y115" s="915"/>
      <c r="Z115" s="915"/>
    </row>
    <row r="116" spans="1:26" s="913" customFormat="1" ht="18" customHeight="1">
      <c r="A116" s="919"/>
      <c r="B116" s="979" t="s">
        <v>593</v>
      </c>
      <c r="C116" s="979"/>
      <c r="D116" s="996"/>
      <c r="E116" s="1013">
        <f>SUM(E110:E115)</f>
        <v>110.80122</v>
      </c>
      <c r="F116" s="960"/>
      <c r="G116" s="962"/>
      <c r="J116" s="962"/>
      <c r="K116" s="962"/>
      <c r="L116" s="962"/>
      <c r="M116" s="962"/>
      <c r="N116" s="962"/>
      <c r="O116" s="914"/>
      <c r="P116" s="914"/>
      <c r="Q116" s="914"/>
      <c r="R116" s="914"/>
      <c r="S116" s="914"/>
      <c r="T116" s="915"/>
      <c r="U116" s="915"/>
      <c r="V116" s="915"/>
      <c r="W116" s="915"/>
      <c r="X116" s="915"/>
      <c r="Y116" s="915"/>
      <c r="Z116" s="915"/>
    </row>
    <row r="117" spans="1:26" s="913" customFormat="1" ht="18" customHeight="1">
      <c r="A117" s="919"/>
      <c r="B117" s="986"/>
      <c r="C117" s="994"/>
      <c r="D117" s="991"/>
      <c r="E117" s="991"/>
      <c r="F117" s="960"/>
      <c r="G117" s="962"/>
      <c r="J117" s="962"/>
      <c r="K117" s="962"/>
      <c r="L117" s="962"/>
      <c r="M117" s="962"/>
      <c r="N117" s="962"/>
      <c r="O117" s="914"/>
      <c r="P117" s="914"/>
      <c r="Q117" s="914"/>
      <c r="R117" s="914"/>
      <c r="S117" s="914"/>
      <c r="T117" s="915"/>
      <c r="U117" s="915"/>
      <c r="V117" s="915"/>
      <c r="W117" s="915"/>
      <c r="X117" s="915"/>
      <c r="Y117" s="915"/>
      <c r="Z117" s="915"/>
    </row>
    <row r="118" spans="1:26" s="913" customFormat="1" ht="18" customHeight="1">
      <c r="A118" s="919"/>
      <c r="F118" s="960"/>
      <c r="G118" s="962"/>
      <c r="J118" s="962"/>
      <c r="K118" s="962"/>
      <c r="L118" s="962"/>
      <c r="M118" s="962"/>
      <c r="N118" s="962"/>
      <c r="O118" s="484"/>
      <c r="P118" s="484"/>
      <c r="Q118" s="484"/>
      <c r="R118" s="484"/>
      <c r="S118" s="484"/>
      <c r="T118" s="997"/>
      <c r="U118" s="997"/>
      <c r="V118" s="997"/>
      <c r="W118" s="997"/>
      <c r="X118" s="998"/>
      <c r="Y118" s="963"/>
      <c r="Z118" s="963"/>
    </row>
    <row r="119" spans="1:26" s="913" customFormat="1" ht="18" customHeight="1">
      <c r="A119" s="919">
        <v>30</v>
      </c>
      <c r="B119" s="913" t="s">
        <v>629</v>
      </c>
      <c r="F119" s="960"/>
      <c r="G119" s="999">
        <f>(1794741/2)/10^5</f>
        <v>8.9737050000000007</v>
      </c>
      <c r="J119" s="962"/>
      <c r="K119" s="962"/>
      <c r="L119" s="962"/>
      <c r="M119" s="962"/>
      <c r="N119" s="962"/>
      <c r="O119" s="484"/>
      <c r="P119" s="484"/>
      <c r="Q119" s="484"/>
      <c r="R119" s="484"/>
      <c r="S119" s="484"/>
      <c r="T119" s="997"/>
      <c r="U119" s="997"/>
      <c r="V119" s="997"/>
      <c r="W119" s="997"/>
      <c r="X119" s="998"/>
      <c r="Y119" s="963"/>
      <c r="Z119" s="963"/>
    </row>
    <row r="120" spans="1:26" s="913" customFormat="1" ht="18" customHeight="1">
      <c r="A120" s="919"/>
      <c r="F120" s="960"/>
      <c r="G120" s="962"/>
      <c r="J120" s="962"/>
      <c r="K120" s="1304" t="s">
        <v>156</v>
      </c>
      <c r="L120" s="1304"/>
      <c r="M120" s="1304"/>
      <c r="N120" s="1304"/>
      <c r="O120" s="1313" t="s">
        <v>157</v>
      </c>
      <c r="P120" s="1313"/>
      <c r="Q120" s="1313"/>
      <c r="R120" s="1313"/>
      <c r="S120" s="1000" t="s">
        <v>162</v>
      </c>
      <c r="T120" s="1001" t="s">
        <v>163</v>
      </c>
      <c r="U120" s="1001" t="s">
        <v>164</v>
      </c>
      <c r="V120" s="997"/>
      <c r="W120" s="997"/>
      <c r="X120" s="998"/>
      <c r="Y120" s="963"/>
      <c r="Z120" s="963"/>
    </row>
    <row r="121" spans="1:26" s="913" customFormat="1">
      <c r="A121" s="976">
        <v>31</v>
      </c>
      <c r="B121" s="1002" t="s">
        <v>735</v>
      </c>
      <c r="F121" s="960" t="s">
        <v>268</v>
      </c>
      <c r="G121" s="962">
        <f>SUM(K122:S122)</f>
        <v>0</v>
      </c>
      <c r="H121" s="913" t="s">
        <v>654</v>
      </c>
      <c r="J121" s="962"/>
      <c r="K121" s="1003" t="s">
        <v>608</v>
      </c>
      <c r="L121" s="919" t="s">
        <v>609</v>
      </c>
      <c r="M121" s="919" t="s">
        <v>610</v>
      </c>
      <c r="N121" s="919" t="s">
        <v>611</v>
      </c>
      <c r="O121" s="1003" t="s">
        <v>608</v>
      </c>
      <c r="P121" s="922" t="s">
        <v>605</v>
      </c>
      <c r="Q121" s="484" t="s">
        <v>606</v>
      </c>
      <c r="R121" s="1003" t="s">
        <v>607</v>
      </c>
      <c r="S121" s="1003"/>
      <c r="T121" s="997"/>
      <c r="U121" s="997"/>
      <c r="V121" s="997"/>
      <c r="W121" s="997"/>
      <c r="X121" s="998"/>
      <c r="Y121" s="963"/>
      <c r="Z121" s="963"/>
    </row>
    <row r="122" spans="1:26" s="913" customFormat="1" ht="19.5" customHeight="1">
      <c r="A122" s="919"/>
      <c r="J122" s="962"/>
      <c r="K122" s="931"/>
      <c r="L122" s="931"/>
      <c r="M122" s="931"/>
      <c r="N122" s="931"/>
      <c r="O122" s="931"/>
      <c r="P122" s="931"/>
      <c r="Q122" s="931"/>
      <c r="R122" s="931"/>
      <c r="S122" s="931"/>
      <c r="T122" s="931"/>
      <c r="U122" s="931"/>
      <c r="V122" s="997"/>
      <c r="W122" s="997"/>
      <c r="X122" s="998"/>
      <c r="Y122" s="963"/>
      <c r="Z122" s="963"/>
    </row>
    <row r="123" spans="1:26" s="913" customFormat="1" ht="19.5" customHeight="1">
      <c r="A123" s="919"/>
      <c r="J123" s="962"/>
      <c r="K123" s="931"/>
      <c r="L123" s="931"/>
      <c r="M123" s="931"/>
      <c r="N123" s="931"/>
      <c r="O123" s="931"/>
      <c r="P123" s="931"/>
      <c r="Q123" s="931"/>
      <c r="R123" s="931"/>
      <c r="S123" s="931"/>
      <c r="T123" s="997"/>
      <c r="U123" s="997"/>
      <c r="V123" s="997"/>
      <c r="W123" s="997"/>
      <c r="X123" s="998"/>
      <c r="Y123" s="963"/>
      <c r="Z123" s="963"/>
    </row>
    <row r="124" spans="1:26" s="913" customFormat="1" ht="19.5" customHeight="1">
      <c r="A124" s="919">
        <v>32</v>
      </c>
      <c r="B124" s="913" t="s">
        <v>639</v>
      </c>
      <c r="F124" s="960" t="s">
        <v>556</v>
      </c>
      <c r="G124" s="962">
        <f xml:space="preserve"> SUM(K126:U126)</f>
        <v>361.54470000000003</v>
      </c>
      <c r="H124" s="913" t="s">
        <v>654</v>
      </c>
      <c r="J124" s="962"/>
      <c r="K124" s="1304" t="s">
        <v>156</v>
      </c>
      <c r="L124" s="1304"/>
      <c r="M124" s="1304"/>
      <c r="N124" s="1304"/>
      <c r="O124" s="1313" t="s">
        <v>157</v>
      </c>
      <c r="P124" s="1313"/>
      <c r="Q124" s="1313"/>
      <c r="R124" s="1313"/>
      <c r="S124" s="1000" t="s">
        <v>162</v>
      </c>
      <c r="T124" s="1001" t="s">
        <v>163</v>
      </c>
      <c r="U124" s="1001" t="s">
        <v>164</v>
      </c>
      <c r="V124" s="997"/>
      <c r="W124" s="997"/>
      <c r="X124" s="998"/>
      <c r="Y124" s="963"/>
      <c r="Z124" s="963"/>
    </row>
    <row r="125" spans="1:26" s="913" customFormat="1" ht="19.5" customHeight="1">
      <c r="A125" s="919"/>
      <c r="J125" s="962"/>
      <c r="K125" s="1003" t="s">
        <v>608</v>
      </c>
      <c r="L125" s="919" t="s">
        <v>609</v>
      </c>
      <c r="M125" s="919" t="s">
        <v>610</v>
      </c>
      <c r="N125" s="919" t="s">
        <v>611</v>
      </c>
      <c r="O125" s="1003" t="s">
        <v>608</v>
      </c>
      <c r="P125" s="922" t="s">
        <v>605</v>
      </c>
      <c r="Q125" s="484" t="s">
        <v>606</v>
      </c>
      <c r="R125" s="1003" t="s">
        <v>607</v>
      </c>
      <c r="S125" s="1003"/>
      <c r="T125" s="997"/>
      <c r="U125" s="997"/>
      <c r="V125" s="997"/>
      <c r="W125" s="997"/>
      <c r="X125" s="998"/>
      <c r="Y125" s="963"/>
      <c r="Z125" s="963"/>
    </row>
    <row r="126" spans="1:26" s="913" customFormat="1" ht="19.5" customHeight="1">
      <c r="A126" s="919"/>
      <c r="J126" s="962"/>
      <c r="K126" s="931">
        <f>'Fin Smmry'!B81</f>
        <v>4.2625000000000002</v>
      </c>
      <c r="L126" s="931">
        <f>'Fin Smmry'!C81</f>
        <v>5.2750000000000004</v>
      </c>
      <c r="M126" s="931">
        <f>'Fin Smmry'!D81</f>
        <v>6.2874999999999996</v>
      </c>
      <c r="N126" s="931">
        <f>'Fin Smmry'!E81</f>
        <v>7.3000000000000007</v>
      </c>
      <c r="O126" s="931">
        <f>'Fin Smmry'!F81</f>
        <v>8.8937500000000007</v>
      </c>
      <c r="P126" s="931">
        <f>'Fin Smmry'!G81</f>
        <v>10.0075</v>
      </c>
      <c r="Q126" s="931">
        <f>'Fin Smmry'!H81</f>
        <v>11.121250000000002</v>
      </c>
      <c r="R126" s="931">
        <f>'Fin Smmry'!I81</f>
        <v>12.235000000000001</v>
      </c>
      <c r="S126" s="931">
        <f>'Fin Smmry'!J81</f>
        <v>72.436000000000007</v>
      </c>
      <c r="T126" s="931">
        <f>'Fin Smmry'!K81</f>
        <v>95.241800000000012</v>
      </c>
      <c r="U126" s="931">
        <f>'Fin Smmry'!L81</f>
        <v>128.48440000000002</v>
      </c>
      <c r="V126" s="997"/>
      <c r="W126" s="997"/>
      <c r="X126" s="998"/>
      <c r="Y126" s="963"/>
      <c r="Z126" s="963"/>
    </row>
    <row r="127" spans="1:26" s="913" customFormat="1" ht="15.75" customHeight="1">
      <c r="A127" s="919">
        <v>33</v>
      </c>
      <c r="B127" s="913" t="s">
        <v>598</v>
      </c>
      <c r="F127" s="964"/>
    </row>
    <row r="128" spans="1:26" ht="15.75" customHeight="1">
      <c r="A128" s="919"/>
      <c r="B128" s="913" t="s">
        <v>543</v>
      </c>
    </row>
    <row r="129" spans="1:5">
      <c r="A129" s="919"/>
    </row>
    <row r="130" spans="1:5">
      <c r="A130" s="919"/>
    </row>
    <row r="133" spans="1:5">
      <c r="E133" s="1004"/>
    </row>
    <row r="134" spans="1:5">
      <c r="E134" s="1004"/>
    </row>
  </sheetData>
  <mergeCells count="29">
    <mergeCell ref="A1:Z1"/>
    <mergeCell ref="B84:E84"/>
    <mergeCell ref="B86:E86"/>
    <mergeCell ref="B95:E95"/>
    <mergeCell ref="A2:W2"/>
    <mergeCell ref="K8:N8"/>
    <mergeCell ref="O8:R8"/>
    <mergeCell ref="E40:H40"/>
    <mergeCell ref="E60:H60"/>
    <mergeCell ref="E65:H65"/>
    <mergeCell ref="E70:H70"/>
    <mergeCell ref="K17:N17"/>
    <mergeCell ref="O17:R17"/>
    <mergeCell ref="K29:N29"/>
    <mergeCell ref="B85:E85"/>
    <mergeCell ref="B102:E102"/>
    <mergeCell ref="B94:E94"/>
    <mergeCell ref="B96:E96"/>
    <mergeCell ref="B101:N101"/>
    <mergeCell ref="O29:R29"/>
    <mergeCell ref="E35:H35"/>
    <mergeCell ref="E45:H45"/>
    <mergeCell ref="K124:N124"/>
    <mergeCell ref="I104:L104"/>
    <mergeCell ref="M104:P104"/>
    <mergeCell ref="K120:N120"/>
    <mergeCell ref="B103:N103"/>
    <mergeCell ref="O124:R124"/>
    <mergeCell ref="O120:R120"/>
  </mergeCells>
  <hyperlinks>
    <hyperlink ref="G7" location="'exp  assumptions'!A1" display="Expense Assumptions"/>
    <hyperlink ref="H74" location="'exp  assumptions'!A1" display="Expense Assumptions"/>
    <hyperlink ref="G9" location="'CAPEX Assumption'!A1" display="CAPEX Assumptions"/>
    <hyperlink ref="P103" location="'Pre-operative cost'!A1" display="Pre-operative expenses working"/>
  </hyperlinks>
  <printOptions horizontalCentered="1" verticalCentered="1"/>
  <pageMargins left="0.48" right="0.47" top="0.66" bottom="0.57999999999999996" header="0.3" footer="0.3"/>
  <pageSetup scale="31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1</vt:i4>
      </vt:variant>
    </vt:vector>
  </HeadingPairs>
  <TitlesOfParts>
    <vt:vector size="30" baseType="lpstr">
      <vt:lpstr>notes</vt:lpstr>
      <vt:lpstr>Workforce</vt:lpstr>
      <vt:lpstr>Utilisation of Grant and Loan</vt:lpstr>
      <vt:lpstr>OPEX </vt:lpstr>
      <vt:lpstr>Manpower</vt:lpstr>
      <vt:lpstr>Assumptions &amp; Likely Impact</vt:lpstr>
      <vt:lpstr>Revenue Assumptions</vt:lpstr>
      <vt:lpstr>Pilot Project</vt:lpstr>
      <vt:lpstr>Key Assumptions</vt:lpstr>
      <vt:lpstr>Index</vt:lpstr>
      <vt:lpstr>Highlights</vt:lpstr>
      <vt:lpstr>Exp  Assumptions</vt:lpstr>
      <vt:lpstr>No. of people trained </vt:lpstr>
      <vt:lpstr>CAPEX Assumption</vt:lpstr>
      <vt:lpstr>Fin Smmry</vt:lpstr>
      <vt:lpstr>Loan-Int</vt:lpstr>
      <vt:lpstr>Balance Sheet</vt:lpstr>
      <vt:lpstr>P&amp;L Statement</vt:lpstr>
      <vt:lpstr>Cashflow Statement</vt:lpstr>
      <vt:lpstr>Revenue Schedule</vt:lpstr>
      <vt:lpstr>Operational Expenses</vt:lpstr>
      <vt:lpstr>Depreciation </vt:lpstr>
      <vt:lpstr>Amortisation</vt:lpstr>
      <vt:lpstr>Interest-Principal</vt:lpstr>
      <vt:lpstr>Capex</vt:lpstr>
      <vt:lpstr>Taxes</vt:lpstr>
      <vt:lpstr>Pre-operative cost</vt:lpstr>
      <vt:lpstr>Ratio analysis</vt:lpstr>
      <vt:lpstr>Content Development Cost</vt:lpstr>
      <vt:lpstr>'Fin Smmry'!Print_Area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GAURAV</cp:lastModifiedBy>
  <cp:lastPrinted>2014-01-20T09:27:10Z</cp:lastPrinted>
  <dcterms:created xsi:type="dcterms:W3CDTF">2011-08-24T18:13:06Z</dcterms:created>
  <dcterms:modified xsi:type="dcterms:W3CDTF">2014-04-12T09:46:18Z</dcterms:modified>
</cp:coreProperties>
</file>