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2120" windowHeight="9120" tabRatio="810" firstSheet="2" activeTab="9"/>
  </bookViews>
  <sheets>
    <sheet name="WIP-1 " sheetId="23" r:id="rId1"/>
    <sheet name="WIP-2" sheetId="41" r:id="rId2"/>
    <sheet name="WIP-3" sheetId="42" r:id="rId3"/>
    <sheet name="TFS (I) " sheetId="24" r:id="rId4"/>
    <sheet name="TFS (II) " sheetId="25" r:id="rId5"/>
    <sheet name="PVC" sheetId="9" r:id="rId6"/>
    <sheet name="LAC" sheetId="12" r:id="rId7"/>
    <sheet name="VAR &amp; SIL" sheetId="3" r:id="rId8"/>
    <sheet name="INKS" sheetId="13" r:id="rId9"/>
    <sheet name="PACKING" sheetId="10" r:id="rId10"/>
    <sheet name="POWER &amp; OIL" sheetId="11" r:id="rId11"/>
    <sheet name="Consum" sheetId="2" r:id="rId12"/>
    <sheet name="Butyle,silver size &amp; Epoxy" sheetId="19" r:id="rId13"/>
  </sheets>
  <externalReferences>
    <externalReference r:id="rId14"/>
    <externalReference r:id="rId15"/>
    <externalReference r:id="rId16"/>
  </externalReferences>
  <definedNames>
    <definedName name="_xlnm._FilterDatabase" localSheetId="8" hidden="1">INKS!$A$10:$M$368</definedName>
    <definedName name="_xlnm._FilterDatabase" localSheetId="2" hidden="1">'WIP-3'!$A$8:$G$99</definedName>
    <definedName name="_xlnm.Print_Area" localSheetId="12">'Butyle,silver size &amp; Epoxy'!$A$4:$J$64</definedName>
    <definedName name="_xlnm.Print_Area" localSheetId="11">Consum!$A$4:$J$57</definedName>
    <definedName name="_xlnm.Print_Area" localSheetId="8">INKS!$A$3:$J$323</definedName>
    <definedName name="_xlnm.Print_Area" localSheetId="6">LAC!$A$2:$K$56</definedName>
    <definedName name="_xlnm.Print_Area" localSheetId="9">PACKING!$A$2:$K$42</definedName>
    <definedName name="_xlnm.Print_Area" localSheetId="10">'POWER &amp; OIL'!$A$2:$K$39</definedName>
    <definedName name="_xlnm.Print_Area" localSheetId="5">PVC!$A$2:$K$41</definedName>
    <definedName name="_xlnm.Print_Area" localSheetId="3">'TFS (I) '!$A$4:$K$69</definedName>
    <definedName name="_xlnm.Print_Area" localSheetId="4">'TFS (II) '!$A$1:$M$63</definedName>
    <definedName name="_xlnm.Print_Area" localSheetId="7">'VAR &amp; SIL'!$A$4:$K$49</definedName>
    <definedName name="_xlnm.Print_Area" localSheetId="0">'WIP-1 '!$A$2:$B$22</definedName>
    <definedName name="_xlnm.Print_Area" localSheetId="1">'WIP-2'!$A$1:$G$147</definedName>
    <definedName name="_xlnm.Print_Area" localSheetId="2">'WIP-3'!$A$4:$G$99</definedName>
    <definedName name="_xlnm.Print_Titles" localSheetId="8">INKS!$4:$8</definedName>
  </definedNames>
  <calcPr calcId="125725"/>
</workbook>
</file>

<file path=xl/calcChain.xml><?xml version="1.0" encoding="utf-8"?>
<calcChain xmlns="http://schemas.openxmlformats.org/spreadsheetml/2006/main">
  <c r="H62" i="12"/>
  <c r="E97" i="42"/>
  <c r="G97" s="1"/>
  <c r="E92"/>
  <c r="D92"/>
  <c r="E91"/>
  <c r="D91"/>
  <c r="E88"/>
  <c r="G90" s="1"/>
  <c r="D88"/>
  <c r="E87"/>
  <c r="G87" s="1"/>
  <c r="D87"/>
  <c r="E83"/>
  <c r="D83"/>
  <c r="E82"/>
  <c r="D82"/>
  <c r="G81"/>
  <c r="G79"/>
  <c r="G77"/>
  <c r="G76"/>
  <c r="E73"/>
  <c r="D73"/>
  <c r="E72"/>
  <c r="D72"/>
  <c r="E70"/>
  <c r="G75" s="1"/>
  <c r="D70"/>
  <c r="E69"/>
  <c r="D69"/>
  <c r="E68"/>
  <c r="D68"/>
  <c r="E65"/>
  <c r="D65"/>
  <c r="E64"/>
  <c r="D64"/>
  <c r="G62"/>
  <c r="E59"/>
  <c r="E98" s="1"/>
  <c r="D59"/>
  <c r="D98" s="1"/>
  <c r="E56"/>
  <c r="D56"/>
  <c r="E54"/>
  <c r="G56" s="1"/>
  <c r="D54"/>
  <c r="E53"/>
  <c r="G53" s="1"/>
  <c r="D53"/>
  <c r="G52"/>
  <c r="E48"/>
  <c r="G49" s="1"/>
  <c r="D48"/>
  <c r="G46"/>
  <c r="E43"/>
  <c r="G43" s="1"/>
  <c r="D43"/>
  <c r="E39"/>
  <c r="D39"/>
  <c r="E37"/>
  <c r="D37"/>
  <c r="D34"/>
  <c r="E33"/>
  <c r="G35" s="1"/>
  <c r="D33"/>
  <c r="E32"/>
  <c r="D32"/>
  <c r="E30"/>
  <c r="D30"/>
  <c r="E28"/>
  <c r="D28"/>
  <c r="E27"/>
  <c r="D27"/>
  <c r="E26"/>
  <c r="D26"/>
  <c r="E24"/>
  <c r="D24"/>
  <c r="E23"/>
  <c r="D23"/>
  <c r="E22"/>
  <c r="D22"/>
  <c r="E20"/>
  <c r="E57" s="1"/>
  <c r="D20"/>
  <c r="D57" s="1"/>
  <c r="G16"/>
  <c r="G13"/>
  <c r="G10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F6"/>
  <c r="G117" i="41"/>
  <c r="F112"/>
  <c r="E112"/>
  <c r="F107"/>
  <c r="E107"/>
  <c r="F104"/>
  <c r="E104"/>
  <c r="F103"/>
  <c r="E103"/>
  <c r="F101"/>
  <c r="E101"/>
  <c r="F100"/>
  <c r="E100"/>
  <c r="F99"/>
  <c r="E99"/>
  <c r="F97"/>
  <c r="E97"/>
  <c r="F96"/>
  <c r="E96"/>
  <c r="F95"/>
  <c r="E95"/>
  <c r="F94"/>
  <c r="E94"/>
  <c r="F93"/>
  <c r="E93"/>
  <c r="F91"/>
  <c r="E91"/>
  <c r="F90"/>
  <c r="E90"/>
  <c r="F89"/>
  <c r="E89"/>
  <c r="F88"/>
  <c r="F114" s="1"/>
  <c r="E88"/>
  <c r="A72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71"/>
  <c r="F44"/>
  <c r="E44"/>
  <c r="F43"/>
  <c r="E43"/>
  <c r="F42"/>
  <c r="E42"/>
  <c r="F41"/>
  <c r="E41"/>
  <c r="F40"/>
  <c r="E40"/>
  <c r="F38"/>
  <c r="E38"/>
  <c r="F37"/>
  <c r="E37"/>
  <c r="F35"/>
  <c r="E35"/>
  <c r="E51" s="1"/>
  <c r="A10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B9"/>
  <c r="B9" i="42" s="1"/>
  <c r="F5" i="41"/>
  <c r="E5"/>
  <c r="D6" i="42" s="1"/>
  <c r="I322" i="13"/>
  <c r="H322"/>
  <c r="E322"/>
  <c r="D322"/>
  <c r="C322"/>
  <c r="J319"/>
  <c r="F319"/>
  <c r="F317"/>
  <c r="J321"/>
  <c r="G321" s="1"/>
  <c r="J317"/>
  <c r="J316"/>
  <c r="J315"/>
  <c r="J314"/>
  <c r="G317"/>
  <c r="F316"/>
  <c r="F315"/>
  <c r="J313"/>
  <c r="F313"/>
  <c r="E114" i="41" l="1"/>
  <c r="E115" s="1"/>
  <c r="G39" i="42"/>
  <c r="F51" i="41"/>
  <c r="F115" s="1"/>
  <c r="G23" i="42"/>
  <c r="G28"/>
  <c r="G32"/>
  <c r="D99"/>
  <c r="G69"/>
  <c r="G85"/>
  <c r="G94"/>
  <c r="G319" i="13"/>
  <c r="E99" i="42"/>
  <c r="A103" i="41"/>
  <c r="A108" s="1"/>
  <c r="A113" s="1"/>
  <c r="A99"/>
  <c r="G57" i="42"/>
  <c r="G20"/>
  <c r="G59"/>
  <c r="G98" s="1"/>
  <c r="G99" s="1"/>
  <c r="G315" i="13"/>
  <c r="G313"/>
  <c r="A104" i="41" l="1"/>
  <c r="A109" s="1"/>
  <c r="A100"/>
  <c r="F23" i="10"/>
  <c r="K35" i="9"/>
  <c r="G35"/>
  <c r="H35" s="1"/>
  <c r="K34"/>
  <c r="G34"/>
  <c r="A105" i="41" l="1"/>
  <c r="A110" s="1"/>
  <c r="A101"/>
  <c r="H34" i="9"/>
  <c r="I41" i="10"/>
  <c r="G68" i="24"/>
  <c r="E20" i="10"/>
  <c r="J38" i="9"/>
  <c r="I38"/>
  <c r="E38"/>
  <c r="D38"/>
  <c r="J55" i="2"/>
  <c r="F55"/>
  <c r="A106" i="41" l="1"/>
  <c r="A111" s="1"/>
  <c r="A102"/>
  <c r="A107" s="1"/>
  <c r="A112" s="1"/>
  <c r="G55" i="2"/>
  <c r="J56"/>
  <c r="F56"/>
  <c r="G56" s="1"/>
  <c r="D30" i="3" l="1"/>
  <c r="F30"/>
  <c r="A1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K28"/>
  <c r="G28"/>
  <c r="H28" s="1"/>
  <c r="K53" i="12"/>
  <c r="G53"/>
  <c r="K36" i="9"/>
  <c r="G36"/>
  <c r="J30" i="3"/>
  <c r="E30"/>
  <c r="H53" i="12" l="1"/>
  <c r="H36" i="9"/>
  <c r="K52" i="12"/>
  <c r="G52"/>
  <c r="M7" i="25"/>
  <c r="H7"/>
  <c r="M48"/>
  <c r="H48"/>
  <c r="K53" i="24"/>
  <c r="G53"/>
  <c r="G16" i="9"/>
  <c r="A10" i="12"/>
  <c r="A11" s="1"/>
  <c r="A12" s="1"/>
  <c r="A13" s="1"/>
  <c r="A14" s="1"/>
  <c r="K15"/>
  <c r="G15"/>
  <c r="J311" i="13"/>
  <c r="F311"/>
  <c r="J309"/>
  <c r="J307"/>
  <c r="J305"/>
  <c r="F309"/>
  <c r="F307"/>
  <c r="F305"/>
  <c r="J303"/>
  <c r="J301"/>
  <c r="J299"/>
  <c r="J297"/>
  <c r="J295"/>
  <c r="F303"/>
  <c r="F302"/>
  <c r="F301"/>
  <c r="F300"/>
  <c r="F299"/>
  <c r="F298"/>
  <c r="F297"/>
  <c r="F296"/>
  <c r="F295"/>
  <c r="F294"/>
  <c r="K11" i="9"/>
  <c r="G11"/>
  <c r="G307" i="13" l="1"/>
  <c r="H52" i="12"/>
  <c r="I48" i="25"/>
  <c r="H53" i="24"/>
  <c r="H11" i="9"/>
  <c r="G297" i="13"/>
  <c r="A15" i="12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I7" i="25"/>
  <c r="H15" i="12"/>
  <c r="G295" i="13"/>
  <c r="G303"/>
  <c r="G309"/>
  <c r="G311"/>
  <c r="G305"/>
  <c r="G301"/>
  <c r="G299"/>
  <c r="I30" i="3"/>
  <c r="C57" i="2"/>
  <c r="D57"/>
  <c r="K68" i="24"/>
  <c r="I62" i="25"/>
  <c r="L59"/>
  <c r="K59"/>
  <c r="J59"/>
  <c r="G59"/>
  <c r="F59"/>
  <c r="E59"/>
  <c r="D59"/>
  <c r="M58"/>
  <c r="H58"/>
  <c r="M57"/>
  <c r="H57"/>
  <c r="M56"/>
  <c r="H56"/>
  <c r="M55"/>
  <c r="H55"/>
  <c r="M54"/>
  <c r="H54"/>
  <c r="M53"/>
  <c r="H53"/>
  <c r="M52"/>
  <c r="H52"/>
  <c r="M51"/>
  <c r="H51"/>
  <c r="M50"/>
  <c r="H50"/>
  <c r="M49"/>
  <c r="H49"/>
  <c r="M47"/>
  <c r="H47"/>
  <c r="M46"/>
  <c r="H46"/>
  <c r="M45"/>
  <c r="H45"/>
  <c r="M44"/>
  <c r="H44"/>
  <c r="M43"/>
  <c r="H43"/>
  <c r="M42"/>
  <c r="H42"/>
  <c r="M41"/>
  <c r="H41"/>
  <c r="M40"/>
  <c r="H40"/>
  <c r="M39"/>
  <c r="H39"/>
  <c r="M38"/>
  <c r="H38"/>
  <c r="M37"/>
  <c r="H37"/>
  <c r="M36"/>
  <c r="H36"/>
  <c r="M35"/>
  <c r="H35"/>
  <c r="M34"/>
  <c r="H34"/>
  <c r="M33"/>
  <c r="H33"/>
  <c r="M32"/>
  <c r="H32"/>
  <c r="M31"/>
  <c r="H31"/>
  <c r="M30"/>
  <c r="H30"/>
  <c r="M29"/>
  <c r="H29"/>
  <c r="M28"/>
  <c r="H28"/>
  <c r="M27"/>
  <c r="H27"/>
  <c r="M26"/>
  <c r="H26"/>
  <c r="M25"/>
  <c r="H25"/>
  <c r="M24"/>
  <c r="H24"/>
  <c r="M23"/>
  <c r="H23"/>
  <c r="M22"/>
  <c r="H22"/>
  <c r="M21"/>
  <c r="H21"/>
  <c r="M20"/>
  <c r="H20"/>
  <c r="M19"/>
  <c r="H19"/>
  <c r="M18"/>
  <c r="H18"/>
  <c r="M17"/>
  <c r="H17"/>
  <c r="M16"/>
  <c r="H16"/>
  <c r="M15"/>
  <c r="H15"/>
  <c r="M14"/>
  <c r="H14"/>
  <c r="M13"/>
  <c r="H13"/>
  <c r="M12"/>
  <c r="H12"/>
  <c r="M11"/>
  <c r="H11"/>
  <c r="M10"/>
  <c r="H10"/>
  <c r="M9"/>
  <c r="H9"/>
  <c r="M8"/>
  <c r="H8"/>
  <c r="M6"/>
  <c r="H6"/>
  <c r="G67" i="24"/>
  <c r="K67" s="1"/>
  <c r="J66"/>
  <c r="I66"/>
  <c r="N20" s="1"/>
  <c r="F66"/>
  <c r="E66"/>
  <c r="D66"/>
  <c r="K65"/>
  <c r="G65"/>
  <c r="K64"/>
  <c r="G64"/>
  <c r="K63"/>
  <c r="G63"/>
  <c r="K62"/>
  <c r="G62"/>
  <c r="K61"/>
  <c r="G61"/>
  <c r="K60"/>
  <c r="G60"/>
  <c r="K59"/>
  <c r="G59"/>
  <c r="K58"/>
  <c r="G58"/>
  <c r="K57"/>
  <c r="G57"/>
  <c r="K56"/>
  <c r="G56"/>
  <c r="K55"/>
  <c r="G55"/>
  <c r="K54"/>
  <c r="G54"/>
  <c r="K52"/>
  <c r="G52"/>
  <c r="K51"/>
  <c r="G51"/>
  <c r="K50"/>
  <c r="G50"/>
  <c r="K49"/>
  <c r="G49"/>
  <c r="K48"/>
  <c r="G48"/>
  <c r="K47"/>
  <c r="G47"/>
  <c r="K46"/>
  <c r="G46"/>
  <c r="K45"/>
  <c r="G45"/>
  <c r="K44"/>
  <c r="G44"/>
  <c r="K43"/>
  <c r="G43"/>
  <c r="K42"/>
  <c r="G42"/>
  <c r="K41"/>
  <c r="G41"/>
  <c r="K40"/>
  <c r="G40"/>
  <c r="K39"/>
  <c r="G39"/>
  <c r="G38"/>
  <c r="H38" s="1"/>
  <c r="K37"/>
  <c r="G37"/>
  <c r="K36"/>
  <c r="G36"/>
  <c r="K35"/>
  <c r="G35"/>
  <c r="K34"/>
  <c r="G34"/>
  <c r="K33"/>
  <c r="G33"/>
  <c r="K32"/>
  <c r="G32"/>
  <c r="K31"/>
  <c r="G31"/>
  <c r="K30"/>
  <c r="G30"/>
  <c r="K29"/>
  <c r="G29"/>
  <c r="K28"/>
  <c r="G28"/>
  <c r="K27"/>
  <c r="G27"/>
  <c r="K26"/>
  <c r="G26"/>
  <c r="K25"/>
  <c r="G25"/>
  <c r="K24"/>
  <c r="G24"/>
  <c r="K23"/>
  <c r="G23"/>
  <c r="K22"/>
  <c r="G22"/>
  <c r="K21"/>
  <c r="G21"/>
  <c r="K20"/>
  <c r="G20"/>
  <c r="H19"/>
  <c r="K18"/>
  <c r="G18"/>
  <c r="K17"/>
  <c r="G17"/>
  <c r="K16"/>
  <c r="G16"/>
  <c r="K15"/>
  <c r="G15"/>
  <c r="K14"/>
  <c r="G14"/>
  <c r="K13"/>
  <c r="G13"/>
  <c r="K12"/>
  <c r="G12"/>
  <c r="B14" i="23"/>
  <c r="B22" s="1"/>
  <c r="I58" i="25" l="1"/>
  <c r="H29" i="24"/>
  <c r="H31"/>
  <c r="H37"/>
  <c r="I22" i="25"/>
  <c r="I52"/>
  <c r="I55"/>
  <c r="I56"/>
  <c r="I57"/>
  <c r="I18"/>
  <c r="I26"/>
  <c r="H61" i="24"/>
  <c r="H62"/>
  <c r="N10"/>
  <c r="I8" i="25"/>
  <c r="I10"/>
  <c r="I13"/>
  <c r="I30"/>
  <c r="I32"/>
  <c r="I33"/>
  <c r="I35"/>
  <c r="I36"/>
  <c r="I43"/>
  <c r="I51"/>
  <c r="H25" i="24"/>
  <c r="H57"/>
  <c r="H64"/>
  <c r="H40"/>
  <c r="H41"/>
  <c r="H43"/>
  <c r="H65"/>
  <c r="H44"/>
  <c r="H13"/>
  <c r="H33"/>
  <c r="N19"/>
  <c r="N21" s="1"/>
  <c r="I54" i="25"/>
  <c r="I47"/>
  <c r="I46"/>
  <c r="I45"/>
  <c r="I44"/>
  <c r="I34"/>
  <c r="M59"/>
  <c r="I31"/>
  <c r="I29"/>
  <c r="I27"/>
  <c r="I23"/>
  <c r="I21"/>
  <c r="I20"/>
  <c r="I19"/>
  <c r="I17"/>
  <c r="I16"/>
  <c r="I15"/>
  <c r="I14"/>
  <c r="I12"/>
  <c r="I11"/>
  <c r="I9"/>
  <c r="I6"/>
  <c r="H48" i="24"/>
  <c r="H59"/>
  <c r="H58"/>
  <c r="H51"/>
  <c r="H50"/>
  <c r="H49"/>
  <c r="H42"/>
  <c r="H32"/>
  <c r="H30"/>
  <c r="N11"/>
  <c r="H24"/>
  <c r="H23"/>
  <c r="H22"/>
  <c r="H21"/>
  <c r="K66"/>
  <c r="I49" i="25"/>
  <c r="I50"/>
  <c r="I24"/>
  <c r="I25"/>
  <c r="I37"/>
  <c r="I38"/>
  <c r="I39"/>
  <c r="I40"/>
  <c r="I41"/>
  <c r="I42"/>
  <c r="I53"/>
  <c r="H14" i="24"/>
  <c r="H15"/>
  <c r="H16"/>
  <c r="H17"/>
  <c r="H18"/>
  <c r="H20"/>
  <c r="H26"/>
  <c r="H27"/>
  <c r="H28"/>
  <c r="H34"/>
  <c r="H35"/>
  <c r="H36"/>
  <c r="H39"/>
  <c r="H45"/>
  <c r="H46"/>
  <c r="H47"/>
  <c r="H63"/>
  <c r="H12"/>
  <c r="H52"/>
  <c r="H54"/>
  <c r="H55"/>
  <c r="H56"/>
  <c r="G66"/>
  <c r="H59" i="25"/>
  <c r="N12" i="24" l="1"/>
  <c r="I59" i="25"/>
  <c r="M11" i="24"/>
  <c r="H66"/>
  <c r="M12"/>
  <c r="M13" l="1"/>
  <c r="K29" i="3"/>
  <c r="G29"/>
  <c r="H29" l="1"/>
  <c r="K24" l="1"/>
  <c r="G24"/>
  <c r="C24"/>
  <c r="K32" i="9"/>
  <c r="G32"/>
  <c r="F38"/>
  <c r="K31" i="10"/>
  <c r="F31"/>
  <c r="J32"/>
  <c r="I32"/>
  <c r="H32"/>
  <c r="E32"/>
  <c r="D32"/>
  <c r="C32"/>
  <c r="J291" i="13"/>
  <c r="F291"/>
  <c r="J293"/>
  <c r="F293"/>
  <c r="H24" i="3" l="1"/>
  <c r="G31" i="10"/>
  <c r="H32" i="9"/>
  <c r="G293" i="13"/>
  <c r="G291"/>
  <c r="K37" i="9" l="1"/>
  <c r="G37"/>
  <c r="K33"/>
  <c r="G33"/>
  <c r="K31"/>
  <c r="G31"/>
  <c r="H9"/>
  <c r="H8"/>
  <c r="H25"/>
  <c r="J55" i="12"/>
  <c r="I55"/>
  <c r="F55"/>
  <c r="E55"/>
  <c r="K10" i="9"/>
  <c r="G10"/>
  <c r="J61" i="19"/>
  <c r="I61"/>
  <c r="G61"/>
  <c r="E61"/>
  <c r="C61"/>
  <c r="C63" s="1"/>
  <c r="E63" s="1"/>
  <c r="I51"/>
  <c r="E51"/>
  <c r="E67" s="1"/>
  <c r="D51"/>
  <c r="C51"/>
  <c r="F49"/>
  <c r="F47"/>
  <c r="F45"/>
  <c r="F43"/>
  <c r="F41"/>
  <c r="F39"/>
  <c r="F37"/>
  <c r="F35"/>
  <c r="F33"/>
  <c r="F31"/>
  <c r="F29"/>
  <c r="F27"/>
  <c r="F25"/>
  <c r="F23"/>
  <c r="F21"/>
  <c r="F19"/>
  <c r="F17"/>
  <c r="J15"/>
  <c r="F15"/>
  <c r="J13"/>
  <c r="F13"/>
  <c r="J11"/>
  <c r="F11"/>
  <c r="G32" i="12"/>
  <c r="F51" i="19" l="1"/>
  <c r="G13"/>
  <c r="G15"/>
  <c r="H37" i="9"/>
  <c r="H10"/>
  <c r="H33"/>
  <c r="H31"/>
  <c r="G11" i="19"/>
  <c r="I62"/>
  <c r="J289" i="13"/>
  <c r="J287"/>
  <c r="F287"/>
  <c r="F37" i="11"/>
  <c r="F35"/>
  <c r="F33"/>
  <c r="F31"/>
  <c r="F29"/>
  <c r="F27"/>
  <c r="F25"/>
  <c r="F23"/>
  <c r="F21"/>
  <c r="F19"/>
  <c r="F17"/>
  <c r="F15"/>
  <c r="F289" i="13"/>
  <c r="J285"/>
  <c r="F285"/>
  <c r="J283"/>
  <c r="F283"/>
  <c r="J281"/>
  <c r="F281"/>
  <c r="J279"/>
  <c r="F279"/>
  <c r="J277"/>
  <c r="F277"/>
  <c r="J275"/>
  <c r="F275"/>
  <c r="J273"/>
  <c r="F273"/>
  <c r="J271"/>
  <c r="F271"/>
  <c r="J269"/>
  <c r="F269"/>
  <c r="J267"/>
  <c r="F267"/>
  <c r="J265"/>
  <c r="F265"/>
  <c r="J263"/>
  <c r="F263"/>
  <c r="J261"/>
  <c r="F261"/>
  <c r="J259"/>
  <c r="F259"/>
  <c r="J257"/>
  <c r="F257"/>
  <c r="J255"/>
  <c r="F255"/>
  <c r="J253"/>
  <c r="F253"/>
  <c r="J251"/>
  <c r="F251"/>
  <c r="J249"/>
  <c r="F249"/>
  <c r="J247"/>
  <c r="F247"/>
  <c r="J245"/>
  <c r="F245"/>
  <c r="J243"/>
  <c r="F243"/>
  <c r="J241"/>
  <c r="F241"/>
  <c r="J239"/>
  <c r="F239"/>
  <c r="J237"/>
  <c r="F237"/>
  <c r="J235"/>
  <c r="F235"/>
  <c r="J233"/>
  <c r="F233"/>
  <c r="J231"/>
  <c r="F231"/>
  <c r="J229"/>
  <c r="F229"/>
  <c r="J227"/>
  <c r="F227"/>
  <c r="J225"/>
  <c r="F225"/>
  <c r="J223"/>
  <c r="F223"/>
  <c r="J221"/>
  <c r="F221"/>
  <c r="J219"/>
  <c r="F219"/>
  <c r="J217"/>
  <c r="F217"/>
  <c r="J215"/>
  <c r="F215"/>
  <c r="J213"/>
  <c r="F213"/>
  <c r="J211"/>
  <c r="F211"/>
  <c r="J209"/>
  <c r="F209"/>
  <c r="J207"/>
  <c r="F207"/>
  <c r="J205"/>
  <c r="F205"/>
  <c r="J203"/>
  <c r="F203"/>
  <c r="J201"/>
  <c r="F201"/>
  <c r="J199"/>
  <c r="F199"/>
  <c r="J197"/>
  <c r="F197"/>
  <c r="J195"/>
  <c r="F195"/>
  <c r="J193"/>
  <c r="F193"/>
  <c r="J191"/>
  <c r="F191"/>
  <c r="J189"/>
  <c r="F189"/>
  <c r="J187"/>
  <c r="F187"/>
  <c r="J185"/>
  <c r="F185"/>
  <c r="J183"/>
  <c r="F183"/>
  <c r="J181"/>
  <c r="F181"/>
  <c r="J179"/>
  <c r="F179"/>
  <c r="J177"/>
  <c r="F177"/>
  <c r="J175"/>
  <c r="F175"/>
  <c r="J173"/>
  <c r="F173"/>
  <c r="J171"/>
  <c r="F171"/>
  <c r="J169"/>
  <c r="F169"/>
  <c r="J167"/>
  <c r="F167"/>
  <c r="J165"/>
  <c r="F165"/>
  <c r="J163"/>
  <c r="F163"/>
  <c r="J161"/>
  <c r="F161"/>
  <c r="J159"/>
  <c r="F159"/>
  <c r="J157"/>
  <c r="F157"/>
  <c r="J155"/>
  <c r="F155"/>
  <c r="J153"/>
  <c r="F153"/>
  <c r="J151"/>
  <c r="F151"/>
  <c r="J149"/>
  <c r="F149"/>
  <c r="J147"/>
  <c r="F147"/>
  <c r="J145"/>
  <c r="F145"/>
  <c r="J143"/>
  <c r="F143"/>
  <c r="J141"/>
  <c r="F141"/>
  <c r="J139"/>
  <c r="F139"/>
  <c r="J137"/>
  <c r="F137"/>
  <c r="J135"/>
  <c r="F135"/>
  <c r="J133"/>
  <c r="F133"/>
  <c r="J131"/>
  <c r="F131"/>
  <c r="J129"/>
  <c r="F129"/>
  <c r="J127"/>
  <c r="F127"/>
  <c r="J125"/>
  <c r="F125"/>
  <c r="J123"/>
  <c r="F123"/>
  <c r="J121"/>
  <c r="F121"/>
  <c r="J119"/>
  <c r="F119"/>
  <c r="J117"/>
  <c r="F117"/>
  <c r="J115"/>
  <c r="F115"/>
  <c r="J113"/>
  <c r="F113"/>
  <c r="J111"/>
  <c r="F111"/>
  <c r="J109"/>
  <c r="F109"/>
  <c r="J107"/>
  <c r="F107"/>
  <c r="J105"/>
  <c r="F105"/>
  <c r="J103"/>
  <c r="F103"/>
  <c r="J101"/>
  <c r="F101"/>
  <c r="J99"/>
  <c r="F99"/>
  <c r="J97"/>
  <c r="F97"/>
  <c r="J95"/>
  <c r="F95"/>
  <c r="J93"/>
  <c r="F93"/>
  <c r="J91"/>
  <c r="F91"/>
  <c r="J89"/>
  <c r="F89"/>
  <c r="J87"/>
  <c r="F87"/>
  <c r="J85"/>
  <c r="F85"/>
  <c r="J83"/>
  <c r="F83"/>
  <c r="J81"/>
  <c r="F81"/>
  <c r="J79"/>
  <c r="F79"/>
  <c r="J77"/>
  <c r="F77"/>
  <c r="J75"/>
  <c r="F75"/>
  <c r="J73"/>
  <c r="F73"/>
  <c r="J71"/>
  <c r="F71"/>
  <c r="J69"/>
  <c r="F69"/>
  <c r="J67"/>
  <c r="F67"/>
  <c r="J65"/>
  <c r="F65"/>
  <c r="J63"/>
  <c r="F63"/>
  <c r="J61"/>
  <c r="F61"/>
  <c r="J59"/>
  <c r="F59"/>
  <c r="J57"/>
  <c r="F57"/>
  <c r="J55"/>
  <c r="F55"/>
  <c r="J53"/>
  <c r="F53"/>
  <c r="J51"/>
  <c r="F51"/>
  <c r="J49"/>
  <c r="F49"/>
  <c r="J47"/>
  <c r="F47"/>
  <c r="J45"/>
  <c r="F45"/>
  <c r="J43"/>
  <c r="F43"/>
  <c r="J41"/>
  <c r="F41"/>
  <c r="J39"/>
  <c r="F39"/>
  <c r="J37"/>
  <c r="F37"/>
  <c r="J35"/>
  <c r="F35"/>
  <c r="J33"/>
  <c r="F33"/>
  <c r="J31"/>
  <c r="F31"/>
  <c r="J29"/>
  <c r="F29"/>
  <c r="J27"/>
  <c r="F27"/>
  <c r="J25"/>
  <c r="F25"/>
  <c r="J23"/>
  <c r="F23"/>
  <c r="J21"/>
  <c r="F21"/>
  <c r="J19"/>
  <c r="F19"/>
  <c r="J17"/>
  <c r="F17"/>
  <c r="J15"/>
  <c r="F15"/>
  <c r="J13"/>
  <c r="F13"/>
  <c r="J11"/>
  <c r="F11"/>
  <c r="G41" i="3"/>
  <c r="G40"/>
  <c r="G39"/>
  <c r="G38"/>
  <c r="G37"/>
  <c r="G36"/>
  <c r="G35"/>
  <c r="G34"/>
  <c r="G33"/>
  <c r="G32"/>
  <c r="F322" i="13" l="1"/>
  <c r="J322"/>
  <c r="G89"/>
  <c r="G29"/>
  <c r="G99"/>
  <c r="G187"/>
  <c r="G155"/>
  <c r="G179"/>
  <c r="G191"/>
  <c r="G265"/>
  <c r="G279"/>
  <c r="G37"/>
  <c r="G59"/>
  <c r="G67"/>
  <c r="G107"/>
  <c r="G143"/>
  <c r="G221"/>
  <c r="G235"/>
  <c r="G253"/>
  <c r="G257"/>
  <c r="G267"/>
  <c r="G269"/>
  <c r="G275"/>
  <c r="G13"/>
  <c r="G17"/>
  <c r="G71"/>
  <c r="G73"/>
  <c r="G111"/>
  <c r="G127"/>
  <c r="G135"/>
  <c r="G149"/>
  <c r="G151"/>
  <c r="G153"/>
  <c r="G195"/>
  <c r="G203"/>
  <c r="G209"/>
  <c r="G243"/>
  <c r="G245"/>
  <c r="G271"/>
  <c r="G277"/>
  <c r="G219"/>
  <c r="G251"/>
  <c r="G247"/>
  <c r="G241"/>
  <c r="G237"/>
  <c r="G205"/>
  <c r="G207"/>
  <c r="G193"/>
  <c r="G189"/>
  <c r="G177"/>
  <c r="G175"/>
  <c r="G173"/>
  <c r="G171"/>
  <c r="G169"/>
  <c r="G167"/>
  <c r="G165"/>
  <c r="G163"/>
  <c r="G145"/>
  <c r="G133"/>
  <c r="G131"/>
  <c r="G129"/>
  <c r="G109"/>
  <c r="G105"/>
  <c r="G101"/>
  <c r="G87"/>
  <c r="G85"/>
  <c r="G83"/>
  <c r="G75"/>
  <c r="G69"/>
  <c r="G57"/>
  <c r="G53"/>
  <c r="G51"/>
  <c r="G49"/>
  <c r="G35"/>
  <c r="G33"/>
  <c r="G255"/>
  <c r="G15"/>
  <c r="G19"/>
  <c r="G25"/>
  <c r="G27"/>
  <c r="G39"/>
  <c r="G45"/>
  <c r="G47"/>
  <c r="G61"/>
  <c r="G63"/>
  <c r="G65"/>
  <c r="G77"/>
  <c r="G79"/>
  <c r="G81"/>
  <c r="G93"/>
  <c r="G95"/>
  <c r="G97"/>
  <c r="G113"/>
  <c r="G115"/>
  <c r="G117"/>
  <c r="G119"/>
  <c r="G121"/>
  <c r="G123"/>
  <c r="G125"/>
  <c r="G137"/>
  <c r="G139"/>
  <c r="G141"/>
  <c r="G157"/>
  <c r="G159"/>
  <c r="G161"/>
  <c r="G181"/>
  <c r="G183"/>
  <c r="G185"/>
  <c r="G197"/>
  <c r="G199"/>
  <c r="G201"/>
  <c r="G211"/>
  <c r="G213"/>
  <c r="G223"/>
  <c r="G225"/>
  <c r="G227"/>
  <c r="G229"/>
  <c r="G231"/>
  <c r="G259"/>
  <c r="G261"/>
  <c r="G263"/>
  <c r="G273"/>
  <c r="G281"/>
  <c r="G283"/>
  <c r="G285"/>
  <c r="G55"/>
  <c r="G21"/>
  <c r="G41"/>
  <c r="G103"/>
  <c r="G147"/>
  <c r="G239"/>
  <c r="G287"/>
  <c r="G289"/>
  <c r="G217"/>
  <c r="G23"/>
  <c r="G31"/>
  <c r="G233"/>
  <c r="G43"/>
  <c r="G249"/>
  <c r="G215"/>
  <c r="G11"/>
  <c r="J24" i="9"/>
  <c r="F24"/>
  <c r="E24"/>
  <c r="E40" s="1"/>
  <c r="E45" s="1"/>
  <c r="D24"/>
  <c r="G54" i="12"/>
  <c r="G51"/>
  <c r="G50"/>
  <c r="G49"/>
  <c r="G48"/>
  <c r="G47"/>
  <c r="G46"/>
  <c r="G45"/>
  <c r="G44"/>
  <c r="G43"/>
  <c r="G42"/>
  <c r="G41"/>
  <c r="G40"/>
  <c r="G39"/>
  <c r="G38"/>
  <c r="G37"/>
  <c r="G36"/>
  <c r="G35"/>
  <c r="G34"/>
  <c r="G33"/>
  <c r="G31"/>
  <c r="G30"/>
  <c r="G29"/>
  <c r="G28"/>
  <c r="G27"/>
  <c r="G26"/>
  <c r="G25"/>
  <c r="G24"/>
  <c r="G23"/>
  <c r="G22"/>
  <c r="G21"/>
  <c r="G20"/>
  <c r="G19"/>
  <c r="G18"/>
  <c r="G17"/>
  <c r="G16"/>
  <c r="G14"/>
  <c r="G13"/>
  <c r="G12"/>
  <c r="G11"/>
  <c r="G10"/>
  <c r="G9"/>
  <c r="G30" i="9"/>
  <c r="G29"/>
  <c r="G28"/>
  <c r="G27"/>
  <c r="G26"/>
  <c r="G22"/>
  <c r="G21"/>
  <c r="G20"/>
  <c r="G18"/>
  <c r="G17"/>
  <c r="G15"/>
  <c r="G14"/>
  <c r="G13"/>
  <c r="K30"/>
  <c r="G322" i="13" l="1"/>
  <c r="G38" i="9"/>
  <c r="G55" i="12"/>
  <c r="H30" i="9"/>
  <c r="G24"/>
  <c r="J41" i="10"/>
  <c r="H41"/>
  <c r="E41"/>
  <c r="D41"/>
  <c r="C41"/>
  <c r="K40"/>
  <c r="F40"/>
  <c r="K38"/>
  <c r="F38"/>
  <c r="K36"/>
  <c r="F36"/>
  <c r="K34"/>
  <c r="F34"/>
  <c r="K29"/>
  <c r="F29"/>
  <c r="K27"/>
  <c r="F27"/>
  <c r="K25"/>
  <c r="F25"/>
  <c r="K23"/>
  <c r="G23" s="1"/>
  <c r="K21"/>
  <c r="F21"/>
  <c r="J20"/>
  <c r="I20"/>
  <c r="H20"/>
  <c r="D20"/>
  <c r="C20"/>
  <c r="K18"/>
  <c r="F18"/>
  <c r="K16"/>
  <c r="F16"/>
  <c r="K14"/>
  <c r="F14"/>
  <c r="K12"/>
  <c r="F12"/>
  <c r="K10"/>
  <c r="F10"/>
  <c r="K8"/>
  <c r="F8"/>
  <c r="J38" i="11"/>
  <c r="I38"/>
  <c r="H38"/>
  <c r="E38"/>
  <c r="D38"/>
  <c r="C38"/>
  <c r="K37"/>
  <c r="K35"/>
  <c r="K33"/>
  <c r="K31"/>
  <c r="K29"/>
  <c r="K27"/>
  <c r="K25"/>
  <c r="K23"/>
  <c r="K21"/>
  <c r="K19"/>
  <c r="K17"/>
  <c r="K15"/>
  <c r="F38"/>
  <c r="J12"/>
  <c r="H12"/>
  <c r="E12"/>
  <c r="D12"/>
  <c r="C12"/>
  <c r="F10"/>
  <c r="K8"/>
  <c r="F8"/>
  <c r="F12" s="1"/>
  <c r="K54" i="12"/>
  <c r="H54" s="1"/>
  <c r="K27" i="3"/>
  <c r="G27"/>
  <c r="C40"/>
  <c r="C39"/>
  <c r="C38"/>
  <c r="C37"/>
  <c r="C36"/>
  <c r="C35"/>
  <c r="C34"/>
  <c r="C33"/>
  <c r="C32"/>
  <c r="C26"/>
  <c r="C23"/>
  <c r="C22"/>
  <c r="C21"/>
  <c r="C20"/>
  <c r="C19"/>
  <c r="C18"/>
  <c r="C17"/>
  <c r="C16"/>
  <c r="C15"/>
  <c r="C14"/>
  <c r="C13"/>
  <c r="C12"/>
  <c r="C11"/>
  <c r="C10"/>
  <c r="K51" i="12"/>
  <c r="H51" s="1"/>
  <c r="K50"/>
  <c r="H50" s="1"/>
  <c r="K49"/>
  <c r="H49" s="1"/>
  <c r="K48"/>
  <c r="H48" s="1"/>
  <c r="K47"/>
  <c r="H47" s="1"/>
  <c r="K46"/>
  <c r="H46" s="1"/>
  <c r="K45"/>
  <c r="H45" s="1"/>
  <c r="K44"/>
  <c r="H44" s="1"/>
  <c r="K43"/>
  <c r="H43" s="1"/>
  <c r="K42"/>
  <c r="H42" s="1"/>
  <c r="K41"/>
  <c r="H41" s="1"/>
  <c r="K40"/>
  <c r="H40" s="1"/>
  <c r="K39"/>
  <c r="H39" s="1"/>
  <c r="K38"/>
  <c r="H38" s="1"/>
  <c r="K37"/>
  <c r="H37" s="1"/>
  <c r="K36"/>
  <c r="H36" s="1"/>
  <c r="K35"/>
  <c r="H35" s="1"/>
  <c r="K34"/>
  <c r="H34" s="1"/>
  <c r="K33"/>
  <c r="H33" s="1"/>
  <c r="K32"/>
  <c r="H32" s="1"/>
  <c r="K31"/>
  <c r="H31" s="1"/>
  <c r="K30"/>
  <c r="H30" s="1"/>
  <c r="K29"/>
  <c r="H29" s="1"/>
  <c r="K28"/>
  <c r="H28" s="1"/>
  <c r="K27"/>
  <c r="H27" s="1"/>
  <c r="K26"/>
  <c r="H26" s="1"/>
  <c r="K25"/>
  <c r="H25" s="1"/>
  <c r="K24"/>
  <c r="H24" s="1"/>
  <c r="K23"/>
  <c r="H23" s="1"/>
  <c r="K22"/>
  <c r="H22" s="1"/>
  <c r="K21"/>
  <c r="H21" s="1"/>
  <c r="K20"/>
  <c r="H20" s="1"/>
  <c r="K19"/>
  <c r="H19" s="1"/>
  <c r="K18"/>
  <c r="H18" s="1"/>
  <c r="K17"/>
  <c r="H17" s="1"/>
  <c r="K16"/>
  <c r="H16" s="1"/>
  <c r="K14"/>
  <c r="H14" s="1"/>
  <c r="K13"/>
  <c r="H13" s="1"/>
  <c r="K12"/>
  <c r="H12" s="1"/>
  <c r="K11"/>
  <c r="H11" s="1"/>
  <c r="K10"/>
  <c r="H10" s="1"/>
  <c r="J40" i="9"/>
  <c r="K28"/>
  <c r="H28" s="1"/>
  <c r="K27"/>
  <c r="H27" s="1"/>
  <c r="D55" i="12"/>
  <c r="J42" i="3"/>
  <c r="I42"/>
  <c r="F42"/>
  <c r="E42"/>
  <c r="D42"/>
  <c r="K41"/>
  <c r="H41" s="1"/>
  <c r="K26"/>
  <c r="G26"/>
  <c r="K25"/>
  <c r="G25"/>
  <c r="J53" i="2"/>
  <c r="F53"/>
  <c r="J51"/>
  <c r="F51"/>
  <c r="F9"/>
  <c r="J9"/>
  <c r="F11"/>
  <c r="J11"/>
  <c r="F13"/>
  <c r="J13"/>
  <c r="F15"/>
  <c r="J15"/>
  <c r="F17"/>
  <c r="J17"/>
  <c r="F19"/>
  <c r="J19"/>
  <c r="F21"/>
  <c r="J21"/>
  <c r="G21" s="1"/>
  <c r="F23"/>
  <c r="J23"/>
  <c r="F25"/>
  <c r="J25"/>
  <c r="F27"/>
  <c r="J27"/>
  <c r="F29"/>
  <c r="J29"/>
  <c r="F31"/>
  <c r="J31"/>
  <c r="F33"/>
  <c r="J33"/>
  <c r="F35"/>
  <c r="J35"/>
  <c r="F37"/>
  <c r="J37"/>
  <c r="F39"/>
  <c r="J39"/>
  <c r="F41"/>
  <c r="J41"/>
  <c r="G42"/>
  <c r="F43"/>
  <c r="J43"/>
  <c r="F45"/>
  <c r="J45"/>
  <c r="F47"/>
  <c r="J47"/>
  <c r="F49"/>
  <c r="J49"/>
  <c r="E57"/>
  <c r="H57"/>
  <c r="I57"/>
  <c r="G10" i="3"/>
  <c r="K10"/>
  <c r="G11"/>
  <c r="K11"/>
  <c r="G12"/>
  <c r="K12"/>
  <c r="G13"/>
  <c r="K13"/>
  <c r="G14"/>
  <c r="K14"/>
  <c r="G15"/>
  <c r="K15"/>
  <c r="G16"/>
  <c r="K16"/>
  <c r="G17"/>
  <c r="K17"/>
  <c r="G18"/>
  <c r="K18"/>
  <c r="G19"/>
  <c r="K19"/>
  <c r="G20"/>
  <c r="K20"/>
  <c r="G21"/>
  <c r="K21"/>
  <c r="G22"/>
  <c r="K22"/>
  <c r="G23"/>
  <c r="K23"/>
  <c r="K32"/>
  <c r="H32" s="1"/>
  <c r="K33"/>
  <c r="H33" s="1"/>
  <c r="K34"/>
  <c r="H34" s="1"/>
  <c r="K35"/>
  <c r="H35" s="1"/>
  <c r="K36"/>
  <c r="H36" s="1"/>
  <c r="K37"/>
  <c r="H37" s="1"/>
  <c r="K38"/>
  <c r="H38" s="1"/>
  <c r="K39"/>
  <c r="H39" s="1"/>
  <c r="K40"/>
  <c r="H40" s="1"/>
  <c r="D48"/>
  <c r="E48"/>
  <c r="F48"/>
  <c r="G48"/>
  <c r="H48"/>
  <c r="I48"/>
  <c r="J48"/>
  <c r="K48"/>
  <c r="K29" i="9"/>
  <c r="H29" s="1"/>
  <c r="D40"/>
  <c r="F32" i="10" l="1"/>
  <c r="G21"/>
  <c r="G11" i="2"/>
  <c r="H11" i="3"/>
  <c r="G41" i="2"/>
  <c r="G39"/>
  <c r="K30" i="3"/>
  <c r="G30"/>
  <c r="G17" i="2"/>
  <c r="G53"/>
  <c r="G8" i="10"/>
  <c r="G16"/>
  <c r="K32"/>
  <c r="H13" i="3"/>
  <c r="H12"/>
  <c r="F57" i="2"/>
  <c r="G35"/>
  <c r="G45"/>
  <c r="G47"/>
  <c r="G37"/>
  <c r="G33"/>
  <c r="G40" i="10"/>
  <c r="H25" i="3"/>
  <c r="H27"/>
  <c r="G49" i="2"/>
  <c r="G31"/>
  <c r="G29"/>
  <c r="G25"/>
  <c r="G23"/>
  <c r="G19"/>
  <c r="G13"/>
  <c r="K42" i="3"/>
  <c r="G18" i="10"/>
  <c r="G27"/>
  <c r="G15" i="2"/>
  <c r="K38" i="11"/>
  <c r="G9" i="2"/>
  <c r="G25" i="10"/>
  <c r="G10"/>
  <c r="G14"/>
  <c r="E46"/>
  <c r="G51" i="2"/>
  <c r="G17" i="11"/>
  <c r="G19"/>
  <c r="G21"/>
  <c r="G23"/>
  <c r="G25"/>
  <c r="G27"/>
  <c r="G29"/>
  <c r="G31"/>
  <c r="G33"/>
  <c r="G35"/>
  <c r="G37"/>
  <c r="G34" i="10"/>
  <c r="G36"/>
  <c r="G38"/>
  <c r="K41"/>
  <c r="G29"/>
  <c r="K20"/>
  <c r="G12"/>
  <c r="I47"/>
  <c r="F41"/>
  <c r="H14" i="3"/>
  <c r="H26"/>
  <c r="G42"/>
  <c r="F20" i="10"/>
  <c r="G8" i="11"/>
  <c r="G15"/>
  <c r="F40" i="9"/>
  <c r="H23" i="3"/>
  <c r="H22"/>
  <c r="H21"/>
  <c r="H20"/>
  <c r="H19"/>
  <c r="H18"/>
  <c r="H17"/>
  <c r="H16"/>
  <c r="H15"/>
  <c r="H10"/>
  <c r="G43" i="2"/>
  <c r="J57"/>
  <c r="H42" i="3"/>
  <c r="H30" l="1"/>
  <c r="G32" i="10"/>
  <c r="G38" i="11"/>
  <c r="G57" i="2"/>
  <c r="G41" i="10"/>
  <c r="G20"/>
  <c r="G40" i="9"/>
  <c r="K26"/>
  <c r="K38" s="1"/>
  <c r="H26" l="1"/>
  <c r="H38" s="1"/>
  <c r="K9" i="12"/>
  <c r="K55" s="1"/>
  <c r="H9" l="1"/>
  <c r="H55" s="1"/>
  <c r="I24" i="9"/>
  <c r="I40" s="1"/>
  <c r="K14"/>
  <c r="H14" s="1"/>
  <c r="K12"/>
  <c r="H12" s="1"/>
  <c r="K15"/>
  <c r="H15" s="1"/>
  <c r="K19"/>
  <c r="H19" s="1"/>
  <c r="K13"/>
  <c r="H13" s="1"/>
  <c r="K22"/>
  <c r="H22" s="1"/>
  <c r="K17"/>
  <c r="H17" s="1"/>
  <c r="K16"/>
  <c r="H16" s="1"/>
  <c r="K20"/>
  <c r="H20" s="1"/>
  <c r="K21"/>
  <c r="H21" s="1"/>
  <c r="K18"/>
  <c r="H18" s="1"/>
  <c r="H24" l="1"/>
  <c r="H40" s="1"/>
  <c r="K24"/>
  <c r="K40" s="1"/>
  <c r="K10" i="11"/>
  <c r="I12"/>
  <c r="K12" l="1"/>
  <c r="G12"/>
  <c r="H51" i="19"/>
  <c r="E69" s="1"/>
  <c r="J17"/>
  <c r="G17" s="1"/>
  <c r="J35"/>
  <c r="G35" s="1"/>
  <c r="J43"/>
  <c r="G43" s="1"/>
  <c r="J45"/>
  <c r="G45" s="1"/>
  <c r="J37"/>
  <c r="G37" s="1"/>
  <c r="J19"/>
  <c r="J27"/>
  <c r="G27" s="1"/>
  <c r="J47"/>
  <c r="G47" s="1"/>
  <c r="J33"/>
  <c r="G33" s="1"/>
  <c r="J25"/>
  <c r="G25" s="1"/>
  <c r="J23"/>
  <c r="G23" s="1"/>
  <c r="J31"/>
  <c r="G31" s="1"/>
  <c r="J41"/>
  <c r="G41" s="1"/>
  <c r="J39"/>
  <c r="G39" s="1"/>
  <c r="J21"/>
  <c r="G21" s="1"/>
  <c r="J29"/>
  <c r="G29" s="1"/>
  <c r="J49"/>
  <c r="G49" s="1"/>
  <c r="J51" l="1"/>
  <c r="G19"/>
  <c r="G51" s="1"/>
</calcChain>
</file>

<file path=xl/comments1.xml><?xml version="1.0" encoding="utf-8"?>
<comments xmlns="http://schemas.openxmlformats.org/spreadsheetml/2006/main">
  <authors>
    <author>Laxmi Kant</author>
  </authors>
  <commentList>
    <comment ref="E91" authorId="0">
      <text>
        <r>
          <rPr>
            <b/>
            <sz val="9"/>
            <color indexed="81"/>
            <rFont val="Tahoma"/>
            <family val="2"/>
          </rPr>
          <t>Laxmi Kant:</t>
        </r>
        <r>
          <rPr>
            <sz val="9"/>
            <color indexed="81"/>
            <rFont val="Tahoma"/>
            <family val="2"/>
          </rPr>
          <t xml:space="preserve">
1017 kg issue against debit note no. 228</t>
        </r>
      </text>
    </comment>
    <comment ref="E94" authorId="0">
      <text>
        <r>
          <rPr>
            <b/>
            <sz val="9"/>
            <color indexed="81"/>
            <rFont val="Tahoma"/>
            <family val="2"/>
          </rPr>
          <t>Laxmi Kant:</t>
        </r>
        <r>
          <rPr>
            <sz val="9"/>
            <color indexed="81"/>
            <rFont val="Tahoma"/>
            <family val="2"/>
          </rPr>
          <t xml:space="preserve">
.245x806x562 TATA SHEET MIX MATERIAL TRANSFER TO .200X806X562 TATA 1320 SHEET 1148 KGS ON INSTRACTION BY SH. D.GOYAL JI</t>
        </r>
      </text>
    </comment>
  </commentList>
</comments>
</file>

<file path=xl/comments2.xml><?xml version="1.0" encoding="utf-8"?>
<comments xmlns="http://schemas.openxmlformats.org/spreadsheetml/2006/main">
  <authors>
    <author>bhairo</author>
  </authors>
  <commentList>
    <comment ref="C10" authorId="0">
      <text>
        <r>
          <rPr>
            <b/>
            <sz val="8"/>
            <color indexed="81"/>
            <rFont val="Tahoma"/>
            <family val="2"/>
          </rPr>
          <t>bhairo: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Engaje in Qc Lab</t>
        </r>
      </text>
    </comment>
    <comment ref="I10" authorId="0">
      <text>
        <r>
          <rPr>
            <b/>
            <sz val="8"/>
            <color indexed="81"/>
            <rFont val="Tahoma"/>
            <family val="2"/>
          </rPr>
          <t>bhairo:</t>
        </r>
        <r>
          <rPr>
            <sz val="8"/>
            <color indexed="81"/>
            <rFont val="Tahoma"/>
            <family val="2"/>
          </rPr>
          <t xml:space="preserve">
</t>
        </r>
        <r>
          <rPr>
            <sz val="14"/>
            <color indexed="81"/>
            <rFont val="Tahoma"/>
            <family val="2"/>
          </rPr>
          <t>Engaje in Qc Lab</t>
        </r>
      </text>
    </comment>
  </commentList>
</comments>
</file>

<file path=xl/sharedStrings.xml><?xml version="1.0" encoding="utf-8"?>
<sst xmlns="http://schemas.openxmlformats.org/spreadsheetml/2006/main" count="1425" uniqueCount="808">
  <si>
    <t>AMD Industries Limited, Neemrana</t>
  </si>
  <si>
    <t>S. No.</t>
  </si>
  <si>
    <t xml:space="preserve">Description </t>
  </si>
  <si>
    <t>Previous Balance</t>
  </si>
  <si>
    <t>Purchase</t>
  </si>
  <si>
    <t>Total</t>
  </si>
  <si>
    <t>Cons.</t>
  </si>
  <si>
    <t>Closing Balance</t>
  </si>
  <si>
    <t>Store</t>
  </si>
  <si>
    <t>Prod.</t>
  </si>
  <si>
    <t>(In Kgs)</t>
  </si>
  <si>
    <t>PVC Compound</t>
  </si>
  <si>
    <t>SRIRAM</t>
  </si>
  <si>
    <t>PVC Free EPW 201 Grey</t>
  </si>
  <si>
    <t>PVC Comp.DB - 506</t>
  </si>
  <si>
    <t>PVC COMP. P 5518</t>
  </si>
  <si>
    <t>PVC Free comp. EPW 201 FE</t>
  </si>
  <si>
    <t>PVC SRI SOL EPW 201 HF</t>
  </si>
  <si>
    <t>C</t>
  </si>
  <si>
    <t>TECHNO</t>
  </si>
  <si>
    <t>Pvc Free Techno TPE 85 CCDO</t>
  </si>
  <si>
    <t>PVC Compound Tech.TPE70CCDO</t>
  </si>
  <si>
    <t>PVC Compound Tech.TPE85 HT</t>
  </si>
  <si>
    <t>TOTAL( A+B )</t>
  </si>
  <si>
    <t>DS CHEMIE</t>
  </si>
  <si>
    <t>PVC Free DS - 855 White</t>
  </si>
  <si>
    <t>PVC COMPOUND DS - 353</t>
  </si>
  <si>
    <t>PVC COMPOUND DS - 352</t>
  </si>
  <si>
    <t>PVC COMPOUND MIXED</t>
  </si>
  <si>
    <t>TOTAL( C )</t>
  </si>
  <si>
    <t>TOTAL ( A+B+C )</t>
  </si>
  <si>
    <t>AMD INDUSTRIES LTD-NEEMRANA</t>
  </si>
  <si>
    <t>S.N.</t>
  </si>
  <si>
    <t>DESCRIPTION</t>
  </si>
  <si>
    <t>PREV. BALANCE</t>
  </si>
  <si>
    <t>PURCH.</t>
  </si>
  <si>
    <t>TOTAL</t>
  </si>
  <si>
    <t>CONSUMP</t>
  </si>
  <si>
    <t>ST. TFR</t>
  </si>
  <si>
    <t xml:space="preserve">              BALANCE</t>
  </si>
  <si>
    <t>STORE</t>
  </si>
  <si>
    <t>PROD.</t>
  </si>
  <si>
    <t>PET &amp;CLOSURE</t>
  </si>
  <si>
    <t>PACKING MATERIAL</t>
  </si>
  <si>
    <t>9 PLY C/BOXES</t>
  </si>
  <si>
    <t>9 PLY C/BOXES -(ODD PACK)</t>
  </si>
  <si>
    <t>BABBLE GUARD CROWN BOX</t>
  </si>
  <si>
    <t>9 PLY C/BOXES ( BIG SIZE )</t>
  </si>
  <si>
    <t>C / BOX PLASTIC</t>
  </si>
  <si>
    <t>POLYTHENE BIG(36*28*180)</t>
  </si>
  <si>
    <t>SHRINK WRAP BIG (27*36*180)</t>
  </si>
  <si>
    <t xml:space="preserve"> TOTAL</t>
  </si>
  <si>
    <t>PVC STRIP (PLAIN)</t>
  </si>
  <si>
    <t xml:space="preserve">POWER &amp; FUEL </t>
  </si>
  <si>
    <t>PROPANE</t>
  </si>
  <si>
    <t>HSD</t>
  </si>
  <si>
    <t xml:space="preserve"> OIL&amp; LUBRICANT.</t>
  </si>
  <si>
    <t>MOBIL OIL PRIDE-40</t>
  </si>
  <si>
    <t>MTO</t>
  </si>
  <si>
    <t>VALVOLINE -15W/40</t>
  </si>
  <si>
    <t>GREASE -KLUBER</t>
  </si>
  <si>
    <t>HYDROLIC OIL -SYSTEM -68</t>
  </si>
  <si>
    <t>GREASE AP-3</t>
  </si>
  <si>
    <t>GEAR OIL 2N 320</t>
  </si>
  <si>
    <t>GEAR OIL HP-90</t>
  </si>
  <si>
    <t xml:space="preserve">PARAFIN  OIL </t>
  </si>
  <si>
    <t xml:space="preserve"> ENGINE OIL SAE-30</t>
  </si>
  <si>
    <t>CONSUMABLE</t>
  </si>
  <si>
    <t>BUTYLE SOLUTION</t>
  </si>
  <si>
    <t>COOLENT</t>
  </si>
  <si>
    <t>MOLY -KOT</t>
  </si>
  <si>
    <t>COTTON CLOTH CUTPCS</t>
  </si>
  <si>
    <t>GUM ARABIUM</t>
  </si>
  <si>
    <t>RUBBER BLANKETS 4 PLY</t>
  </si>
  <si>
    <t>DOMPING HOSE 2.40MM</t>
  </si>
  <si>
    <t>PS PLATE 1016X1016 TECH.</t>
  </si>
  <si>
    <t>ULTRAFOUND</t>
  </si>
  <si>
    <t>GP CLEANER</t>
  </si>
  <si>
    <t>SPONS</t>
  </si>
  <si>
    <t>DELLITE</t>
  </si>
  <si>
    <t>SWELL</t>
  </si>
  <si>
    <t>TOTAL RESPECT</t>
  </si>
  <si>
    <t>ISO PROPYLE ALCOHAL</t>
  </si>
  <si>
    <t>ATHLIN GLYCOL</t>
  </si>
  <si>
    <t>NECTOR NOVA FOUNT</t>
  </si>
  <si>
    <t>LPG 19 KG CYLINDER</t>
  </si>
  <si>
    <t>( In Kg/Lit.)</t>
  </si>
  <si>
    <t>PRINTING MATERIALS</t>
  </si>
  <si>
    <t>I</t>
  </si>
  <si>
    <t>LACQUER</t>
  </si>
  <si>
    <t>ALUMINISED ORGANSOL GS-4003</t>
  </si>
  <si>
    <t>COATING SRISOL RU -2423-04</t>
  </si>
  <si>
    <t>LACQUER  - 2475</t>
  </si>
  <si>
    <t>LACQUER WATSON-32-893</t>
  </si>
  <si>
    <t>LACQUERS AL-1700.04</t>
  </si>
  <si>
    <t>LACQUERS AL- 1103.09</t>
  </si>
  <si>
    <t>LACQUER HMD 0362</t>
  </si>
  <si>
    <t>NON PVC LACQUER GS-1180</t>
  </si>
  <si>
    <t>DAREX 1474-25 POLYSTER WHITE</t>
  </si>
  <si>
    <t>LACQUERS AL-1724.03</t>
  </si>
  <si>
    <t>RC COATING BRD - 8521</t>
  </si>
  <si>
    <t>LACQUER HMD 0153</t>
  </si>
  <si>
    <t>RC PlLAIN COATING EM - 2476</t>
  </si>
  <si>
    <t>RC PROMOTIONAL LAC.0364</t>
  </si>
  <si>
    <t>RC TRANS COATING BRD - 004/97</t>
  </si>
  <si>
    <t>LACQUER SRISOL RU 201 EPM-03</t>
  </si>
  <si>
    <t>POLYSTER WHITE COATING GS-1147</t>
  </si>
  <si>
    <t>PVC FREE ADHE. LACQ.PPG-3138-311</t>
  </si>
  <si>
    <t>WHITE COATING BRD-8618</t>
  </si>
  <si>
    <t>R.C.POLYSTER WHITE  HMD 0636/25D18</t>
  </si>
  <si>
    <t>LACQUER HMD-0378</t>
  </si>
  <si>
    <t>PVC FREE LACQ.SALCHI VI-1049</t>
  </si>
  <si>
    <t>PVC LACQ. SALCHI VI-1050</t>
  </si>
  <si>
    <t>PVC FREE LACQ. VI-1051</t>
  </si>
  <si>
    <t>PVC LACQUER HLKU - 60</t>
  </si>
  <si>
    <t>WHITE COATING ST.-3002</t>
  </si>
  <si>
    <t>TOTAL ( I )</t>
  </si>
  <si>
    <t>II</t>
  </si>
  <si>
    <t>VARNISH</t>
  </si>
  <si>
    <t>RC VARNISH ACRLIC BRD-8730</t>
  </si>
  <si>
    <t>VARNISH WATSON - 40713</t>
  </si>
  <si>
    <t>GOLD VARNISH 1655+GOLD</t>
  </si>
  <si>
    <t>VARNISH OV-1655-02</t>
  </si>
  <si>
    <t>VARNISH -OV -1655.06 Grace.</t>
  </si>
  <si>
    <t>OVER PRINT VARNISH PPG-2666-801</t>
  </si>
  <si>
    <t>POLYSTER VARNISH GS-814</t>
  </si>
  <si>
    <t>RC POLY COATING  BRD - 8136</t>
  </si>
  <si>
    <t>VARNISH POLYSTER  GS-812</t>
  </si>
  <si>
    <t>VARNISH POLYSTER ANC-6001</t>
  </si>
  <si>
    <t>VARNISH OVER CROWNS VE-2031</t>
  </si>
  <si>
    <t>VARNISH PPG 3986-601</t>
  </si>
  <si>
    <t>VARNISH PPG-3138-605</t>
  </si>
  <si>
    <t>SILVER SIZE</t>
  </si>
  <si>
    <t>CLEAR COATING PAINT 40-993</t>
  </si>
  <si>
    <t>PVC FREE COATING- 50-564</t>
  </si>
  <si>
    <t>SILVER PRIMER 1254-18</t>
  </si>
  <si>
    <t>SILVER SIZE ANC-6037</t>
  </si>
  <si>
    <t>SILVER EM 2473</t>
  </si>
  <si>
    <t>WHITE COATING GS- 1086</t>
  </si>
  <si>
    <t>GRACE DAREX SE 1169-18</t>
  </si>
  <si>
    <t>SILVER SIZE SRISOL RU-1310-02</t>
  </si>
  <si>
    <t>WHITE COATING PPG-2867-020</t>
  </si>
  <si>
    <t>WHITE COATING PPG -3552-010</t>
  </si>
  <si>
    <t>AMD Industries Ltd - Neemrana</t>
  </si>
  <si>
    <t>INKS</t>
  </si>
  <si>
    <t>THINNER RMD 0017/25D11</t>
  </si>
  <si>
    <t>CC WHITE -YM 50305</t>
  </si>
  <si>
    <t>INK MICRO BLUE HTP-2187/1E4</t>
  </si>
  <si>
    <t>BLACK 51325</t>
  </si>
  <si>
    <t>INK BLACK EIT 9-0095</t>
  </si>
  <si>
    <t>UNITED BLACK TP 1184</t>
  </si>
  <si>
    <t>F/C BLUE - 1799</t>
  </si>
  <si>
    <t>BLUE 4678217</t>
  </si>
  <si>
    <t>MICRO BLUE HTP-2161/1E4</t>
  </si>
  <si>
    <t>CC RED YM 50369</t>
  </si>
  <si>
    <t>CC RED YM 4674</t>
  </si>
  <si>
    <t>CC RED YM 3954</t>
  </si>
  <si>
    <t>RESSO COCACOLA 4676143</t>
  </si>
  <si>
    <t>CRIMSONRED- CM2619</t>
  </si>
  <si>
    <t>BLUE -2417</t>
  </si>
  <si>
    <t>FANTA ORRANGE -4084</t>
  </si>
  <si>
    <t>GOLDEN YELLOW -2616</t>
  </si>
  <si>
    <t>DARK GREEN YM- 4086</t>
  </si>
  <si>
    <t>GREEN-4677218</t>
  </si>
  <si>
    <t>LEMON YELLOW -CM2615</t>
  </si>
  <si>
    <t>INK MICRO GREEN HTP-2562/1E4</t>
  </si>
  <si>
    <t>LIMCA GREEN YM-3991</t>
  </si>
  <si>
    <t>MAZZA YELLOW YM-52366</t>
  </si>
  <si>
    <t>MID GOLD- 2623</t>
  </si>
  <si>
    <t>PROCESS MAGENTA -1798</t>
  </si>
  <si>
    <t>PEPSI UTC BLACK- 1425</t>
  </si>
  <si>
    <t>MILKY WHITE- 2011</t>
  </si>
  <si>
    <t>MIXING WHITE-2611</t>
  </si>
  <si>
    <t>MM BLUE- 1554</t>
  </si>
  <si>
    <t>MICRO ORANGE HTP-2265/1E4</t>
  </si>
  <si>
    <t>PALE GOLD - 2624</t>
  </si>
  <si>
    <t>BLUE EM- 2370</t>
  </si>
  <si>
    <t>PEPSI BLUE YM -3677</t>
  </si>
  <si>
    <t>RESSO PEPSI -4675226</t>
  </si>
  <si>
    <t>BLUE -4678163</t>
  </si>
  <si>
    <t>PEPSI GREEN-YM 3378</t>
  </si>
  <si>
    <t>PEPSI RED- YM 3676</t>
  </si>
  <si>
    <t>BLUE- 52852</t>
  </si>
  <si>
    <t>RED DYE</t>
  </si>
  <si>
    <t>REDUCER - 2290</t>
  </si>
  <si>
    <t>REFLEX BLUE YM-4087</t>
  </si>
  <si>
    <t>ROYAL BLUE- 3062 COATS</t>
  </si>
  <si>
    <t>RS COLGATE WHITE YM51544</t>
  </si>
  <si>
    <t>TP SPRITE GREEN- 2539/1E4</t>
  </si>
  <si>
    <t>SCARLET RED-2618</t>
  </si>
  <si>
    <t>SPL. WHITE - 2960</t>
  </si>
  <si>
    <t>TP BUDWELLER RED SG-00137</t>
  </si>
  <si>
    <t>TINTING MIDIUM -2627</t>
  </si>
  <si>
    <t>INK MICRO YELLOW-HTP-2329/1E4</t>
  </si>
  <si>
    <t>TP. ARMSTRONG GOLD SG-00136</t>
  </si>
  <si>
    <t>INK PROCESS BLACK HTP-0012/1E4</t>
  </si>
  <si>
    <t>TP BLUE -2668</t>
  </si>
  <si>
    <t>TP COCACOLA RED HTP-2200</t>
  </si>
  <si>
    <t>TP GOLD -2667</t>
  </si>
  <si>
    <t>TP GREEN YM - 1847</t>
  </si>
  <si>
    <t>HAYWARD GOLD -2600</t>
  </si>
  <si>
    <t>TP LIMCA GREEN HTP- 2500</t>
  </si>
  <si>
    <t>TP REFLEX BLUE HTP-2100</t>
  </si>
  <si>
    <t>TP SCARLET RED- 2262/1E4</t>
  </si>
  <si>
    <t>SILVER INK- 8040</t>
  </si>
  <si>
    <t>TP SPRIT BLUE 2101</t>
  </si>
  <si>
    <t>TP VIOLET EM - 2656</t>
  </si>
  <si>
    <t>TP WHITE HTP-2000</t>
  </si>
  <si>
    <t>YELLOW -2415</t>
  </si>
  <si>
    <t>T.P.U.B. LEDGER BEER RED -2725</t>
  </si>
  <si>
    <t>T.P.U.B. LEDGER BEER WHITE -2724</t>
  </si>
  <si>
    <t>T.P.U.B. LEDGER BEER YELLOW -2727</t>
  </si>
  <si>
    <t>PROCESS YELLOW -1797</t>
  </si>
  <si>
    <t>PRIM ROSE YELLOW -2614</t>
  </si>
  <si>
    <t>YELLOW- 4674216</t>
  </si>
  <si>
    <t>TP ARMSTRONG BLUE-SG_-00135</t>
  </si>
  <si>
    <t>REDUCER TM 2415</t>
  </si>
  <si>
    <t>TP PANTONE 3135 C BLUE</t>
  </si>
  <si>
    <t>Ink HTP-2143/1E4</t>
  </si>
  <si>
    <t>SOLVEND DYE- 999</t>
  </si>
  <si>
    <t>TP PANTONE 661C BLUE SG-221</t>
  </si>
  <si>
    <t>TP 152 C RED SG-219</t>
  </si>
  <si>
    <t>TP PANTONE 123C YELLOW SG-220</t>
  </si>
  <si>
    <t>TP PANTONE ORANGE 144C SG-214</t>
  </si>
  <si>
    <t>TP DE 199 1C BLUE SG-232</t>
  </si>
  <si>
    <t>TP DE 144 1C RED SG-231</t>
  </si>
  <si>
    <t>METH BLUE EM-2384</t>
  </si>
  <si>
    <t>TP PANTONE 293C GREEN SG-212</t>
  </si>
  <si>
    <t>TP PANTONE 356C GREEN SG-210</t>
  </si>
  <si>
    <t>TP PANTONE 173C RED SG-213</t>
  </si>
  <si>
    <t>TP ANTI TECH REDUCER SG-189</t>
  </si>
  <si>
    <t>FOSTER BLUE ACP-053</t>
  </si>
  <si>
    <t>FOSTER GOLD ACP-0580</t>
  </si>
  <si>
    <t>R.C. BLUE ACP-052</t>
  </si>
  <si>
    <t>ROYEL GREEN ACP-0331</t>
  </si>
  <si>
    <t>ROYEL GOLD ACP-0579</t>
  </si>
  <si>
    <t>TIGER GOLD ACP-0582</t>
  </si>
  <si>
    <t>TIGER ORANGE ACP-0460</t>
  </si>
  <si>
    <t>TIGER BLUE ACP-055</t>
  </si>
  <si>
    <t>UB GOLD ACP-0587</t>
  </si>
  <si>
    <t>INK TP DARK BLUE SG-291</t>
  </si>
  <si>
    <t>INK TP ADITIVE SG-0287</t>
  </si>
  <si>
    <t>INK TP PANTONE 280C BLUE SG-311</t>
  </si>
  <si>
    <t xml:space="preserve">REMARKS :- </t>
  </si>
  <si>
    <t>OTHER</t>
  </si>
  <si>
    <t>SHRINK WRAP (23X36X180)</t>
  </si>
  <si>
    <t>OKS SPRAY 601 / 641</t>
  </si>
  <si>
    <t>PPG-3939-607</t>
  </si>
  <si>
    <t>UB GOLD(Red) ACP-144</t>
  </si>
  <si>
    <t>GRANULATS PVC FREE T /C.R.W.</t>
  </si>
  <si>
    <t>PVC &amp; PVC FREE</t>
  </si>
  <si>
    <t>C/BOX,POLY.BAG,TAPE &amp; STRIP</t>
  </si>
  <si>
    <t>D</t>
  </si>
  <si>
    <t>E</t>
  </si>
  <si>
    <t>STORE + PROD.</t>
  </si>
  <si>
    <t>TOTAL II</t>
  </si>
  <si>
    <t>PVC SRISOL EPW 201 HT</t>
  </si>
  <si>
    <t>INK EGB ORANGE ACP-0485</t>
  </si>
  <si>
    <t>INK GREEN 357C ACP-0317</t>
  </si>
  <si>
    <t>INK UME BLUE ACP-1139</t>
  </si>
  <si>
    <t>INK UME GOLD ACP-654</t>
  </si>
  <si>
    <t>INK SODA BLUE ACP-1136</t>
  </si>
  <si>
    <t>INK NECTO RED ACP-1209</t>
  </si>
  <si>
    <t>INK KIK RED ACP-1210</t>
  </si>
  <si>
    <t>INK GINGAR GREEN ACP-385</t>
  </si>
  <si>
    <t>INK ORANGE CRUSH ACP-0484</t>
  </si>
  <si>
    <t>GUM TAPE (TRANSPARENT)</t>
  </si>
  <si>
    <t>LUBRICANT OIL 10W30</t>
  </si>
  <si>
    <t>OKS - 451</t>
  </si>
  <si>
    <t>EPOXY SIZE</t>
  </si>
  <si>
    <t>III</t>
  </si>
  <si>
    <t>EPOXY &amp; SILVER SIZE (AMD)</t>
  </si>
  <si>
    <t>DISCRIPTION</t>
  </si>
  <si>
    <t>STORE + LAB</t>
  </si>
  <si>
    <t>INKTP HTW WHITE - 2024</t>
  </si>
  <si>
    <t>INK UP BEAT GOLD ACP- 0656</t>
  </si>
  <si>
    <t>INK PMS YELLOW 116C ACP - 0258</t>
  </si>
  <si>
    <t>INK UB BLUE ACP- 1142</t>
  </si>
  <si>
    <t>PRINCH POWDER</t>
  </si>
  <si>
    <t>INK TP DENSE BLACK HTP-0058</t>
  </si>
  <si>
    <t>UTC SILVER</t>
  </si>
  <si>
    <t>INK CANON RED ACP - 1226</t>
  </si>
  <si>
    <t>PVC FREE LACQUER IN 365001</t>
  </si>
  <si>
    <t>PVC ADHESIVE LACQUER IN 300585</t>
  </si>
  <si>
    <t>OVER PRINT VARNISH IN 300958</t>
  </si>
  <si>
    <t>EPOXY SILVER SIZE IN 316004</t>
  </si>
  <si>
    <t>RC VINYLE SIZE COATING EM-2517</t>
  </si>
  <si>
    <t>INK CASTLE RED ACP-0200</t>
  </si>
  <si>
    <t>INK CASTLE GOLD ACP-0635</t>
  </si>
  <si>
    <t>INK ASMARA RED ACP-1214</t>
  </si>
  <si>
    <t>CONS.</t>
  </si>
  <si>
    <t>REC FROM LAB.</t>
  </si>
  <si>
    <t>STORE + LAB + PROD.</t>
  </si>
  <si>
    <t>RUBIN RED ACP-1225</t>
  </si>
  <si>
    <t>RECOVERY LACQ SRISOL RU 201 EPR COMP. - B</t>
  </si>
  <si>
    <t>INK CHERRY BLUE ACP-1179</t>
  </si>
  <si>
    <t>INK FANTA YELLOW ACP-0268</t>
  </si>
  <si>
    <t>INK KREST YELLOW ACP-0270</t>
  </si>
  <si>
    <t>INK SCHWEPPER YELLOW ACP-0267</t>
  </si>
  <si>
    <t>INK ASMARA COKE RED ACP -1249</t>
  </si>
  <si>
    <t>INK TP CROWN WHITE ACP-402</t>
  </si>
  <si>
    <t>TP PANTONE RED 200C ACP- 0187</t>
  </si>
  <si>
    <t>GEAR OIL 80W/90</t>
  </si>
  <si>
    <t>INK PMS GREEN 376C ACP - 1421</t>
  </si>
  <si>
    <t>PVC STRIP 12 MM (PRINTED)</t>
  </si>
  <si>
    <t>PVC LACQUER  AG 506-05-02</t>
  </si>
  <si>
    <t>INK PP GOLD ACP-0602</t>
  </si>
  <si>
    <t>RECOVERY LACQ SRISOL RU 201 EPR COMP. - A</t>
  </si>
  <si>
    <t>INK SPRITE GREEN ACP-0387</t>
  </si>
  <si>
    <t>IN PMS YELLOW APC - 0283</t>
  </si>
  <si>
    <t>INK PMPS SPRITE GREEN ACP - 1433</t>
  </si>
  <si>
    <t>INK PMS GREEN 356C ACP - 325</t>
  </si>
  <si>
    <t>INK PMS RED ACP - 1261</t>
  </si>
  <si>
    <t>C/BOX 9 PLY ENGAGE IN QC</t>
  </si>
  <si>
    <t>REMARKS- *ENGAGE IN QC</t>
  </si>
  <si>
    <t>POLYTHINE BAG (34 x 27 )</t>
  </si>
  <si>
    <t>SHRINK WRAP BAG (23 x 32)</t>
  </si>
  <si>
    <t>GUM TAPE (PRINTED)</t>
  </si>
  <si>
    <t>INK COBRA BLACK SG-0197</t>
  </si>
  <si>
    <t>PVC ORGANSOL ADHE. LACQ.PPG-2508-604</t>
  </si>
  <si>
    <t>INK PEPSI RED ACP-12021</t>
  </si>
  <si>
    <t>INK PEPSI BLUE ACP-11063</t>
  </si>
  <si>
    <t>INK PERONI BLUE ACP-11068</t>
  </si>
  <si>
    <t>PVC LAC ORGANOSAL 32-896</t>
  </si>
  <si>
    <t>PVC FREE LAC 50-952B</t>
  </si>
  <si>
    <t>PVC FREE LAC 50-951B</t>
  </si>
  <si>
    <t xml:space="preserve">POLYSTER VARNISH </t>
  </si>
  <si>
    <t>OVER PRINT VARNISH NK-301203060</t>
  </si>
  <si>
    <t>INK PERONI GOLD ACP-0757</t>
  </si>
  <si>
    <t>Description AS PER ERP</t>
  </si>
  <si>
    <t>PVC SRISOL DB506</t>
  </si>
  <si>
    <t>PVC FREE SRISOL P 5518</t>
  </si>
  <si>
    <t>PVC FREE SRISOL EPW 201 FE</t>
  </si>
  <si>
    <t>PVC SRISOL EPW 201 HF</t>
  </si>
  <si>
    <t>PVC FREE HF SRISOL - EPW 201-HT</t>
  </si>
  <si>
    <t>PVC FREE TECHNO.TPE85CCDO</t>
  </si>
  <si>
    <t xml:space="preserve">PVC TECHNOVINAYL 20A70CCD0 </t>
  </si>
  <si>
    <t>PVC COMPOUND TPE 85 HT</t>
  </si>
  <si>
    <t xml:space="preserve">PVC FREE DS CHEMIE-SEVELON WHITE-855 </t>
  </si>
  <si>
    <t>PVC DS CHEMIE -353</t>
  </si>
  <si>
    <t>PVC DS CHEMIE KG352MS IMP.</t>
  </si>
  <si>
    <t>ALUMINIZED ORGANOSOL GS-4003</t>
  </si>
  <si>
    <t>LACQUER SRISOL RU-2423-04</t>
  </si>
  <si>
    <t>LACQUER-2475</t>
  </si>
  <si>
    <t>LACQUER - 32893</t>
  </si>
  <si>
    <t>LACQUER PVC FREE AL - 1700-04</t>
  </si>
  <si>
    <t>LACQUER AL -1103-09 GRACE</t>
  </si>
  <si>
    <t>LACQUER HMD - 0362</t>
  </si>
  <si>
    <t>LACQUER NON PVC GS-1180</t>
  </si>
  <si>
    <t>LACQUER POLYSTER RESIN DAREX SE 1474-25</t>
  </si>
  <si>
    <t>LACQUER PVCFREE AL1724-03 GRACE</t>
  </si>
  <si>
    <t>LACQUER PVCFREE SALCHI VI 1049</t>
  </si>
  <si>
    <t>LACQUER R C PEELAVE-2004</t>
  </si>
  <si>
    <t>LACQUER RC COATING BRD-8521</t>
  </si>
  <si>
    <t>LACQUER RC PEELABLE HMD-0153</t>
  </si>
  <si>
    <t>LACQUER RC PLAIN COATING -2476</t>
  </si>
  <si>
    <t>LACQUER RC PROMOTIONAL-364</t>
  </si>
  <si>
    <t>LACQUER RC TRANS COATING BRD-004/97</t>
  </si>
  <si>
    <t>PVC FREE LACQUER PPG3138-311</t>
  </si>
  <si>
    <t>RC POLYESTER WHITE COATING BRD 8618</t>
  </si>
  <si>
    <t>LACQUER RC POLYSTER WHITE HMD-0636/25D18</t>
  </si>
  <si>
    <t>PVC FREE LACQUER VI-1049</t>
  </si>
  <si>
    <t>PVC FREE LACQUER VI-1051</t>
  </si>
  <si>
    <t>WHITE COATING ST-3002</t>
  </si>
  <si>
    <t>WHITE COATING PPG-3552-010</t>
  </si>
  <si>
    <t>LACQUER PPG 3939-607</t>
  </si>
  <si>
    <t>LACQUER PVC ALU. SRISOL-AG506OS-02</t>
  </si>
  <si>
    <t>LACQUER PVC FREE IN365001PA25</t>
  </si>
  <si>
    <t>LACQUER ADHESIVE IN300585PA25</t>
  </si>
  <si>
    <t>RECOVERY LACQUER RU201 EPR COMPONENT A</t>
  </si>
  <si>
    <t>RECOVERY LACQUER RU201 EPR COMPONENT B</t>
  </si>
  <si>
    <t>PVC LAC.ORGANOSAL 32-896</t>
  </si>
  <si>
    <t>PVC FREE LAC. 50-952B</t>
  </si>
  <si>
    <t>PVC FREE LAC. 50-951B</t>
  </si>
  <si>
    <t>DESCRIPTION AS PER ERP</t>
  </si>
  <si>
    <t>WHITE BASE COAT MK-401204366</t>
  </si>
  <si>
    <t>RC ACRYLIC SPECIAL VARNISH HMD 425/10A1</t>
  </si>
  <si>
    <t>ADHESIVE LACQUER 419908</t>
  </si>
  <si>
    <t>TPE GRANULATE OXYLON CS 25 TRANS</t>
  </si>
  <si>
    <t>INK PERONI RED ACP 12027</t>
  </si>
  <si>
    <t>Mfg. in consumption Details of Making Butyle &amp; utc lacquer</t>
  </si>
  <si>
    <t>LAB</t>
  </si>
  <si>
    <t>LAB.</t>
  </si>
  <si>
    <t>Cyclohexanone</t>
  </si>
  <si>
    <t xml:space="preserve"> Chemical C-IX</t>
  </si>
  <si>
    <t>Chemical DAA</t>
  </si>
  <si>
    <t>Aluminium PasteAB-1500</t>
  </si>
  <si>
    <t>XYLENE</t>
  </si>
  <si>
    <t>DOP SUPPER</t>
  </si>
  <si>
    <t>SYNPOL L-1001</t>
  </si>
  <si>
    <t>SYNPOL L-97</t>
  </si>
  <si>
    <t>SYNPOL L-208</t>
  </si>
  <si>
    <t>SYNPOL L-9</t>
  </si>
  <si>
    <t>LAPOX P-5</t>
  </si>
  <si>
    <t>LAPOX P-6</t>
  </si>
  <si>
    <t>SV-204</t>
  </si>
  <si>
    <t xml:space="preserve"> N B A (SOLVENT)</t>
  </si>
  <si>
    <t>HICOSOLVE</t>
  </si>
  <si>
    <t>K.OIL</t>
  </si>
  <si>
    <t>M I B K(SOLVENT)</t>
  </si>
  <si>
    <t>R-5460</t>
  </si>
  <si>
    <t>VINOLIT P-70</t>
  </si>
  <si>
    <t>Luba print Wax 736 K3</t>
  </si>
  <si>
    <t>G.TOTAL</t>
  </si>
  <si>
    <t xml:space="preserve">BUTYLE </t>
  </si>
  <si>
    <t>SILVER SIZING</t>
  </si>
  <si>
    <t>R&amp;D</t>
  </si>
  <si>
    <t>CYCLOHEXANONE</t>
  </si>
  <si>
    <t>C.HEXNONE</t>
  </si>
  <si>
    <t>C-IX</t>
  </si>
  <si>
    <t>DAA</t>
  </si>
  <si>
    <t>AL. PASTE</t>
  </si>
  <si>
    <t>SYN.1001</t>
  </si>
  <si>
    <t>LAP P-5</t>
  </si>
  <si>
    <t>OTHER MATERIAL</t>
  </si>
  <si>
    <t>TOTAL USED MATERIAL IN KGS</t>
  </si>
  <si>
    <t>Ltr.</t>
  </si>
  <si>
    <t>(kg)</t>
  </si>
  <si>
    <t>PURCHASE (RAW MATERIAL)</t>
  </si>
  <si>
    <t>STORE BALANCE (RAW MATERIAL)</t>
  </si>
  <si>
    <t>PVC COMPOUND TPE 851C</t>
  </si>
  <si>
    <t>PVC COMPOUND 20A72CCDO</t>
  </si>
  <si>
    <t>PVC COMPOUND 78CCDO WHITE</t>
  </si>
  <si>
    <t>METH DRIER SG-208 (1254)</t>
  </si>
  <si>
    <t>RC GOLD ACP-770</t>
  </si>
  <si>
    <t>Opening Stock</t>
  </si>
  <si>
    <t>Add - Received from Store</t>
  </si>
  <si>
    <t>Less - Issue for Printing</t>
  </si>
  <si>
    <t>Less - Printing &amp; Coating Rejection</t>
  </si>
  <si>
    <t>R&amp;D (SAMPLE)</t>
  </si>
  <si>
    <t>T.F.S. SHEET</t>
  </si>
  <si>
    <t>Issue to</t>
  </si>
  <si>
    <t>Printing</t>
  </si>
  <si>
    <t>( STORE+PROD )</t>
  </si>
  <si>
    <t>A</t>
  </si>
  <si>
    <t>TINSHEET -Big Size</t>
  </si>
  <si>
    <t>Issue to printing</t>
  </si>
  <si>
    <t>RASSELSTEIN</t>
  </si>
  <si>
    <t>SMALL</t>
  </si>
  <si>
    <t>0.225 x 886 x 992.5</t>
  </si>
  <si>
    <t>BIG</t>
  </si>
  <si>
    <t>0.235 x 886 x 992.5</t>
  </si>
  <si>
    <t>TIN SHEET RASSEL TFS .235 PTC 027</t>
  </si>
  <si>
    <t>IC SHHET</t>
  </si>
  <si>
    <t>0.235 x 886 x 992.6 IC</t>
  </si>
  <si>
    <t>NIPPON</t>
  </si>
  <si>
    <t>0.225 X 886 X 992.5</t>
  </si>
  <si>
    <t>0.235 X 886 X 992.5</t>
  </si>
  <si>
    <t>ISSUE FROM STORE</t>
  </si>
  <si>
    <t>TATA SHEET</t>
  </si>
  <si>
    <t>0.235 x 886 x 993  (ETP)</t>
  </si>
  <si>
    <t>TIN SHEET TATA ETP .235 PTC 027</t>
  </si>
  <si>
    <t>0.235 X 886 X 993 TATA</t>
  </si>
  <si>
    <t>TIN SHEET TATA .235 PTC 027</t>
  </si>
  <si>
    <t>0.240 x 886 x 993 TATA</t>
  </si>
  <si>
    <t>TIN SHEET TATA ETP.24 PTC 027</t>
  </si>
  <si>
    <t>0.245 x 886 x 993 TATA</t>
  </si>
  <si>
    <t>TIN SHEET TATA TFS .245 PTC 027</t>
  </si>
  <si>
    <t>0.225 X 886 X  992 TATA</t>
  </si>
  <si>
    <t>TIN SHEET TATA TFS 0.225 PTC 027</t>
  </si>
  <si>
    <t>0.235 X 885 X  992 TATA</t>
  </si>
  <si>
    <t>0.250 X 886 X  993 TATA</t>
  </si>
  <si>
    <t>TIN SHEET TATA ETP 0.25 PTC 027</t>
  </si>
  <si>
    <t>TONYI SHEET</t>
  </si>
  <si>
    <t>0.235 X992.5 X 886 TONYI</t>
  </si>
  <si>
    <t>TIN SHEET TONYI TFS 0.235 PTC 027</t>
  </si>
  <si>
    <t>FUJAING SHEET</t>
  </si>
  <si>
    <t>0.235 X 886 X 992.5 FUJ.</t>
  </si>
  <si>
    <t>PRISTIMA SHEET</t>
  </si>
  <si>
    <t>0.235 X 886 X 992.5 PRISTIMA(vam)</t>
  </si>
  <si>
    <t>TIN SHEET PERSTIMA TFS 0.235 PTC 027</t>
  </si>
  <si>
    <t>BAOSTEEL SHEET</t>
  </si>
  <si>
    <t>0.235 X 886 X 992.5 BAO</t>
  </si>
  <si>
    <t>TIN SHEET BAOSTEEL 0.235 PTC 027</t>
  </si>
  <si>
    <t>MITSUI SHEET</t>
  </si>
  <si>
    <t>0.235 X 886 X 992.5 MITSUI</t>
  </si>
  <si>
    <t>TIN SHEET MITSUI 0.235 PTC 027</t>
  </si>
  <si>
    <t>OTHERS</t>
  </si>
  <si>
    <t>SAMPLE SHEET</t>
  </si>
  <si>
    <t>.200 X 886 X 993 TATA</t>
  </si>
  <si>
    <t>B</t>
  </si>
  <si>
    <t>TINSHEET -Small Size</t>
  </si>
  <si>
    <t>0.235 x 562 x 806 R</t>
  </si>
  <si>
    <t>0.225 x 562 x 806 R</t>
  </si>
  <si>
    <t>TIN SHEET RASSEL TFS. 0.225 PTC 0170</t>
  </si>
  <si>
    <t>TONYI STEEL</t>
  </si>
  <si>
    <t>0.235 x 562 x 806</t>
  </si>
  <si>
    <t>TIN SHEET TONYI TFS 0.235 PTC 170</t>
  </si>
  <si>
    <t>0.235 x 562 x 806 TATA</t>
  </si>
  <si>
    <t>TIN SHEET TATA .235 PTC 170</t>
  </si>
  <si>
    <t>0.200 x 562 x 806 TATA</t>
  </si>
  <si>
    <t>TIN SHEET TATA 0.200 PTC 170</t>
  </si>
  <si>
    <t>0.200 x 872 x 670 TATA</t>
  </si>
  <si>
    <t>0.235 X 705 X 507 TATA</t>
  </si>
  <si>
    <t>TIN SHEET TATA TFS 0.235 X 705 PTC-110</t>
  </si>
  <si>
    <t>0.235 X 806X 562  TATA ETP.</t>
  </si>
  <si>
    <t>TIN SHEET TATA ETP .235 PTC 170</t>
  </si>
  <si>
    <t>0.245 X 806 X 562 TATA</t>
  </si>
  <si>
    <t>TIN SHEET TATA 0.245 PTC 170</t>
  </si>
  <si>
    <t>0.225 X 806 X 562 TATA</t>
  </si>
  <si>
    <t>TIN SHEET TATA TFS 0.225 PTC 170</t>
  </si>
  <si>
    <t>0.235 x 562 x 806 N</t>
  </si>
  <si>
    <t>TIN SHEET NIPPON TFS .235 PTC 0170</t>
  </si>
  <si>
    <t xml:space="preserve">0.235 x 806 x 562 </t>
  </si>
  <si>
    <t>TIN SHEET PERSTIMA TFS 0.235 PTC 0170</t>
  </si>
  <si>
    <t xml:space="preserve">0.200x 806 x 562 </t>
  </si>
  <si>
    <t>TIN SHEET PERSTIMA TFS 0.200 PTC 0170</t>
  </si>
  <si>
    <t>BAOSTEEL</t>
  </si>
  <si>
    <t>0.235 X 806 X 562 BAO</t>
  </si>
  <si>
    <t>MITSUI</t>
  </si>
  <si>
    <t>0.235 X 8056 X 562</t>
  </si>
  <si>
    <t>TINKO</t>
  </si>
  <si>
    <t>0.235 X 806 X 562 TINKO</t>
  </si>
  <si>
    <t>TIN SHEET TINKO TFS 0.235 PTC 170</t>
  </si>
  <si>
    <t>TOTAL (A+B)</t>
  </si>
  <si>
    <t>REJECTED SHEETS</t>
  </si>
  <si>
    <t>TIN SHEET PRINTED</t>
  </si>
  <si>
    <t>* Recived From Production.</t>
  </si>
  <si>
    <t>Sr no.</t>
  </si>
  <si>
    <t>Sheet size</t>
  </si>
  <si>
    <t>Stores</t>
  </si>
  <si>
    <t xml:space="preserve">Inprocess </t>
  </si>
  <si>
    <t>Printed</t>
  </si>
  <si>
    <t>.225X886X993 TATA</t>
  </si>
  <si>
    <t>0.250 X 886 X  993 ETP TATA</t>
  </si>
  <si>
    <t>0.235 X 886 X 992.5 PRISTIMA</t>
  </si>
  <si>
    <t>0.235 X 886 X992.5 MITSUI</t>
  </si>
  <si>
    <t>0.200 x 806x 562</t>
  </si>
  <si>
    <t>0.235 X 806 X 562 TATA ETP</t>
  </si>
  <si>
    <t xml:space="preserve">0.200 x 806 x 562 </t>
  </si>
  <si>
    <t xml:space="preserve">Big size Cons. </t>
  </si>
  <si>
    <t>Small size Cons.</t>
  </si>
  <si>
    <t>Total cons.</t>
  </si>
  <si>
    <t>POLYTHENE BIG(23*34*180)</t>
  </si>
  <si>
    <t>c/box big-04pcs</t>
  </si>
  <si>
    <t>TPE GRANULATE SCR/TW</t>
  </si>
  <si>
    <t>LACQUER RC PEELABLE 2004</t>
  </si>
  <si>
    <t>KINLEY GOLD ACP-0776</t>
  </si>
  <si>
    <t>0.230 X 886 X  992 TATA</t>
  </si>
  <si>
    <t>.230X886X993 TATA</t>
  </si>
  <si>
    <t xml:space="preserve">Butyle :- 611 / 0.89  =  </t>
  </si>
  <si>
    <t>c/box small-26pcs</t>
  </si>
  <si>
    <t>GREASEC AP3</t>
  </si>
  <si>
    <t>PVC LINER COMPOUND FG 105</t>
  </si>
  <si>
    <t>ACP 12044 MIRINDA RED</t>
  </si>
  <si>
    <t>ACP 12045 MIRINDA PINK</t>
  </si>
  <si>
    <t>ACP 12046 PEPSI RED</t>
  </si>
  <si>
    <t>ACP 1628 MIRINDA ORANGE</t>
  </si>
  <si>
    <t>ACP 11107 PEPSI BLUE</t>
  </si>
  <si>
    <t>ACP 11108 MIRINDA LT. BLUE</t>
  </si>
  <si>
    <t>ACP 11109 MIRINDA DK. BLUE</t>
  </si>
  <si>
    <t>LACQUERS AL- 1103-21</t>
  </si>
  <si>
    <t xml:space="preserve">RECEIVED MATERIAL FROM LAB.-BUTYLE =  1600  LTR </t>
  </si>
  <si>
    <t xml:space="preserve">Work in Process Report Printed  sheet </t>
  </si>
  <si>
    <t>Sr.No.</t>
  </si>
  <si>
    <t>Date</t>
  </si>
  <si>
    <t>Sheet Size</t>
  </si>
  <si>
    <t>Job No. &amp; Brand Name</t>
  </si>
  <si>
    <t>No of Printed Sheets</t>
  </si>
  <si>
    <t>Weight</t>
  </si>
  <si>
    <t>Discription</t>
  </si>
  <si>
    <t>Printed Sheets</t>
  </si>
  <si>
    <t>0.235 x 886 x 992.5 Rass</t>
  </si>
  <si>
    <t>09-1342 FANTA ORANGE BAREILLY</t>
  </si>
  <si>
    <t>"DO"</t>
  </si>
  <si>
    <t>0.235 x 886 x 992.5 TONYI</t>
  </si>
  <si>
    <t>09-1660 A T.UP MOON S.BAD</t>
  </si>
  <si>
    <t>0.245 X 886 X 993 TATA</t>
  </si>
  <si>
    <t>10-1577 MAZZA NAZIBABAD</t>
  </si>
  <si>
    <t>0.235 X 885 X 992 TATA</t>
  </si>
  <si>
    <t>10-1629 LIMCA B.B. BARREILLY</t>
  </si>
  <si>
    <t>0.235 x 886 x 992.5 VAM</t>
  </si>
  <si>
    <t>11-1359 BLUE CROWNS ASMARA</t>
  </si>
  <si>
    <t>11-1362 ASMARA BEER ASMARA</t>
  </si>
  <si>
    <t>0.235 x 886 x 992.5 TONYI+RASS</t>
  </si>
  <si>
    <t>11-1410 SPRITE M. M. NAGAR</t>
  </si>
  <si>
    <t xml:space="preserve">0.235 x 886 x 992.5 TONYI </t>
  </si>
  <si>
    <t>11-1438 POP COLA PHILLIPENS</t>
  </si>
  <si>
    <t>11-1445B COCA COLA ASMARA</t>
  </si>
  <si>
    <t>11-1528 COKE 100 PHILLIPENS</t>
  </si>
  <si>
    <t>11-1529/30 POPCOLA  PHILLIPENS</t>
  </si>
  <si>
    <t>0.235 X 886 X 993 ETP TATA</t>
  </si>
  <si>
    <t>12-1004 / 5 CASTLE LEDGER  ZIMBAVE</t>
  </si>
  <si>
    <t>0.235 x 886 x 993  TATA</t>
  </si>
  <si>
    <t>12-1025 K/F (S) PALKKED</t>
  </si>
  <si>
    <t>0.235 x 886 x 992 BAO</t>
  </si>
  <si>
    <t>12-1037 T.UP UTC HCCB JAIPUR</t>
  </si>
  <si>
    <t>12-1042 T.UP UTC HCCB RAJGARH</t>
  </si>
  <si>
    <t>12-1126 SPRITE B.A .BARABANKI</t>
  </si>
  <si>
    <t>12-1128 C.COLA MOON S.BAD</t>
  </si>
  <si>
    <t>12-1132 C.COLA ZIMBOMBAY</t>
  </si>
  <si>
    <t>12-1172 C COLA MOON SBAD</t>
  </si>
  <si>
    <t>12-1177 SPRITE HCCB VARANASI</t>
  </si>
  <si>
    <t>12-1195 SPRITE BB BARABANKI</t>
  </si>
  <si>
    <t>0.235 x 886 x 992.5 MITUSI</t>
  </si>
  <si>
    <t>12-1343A  C.COLA PHILLIPNES</t>
  </si>
  <si>
    <t>12-1411 C.COLA K.B.P.L. BADDI</t>
  </si>
  <si>
    <t>0.200 x 886 x 993 TATA</t>
  </si>
  <si>
    <t>12-1423 h-5000 SRPL CAUTAK</t>
  </si>
  <si>
    <t>12-1427 M.DEW PIH PANIPAT</t>
  </si>
  <si>
    <t>0.235 x 886 x 993 TATA MIX</t>
  </si>
  <si>
    <t>12-1520 PEPSI KOOL DRINKS PHILLOR</t>
  </si>
  <si>
    <t>13-2106 COCACOAL C.B. PHILL.</t>
  </si>
  <si>
    <t>13-2114 T.UP B.A. M.NAGER</t>
  </si>
  <si>
    <t>13-2152 LIMCA HCCB JAIPUR</t>
  </si>
  <si>
    <t>13-2275 T. UP HCCB RAJGARH</t>
  </si>
  <si>
    <t>13-2302 SPRITE FAIZABAD</t>
  </si>
  <si>
    <t>13-2308 MIRINDA ETHIPOIA</t>
  </si>
  <si>
    <t>13-2324 C.COLA GURGAON</t>
  </si>
  <si>
    <t>BIG SIZE TOTAL</t>
  </si>
  <si>
    <t>0.235 x 806 x 562 TATA</t>
  </si>
  <si>
    <t>11-2016 H-5000 UTC GAWALIOR</t>
  </si>
  <si>
    <t>0.235 x 806 x 562 VAM</t>
  </si>
  <si>
    <t>11-2285 PEPSI UTC JAINPUR</t>
  </si>
  <si>
    <t>0.235 x 806 x 562 TONYI</t>
  </si>
  <si>
    <t>11-2709 BULLET ALWAR</t>
  </si>
  <si>
    <t>11-2720 A COKE 100 PHILLIPENS</t>
  </si>
  <si>
    <t>11-2735 COKE 100 PHILLIPENS</t>
  </si>
  <si>
    <t>11-2747 POP COLA PHILLIPENS</t>
  </si>
  <si>
    <t>0.235 x 806 x 562 N</t>
  </si>
  <si>
    <t>12-2173 COKE UTC HCCB JAIPUR</t>
  </si>
  <si>
    <t>12-2194 B COCA COLA ASMARA</t>
  </si>
  <si>
    <t>12-2213 T.UP UTC HCCB KHURDA</t>
  </si>
  <si>
    <t>0.245 x 806 x 562 TATA</t>
  </si>
  <si>
    <t>12-2218 MAZZA UTC HCCB KHURDA</t>
  </si>
  <si>
    <t>12-2227 K/F (S) UBL KHURDA</t>
  </si>
  <si>
    <t>12-2261 K/F (S) UBL ALWAR</t>
  </si>
  <si>
    <t xml:space="preserve">12-2267 SCHWEPPE EGGPT </t>
  </si>
  <si>
    <t xml:space="preserve">12-2268 FANTA ORANGE VARANASSI </t>
  </si>
  <si>
    <t>12-2272 K/F (S) STORNG THRIVALLUR</t>
  </si>
  <si>
    <t>12-2286 K/F (S) UBL SRIKALLUM</t>
  </si>
  <si>
    <t>12-2390 SLICE PIH PANIPAT</t>
  </si>
  <si>
    <t>12-2391 SPRITE HCCB VARANASI</t>
  </si>
  <si>
    <t>12-2392 MOUNTAIN DEW PHILLOUR</t>
  </si>
  <si>
    <t>12-2407 LIMCA HCCB JAIPUR</t>
  </si>
  <si>
    <t>12-2408 LIMCA BB BARAILY</t>
  </si>
  <si>
    <t>12-2418 K/F (S) STORNG THRIBALLOR</t>
  </si>
  <si>
    <t xml:space="preserve">12-2419 K/F (S) </t>
  </si>
  <si>
    <t>12-2428 H-5000 HBL SONIPAT</t>
  </si>
  <si>
    <t>12-2444 KINLLEY KBPL BADDI</t>
  </si>
  <si>
    <t>12-2430A K/F E.S MGWB ,LUCHN.</t>
  </si>
  <si>
    <t>12-2525 K/F (S) UBL BANGLORE</t>
  </si>
  <si>
    <t>12-2662 BULLET WIN. ALWAR</t>
  </si>
  <si>
    <t>12-2685 LIMCA MOON BER.</t>
  </si>
  <si>
    <t>12-2710 K/F S UBL BNGLORE</t>
  </si>
  <si>
    <t>12-2714 MAAZA LUDHIYANA</t>
  </si>
  <si>
    <t>12-2726 K/F S UBL KALKULAM</t>
  </si>
  <si>
    <t>0.200 x 806 x 562 TATA</t>
  </si>
  <si>
    <t>12-2767A SUPER JET TRIPLY MORANA</t>
  </si>
  <si>
    <t>12-2794 H-5000 H.B.L. MURTHAL</t>
  </si>
  <si>
    <t>12-2807 H-5000 S.B.L GWALIER</t>
  </si>
  <si>
    <t>13-1087 H-5000 H.B. MURTHAL</t>
  </si>
  <si>
    <t>13-1088 H-5000 CDBL MEERAT</t>
  </si>
  <si>
    <t>13-1150 H-5000 EEB PRADEEP</t>
  </si>
  <si>
    <t>13-1153 K--OUT E.E. BER PRADEEP</t>
  </si>
  <si>
    <t>13-1176 BIRRA B.B. AZAMGARH</t>
  </si>
  <si>
    <t>13-1204 PERONI S.B.L AROGABAD</t>
  </si>
  <si>
    <t>13-1234 K/F UBL CHOPANKI</t>
  </si>
  <si>
    <t>13-1313 SPRITE KBPL BADDI</t>
  </si>
  <si>
    <t>13-1314 MAAZA HCCB GOBLEJ</t>
  </si>
  <si>
    <t>13-1348 SPRITE KBPL SAHA</t>
  </si>
  <si>
    <t>CURRENT DATE JOBS PRINTED</t>
  </si>
  <si>
    <t>JOB NO.</t>
  </si>
  <si>
    <t>SHEET SIZE</t>
  </si>
  <si>
    <t>BRAND</t>
  </si>
  <si>
    <t>NO. OF SHEETS</t>
  </si>
  <si>
    <t>WEIGHT</t>
  </si>
  <si>
    <t>Conclusion</t>
  </si>
  <si>
    <t>Consumption</t>
  </si>
  <si>
    <t>Big Sheets</t>
  </si>
  <si>
    <t>Small Sheets</t>
  </si>
  <si>
    <t>Total Scrap</t>
  </si>
  <si>
    <t>BIG SIZE(14%)</t>
  </si>
  <si>
    <t>SMALL (15%)</t>
  </si>
  <si>
    <t xml:space="preserve">TOTAL SCRAP </t>
  </si>
  <si>
    <t>Work in Process Report</t>
  </si>
  <si>
    <t>0.225X886X992.5 R</t>
  </si>
  <si>
    <t xml:space="preserve">Done Pvc  L+S </t>
  </si>
  <si>
    <t>0.225X886X992.5 N</t>
  </si>
  <si>
    <t>Done Pvc Free L+S</t>
  </si>
  <si>
    <t>Done Pvc Free L</t>
  </si>
  <si>
    <t>FOR DECO.</t>
  </si>
  <si>
    <t xml:space="preserve">0.235 X 886X 992.5 N </t>
  </si>
  <si>
    <t>RUST PROB.</t>
  </si>
  <si>
    <t xml:space="preserve"> </t>
  </si>
  <si>
    <t>COBO BRUNT</t>
  </si>
  <si>
    <t>DONE PVC FREE L</t>
  </si>
  <si>
    <t>0.245 X 886X 993 TATA</t>
  </si>
  <si>
    <t>CLEAN&amp; BRUNT</t>
  </si>
  <si>
    <t>DONE EPOXY SIZE</t>
  </si>
  <si>
    <t>DONE PVC FREE  L</t>
  </si>
  <si>
    <t xml:space="preserve">DONE PVC FREE  L + S </t>
  </si>
  <si>
    <t>0.235 X 886X 992.5 R</t>
  </si>
  <si>
    <t>L-1724-03</t>
  </si>
  <si>
    <t>Done pvc free L+S</t>
  </si>
  <si>
    <t>0.235 X 886X 993 TATA</t>
  </si>
  <si>
    <t>RUST PROB.(BOTH SIDE SILVER)</t>
  </si>
  <si>
    <t>Done pvc  L+S</t>
  </si>
  <si>
    <t>0.235X886X993 MIXED SHEET</t>
  </si>
  <si>
    <t>0.235 X 886X 993  TATA</t>
  </si>
  <si>
    <t>0.235 X 886X 993 ETP TATA</t>
  </si>
  <si>
    <t>Done V-SIZING 2517</t>
  </si>
  <si>
    <t>RUST PROB. (HOLD)</t>
  </si>
  <si>
    <t xml:space="preserve">Done Pvc Free L+S </t>
  </si>
  <si>
    <t>0.240 X 886X 993 TATA</t>
  </si>
  <si>
    <t>Done Pvc Free L +S</t>
  </si>
  <si>
    <t>Done Epoxy 1254-18</t>
  </si>
  <si>
    <t>0.235 X 886X 992.5 BAO</t>
  </si>
  <si>
    <t xml:space="preserve">Done Pvc Free L </t>
  </si>
  <si>
    <t>DONE EPOXI</t>
  </si>
  <si>
    <t>Done Pvc  L +S</t>
  </si>
  <si>
    <t>0.235 X 886 X 992.5 VAM</t>
  </si>
  <si>
    <t>DONE PVC L+S</t>
  </si>
  <si>
    <t>0.235 X 886 992.5 TONY</t>
  </si>
  <si>
    <t>DONE PVC FREE L + S</t>
  </si>
  <si>
    <t>DAMAGE IN TRANSIT</t>
  </si>
  <si>
    <t>0.235 X 886 992.5 MITSUI</t>
  </si>
  <si>
    <t>0.235 X 885 X992.6 IC/PP</t>
  </si>
  <si>
    <t>Done pvc free L+S (MIX)</t>
  </si>
  <si>
    <t>Done pvc free L for UTC</t>
  </si>
  <si>
    <t>0.200 X 886X 993 TATA</t>
  </si>
  <si>
    <t>Done pvc L+S</t>
  </si>
  <si>
    <t>0.225 X 886X 993 TATA</t>
  </si>
  <si>
    <t>Done pvc FREEE L+S</t>
  </si>
  <si>
    <t>0.225 X 806X 562 TATA</t>
  </si>
  <si>
    <t>Done Pvc free L + S</t>
  </si>
  <si>
    <t>0.235 X 806 X562 TONYI</t>
  </si>
  <si>
    <t>DONE PVC L+S+W</t>
  </si>
  <si>
    <t>RUST PROBLEM</t>
  </si>
  <si>
    <t>0.235 X 806 X562 TATA</t>
  </si>
  <si>
    <t>DONE EPOXY 1258-18</t>
  </si>
  <si>
    <t>WHITE COATING 0636</t>
  </si>
  <si>
    <t>BALANCE FOR DECO</t>
  </si>
  <si>
    <t>DONE PVC L</t>
  </si>
  <si>
    <t>0.235 X 806 X562 N</t>
  </si>
  <si>
    <t>Done Pvc   L</t>
  </si>
  <si>
    <t>0.235 X 806X 562 N</t>
  </si>
  <si>
    <t>DONE PVC FREE  L + S</t>
  </si>
  <si>
    <t>DONE EPOXY 1254-18</t>
  </si>
  <si>
    <t>BOTH SIDE SILVER</t>
  </si>
  <si>
    <t>0.235 X 806 562 R</t>
  </si>
  <si>
    <t>0.200 X 872 X 670 ETP TATA</t>
  </si>
  <si>
    <t>0.235 X 806 X562 TINKO</t>
  </si>
  <si>
    <t>0.225 X 806 562 R</t>
  </si>
  <si>
    <t>0.235 X 806X 562 VAM</t>
  </si>
  <si>
    <t>DONE PVC L + S</t>
  </si>
  <si>
    <t>0.200 X 806X 562 VAM</t>
  </si>
  <si>
    <t xml:space="preserve">DONE PVC   L </t>
  </si>
  <si>
    <t>0.235 X 806X 562 ETP TATA</t>
  </si>
  <si>
    <t xml:space="preserve">DONE PVC FREE L </t>
  </si>
  <si>
    <t>0.245 X 806X 562 TATA</t>
  </si>
  <si>
    <t>Done Pvc free L</t>
  </si>
  <si>
    <t xml:space="preserve">Done Pvc free L+S </t>
  </si>
  <si>
    <t>0.200 X 806X 562 TATA</t>
  </si>
  <si>
    <t>Done Pvc  L</t>
  </si>
  <si>
    <t>0.230 X 806 X 562 TATA</t>
  </si>
  <si>
    <t>13-2368 SPRITE PHILLPPINES</t>
  </si>
  <si>
    <t>LACQUER AL-1694-04</t>
  </si>
  <si>
    <t>PVC GRANULEN E-22</t>
  </si>
  <si>
    <t>13-2374 COCA COLA PHLIPPINES</t>
  </si>
  <si>
    <t>13-2383 C.COLA PHILIPPINNES</t>
  </si>
  <si>
    <t>13-1530 K/F WBD ALIGARH</t>
  </si>
  <si>
    <t>13-1547 GOLDEN PLAIN</t>
  </si>
  <si>
    <t xml:space="preserve">DONE PVC </t>
  </si>
  <si>
    <t>LACQUER HMD-378 (MICRO)</t>
  </si>
  <si>
    <t>13-1617 K/F E.S. MALAPALLY</t>
  </si>
  <si>
    <t>LPG 47.5KG CYLINDER</t>
  </si>
  <si>
    <t>PLATE DEVELOPER</t>
  </si>
  <si>
    <t>WHITE BASE COAT MK-401204366 HMD 428</t>
  </si>
  <si>
    <t>THERMO PLASTIC RUBBER SUMPREN KPC 360c (sample)</t>
  </si>
  <si>
    <t>THERMO PLASTIC ELASTOMER SUMPREN 338 L (sample)</t>
  </si>
  <si>
    <t>13-1708 BULLET ALWAR</t>
  </si>
  <si>
    <t>13-1724 RC PC SAB SAGAREDDY</t>
  </si>
  <si>
    <t>Monthly Statement NOVEMBER-2013</t>
  </si>
  <si>
    <t>TFS Sheet Statement for the Month Of NOVEMBER-13</t>
  </si>
  <si>
    <t>01-11-2013 TO 30-11-2013</t>
  </si>
  <si>
    <t>Monthly Stock &amp; Consumption Statement for the Month Of NOVEMBER -2013</t>
  </si>
  <si>
    <t>Tin sheet cons. Month Of NOVEMBER-2013</t>
  </si>
  <si>
    <t xml:space="preserve">                                           Monthly Stock &amp; Consumption Statement for the Month Of NOVEMBER-2013                                                                                              </t>
  </si>
  <si>
    <t xml:space="preserve">                           Monthly Stock &amp; Consumption Statement for the Month Of NOVEMBER- 2013</t>
  </si>
  <si>
    <t xml:space="preserve">                                                                   Monthly Stock &amp; Consumption Statement for the Month Of NOVEMBER 2013                           (INKS)</t>
  </si>
  <si>
    <t>Monthly Stock &amp; Consumption Statement for the Month Of NOVEMBER - 2013</t>
  </si>
  <si>
    <t xml:space="preserve">                                                                        Monthly Stock &amp; Consumption Statement for the Month of NOVEMBER- 2013            (HSD,PROPANE,GREASE&amp;OIL)</t>
  </si>
  <si>
    <t xml:space="preserve">                                            Monthly Stock &amp; Consumption Statement for the Month Of NOVEMBER- 2013  (CONSUMABLE ITEMS)</t>
  </si>
  <si>
    <t>Monthly Stock &amp; Consumption Statement for the Month  of NOVEMBER- 2013</t>
  </si>
  <si>
    <t>Lion Gold ACP-0821</t>
  </si>
  <si>
    <t>INK BLACK LABEL RED ACP-12072</t>
  </si>
  <si>
    <t>INK LION RED ACP-12071</t>
  </si>
  <si>
    <t>INK BRI. WHITE HS 6002</t>
  </si>
  <si>
    <t>INK INK HARDNER HS 6221</t>
  </si>
  <si>
    <t>INK ORANGE 172 C ACP-1604</t>
  </si>
  <si>
    <t>INK BLUE 280 C ACP 11003</t>
  </si>
  <si>
    <t>INK GREEN 362 ACP 1434</t>
  </si>
  <si>
    <t>REDUCER FOR PET COATING RMD-12/25D32</t>
  </si>
  <si>
    <t>FILM ROLL 508X61 MTR</t>
  </si>
  <si>
    <t>13-1757 K/F ES UBL</t>
  </si>
  <si>
    <t>13-1758 K/F (P)  UBL</t>
  </si>
  <si>
    <t>13-1765 K/F S WBL ALWAR</t>
  </si>
  <si>
    <t>13-1767 K/F S AURGABAD</t>
  </si>
  <si>
    <t>13-1768  H-5000 SMIL</t>
  </si>
  <si>
    <t>13-1769 FOSTER SAB AURGABAD</t>
  </si>
  <si>
    <t>13-1770 FOSTER s SMIL AURGABAD</t>
  </si>
  <si>
    <t>13-1772 H-5000 AURGABAD</t>
  </si>
  <si>
    <t>13-1773 H-5000 SIP AURGABAD</t>
  </si>
  <si>
    <t>13-1774 BULET WBL ALWAR</t>
  </si>
  <si>
    <t xml:space="preserve">PVC LACQUER  050L AKZONOBEL </t>
  </si>
  <si>
    <t>WHITE BASE COAT IN42 0PA30 (AKZONOBEL)</t>
  </si>
  <si>
    <t>REDUCER RT-9001</t>
  </si>
</sst>
</file>

<file path=xl/styles.xml><?xml version="1.0" encoding="utf-8"?>
<styleSheet xmlns="http://schemas.openxmlformats.org/spreadsheetml/2006/main">
  <numFmts count="5">
    <numFmt numFmtId="43" formatCode="_(* #,##0.00_);_(* \(#,##0.00\);_(* &quot;-&quot;??_);_(@_)"/>
    <numFmt numFmtId="164" formatCode="_ * #,##0.00_ ;_ * \-#,##0.00_ ;_ * &quot;-&quot;??_ ;_ @_ "/>
    <numFmt numFmtId="165" formatCode="0.000"/>
    <numFmt numFmtId="166" formatCode="_(* #,##0_);_(* \(#,##0\);_(* &quot;-&quot;??_);_(@_)"/>
    <numFmt numFmtId="167" formatCode="_(* #,##0.000_);_(* \(#,##0.000\);_(* &quot;-&quot;??_);_(@_)"/>
  </numFmts>
  <fonts count="35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u/>
      <sz val="16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u/>
      <sz val="12"/>
      <name val="Arial"/>
      <family val="2"/>
    </font>
    <font>
      <sz val="11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4"/>
      <color indexed="81"/>
      <name val="Tahoma"/>
      <family val="2"/>
    </font>
    <font>
      <sz val="12"/>
      <color rgb="FF000000"/>
      <name val="MS Sans Serif"/>
      <family val="2"/>
    </font>
    <font>
      <b/>
      <sz val="9"/>
      <name val="Arial"/>
      <family val="2"/>
    </font>
    <font>
      <sz val="6"/>
      <name val="Arial"/>
      <family val="2"/>
    </font>
    <font>
      <sz val="7"/>
      <name val="Arial"/>
      <family val="2"/>
    </font>
    <font>
      <b/>
      <i/>
      <sz val="24"/>
      <name val="Arial"/>
      <family val="2"/>
    </font>
    <font>
      <b/>
      <sz val="26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</font>
    <font>
      <sz val="14"/>
      <color rgb="FFFF0000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1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1" fillId="0" borderId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</cellStyleXfs>
  <cellXfs count="868">
    <xf numFmtId="0" fontId="0" fillId="0" borderId="0" xfId="0"/>
    <xf numFmtId="0" fontId="0" fillId="0" borderId="0" xfId="0" applyBorder="1"/>
    <xf numFmtId="43" fontId="0" fillId="0" borderId="0" xfId="0" applyNumberFormat="1"/>
    <xf numFmtId="2" fontId="0" fillId="0" borderId="0" xfId="0" applyNumberFormat="1"/>
    <xf numFmtId="43" fontId="4" fillId="0" borderId="0" xfId="0" applyNumberFormat="1" applyFont="1"/>
    <xf numFmtId="0" fontId="4" fillId="0" borderId="0" xfId="0" applyFont="1"/>
    <xf numFmtId="0" fontId="15" fillId="0" borderId="23" xfId="0" applyFont="1" applyBorder="1"/>
    <xf numFmtId="43" fontId="14" fillId="0" borderId="25" xfId="1" applyFont="1" applyBorder="1" applyAlignment="1">
      <alignment horizontal="center"/>
    </xf>
    <xf numFmtId="43" fontId="14" fillId="0" borderId="25" xfId="1" applyFont="1" applyBorder="1" applyAlignment="1">
      <alignment horizontal="right"/>
    </xf>
    <xf numFmtId="0" fontId="14" fillId="0" borderId="26" xfId="0" applyFont="1" applyBorder="1"/>
    <xf numFmtId="0" fontId="15" fillId="0" borderId="27" xfId="0" applyFont="1" applyBorder="1"/>
    <xf numFmtId="43" fontId="14" fillId="0" borderId="28" xfId="1" applyFont="1" applyBorder="1" applyAlignment="1">
      <alignment horizontal="right"/>
    </xf>
    <xf numFmtId="43" fontId="14" fillId="0" borderId="28" xfId="1" applyFont="1" applyBorder="1" applyAlignment="1">
      <alignment horizontal="center"/>
    </xf>
    <xf numFmtId="43" fontId="14" fillId="0" borderId="26" xfId="1" applyFont="1" applyBorder="1" applyAlignment="1">
      <alignment horizontal="right"/>
    </xf>
    <xf numFmtId="43" fontId="14" fillId="0" borderId="24" xfId="1" applyFont="1" applyBorder="1" applyAlignment="1">
      <alignment horizontal="right"/>
    </xf>
    <xf numFmtId="43" fontId="10" fillId="0" borderId="29" xfId="1" applyFont="1" applyBorder="1" applyAlignment="1">
      <alignment horizontal="right"/>
    </xf>
    <xf numFmtId="43" fontId="10" fillId="0" borderId="30" xfId="1" applyFont="1" applyBorder="1" applyAlignment="1">
      <alignment horizontal="right"/>
    </xf>
    <xf numFmtId="43" fontId="14" fillId="0" borderId="24" xfId="1" applyFont="1" applyBorder="1" applyAlignment="1">
      <alignment horizontal="center"/>
    </xf>
    <xf numFmtId="43" fontId="14" fillId="0" borderId="33" xfId="1" applyFont="1" applyBorder="1" applyAlignment="1">
      <alignment horizontal="right"/>
    </xf>
    <xf numFmtId="43" fontId="14" fillId="0" borderId="34" xfId="1" applyFont="1" applyBorder="1" applyAlignment="1">
      <alignment horizontal="center"/>
    </xf>
    <xf numFmtId="2" fontId="14" fillId="0" borderId="25" xfId="0" applyNumberFormat="1" applyFont="1" applyBorder="1" applyAlignment="1">
      <alignment horizontal="center"/>
    </xf>
    <xf numFmtId="0" fontId="15" fillId="0" borderId="36" xfId="0" applyFont="1" applyBorder="1"/>
    <xf numFmtId="43" fontId="14" fillId="0" borderId="34" xfId="1" applyFont="1" applyBorder="1" applyAlignment="1">
      <alignment horizontal="right"/>
    </xf>
    <xf numFmtId="43" fontId="14" fillId="3" borderId="25" xfId="1" applyFont="1" applyFill="1" applyBorder="1" applyAlignment="1">
      <alignment horizontal="right"/>
    </xf>
    <xf numFmtId="43" fontId="14" fillId="0" borderId="37" xfId="1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4" fillId="0" borderId="33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4" fillId="0" borderId="24" xfId="0" applyFont="1" applyBorder="1" applyAlignment="1">
      <alignment horizontal="center"/>
    </xf>
    <xf numFmtId="43" fontId="10" fillId="0" borderId="31" xfId="1" applyFont="1" applyBorder="1" applyAlignment="1">
      <alignment horizontal="right"/>
    </xf>
    <xf numFmtId="43" fontId="10" fillId="0" borderId="34" xfId="1" applyFont="1" applyBorder="1" applyAlignment="1">
      <alignment horizontal="right"/>
    </xf>
    <xf numFmtId="43" fontId="10" fillId="0" borderId="37" xfId="1" applyFont="1" applyBorder="1" applyAlignment="1">
      <alignment horizontal="right"/>
    </xf>
    <xf numFmtId="43" fontId="10" fillId="0" borderId="0" xfId="1" applyFont="1" applyBorder="1" applyAlignment="1">
      <alignment horizontal="right"/>
    </xf>
    <xf numFmtId="0" fontId="10" fillId="0" borderId="38" xfId="0" applyFont="1" applyBorder="1" applyAlignment="1">
      <alignment horizontal="center"/>
    </xf>
    <xf numFmtId="43" fontId="10" fillId="0" borderId="38" xfId="0" applyNumberFormat="1" applyFont="1" applyBorder="1" applyAlignment="1">
      <alignment horizontal="center"/>
    </xf>
    <xf numFmtId="0" fontId="10" fillId="0" borderId="38" xfId="0" applyFont="1" applyBorder="1" applyAlignment="1">
      <alignment horizontal="right"/>
    </xf>
    <xf numFmtId="2" fontId="10" fillId="0" borderId="38" xfId="0" applyNumberFormat="1" applyFont="1" applyBorder="1" applyAlignment="1"/>
    <xf numFmtId="0" fontId="10" fillId="0" borderId="45" xfId="0" applyFont="1" applyBorder="1" applyAlignment="1">
      <alignment horizontal="right"/>
    </xf>
    <xf numFmtId="43" fontId="10" fillId="0" borderId="38" xfId="1" applyFont="1" applyBorder="1" applyAlignment="1">
      <alignment horizontal="center"/>
    </xf>
    <xf numFmtId="43" fontId="10" fillId="0" borderId="39" xfId="1" applyFont="1" applyBorder="1" applyAlignment="1">
      <alignment horizontal="right"/>
    </xf>
    <xf numFmtId="0" fontId="10" fillId="0" borderId="41" xfId="0" applyFont="1" applyBorder="1"/>
    <xf numFmtId="43" fontId="10" fillId="0" borderId="26" xfId="1" applyFont="1" applyBorder="1" applyAlignment="1">
      <alignment horizontal="right"/>
    </xf>
    <xf numFmtId="2" fontId="10" fillId="0" borderId="46" xfId="0" applyNumberFormat="1" applyFont="1" applyBorder="1" applyAlignment="1">
      <alignment horizontal="center"/>
    </xf>
    <xf numFmtId="0" fontId="10" fillId="0" borderId="24" xfId="0" applyFont="1" applyBorder="1"/>
    <xf numFmtId="43" fontId="10" fillId="0" borderId="47" xfId="1" applyFont="1" applyBorder="1" applyAlignment="1">
      <alignment horizontal="right"/>
    </xf>
    <xf numFmtId="0" fontId="10" fillId="0" borderId="34" xfId="0" applyFont="1" applyBorder="1" applyAlignment="1">
      <alignment horizontal="center"/>
    </xf>
    <xf numFmtId="43" fontId="10" fillId="0" borderId="31" xfId="1" applyFont="1" applyBorder="1" applyAlignment="1">
      <alignment horizontal="center"/>
    </xf>
    <xf numFmtId="43" fontId="14" fillId="0" borderId="26" xfId="1" applyFont="1" applyBorder="1" applyAlignment="1">
      <alignment horizontal="center"/>
    </xf>
    <xf numFmtId="43" fontId="14" fillId="0" borderId="37" xfId="1" applyFont="1" applyBorder="1" applyAlignment="1">
      <alignment horizontal="right"/>
    </xf>
    <xf numFmtId="2" fontId="14" fillId="0" borderId="37" xfId="0" applyNumberFormat="1" applyFont="1" applyBorder="1" applyAlignment="1">
      <alignment horizontal="center"/>
    </xf>
    <xf numFmtId="0" fontId="14" fillId="0" borderId="28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 applyAlignment="1"/>
    <xf numFmtId="43" fontId="10" fillId="0" borderId="2" xfId="1" applyFont="1" applyBorder="1" applyAlignment="1">
      <alignment horizontal="right"/>
    </xf>
    <xf numFmtId="43" fontId="14" fillId="0" borderId="25" xfId="1" applyFont="1" applyFill="1" applyBorder="1" applyAlignment="1">
      <alignment horizontal="right"/>
    </xf>
    <xf numFmtId="0" fontId="10" fillId="0" borderId="56" xfId="0" applyFont="1" applyBorder="1"/>
    <xf numFmtId="0" fontId="10" fillId="0" borderId="57" xfId="0" applyFont="1" applyBorder="1"/>
    <xf numFmtId="0" fontId="10" fillId="0" borderId="57" xfId="0" applyFont="1" applyBorder="1" applyAlignment="1">
      <alignment horizontal="left"/>
    </xf>
    <xf numFmtId="0" fontId="10" fillId="0" borderId="57" xfId="0" applyFont="1" applyBorder="1" applyAlignment="1">
      <alignment horizontal="center"/>
    </xf>
    <xf numFmtId="0" fontId="10" fillId="0" borderId="58" xfId="0" applyFont="1" applyBorder="1" applyAlignment="1">
      <alignment horizontal="center"/>
    </xf>
    <xf numFmtId="43" fontId="10" fillId="0" borderId="57" xfId="1" applyFont="1" applyBorder="1" applyAlignment="1">
      <alignment horizontal="center"/>
    </xf>
    <xf numFmtId="43" fontId="10" fillId="0" borderId="34" xfId="1" applyFont="1" applyBorder="1" applyAlignment="1">
      <alignment horizontal="center"/>
    </xf>
    <xf numFmtId="43" fontId="10" fillId="0" borderId="34" xfId="0" applyNumberFormat="1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0" fontId="15" fillId="0" borderId="59" xfId="0" applyFont="1" applyBorder="1"/>
    <xf numFmtId="43" fontId="10" fillId="0" borderId="35" xfId="1" applyFont="1" applyBorder="1" applyAlignment="1">
      <alignment horizontal="right"/>
    </xf>
    <xf numFmtId="0" fontId="10" fillId="0" borderId="34" xfId="0" applyFont="1" applyBorder="1" applyAlignment="1"/>
    <xf numFmtId="43" fontId="14" fillId="3" borderId="34" xfId="1" applyFont="1" applyFill="1" applyBorder="1" applyAlignment="1">
      <alignment horizontal="right"/>
    </xf>
    <xf numFmtId="0" fontId="10" fillId="0" borderId="34" xfId="0" applyFont="1" applyBorder="1"/>
    <xf numFmtId="0" fontId="10" fillId="0" borderId="25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31" xfId="0" applyFont="1" applyBorder="1" applyAlignment="1">
      <alignment horizontal="right"/>
    </xf>
    <xf numFmtId="0" fontId="15" fillId="0" borderId="60" xfId="0" applyFont="1" applyBorder="1"/>
    <xf numFmtId="0" fontId="14" fillId="3" borderId="25" xfId="0" applyFont="1" applyFill="1" applyBorder="1" applyAlignment="1">
      <alignment horizontal="center"/>
    </xf>
    <xf numFmtId="43" fontId="10" fillId="3" borderId="31" xfId="1" applyFont="1" applyFill="1" applyBorder="1" applyAlignment="1">
      <alignment horizontal="right"/>
    </xf>
    <xf numFmtId="0" fontId="10" fillId="0" borderId="28" xfId="0" applyFont="1" applyBorder="1"/>
    <xf numFmtId="0" fontId="15" fillId="0" borderId="52" xfId="0" applyFont="1" applyBorder="1"/>
    <xf numFmtId="0" fontId="14" fillId="0" borderId="61" xfId="0" applyFont="1" applyBorder="1" applyAlignment="1">
      <alignment horizontal="center"/>
    </xf>
    <xf numFmtId="43" fontId="10" fillId="0" borderId="47" xfId="1" applyFont="1" applyBorder="1" applyAlignment="1">
      <alignment horizontal="center"/>
    </xf>
    <xf numFmtId="43" fontId="14" fillId="0" borderId="61" xfId="1" applyFont="1" applyBorder="1" applyAlignment="1">
      <alignment horizontal="center"/>
    </xf>
    <xf numFmtId="0" fontId="15" fillId="0" borderId="59" xfId="0" applyFont="1" applyBorder="1" applyAlignment="1"/>
    <xf numFmtId="0" fontId="15" fillId="0" borderId="62" xfId="0" applyFont="1" applyBorder="1" applyAlignment="1"/>
    <xf numFmtId="0" fontId="10" fillId="3" borderId="24" xfId="0" applyFont="1" applyFill="1" applyBorder="1"/>
    <xf numFmtId="43" fontId="14" fillId="3" borderId="24" xfId="1" applyFont="1" applyFill="1" applyBorder="1" applyAlignment="1">
      <alignment horizontal="center"/>
    </xf>
    <xf numFmtId="43" fontId="14" fillId="2" borderId="34" xfId="1" applyFont="1" applyFill="1" applyBorder="1" applyAlignment="1">
      <alignment horizontal="right"/>
    </xf>
    <xf numFmtId="0" fontId="10" fillId="3" borderId="26" xfId="0" applyFont="1" applyFill="1" applyBorder="1"/>
    <xf numFmtId="0" fontId="14" fillId="0" borderId="37" xfId="0" applyFont="1" applyBorder="1" applyAlignment="1">
      <alignment horizontal="center"/>
    </xf>
    <xf numFmtId="0" fontId="15" fillId="0" borderId="32" xfId="0" applyFont="1" applyBorder="1"/>
    <xf numFmtId="0" fontId="15" fillId="0" borderId="63" xfId="0" applyFont="1" applyBorder="1"/>
    <xf numFmtId="0" fontId="15" fillId="0" borderId="6" xfId="0" applyFont="1" applyBorder="1" applyAlignment="1"/>
    <xf numFmtId="0" fontId="16" fillId="0" borderId="64" xfId="0" applyFont="1" applyBorder="1"/>
    <xf numFmtId="43" fontId="14" fillId="0" borderId="65" xfId="1" applyFont="1" applyBorder="1" applyAlignment="1">
      <alignment horizontal="center"/>
    </xf>
    <xf numFmtId="43" fontId="14" fillId="0" borderId="65" xfId="1" applyFont="1" applyBorder="1" applyAlignment="1">
      <alignment horizontal="right"/>
    </xf>
    <xf numFmtId="0" fontId="10" fillId="0" borderId="66" xfId="0" applyFont="1" applyBorder="1" applyAlignment="1">
      <alignment horizontal="center"/>
    </xf>
    <xf numFmtId="0" fontId="0" fillId="0" borderId="0" xfId="0" applyAlignment="1">
      <alignment horizontal="left"/>
    </xf>
    <xf numFmtId="0" fontId="13" fillId="0" borderId="57" xfId="0" applyFont="1" applyBorder="1" applyAlignment="1">
      <alignment horizontal="center"/>
    </xf>
    <xf numFmtId="0" fontId="15" fillId="0" borderId="54" xfId="0" applyFont="1" applyBorder="1" applyAlignment="1">
      <alignment horizontal="left"/>
    </xf>
    <xf numFmtId="0" fontId="15" fillId="0" borderId="67" xfId="0" applyFont="1" applyBorder="1" applyAlignment="1">
      <alignment horizontal="left"/>
    </xf>
    <xf numFmtId="0" fontId="4" fillId="0" borderId="24" xfId="0" applyFont="1" applyBorder="1"/>
    <xf numFmtId="43" fontId="14" fillId="0" borderId="25" xfId="1" applyFont="1" applyFill="1" applyBorder="1" applyAlignment="1">
      <alignment horizontal="center"/>
    </xf>
    <xf numFmtId="43" fontId="14" fillId="0" borderId="28" xfId="1" applyFont="1" applyFill="1" applyBorder="1" applyAlignment="1">
      <alignment horizontal="center"/>
    </xf>
    <xf numFmtId="43" fontId="10" fillId="0" borderId="13" xfId="1" applyFont="1" applyBorder="1" applyAlignment="1">
      <alignment horizontal="right"/>
    </xf>
    <xf numFmtId="43" fontId="14" fillId="0" borderId="25" xfId="1" applyFont="1" applyBorder="1" applyAlignment="1">
      <alignment horizontal="center" vertical="justify"/>
    </xf>
    <xf numFmtId="43" fontId="10" fillId="0" borderId="31" xfId="1" applyFont="1" applyBorder="1" applyAlignment="1">
      <alignment horizontal="center" vertical="justify"/>
    </xf>
    <xf numFmtId="0" fontId="14" fillId="0" borderId="37" xfId="0" applyFont="1" applyBorder="1" applyAlignment="1">
      <alignment horizontal="center" vertical="justify"/>
    </xf>
    <xf numFmtId="43" fontId="14" fillId="0" borderId="37" xfId="1" applyFont="1" applyBorder="1" applyAlignment="1">
      <alignment horizontal="center" vertical="justify"/>
    </xf>
    <xf numFmtId="43" fontId="10" fillId="0" borderId="2" xfId="1" applyFont="1" applyBorder="1" applyAlignment="1">
      <alignment horizontal="center" vertical="justify"/>
    </xf>
    <xf numFmtId="43" fontId="14" fillId="0" borderId="31" xfId="1" applyFont="1" applyBorder="1" applyAlignment="1">
      <alignment horizontal="center" vertical="justify"/>
    </xf>
    <xf numFmtId="43" fontId="14" fillId="0" borderId="28" xfId="1" applyFont="1" applyBorder="1" applyAlignment="1">
      <alignment horizontal="center" vertical="justify"/>
    </xf>
    <xf numFmtId="0" fontId="15" fillId="0" borderId="66" xfId="0" applyFont="1" applyBorder="1"/>
    <xf numFmtId="0" fontId="10" fillId="0" borderId="66" xfId="0" applyFont="1" applyBorder="1"/>
    <xf numFmtId="43" fontId="14" fillId="0" borderId="46" xfId="1" applyFont="1" applyBorder="1" applyAlignment="1">
      <alignment horizontal="center" vertical="justify"/>
    </xf>
    <xf numFmtId="43" fontId="10" fillId="0" borderId="13" xfId="1" applyFont="1" applyBorder="1" applyAlignment="1">
      <alignment horizontal="center" vertical="justify"/>
    </xf>
    <xf numFmtId="166" fontId="0" fillId="0" borderId="0" xfId="0" applyNumberFormat="1"/>
    <xf numFmtId="43" fontId="14" fillId="3" borderId="26" xfId="1" applyFont="1" applyFill="1" applyBorder="1" applyAlignment="1">
      <alignment horizontal="center"/>
    </xf>
    <xf numFmtId="43" fontId="14" fillId="4" borderId="25" xfId="1" applyFont="1" applyFill="1" applyBorder="1" applyAlignment="1">
      <alignment horizontal="right"/>
    </xf>
    <xf numFmtId="0" fontId="0" fillId="4" borderId="0" xfId="0" applyFill="1"/>
    <xf numFmtId="43" fontId="14" fillId="4" borderId="28" xfId="1" applyFont="1" applyFill="1" applyBorder="1" applyAlignment="1">
      <alignment horizontal="right"/>
    </xf>
    <xf numFmtId="2" fontId="0" fillId="4" borderId="0" xfId="0" applyNumberFormat="1" applyFill="1"/>
    <xf numFmtId="0" fontId="0" fillId="4" borderId="0" xfId="0" applyFill="1" applyBorder="1"/>
    <xf numFmtId="43" fontId="14" fillId="0" borderId="46" xfId="1" applyFont="1" applyBorder="1" applyAlignment="1">
      <alignment horizontal="center"/>
    </xf>
    <xf numFmtId="0" fontId="0" fillId="0" borderId="0" xfId="0" applyAlignment="1">
      <alignment horizontal="right"/>
    </xf>
    <xf numFmtId="0" fontId="14" fillId="0" borderId="0" xfId="0" applyFont="1" applyBorder="1" applyAlignment="1">
      <alignment horizontal="center"/>
    </xf>
    <xf numFmtId="43" fontId="10" fillId="0" borderId="69" xfId="1" applyFont="1" applyBorder="1" applyAlignment="1">
      <alignment horizontal="right"/>
    </xf>
    <xf numFmtId="0" fontId="16" fillId="0" borderId="57" xfId="0" applyFont="1" applyBorder="1" applyAlignment="1"/>
    <xf numFmtId="43" fontId="14" fillId="4" borderId="34" xfId="1" applyFont="1" applyFill="1" applyBorder="1" applyAlignment="1">
      <alignment horizontal="center"/>
    </xf>
    <xf numFmtId="43" fontId="10" fillId="0" borderId="13" xfId="1" applyFont="1" applyBorder="1" applyAlignment="1">
      <alignment horizontal="center"/>
    </xf>
    <xf numFmtId="43" fontId="10" fillId="0" borderId="21" xfId="1" applyFont="1" applyBorder="1" applyAlignment="1">
      <alignment horizontal="center"/>
    </xf>
    <xf numFmtId="43" fontId="14" fillId="0" borderId="25" xfId="1" applyFont="1" applyBorder="1" applyAlignment="1">
      <alignment horizontal="right" vertical="center"/>
    </xf>
    <xf numFmtId="43" fontId="14" fillId="0" borderId="28" xfId="1" applyFont="1" applyBorder="1" applyAlignment="1"/>
    <xf numFmtId="43" fontId="10" fillId="0" borderId="40" xfId="1" applyFont="1" applyBorder="1" applyAlignment="1">
      <alignment horizontal="center"/>
    </xf>
    <xf numFmtId="0" fontId="15" fillId="0" borderId="70" xfId="0" applyFont="1" applyBorder="1" applyAlignment="1"/>
    <xf numFmtId="0" fontId="10" fillId="0" borderId="25" xfId="0" applyFont="1" applyBorder="1" applyAlignment="1">
      <alignment horizontal="center"/>
    </xf>
    <xf numFmtId="0" fontId="15" fillId="0" borderId="24" xfId="0" applyFont="1" applyBorder="1" applyAlignment="1"/>
    <xf numFmtId="0" fontId="8" fillId="0" borderId="0" xfId="0" applyFont="1"/>
    <xf numFmtId="0" fontId="2" fillId="0" borderId="0" xfId="0" applyFont="1"/>
    <xf numFmtId="43" fontId="14" fillId="4" borderId="25" xfId="1" applyFont="1" applyFill="1" applyBorder="1" applyAlignment="1">
      <alignment horizontal="center"/>
    </xf>
    <xf numFmtId="0" fontId="15" fillId="4" borderId="23" xfId="0" applyFont="1" applyFill="1" applyBorder="1"/>
    <xf numFmtId="43" fontId="14" fillId="4" borderId="28" xfId="1" applyFont="1" applyFill="1" applyBorder="1" applyAlignment="1">
      <alignment horizontal="center"/>
    </xf>
    <xf numFmtId="0" fontId="10" fillId="4" borderId="13" xfId="0" applyFont="1" applyFill="1" applyBorder="1" applyAlignment="1">
      <alignment horizontal="center"/>
    </xf>
    <xf numFmtId="0" fontId="10" fillId="4" borderId="24" xfId="0" applyFont="1" applyFill="1" applyBorder="1"/>
    <xf numFmtId="43" fontId="0" fillId="4" borderId="0" xfId="0" applyNumberFormat="1" applyFill="1"/>
    <xf numFmtId="43" fontId="14" fillId="6" borderId="25" xfId="1" applyFont="1" applyFill="1" applyBorder="1" applyAlignment="1">
      <alignment horizontal="center"/>
    </xf>
    <xf numFmtId="0" fontId="14" fillId="5" borderId="25" xfId="0" applyFont="1" applyFill="1" applyBorder="1" applyAlignment="1">
      <alignment horizontal="center"/>
    </xf>
    <xf numFmtId="0" fontId="14" fillId="5" borderId="34" xfId="0" applyFont="1" applyFill="1" applyBorder="1" applyAlignment="1">
      <alignment horizontal="center"/>
    </xf>
    <xf numFmtId="0" fontId="2" fillId="0" borderId="0" xfId="4"/>
    <xf numFmtId="0" fontId="4" fillId="0" borderId="0" xfId="4" applyFont="1"/>
    <xf numFmtId="0" fontId="2" fillId="0" borderId="1" xfId="4" applyBorder="1" applyAlignment="1">
      <alignment horizontal="center"/>
    </xf>
    <xf numFmtId="0" fontId="2" fillId="0" borderId="0" xfId="4" applyBorder="1"/>
    <xf numFmtId="0" fontId="2" fillId="0" borderId="49" xfId="4" applyFont="1" applyBorder="1"/>
    <xf numFmtId="0" fontId="2" fillId="0" borderId="6" xfId="4" applyBorder="1"/>
    <xf numFmtId="0" fontId="2" fillId="0" borderId="1" xfId="4" applyFont="1" applyBorder="1"/>
    <xf numFmtId="0" fontId="2" fillId="0" borderId="1" xfId="4" applyFont="1" applyBorder="1" applyAlignment="1">
      <alignment horizontal="center"/>
    </xf>
    <xf numFmtId="0" fontId="2" fillId="0" borderId="51" xfId="4" applyFont="1" applyBorder="1"/>
    <xf numFmtId="0" fontId="13" fillId="0" borderId="8" xfId="4" applyFont="1" applyBorder="1"/>
    <xf numFmtId="0" fontId="13" fillId="0" borderId="9" xfId="4" applyFont="1" applyBorder="1"/>
    <xf numFmtId="0" fontId="13" fillId="0" borderId="5" xfId="4" applyFont="1" applyBorder="1" applyAlignment="1">
      <alignment horizontal="left"/>
    </xf>
    <xf numFmtId="0" fontId="13" fillId="0" borderId="5" xfId="4" applyFont="1" applyBorder="1" applyAlignment="1">
      <alignment horizontal="center"/>
    </xf>
    <xf numFmtId="0" fontId="13" fillId="0" borderId="10" xfId="4" applyFont="1" applyBorder="1" applyAlignment="1">
      <alignment horizontal="center"/>
    </xf>
    <xf numFmtId="0" fontId="13" fillId="0" borderId="74" xfId="4" applyFont="1" applyBorder="1"/>
    <xf numFmtId="0" fontId="13" fillId="0" borderId="75" xfId="4" applyFont="1" applyBorder="1"/>
    <xf numFmtId="0" fontId="13" fillId="0" borderId="11" xfId="4" applyFont="1" applyBorder="1" applyAlignment="1">
      <alignment horizontal="center"/>
    </xf>
    <xf numFmtId="0" fontId="13" fillId="0" borderId="1" xfId="4" applyFont="1" applyBorder="1" applyAlignment="1">
      <alignment horizontal="center"/>
    </xf>
    <xf numFmtId="0" fontId="13" fillId="0" borderId="12" xfId="4" applyFont="1" applyBorder="1" applyAlignment="1">
      <alignment horizontal="center"/>
    </xf>
    <xf numFmtId="0" fontId="13" fillId="0" borderId="13" xfId="4" applyFont="1" applyBorder="1" applyAlignment="1">
      <alignment horizontal="center"/>
    </xf>
    <xf numFmtId="0" fontId="13" fillId="0" borderId="14" xfId="4" applyFont="1" applyBorder="1" applyAlignment="1">
      <alignment horizontal="center"/>
    </xf>
    <xf numFmtId="0" fontId="13" fillId="0" borderId="15" xfId="4" applyFont="1" applyBorder="1"/>
    <xf numFmtId="0" fontId="13" fillId="0" borderId="16" xfId="4" applyFont="1" applyBorder="1"/>
    <xf numFmtId="0" fontId="13" fillId="0" borderId="17" xfId="4" applyFont="1" applyBorder="1" applyAlignment="1">
      <alignment horizontal="center"/>
    </xf>
    <xf numFmtId="0" fontId="13" fillId="0" borderId="18" xfId="4" applyFont="1" applyBorder="1" applyAlignment="1">
      <alignment horizontal="center"/>
    </xf>
    <xf numFmtId="0" fontId="2" fillId="0" borderId="48" xfId="4" applyFont="1" applyBorder="1"/>
    <xf numFmtId="0" fontId="2" fillId="0" borderId="50" xfId="4" applyFont="1" applyBorder="1"/>
    <xf numFmtId="0" fontId="2" fillId="0" borderId="7" xfId="4" applyFont="1" applyBorder="1"/>
    <xf numFmtId="0" fontId="2" fillId="0" borderId="14" xfId="4" applyFont="1" applyBorder="1"/>
    <xf numFmtId="0" fontId="7" fillId="0" borderId="1" xfId="4" applyFont="1" applyBorder="1"/>
    <xf numFmtId="0" fontId="2" fillId="7" borderId="0" xfId="4" applyFill="1"/>
    <xf numFmtId="0" fontId="2" fillId="0" borderId="76" xfId="4" applyFont="1" applyBorder="1"/>
    <xf numFmtId="0" fontId="8" fillId="0" borderId="51" xfId="4" applyFont="1" applyBorder="1"/>
    <xf numFmtId="0" fontId="4" fillId="0" borderId="3" xfId="4" applyFont="1" applyBorder="1"/>
    <xf numFmtId="0" fontId="4" fillId="0" borderId="4" xfId="4" applyFont="1" applyBorder="1"/>
    <xf numFmtId="0" fontId="4" fillId="8" borderId="4" xfId="4" applyFont="1" applyFill="1" applyBorder="1"/>
    <xf numFmtId="0" fontId="2" fillId="0" borderId="2" xfId="4" applyBorder="1"/>
    <xf numFmtId="0" fontId="4" fillId="0" borderId="7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2" fillId="0" borderId="7" xfId="4" applyBorder="1" applyAlignment="1">
      <alignment horizontal="center"/>
    </xf>
    <xf numFmtId="0" fontId="4" fillId="0" borderId="11" xfId="4" applyFont="1" applyBorder="1" applyAlignment="1"/>
    <xf numFmtId="0" fontId="4" fillId="0" borderId="31" xfId="4" applyFont="1" applyBorder="1" applyAlignment="1">
      <alignment horizontal="center"/>
    </xf>
    <xf numFmtId="0" fontId="8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/>
    </xf>
    <xf numFmtId="0" fontId="2" fillId="0" borderId="11" xfId="4" applyBorder="1" applyAlignment="1">
      <alignment horizontal="center"/>
    </xf>
    <xf numFmtId="0" fontId="2" fillId="0" borderId="31" xfId="4" applyBorder="1" applyAlignment="1">
      <alignment horizontal="center"/>
    </xf>
    <xf numFmtId="0" fontId="23" fillId="0" borderId="1" xfId="4" applyFont="1" applyBorder="1" applyAlignment="1">
      <alignment horizontal="center"/>
    </xf>
    <xf numFmtId="0" fontId="24" fillId="0" borderId="1" xfId="4" applyFont="1" applyBorder="1"/>
    <xf numFmtId="0" fontId="23" fillId="0" borderId="11" xfId="4" applyFont="1" applyBorder="1" applyAlignment="1"/>
    <xf numFmtId="0" fontId="23" fillId="0" borderId="11" xfId="4" applyFont="1" applyBorder="1" applyAlignment="1">
      <alignment horizontal="center"/>
    </xf>
    <xf numFmtId="0" fontId="4" fillId="8" borderId="1" xfId="4" applyFont="1" applyFill="1" applyBorder="1" applyAlignment="1">
      <alignment horizontal="center"/>
    </xf>
    <xf numFmtId="0" fontId="4" fillId="2" borderId="1" xfId="4" applyFont="1" applyFill="1" applyBorder="1" applyAlignment="1">
      <alignment horizontal="center"/>
    </xf>
    <xf numFmtId="0" fontId="4" fillId="2" borderId="31" xfId="4" applyFont="1" applyFill="1" applyBorder="1" applyAlignment="1">
      <alignment horizontal="center"/>
    </xf>
    <xf numFmtId="1" fontId="4" fillId="0" borderId="19" xfId="4" applyNumberFormat="1" applyFont="1" applyBorder="1" applyAlignment="1">
      <alignment horizontal="center"/>
    </xf>
    <xf numFmtId="0" fontId="2" fillId="0" borderId="19" xfId="4" applyBorder="1" applyAlignment="1"/>
    <xf numFmtId="1" fontId="8" fillId="0" borderId="19" xfId="4" applyNumberFormat="1" applyFont="1" applyBorder="1" applyAlignment="1"/>
    <xf numFmtId="43" fontId="2" fillId="0" borderId="0" xfId="4" applyNumberFormat="1"/>
    <xf numFmtId="0" fontId="4" fillId="0" borderId="0" xfId="4" applyFont="1" applyAlignment="1"/>
    <xf numFmtId="164" fontId="0" fillId="0" borderId="0" xfId="0" applyNumberFormat="1"/>
    <xf numFmtId="0" fontId="15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/>
    </xf>
    <xf numFmtId="43" fontId="14" fillId="0" borderId="1" xfId="1" applyFont="1" applyBorder="1" applyAlignment="1">
      <alignment horizontal="center"/>
    </xf>
    <xf numFmtId="43" fontId="14" fillId="4" borderId="1" xfId="1" applyFont="1" applyFill="1" applyBorder="1" applyAlignment="1">
      <alignment horizontal="right"/>
    </xf>
    <xf numFmtId="43" fontId="14" fillId="4" borderId="51" xfId="1" applyFont="1" applyFill="1" applyBorder="1" applyAlignment="1">
      <alignment horizontal="right"/>
    </xf>
    <xf numFmtId="0" fontId="0" fillId="0" borderId="6" xfId="0" applyBorder="1"/>
    <xf numFmtId="0" fontId="26" fillId="0" borderId="0" xfId="4" applyFont="1" applyAlignment="1">
      <alignment horizontal="center"/>
    </xf>
    <xf numFmtId="0" fontId="27" fillId="0" borderId="0" xfId="5" applyAlignment="1" applyProtection="1"/>
    <xf numFmtId="0" fontId="2" fillId="0" borderId="0" xfId="4" applyAlignment="1">
      <alignment horizontal="center"/>
    </xf>
    <xf numFmtId="2" fontId="2" fillId="0" borderId="0" xfId="4" applyNumberFormat="1" applyAlignment="1">
      <alignment horizontal="center"/>
    </xf>
    <xf numFmtId="165" fontId="2" fillId="0" borderId="0" xfId="4" applyNumberFormat="1" applyAlignment="1">
      <alignment horizontal="center"/>
    </xf>
    <xf numFmtId="2" fontId="2" fillId="0" borderId="0" xfId="4" applyNumberFormat="1"/>
    <xf numFmtId="165" fontId="2" fillId="0" borderId="0" xfId="4" applyNumberFormat="1"/>
    <xf numFmtId="0" fontId="2" fillId="0" borderId="0" xfId="4" applyFont="1"/>
    <xf numFmtId="1" fontId="2" fillId="0" borderId="0" xfId="4" applyNumberFormat="1" applyAlignment="1">
      <alignment horizontal="center"/>
    </xf>
    <xf numFmtId="0" fontId="12" fillId="0" borderId="0" xfId="4" applyFont="1"/>
    <xf numFmtId="2" fontId="12" fillId="0" borderId="0" xfId="4" applyNumberFormat="1" applyFont="1" applyAlignment="1">
      <alignment horizontal="center"/>
    </xf>
    <xf numFmtId="0" fontId="2" fillId="4" borderId="0" xfId="4" applyFill="1"/>
    <xf numFmtId="0" fontId="2" fillId="4" borderId="0" xfId="4" applyFill="1" applyAlignment="1">
      <alignment horizontal="left"/>
    </xf>
    <xf numFmtId="0" fontId="10" fillId="4" borderId="25" xfId="4" applyFont="1" applyFill="1" applyBorder="1" applyAlignment="1">
      <alignment horizontal="left"/>
    </xf>
    <xf numFmtId="0" fontId="14" fillId="4" borderId="25" xfId="4" applyFont="1" applyFill="1" applyBorder="1"/>
    <xf numFmtId="0" fontId="14" fillId="4" borderId="25" xfId="4" applyFont="1" applyFill="1" applyBorder="1" applyAlignment="1">
      <alignment horizontal="center"/>
    </xf>
    <xf numFmtId="0" fontId="14" fillId="4" borderId="25" xfId="4" applyFont="1" applyFill="1" applyBorder="1" applyAlignment="1">
      <alignment horizontal="left"/>
    </xf>
    <xf numFmtId="0" fontId="2" fillId="4" borderId="0" xfId="4" applyFill="1" applyBorder="1"/>
    <xf numFmtId="0" fontId="15" fillId="4" borderId="25" xfId="4" applyFont="1" applyFill="1" applyBorder="1" applyAlignment="1">
      <alignment horizontal="center"/>
    </xf>
    <xf numFmtId="0" fontId="15" fillId="4" borderId="25" xfId="4" applyFont="1" applyFill="1" applyBorder="1" applyAlignment="1">
      <alignment horizontal="left"/>
    </xf>
    <xf numFmtId="43" fontId="2" fillId="4" borderId="0" xfId="4" applyNumberFormat="1" applyFill="1"/>
    <xf numFmtId="0" fontId="2" fillId="4" borderId="13" xfId="4" applyFill="1" applyBorder="1"/>
    <xf numFmtId="43" fontId="2" fillId="4" borderId="1" xfId="4" applyNumberFormat="1" applyFill="1" applyBorder="1"/>
    <xf numFmtId="43" fontId="14" fillId="4" borderId="25" xfId="1" applyFont="1" applyFill="1" applyBorder="1" applyAlignment="1"/>
    <xf numFmtId="43" fontId="10" fillId="4" borderId="25" xfId="1" applyFont="1" applyFill="1" applyBorder="1" applyAlignment="1">
      <alignment horizontal="center"/>
    </xf>
    <xf numFmtId="43" fontId="4" fillId="4" borderId="68" xfId="4" applyNumberFormat="1" applyFont="1" applyFill="1" applyBorder="1"/>
    <xf numFmtId="43" fontId="4" fillId="4" borderId="1" xfId="4" applyNumberFormat="1" applyFont="1" applyFill="1" applyBorder="1"/>
    <xf numFmtId="0" fontId="14" fillId="4" borderId="25" xfId="4" applyFont="1" applyFill="1" applyBorder="1" applyAlignment="1"/>
    <xf numFmtId="43" fontId="4" fillId="4" borderId="77" xfId="4" applyNumberFormat="1" applyFont="1" applyFill="1" applyBorder="1"/>
    <xf numFmtId="167" fontId="14" fillId="4" borderId="25" xfId="1" applyNumberFormat="1" applyFont="1" applyFill="1" applyBorder="1" applyAlignment="1">
      <alignment horizontal="center"/>
    </xf>
    <xf numFmtId="43" fontId="14" fillId="4" borderId="25" xfId="4" applyNumberFormat="1" applyFont="1" applyFill="1" applyBorder="1" applyAlignment="1">
      <alignment horizontal="center"/>
    </xf>
    <xf numFmtId="0" fontId="2" fillId="4" borderId="0" xfId="4" applyFont="1" applyFill="1"/>
    <xf numFmtId="0" fontId="15" fillId="4" borderId="42" xfId="4" applyFont="1" applyFill="1" applyBorder="1" applyAlignment="1">
      <alignment horizontal="center"/>
    </xf>
    <xf numFmtId="0" fontId="14" fillId="4" borderId="43" xfId="4" applyFont="1" applyFill="1" applyBorder="1" applyAlignment="1">
      <alignment horizontal="center"/>
    </xf>
    <xf numFmtId="43" fontId="14" fillId="4" borderId="81" xfId="4" applyNumberFormat="1" applyFont="1" applyFill="1" applyBorder="1" applyAlignment="1">
      <alignment horizontal="center"/>
    </xf>
    <xf numFmtId="0" fontId="14" fillId="4" borderId="82" xfId="4" applyFont="1" applyFill="1" applyBorder="1" applyAlignment="1">
      <alignment horizontal="center"/>
    </xf>
    <xf numFmtId="0" fontId="14" fillId="4" borderId="81" xfId="4" applyFont="1" applyFill="1" applyBorder="1" applyAlignment="1">
      <alignment horizontal="center"/>
    </xf>
    <xf numFmtId="0" fontId="14" fillId="4" borderId="44" xfId="4" applyFont="1" applyFill="1" applyBorder="1" applyAlignment="1">
      <alignment horizontal="center"/>
    </xf>
    <xf numFmtId="167" fontId="2" fillId="4" borderId="0" xfId="4" applyNumberFormat="1" applyFill="1"/>
    <xf numFmtId="2" fontId="4" fillId="4" borderId="0" xfId="4" applyNumberFormat="1" applyFont="1" applyFill="1"/>
    <xf numFmtId="0" fontId="14" fillId="0" borderId="0" xfId="4" applyFont="1"/>
    <xf numFmtId="0" fontId="10" fillId="0" borderId="52" xfId="4" applyFont="1" applyBorder="1" applyAlignment="1"/>
    <xf numFmtId="0" fontId="10" fillId="0" borderId="38" xfId="4" applyFont="1" applyBorder="1" applyAlignment="1">
      <alignment horizontal="right"/>
    </xf>
    <xf numFmtId="0" fontId="10" fillId="0" borderId="53" xfId="4" applyFont="1" applyBorder="1" applyAlignment="1">
      <alignment horizontal="right"/>
    </xf>
    <xf numFmtId="0" fontId="10" fillId="0" borderId="85" xfId="4" applyFont="1" applyBorder="1" applyAlignment="1">
      <alignment horizontal="right"/>
    </xf>
    <xf numFmtId="0" fontId="10" fillId="0" borderId="85" xfId="4" applyFont="1" applyBorder="1" applyAlignment="1">
      <alignment horizontal="center"/>
    </xf>
    <xf numFmtId="0" fontId="10" fillId="0" borderId="45" xfId="4" applyFont="1" applyBorder="1" applyAlignment="1">
      <alignment horizontal="right"/>
    </xf>
    <xf numFmtId="0" fontId="10" fillId="0" borderId="86" xfId="4" applyFont="1" applyFill="1" applyBorder="1" applyAlignment="1">
      <alignment horizontal="right"/>
    </xf>
    <xf numFmtId="0" fontId="15" fillId="0" borderId="36" xfId="4" applyFont="1" applyBorder="1" applyAlignment="1"/>
    <xf numFmtId="0" fontId="15" fillId="0" borderId="54" xfId="4" applyFont="1" applyBorder="1" applyAlignment="1"/>
    <xf numFmtId="0" fontId="15" fillId="0" borderId="87" xfId="4" applyFont="1" applyBorder="1" applyAlignment="1"/>
    <xf numFmtId="0" fontId="14" fillId="0" borderId="34" xfId="4" applyFont="1" applyBorder="1" applyAlignment="1"/>
    <xf numFmtId="0" fontId="14" fillId="0" borderId="33" xfId="4" applyFont="1" applyBorder="1" applyAlignment="1"/>
    <xf numFmtId="0" fontId="14" fillId="0" borderId="35" xfId="4" applyFont="1" applyBorder="1"/>
    <xf numFmtId="0" fontId="15" fillId="0" borderId="23" xfId="4" applyFont="1" applyBorder="1" applyAlignment="1"/>
    <xf numFmtId="0" fontId="14" fillId="0" borderId="25" xfId="4" applyFont="1" applyBorder="1" applyAlignment="1"/>
    <xf numFmtId="0" fontId="10" fillId="0" borderId="33" xfId="4" applyFont="1" applyBorder="1" applyAlignment="1">
      <alignment horizontal="center"/>
    </xf>
    <xf numFmtId="0" fontId="10" fillId="0" borderId="34" xfId="4" applyFont="1" applyBorder="1" applyAlignment="1">
      <alignment horizontal="center"/>
    </xf>
    <xf numFmtId="0" fontId="14" fillId="0" borderId="31" xfId="4" applyFont="1" applyBorder="1"/>
    <xf numFmtId="43" fontId="14" fillId="0" borderId="32" xfId="1" applyFont="1" applyBorder="1" applyAlignment="1"/>
    <xf numFmtId="43" fontId="14" fillId="0" borderId="25" xfId="1" applyFont="1" applyBorder="1" applyAlignment="1"/>
    <xf numFmtId="43" fontId="14" fillId="0" borderId="25" xfId="4" applyNumberFormat="1" applyFont="1" applyBorder="1" applyAlignment="1"/>
    <xf numFmtId="43" fontId="14" fillId="0" borderId="13" xfId="4" applyNumberFormat="1" applyFont="1" applyBorder="1" applyAlignment="1"/>
    <xf numFmtId="43" fontId="10" fillId="0" borderId="31" xfId="4" applyNumberFormat="1" applyFont="1" applyBorder="1"/>
    <xf numFmtId="0" fontId="15" fillId="0" borderId="27" xfId="4" applyFont="1" applyBorder="1" applyAlignment="1"/>
    <xf numFmtId="0" fontId="10" fillId="3" borderId="39" xfId="4" applyFont="1" applyFill="1" applyBorder="1" applyAlignment="1">
      <alignment horizontal="left"/>
    </xf>
    <xf numFmtId="0" fontId="14" fillId="3" borderId="33" xfId="4" applyFont="1" applyFill="1" applyBorder="1" applyAlignment="1">
      <alignment horizontal="left"/>
    </xf>
    <xf numFmtId="43" fontId="14" fillId="0" borderId="1" xfId="1" applyFont="1" applyBorder="1" applyAlignment="1"/>
    <xf numFmtId="0" fontId="15" fillId="0" borderId="42" xfId="4" applyFont="1" applyBorder="1" applyAlignment="1"/>
    <xf numFmtId="0" fontId="14" fillId="3" borderId="82" xfId="4" applyFont="1" applyFill="1" applyBorder="1" applyAlignment="1">
      <alignment horizontal="left"/>
    </xf>
    <xf numFmtId="0" fontId="14" fillId="3" borderId="81" xfId="4" applyFont="1" applyFill="1" applyBorder="1" applyAlignment="1">
      <alignment horizontal="left"/>
    </xf>
    <xf numFmtId="43" fontId="14" fillId="0" borderId="0" xfId="4" applyNumberFormat="1" applyFont="1"/>
    <xf numFmtId="0" fontId="15" fillId="0" borderId="63" xfId="4" applyFont="1" applyBorder="1" applyAlignment="1"/>
    <xf numFmtId="43" fontId="10" fillId="0" borderId="46" xfId="1" applyFont="1" applyBorder="1" applyAlignment="1"/>
    <xf numFmtId="0" fontId="14" fillId="0" borderId="6" xfId="4" applyFont="1" applyBorder="1"/>
    <xf numFmtId="0" fontId="14" fillId="0" borderId="0" xfId="4" applyFont="1" applyBorder="1"/>
    <xf numFmtId="43" fontId="14" fillId="0" borderId="0" xfId="4" applyNumberFormat="1" applyFont="1" applyBorder="1"/>
    <xf numFmtId="166" fontId="14" fillId="0" borderId="0" xfId="4" applyNumberFormat="1" applyFont="1" applyBorder="1"/>
    <xf numFmtId="0" fontId="14" fillId="0" borderId="2" xfId="4" applyFont="1" applyBorder="1"/>
    <xf numFmtId="164" fontId="14" fillId="0" borderId="0" xfId="4" applyNumberFormat="1" applyFont="1" applyBorder="1"/>
    <xf numFmtId="0" fontId="14" fillId="0" borderId="20" xfId="4" applyFont="1" applyBorder="1"/>
    <xf numFmtId="0" fontId="14" fillId="0" borderId="21" xfId="4" applyFont="1" applyBorder="1"/>
    <xf numFmtId="43" fontId="10" fillId="0" borderId="21" xfId="4" applyNumberFormat="1" applyFont="1" applyBorder="1"/>
    <xf numFmtId="166" fontId="14" fillId="0" borderId="21" xfId="4" applyNumberFormat="1" applyFont="1" applyBorder="1"/>
    <xf numFmtId="166" fontId="14" fillId="0" borderId="22" xfId="4" applyNumberFormat="1" applyFont="1" applyBorder="1"/>
    <xf numFmtId="0" fontId="14" fillId="0" borderId="22" xfId="4" applyFont="1" applyBorder="1"/>
    <xf numFmtId="0" fontId="15" fillId="4" borderId="1" xfId="0" applyFont="1" applyFill="1" applyBorder="1"/>
    <xf numFmtId="0" fontId="14" fillId="4" borderId="1" xfId="0" applyFont="1" applyFill="1" applyBorder="1"/>
    <xf numFmtId="43" fontId="14" fillId="4" borderId="1" xfId="1" applyFont="1" applyFill="1" applyBorder="1" applyAlignment="1">
      <alignment horizontal="center"/>
    </xf>
    <xf numFmtId="2" fontId="14" fillId="4" borderId="1" xfId="0" applyNumberFormat="1" applyFont="1" applyFill="1" applyBorder="1" applyAlignment="1">
      <alignment horizontal="center"/>
    </xf>
    <xf numFmtId="0" fontId="14" fillId="4" borderId="16" xfId="0" applyFont="1" applyFill="1" applyBorder="1"/>
    <xf numFmtId="43" fontId="14" fillId="4" borderId="51" xfId="1" applyFont="1" applyFill="1" applyBorder="1" applyAlignment="1">
      <alignment horizontal="center"/>
    </xf>
    <xf numFmtId="43" fontId="14" fillId="4" borderId="16" xfId="1" applyFont="1" applyFill="1" applyBorder="1" applyAlignment="1">
      <alignment horizontal="right"/>
    </xf>
    <xf numFmtId="2" fontId="0" fillId="4" borderId="0" xfId="0" applyNumberFormat="1" applyFill="1" applyAlignment="1">
      <alignment horizontal="center"/>
    </xf>
    <xf numFmtId="0" fontId="0" fillId="4" borderId="0" xfId="0" applyFill="1" applyAlignment="1">
      <alignment horizontal="center"/>
    </xf>
    <xf numFmtId="165" fontId="0" fillId="4" borderId="0" xfId="0" applyNumberFormat="1" applyFill="1"/>
    <xf numFmtId="0" fontId="10" fillId="0" borderId="46" xfId="0" applyFont="1" applyBorder="1" applyAlignment="1">
      <alignment horizontal="center"/>
    </xf>
    <xf numFmtId="43" fontId="10" fillId="0" borderId="46" xfId="0" applyNumberFormat="1" applyFont="1" applyBorder="1" applyAlignment="1">
      <alignment horizontal="center"/>
    </xf>
    <xf numFmtId="0" fontId="10" fillId="0" borderId="26" xfId="0" applyFont="1" applyBorder="1"/>
    <xf numFmtId="0" fontId="10" fillId="0" borderId="12" xfId="0" applyFont="1" applyBorder="1"/>
    <xf numFmtId="0" fontId="15" fillId="0" borderId="89" xfId="0" applyFont="1" applyBorder="1"/>
    <xf numFmtId="0" fontId="10" fillId="0" borderId="43" xfId="0" applyFont="1" applyBorder="1"/>
    <xf numFmtId="43" fontId="10" fillId="0" borderId="88" xfId="0" applyNumberFormat="1" applyFont="1" applyBorder="1" applyAlignment="1">
      <alignment horizontal="center"/>
    </xf>
    <xf numFmtId="43" fontId="10" fillId="4" borderId="31" xfId="1" applyFont="1" applyFill="1" applyBorder="1" applyAlignment="1">
      <alignment horizontal="right"/>
    </xf>
    <xf numFmtId="0" fontId="10" fillId="4" borderId="26" xfId="0" applyFont="1" applyFill="1" applyBorder="1"/>
    <xf numFmtId="43" fontId="10" fillId="4" borderId="47" xfId="1" applyFont="1" applyFill="1" applyBorder="1" applyAlignment="1">
      <alignment horizontal="right"/>
    </xf>
    <xf numFmtId="0" fontId="10" fillId="0" borderId="0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>
      <alignment horizontal="left"/>
    </xf>
    <xf numFmtId="0" fontId="14" fillId="4" borderId="1" xfId="0" applyFont="1" applyFill="1" applyBorder="1" applyAlignment="1">
      <alignment horizontal="left"/>
    </xf>
    <xf numFmtId="43" fontId="14" fillId="0" borderId="1" xfId="1" applyFont="1" applyBorder="1" applyAlignment="1">
      <alignment horizontal="right"/>
    </xf>
    <xf numFmtId="43" fontId="10" fillId="0" borderId="1" xfId="1" applyFont="1" applyBorder="1" applyAlignment="1">
      <alignment horizontal="right"/>
    </xf>
    <xf numFmtId="43" fontId="10" fillId="0" borderId="1" xfId="1" applyFont="1" applyBorder="1" applyAlignment="1">
      <alignment horizontal="center"/>
    </xf>
    <xf numFmtId="0" fontId="14" fillId="0" borderId="1" xfId="0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0" fontId="14" fillId="0" borderId="49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3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75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94" xfId="0" applyFont="1" applyBorder="1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4" fillId="0" borderId="9" xfId="0" applyFont="1" applyBorder="1" applyAlignment="1">
      <alignment horizontal="center"/>
    </xf>
    <xf numFmtId="0" fontId="14" fillId="0" borderId="51" xfId="0" applyFont="1" applyBorder="1" applyAlignment="1">
      <alignment horizontal="center"/>
    </xf>
    <xf numFmtId="0" fontId="15" fillId="0" borderId="49" xfId="0" applyFont="1" applyBorder="1" applyAlignment="1">
      <alignment horizontal="center"/>
    </xf>
    <xf numFmtId="0" fontId="15" fillId="0" borderId="49" xfId="0" applyFont="1" applyBorder="1" applyAlignment="1">
      <alignment horizontal="left"/>
    </xf>
    <xf numFmtId="43" fontId="14" fillId="0" borderId="49" xfId="1" applyFont="1" applyBorder="1" applyAlignment="1">
      <alignment horizontal="center"/>
    </xf>
    <xf numFmtId="0" fontId="14" fillId="0" borderId="3" xfId="0" applyFont="1" applyBorder="1"/>
    <xf numFmtId="0" fontId="14" fillId="0" borderId="4" xfId="0" applyFont="1" applyBorder="1" applyAlignment="1">
      <alignment horizontal="center"/>
    </xf>
    <xf numFmtId="0" fontId="10" fillId="0" borderId="92" xfId="0" applyFont="1" applyBorder="1" applyAlignment="1">
      <alignment horizontal="center"/>
    </xf>
    <xf numFmtId="0" fontId="14" fillId="0" borderId="90" xfId="0" applyFont="1" applyBorder="1" applyAlignment="1">
      <alignment horizontal="center"/>
    </xf>
    <xf numFmtId="0" fontId="14" fillId="0" borderId="92" xfId="0" applyFont="1" applyBorder="1"/>
    <xf numFmtId="0" fontId="10" fillId="0" borderId="77" xfId="0" applyFont="1" applyBorder="1" applyAlignment="1">
      <alignment horizontal="center"/>
    </xf>
    <xf numFmtId="0" fontId="14" fillId="0" borderId="94" xfId="0" applyFont="1" applyBorder="1" applyAlignment="1"/>
    <xf numFmtId="0" fontId="10" fillId="0" borderId="96" xfId="0" applyFont="1" applyBorder="1" applyAlignment="1">
      <alignment horizontal="center"/>
    </xf>
    <xf numFmtId="0" fontId="10" fillId="0" borderId="98" xfId="0" applyFont="1" applyBorder="1" applyAlignment="1">
      <alignment horizontal="center"/>
    </xf>
    <xf numFmtId="0" fontId="10" fillId="0" borderId="99" xfId="0" applyFont="1" applyBorder="1" applyAlignment="1">
      <alignment horizontal="center"/>
    </xf>
    <xf numFmtId="0" fontId="10" fillId="0" borderId="73" xfId="0" applyFont="1" applyBorder="1" applyAlignment="1">
      <alignment horizontal="center"/>
    </xf>
    <xf numFmtId="0" fontId="10" fillId="4" borderId="77" xfId="0" applyFont="1" applyFill="1" applyBorder="1"/>
    <xf numFmtId="0" fontId="10" fillId="4" borderId="77" xfId="0" applyFont="1" applyFill="1" applyBorder="1" applyAlignment="1">
      <alignment horizontal="center"/>
    </xf>
    <xf numFmtId="0" fontId="15" fillId="4" borderId="91" xfId="0" applyFont="1" applyFill="1" applyBorder="1" applyAlignment="1">
      <alignment horizontal="center"/>
    </xf>
    <xf numFmtId="0" fontId="15" fillId="4" borderId="71" xfId="0" applyFont="1" applyFill="1" applyBorder="1"/>
    <xf numFmtId="2" fontId="14" fillId="4" borderId="1" xfId="0" applyNumberFormat="1" applyFont="1" applyFill="1" applyBorder="1" applyAlignment="1">
      <alignment horizontal="right"/>
    </xf>
    <xf numFmtId="43" fontId="10" fillId="4" borderId="1" xfId="1" applyFont="1" applyFill="1" applyBorder="1" applyAlignment="1">
      <alignment horizontal="right"/>
    </xf>
    <xf numFmtId="0" fontId="14" fillId="4" borderId="1" xfId="0" applyFont="1" applyFill="1" applyBorder="1" applyAlignment="1">
      <alignment horizontal="right"/>
    </xf>
    <xf numFmtId="43" fontId="10" fillId="4" borderId="1" xfId="0" applyNumberFormat="1" applyFont="1" applyFill="1" applyBorder="1" applyAlignment="1">
      <alignment horizontal="center"/>
    </xf>
    <xf numFmtId="0" fontId="10" fillId="4" borderId="1" xfId="0" applyFont="1" applyFill="1" applyBorder="1"/>
    <xf numFmtId="0" fontId="15" fillId="4" borderId="49" xfId="0" applyFont="1" applyFill="1" applyBorder="1"/>
    <xf numFmtId="0" fontId="15" fillId="4" borderId="92" xfId="0" applyFont="1" applyFill="1" applyBorder="1"/>
    <xf numFmtId="43" fontId="10" fillId="4" borderId="51" xfId="1" applyFont="1" applyFill="1" applyBorder="1" applyAlignment="1">
      <alignment horizontal="right"/>
    </xf>
    <xf numFmtId="43" fontId="10" fillId="4" borderId="100" xfId="1" applyFont="1" applyFill="1" applyBorder="1" applyAlignment="1">
      <alignment horizontal="right"/>
    </xf>
    <xf numFmtId="43" fontId="10" fillId="4" borderId="3" xfId="1" applyFont="1" applyFill="1" applyBorder="1" applyAlignment="1">
      <alignment horizontal="right"/>
    </xf>
    <xf numFmtId="43" fontId="10" fillId="4" borderId="60" xfId="1" applyFont="1" applyFill="1" applyBorder="1" applyAlignment="1">
      <alignment horizontal="right"/>
    </xf>
    <xf numFmtId="0" fontId="15" fillId="4" borderId="17" xfId="0" applyFont="1" applyFill="1" applyBorder="1" applyAlignment="1">
      <alignment horizontal="center"/>
    </xf>
    <xf numFmtId="0" fontId="15" fillId="4" borderId="4" xfId="0" applyFont="1" applyFill="1" applyBorder="1" applyAlignment="1">
      <alignment horizontal="center"/>
    </xf>
    <xf numFmtId="0" fontId="10" fillId="4" borderId="4" xfId="0" applyFont="1" applyFill="1" applyBorder="1"/>
    <xf numFmtId="0" fontId="14" fillId="4" borderId="49" xfId="0" applyFont="1" applyFill="1" applyBorder="1"/>
    <xf numFmtId="43" fontId="14" fillId="4" borderId="9" xfId="1" applyFont="1" applyFill="1" applyBorder="1" applyAlignment="1">
      <alignment horizontal="center"/>
    </xf>
    <xf numFmtId="43" fontId="14" fillId="4" borderId="49" xfId="1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4" borderId="95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0" fillId="0" borderId="61" xfId="0" applyBorder="1"/>
    <xf numFmtId="0" fontId="10" fillId="4" borderId="25" xfId="4" applyFont="1" applyFill="1" applyBorder="1" applyAlignment="1">
      <alignment horizontal="center"/>
    </xf>
    <xf numFmtId="0" fontId="14" fillId="0" borderId="13" xfId="4" applyFont="1" applyBorder="1" applyAlignment="1"/>
    <xf numFmtId="0" fontId="14" fillId="0" borderId="1" xfId="4" applyFont="1" applyBorder="1" applyAlignment="1"/>
    <xf numFmtId="0" fontId="15" fillId="0" borderId="24" xfId="4" applyFont="1" applyBorder="1" applyAlignment="1">
      <alignment horizontal="left"/>
    </xf>
    <xf numFmtId="0" fontId="15" fillId="0" borderId="13" xfId="4" applyFont="1" applyBorder="1" applyAlignment="1"/>
    <xf numFmtId="0" fontId="15" fillId="0" borderId="55" xfId="4" applyFont="1" applyBorder="1" applyAlignment="1">
      <alignment horizontal="left"/>
    </xf>
    <xf numFmtId="0" fontId="14" fillId="0" borderId="55" xfId="4" applyFont="1" applyBorder="1" applyAlignment="1">
      <alignment horizontal="left"/>
    </xf>
    <xf numFmtId="0" fontId="14" fillId="0" borderId="24" xfId="4" applyFont="1" applyBorder="1" applyAlignment="1"/>
    <xf numFmtId="0" fontId="15" fillId="0" borderId="51" xfId="0" applyFont="1" applyBorder="1" applyAlignment="1">
      <alignment horizontal="center"/>
    </xf>
    <xf numFmtId="0" fontId="15" fillId="0" borderId="94" xfId="0" applyFont="1" applyBorder="1" applyAlignment="1">
      <alignment horizontal="center"/>
    </xf>
    <xf numFmtId="0" fontId="14" fillId="0" borderId="51" xfId="0" applyFont="1" applyBorder="1" applyAlignment="1">
      <alignment horizontal="left"/>
    </xf>
    <xf numFmtId="43" fontId="14" fillId="0" borderId="51" xfId="1" applyFont="1" applyBorder="1" applyAlignment="1">
      <alignment horizontal="right"/>
    </xf>
    <xf numFmtId="43" fontId="14" fillId="0" borderId="51" xfId="1" applyFont="1" applyBorder="1" applyAlignment="1">
      <alignment horizontal="center"/>
    </xf>
    <xf numFmtId="43" fontId="10" fillId="0" borderId="51" xfId="1" applyFont="1" applyBorder="1" applyAlignment="1">
      <alignment horizontal="right"/>
    </xf>
    <xf numFmtId="43" fontId="14" fillId="0" borderId="49" xfId="1" applyFont="1" applyBorder="1" applyAlignment="1">
      <alignment horizontal="right"/>
    </xf>
    <xf numFmtId="0" fontId="14" fillId="0" borderId="49" xfId="0" applyFont="1" applyBorder="1" applyAlignment="1">
      <alignment horizontal="right"/>
    </xf>
    <xf numFmtId="43" fontId="10" fillId="0" borderId="49" xfId="1" applyFont="1" applyBorder="1" applyAlignment="1">
      <alignment horizontal="right"/>
    </xf>
    <xf numFmtId="43" fontId="10" fillId="0" borderId="77" xfId="1" applyFont="1" applyBorder="1" applyAlignment="1">
      <alignment horizontal="center"/>
    </xf>
    <xf numFmtId="43" fontId="10" fillId="0" borderId="53" xfId="1" applyFont="1" applyBorder="1" applyAlignment="1">
      <alignment horizontal="center"/>
    </xf>
    <xf numFmtId="43" fontId="10" fillId="0" borderId="60" xfId="1" applyFont="1" applyBorder="1" applyAlignment="1">
      <alignment horizontal="center"/>
    </xf>
    <xf numFmtId="43" fontId="10" fillId="0" borderId="68" xfId="1" applyFont="1" applyBorder="1" applyAlignment="1">
      <alignment horizontal="center"/>
    </xf>
    <xf numFmtId="0" fontId="15" fillId="0" borderId="16" xfId="0" applyFont="1" applyBorder="1" applyAlignment="1">
      <alignment horizontal="center"/>
    </xf>
    <xf numFmtId="0" fontId="10" fillId="0" borderId="51" xfId="0" applyFont="1" applyBorder="1" applyAlignment="1">
      <alignment horizontal="center"/>
    </xf>
    <xf numFmtId="0" fontId="10" fillId="0" borderId="51" xfId="0" applyFont="1" applyBorder="1" applyAlignment="1">
      <alignment horizontal="right"/>
    </xf>
    <xf numFmtId="43" fontId="10" fillId="0" borderId="51" xfId="1" applyFont="1" applyBorder="1" applyAlignment="1">
      <alignment horizontal="center"/>
    </xf>
    <xf numFmtId="0" fontId="10" fillId="0" borderId="3" xfId="0" applyFont="1" applyBorder="1" applyAlignment="1">
      <alignment horizontal="left"/>
    </xf>
    <xf numFmtId="0" fontId="10" fillId="0" borderId="94" xfId="0" applyFont="1" applyBorder="1" applyAlignment="1">
      <alignment horizontal="left"/>
    </xf>
    <xf numFmtId="0" fontId="15" fillId="0" borderId="77" xfId="0" applyFont="1" applyBorder="1" applyAlignment="1">
      <alignment horizontal="center"/>
    </xf>
    <xf numFmtId="43" fontId="10" fillId="0" borderId="60" xfId="1" applyFont="1" applyBorder="1" applyAlignment="1">
      <alignment horizontal="right"/>
    </xf>
    <xf numFmtId="43" fontId="10" fillId="0" borderId="77" xfId="1" applyFont="1" applyBorder="1" applyAlignment="1">
      <alignment horizontal="right"/>
    </xf>
    <xf numFmtId="43" fontId="10" fillId="0" borderId="53" xfId="1" applyFont="1" applyBorder="1" applyAlignment="1">
      <alignment horizontal="right"/>
    </xf>
    <xf numFmtId="43" fontId="10" fillId="0" borderId="68" xfId="1" applyFont="1" applyBorder="1" applyAlignment="1">
      <alignment horizontal="right"/>
    </xf>
    <xf numFmtId="0" fontId="10" fillId="0" borderId="49" xfId="0" applyFont="1" applyBorder="1" applyAlignment="1">
      <alignment horizontal="center"/>
    </xf>
    <xf numFmtId="43" fontId="10" fillId="4" borderId="1" xfId="1" applyFont="1" applyFill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0" fontId="10" fillId="0" borderId="1" xfId="0" applyFont="1" applyBorder="1"/>
    <xf numFmtId="0" fontId="10" fillId="0" borderId="1" xfId="0" applyFont="1" applyBorder="1" applyAlignment="1"/>
    <xf numFmtId="0" fontId="15" fillId="0" borderId="1" xfId="0" applyFont="1" applyBorder="1"/>
    <xf numFmtId="0" fontId="14" fillId="0" borderId="1" xfId="0" applyFont="1" applyBorder="1"/>
    <xf numFmtId="43" fontId="10" fillId="4" borderId="1" xfId="0" applyNumberFormat="1" applyFont="1" applyFill="1" applyBorder="1"/>
    <xf numFmtId="43" fontId="14" fillId="4" borderId="1" xfId="0" applyNumberFormat="1" applyFont="1" applyFill="1" applyBorder="1" applyAlignment="1">
      <alignment horizontal="right"/>
    </xf>
    <xf numFmtId="0" fontId="17" fillId="4" borderId="1" xfId="0" applyFont="1" applyFill="1" applyBorder="1" applyAlignment="1">
      <alignment horizontal="left"/>
    </xf>
    <xf numFmtId="0" fontId="17" fillId="4" borderId="16" xfId="0" applyFont="1" applyFill="1" applyBorder="1" applyAlignment="1">
      <alignment horizontal="left"/>
    </xf>
    <xf numFmtId="0" fontId="15" fillId="0" borderId="97" xfId="0" applyFont="1" applyBorder="1"/>
    <xf numFmtId="0" fontId="10" fillId="0" borderId="101" xfId="0" applyFont="1" applyBorder="1" applyAlignment="1">
      <alignment horizontal="center"/>
    </xf>
    <xf numFmtId="0" fontId="10" fillId="0" borderId="102" xfId="0" applyFont="1" applyBorder="1" applyAlignment="1">
      <alignment horizontal="center"/>
    </xf>
    <xf numFmtId="43" fontId="10" fillId="4" borderId="51" xfId="0" applyNumberFormat="1" applyFont="1" applyFill="1" applyBorder="1"/>
    <xf numFmtId="43" fontId="14" fillId="4" borderId="11" xfId="1" applyFont="1" applyFill="1" applyBorder="1" applyAlignment="1">
      <alignment horizontal="right"/>
    </xf>
    <xf numFmtId="43" fontId="10" fillId="4" borderId="13" xfId="0" applyNumberFormat="1" applyFont="1" applyFill="1" applyBorder="1"/>
    <xf numFmtId="43" fontId="14" fillId="4" borderId="49" xfId="1" applyFont="1" applyFill="1" applyBorder="1" applyAlignment="1">
      <alignment horizontal="right"/>
    </xf>
    <xf numFmtId="43" fontId="14" fillId="4" borderId="9" xfId="1" applyFont="1" applyFill="1" applyBorder="1"/>
    <xf numFmtId="0" fontId="15" fillId="4" borderId="73" xfId="0" applyFont="1" applyFill="1" applyBorder="1"/>
    <xf numFmtId="43" fontId="14" fillId="4" borderId="103" xfId="1" applyFont="1" applyFill="1" applyBorder="1"/>
    <xf numFmtId="43" fontId="14" fillId="4" borderId="71" xfId="1" applyFont="1" applyFill="1" applyBorder="1"/>
    <xf numFmtId="43" fontId="14" fillId="4" borderId="19" xfId="1" applyFont="1" applyFill="1" applyBorder="1"/>
    <xf numFmtId="0" fontId="10" fillId="4" borderId="49" xfId="0" applyFont="1" applyFill="1" applyBorder="1" applyAlignment="1">
      <alignment horizontal="center"/>
    </xf>
    <xf numFmtId="43" fontId="10" fillId="4" borderId="16" xfId="1" applyFont="1" applyFill="1" applyBorder="1" applyAlignment="1">
      <alignment horizontal="right"/>
    </xf>
    <xf numFmtId="43" fontId="14" fillId="4" borderId="16" xfId="1" applyFont="1" applyFill="1" applyBorder="1" applyAlignment="1">
      <alignment horizontal="center"/>
    </xf>
    <xf numFmtId="43" fontId="10" fillId="4" borderId="16" xfId="0" applyNumberFormat="1" applyFont="1" applyFill="1" applyBorder="1"/>
    <xf numFmtId="0" fontId="15" fillId="4" borderId="49" xfId="0" applyFont="1" applyFill="1" applyBorder="1" applyAlignment="1">
      <alignment horizontal="center"/>
    </xf>
    <xf numFmtId="2" fontId="10" fillId="4" borderId="49" xfId="0" applyNumberFormat="1" applyFont="1" applyFill="1" applyBorder="1" applyAlignment="1">
      <alignment horizontal="center"/>
    </xf>
    <xf numFmtId="43" fontId="10" fillId="4" borderId="49" xfId="0" applyNumberFormat="1" applyFont="1" applyFill="1" applyBorder="1" applyAlignment="1">
      <alignment horizontal="center"/>
    </xf>
    <xf numFmtId="43" fontId="10" fillId="4" borderId="53" xfId="1" applyFont="1" applyFill="1" applyBorder="1" applyAlignment="1">
      <alignment horizontal="right"/>
    </xf>
    <xf numFmtId="43" fontId="10" fillId="4" borderId="77" xfId="1" applyFont="1" applyFill="1" applyBorder="1" applyAlignment="1">
      <alignment horizontal="right"/>
    </xf>
    <xf numFmtId="0" fontId="10" fillId="4" borderId="94" xfId="0" applyFont="1" applyFill="1" applyBorder="1" applyAlignment="1">
      <alignment horizontal="center"/>
    </xf>
    <xf numFmtId="0" fontId="15" fillId="4" borderId="94" xfId="0" applyFont="1" applyFill="1" applyBorder="1"/>
    <xf numFmtId="0" fontId="10" fillId="4" borderId="3" xfId="0" applyFont="1" applyFill="1" applyBorder="1" applyAlignment="1">
      <alignment horizontal="center"/>
    </xf>
    <xf numFmtId="0" fontId="4" fillId="4" borderId="1" xfId="0" applyFont="1" applyFill="1" applyBorder="1"/>
    <xf numFmtId="0" fontId="4" fillId="4" borderId="1" xfId="0" applyFont="1" applyFill="1" applyBorder="1" applyAlignment="1">
      <alignment horizontal="center"/>
    </xf>
    <xf numFmtId="0" fontId="2" fillId="4" borderId="1" xfId="0" applyFont="1" applyFill="1" applyBorder="1"/>
    <xf numFmtId="0" fontId="2" fillId="4" borderId="1" xfId="0" applyFont="1" applyFill="1" applyBorder="1" applyAlignment="1">
      <alignment horizontal="center"/>
    </xf>
    <xf numFmtId="0" fontId="3" fillId="4" borderId="1" xfId="0" applyFont="1" applyFill="1" applyBorder="1"/>
    <xf numFmtId="0" fontId="12" fillId="4" borderId="1" xfId="0" applyFont="1" applyFill="1" applyBorder="1"/>
    <xf numFmtId="0" fontId="12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left"/>
    </xf>
    <xf numFmtId="43" fontId="12" fillId="4" borderId="1" xfId="1" applyFont="1" applyFill="1" applyBorder="1" applyAlignment="1">
      <alignment horizontal="right"/>
    </xf>
    <xf numFmtId="43" fontId="12" fillId="4" borderId="1" xfId="1" applyFont="1" applyFill="1" applyBorder="1" applyAlignment="1">
      <alignment horizontal="center"/>
    </xf>
    <xf numFmtId="2" fontId="12" fillId="4" borderId="1" xfId="0" applyNumberFormat="1" applyFont="1" applyFill="1" applyBorder="1" applyAlignment="1">
      <alignment horizontal="center"/>
    </xf>
    <xf numFmtId="0" fontId="0" fillId="4" borderId="1" xfId="0" applyFill="1" applyBorder="1"/>
    <xf numFmtId="0" fontId="21" fillId="4" borderId="1" xfId="3" applyFont="1" applyFill="1" applyBorder="1" applyAlignment="1">
      <alignment horizontal="left" vertical="top"/>
    </xf>
    <xf numFmtId="0" fontId="6" fillId="4" borderId="1" xfId="0" applyFont="1" applyFill="1" applyBorder="1"/>
    <xf numFmtId="0" fontId="11" fillId="4" borderId="1" xfId="0" applyFont="1" applyFill="1" applyBorder="1" applyAlignment="1">
      <alignment horizontal="center"/>
    </xf>
    <xf numFmtId="2" fontId="10" fillId="4" borderId="1" xfId="0" applyNumberFormat="1" applyFont="1" applyFill="1" applyBorder="1"/>
    <xf numFmtId="0" fontId="14" fillId="0" borderId="24" xfId="4" applyFont="1" applyBorder="1" applyAlignment="1"/>
    <xf numFmtId="0" fontId="15" fillId="0" borderId="1" xfId="0" applyFont="1" applyBorder="1" applyAlignment="1">
      <alignment horizontal="center"/>
    </xf>
    <xf numFmtId="43" fontId="10" fillId="4" borderId="13" xfId="1" applyFont="1" applyFill="1" applyBorder="1" applyAlignment="1">
      <alignment horizontal="right"/>
    </xf>
    <xf numFmtId="0" fontId="14" fillId="0" borderId="1" xfId="0" applyFont="1" applyFill="1" applyBorder="1" applyAlignment="1">
      <alignment horizontal="left"/>
    </xf>
    <xf numFmtId="0" fontId="2" fillId="4" borderId="0" xfId="0" applyFont="1" applyFill="1"/>
    <xf numFmtId="43" fontId="2" fillId="4" borderId="0" xfId="0" applyNumberFormat="1" applyFont="1" applyFill="1"/>
    <xf numFmtId="0" fontId="10" fillId="4" borderId="26" xfId="0" applyFont="1" applyFill="1" applyBorder="1" applyAlignment="1"/>
    <xf numFmtId="0" fontId="14" fillId="4" borderId="25" xfId="0" applyFont="1" applyFill="1" applyBorder="1" applyAlignment="1">
      <alignment horizontal="center"/>
    </xf>
    <xf numFmtId="0" fontId="17" fillId="4" borderId="51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43" fontId="10" fillId="4" borderId="28" xfId="1" applyFont="1" applyFill="1" applyBorder="1" applyAlignment="1">
      <alignment horizontal="right"/>
    </xf>
    <xf numFmtId="0" fontId="10" fillId="0" borderId="1" xfId="0" applyFont="1" applyBorder="1" applyAlignment="1">
      <alignment horizontal="left"/>
    </xf>
    <xf numFmtId="0" fontId="10" fillId="4" borderId="1" xfId="0" applyFont="1" applyFill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0" fillId="4" borderId="25" xfId="4" applyFont="1" applyFill="1" applyBorder="1" applyAlignment="1">
      <alignment horizontal="center"/>
    </xf>
    <xf numFmtId="0" fontId="14" fillId="0" borderId="24" xfId="4" applyFont="1" applyBorder="1" applyAlignment="1"/>
    <xf numFmtId="43" fontId="10" fillId="4" borderId="11" xfId="1" applyFont="1" applyFill="1" applyBorder="1" applyAlignment="1">
      <alignment horizontal="right"/>
    </xf>
    <xf numFmtId="2" fontId="10" fillId="4" borderId="1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center"/>
    </xf>
    <xf numFmtId="0" fontId="10" fillId="0" borderId="94" xfId="0" applyFont="1" applyBorder="1" applyAlignment="1">
      <alignment horizontal="center"/>
    </xf>
    <xf numFmtId="0" fontId="12" fillId="0" borderId="6" xfId="0" applyFont="1" applyBorder="1"/>
    <xf numFmtId="0" fontId="28" fillId="0" borderId="0" xfId="0" applyFont="1" applyBorder="1"/>
    <xf numFmtId="0" fontId="12" fillId="0" borderId="0" xfId="0" applyFont="1" applyBorder="1" applyAlignment="1"/>
    <xf numFmtId="0" fontId="12" fillId="0" borderId="2" xfId="0" applyFont="1" applyBorder="1" applyAlignment="1"/>
    <xf numFmtId="0" fontId="28" fillId="0" borderId="6" xfId="0" applyFont="1" applyBorder="1"/>
    <xf numFmtId="0" fontId="28" fillId="0" borderId="2" xfId="0" applyFont="1" applyBorder="1"/>
    <xf numFmtId="0" fontId="12" fillId="0" borderId="77" xfId="0" applyFont="1" applyBorder="1"/>
    <xf numFmtId="0" fontId="12" fillId="0" borderId="68" xfId="0" applyFont="1" applyBorder="1"/>
    <xf numFmtId="0" fontId="12" fillId="0" borderId="77" xfId="0" applyFont="1" applyBorder="1" applyAlignment="1">
      <alignment vertical="justify"/>
    </xf>
    <xf numFmtId="0" fontId="12" fillId="0" borderId="71" xfId="0" applyFont="1" applyBorder="1"/>
    <xf numFmtId="0" fontId="28" fillId="0" borderId="48" xfId="0" applyFont="1" applyBorder="1"/>
    <xf numFmtId="14" fontId="28" fillId="0" borderId="49" xfId="0" applyNumberFormat="1" applyFont="1" applyBorder="1" applyAlignment="1">
      <alignment horizontal="center"/>
    </xf>
    <xf numFmtId="0" fontId="29" fillId="0" borderId="49" xfId="0" applyFont="1" applyBorder="1"/>
    <xf numFmtId="0" fontId="29" fillId="3" borderId="49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28" fillId="0" borderId="1" xfId="0" applyFont="1" applyBorder="1"/>
    <xf numFmtId="0" fontId="28" fillId="0" borderId="7" xfId="0" applyFont="1" applyBorder="1"/>
    <xf numFmtId="14" fontId="28" fillId="0" borderId="1" xfId="0" applyNumberFormat="1" applyFont="1" applyBorder="1" applyAlignment="1">
      <alignment horizontal="center"/>
    </xf>
    <xf numFmtId="0" fontId="29" fillId="0" borderId="1" xfId="0" applyFont="1" applyBorder="1"/>
    <xf numFmtId="0" fontId="29" fillId="3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0" fontId="29" fillId="0" borderId="1" xfId="0" applyFont="1" applyBorder="1" applyAlignment="1">
      <alignment horizontal="left"/>
    </xf>
    <xf numFmtId="0" fontId="29" fillId="3" borderId="51" xfId="0" applyFont="1" applyFill="1" applyBorder="1" applyAlignment="1">
      <alignment horizontal="center"/>
    </xf>
    <xf numFmtId="17" fontId="28" fillId="0" borderId="1" xfId="0" applyNumberFormat="1" applyFont="1" applyBorder="1"/>
    <xf numFmtId="16" fontId="29" fillId="0" borderId="1" xfId="0" applyNumberFormat="1" applyFont="1" applyBorder="1"/>
    <xf numFmtId="0" fontId="29" fillId="0" borderId="1" xfId="0" applyFont="1" applyBorder="1" applyAlignment="1">
      <alignment horizontal="center"/>
    </xf>
    <xf numFmtId="14" fontId="28" fillId="0" borderId="11" xfId="0" applyNumberFormat="1" applyFont="1" applyBorder="1" applyAlignment="1">
      <alignment horizontal="center"/>
    </xf>
    <xf numFmtId="0" fontId="28" fillId="0" borderId="31" xfId="0" applyFont="1" applyBorder="1"/>
    <xf numFmtId="0" fontId="29" fillId="0" borderId="11" xfId="0" applyFont="1" applyFill="1" applyBorder="1" applyAlignment="1">
      <alignment horizontal="center"/>
    </xf>
    <xf numFmtId="0" fontId="28" fillId="0" borderId="49" xfId="0" applyFont="1" applyBorder="1"/>
    <xf numFmtId="16" fontId="28" fillId="0" borderId="1" xfId="0" applyNumberFormat="1" applyFont="1" applyBorder="1"/>
    <xf numFmtId="0" fontId="28" fillId="0" borderId="1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28" fillId="0" borderId="51" xfId="0" applyFont="1" applyBorder="1"/>
    <xf numFmtId="0" fontId="28" fillId="3" borderId="1" xfId="0" applyFont="1" applyFill="1" applyBorder="1" applyAlignment="1">
      <alignment horizontal="center"/>
    </xf>
    <xf numFmtId="0" fontId="28" fillId="0" borderId="11" xfId="0" applyFont="1" applyFill="1" applyBorder="1" applyAlignment="1">
      <alignment horizontal="center"/>
    </xf>
    <xf numFmtId="0" fontId="29" fillId="0" borderId="51" xfId="0" applyFont="1" applyBorder="1"/>
    <xf numFmtId="0" fontId="28" fillId="0" borderId="1" xfId="0" applyFont="1" applyFill="1" applyBorder="1" applyAlignment="1">
      <alignment horizontal="center"/>
    </xf>
    <xf numFmtId="0" fontId="28" fillId="3" borderId="51" xfId="0" applyFont="1" applyFill="1" applyBorder="1" applyAlignment="1">
      <alignment horizontal="center"/>
    </xf>
    <xf numFmtId="0" fontId="28" fillId="0" borderId="47" xfId="0" applyFont="1" applyBorder="1"/>
    <xf numFmtId="0" fontId="28" fillId="3" borderId="105" xfId="0" applyFont="1" applyFill="1" applyBorder="1" applyAlignment="1">
      <alignment horizontal="center"/>
    </xf>
    <xf numFmtId="14" fontId="28" fillId="0" borderId="0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12" fillId="3" borderId="22" xfId="0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4" fontId="29" fillId="0" borderId="1" xfId="0" applyNumberFormat="1" applyFont="1" applyBorder="1" applyAlignment="1">
      <alignment horizontal="center"/>
    </xf>
    <xf numFmtId="0" fontId="29" fillId="3" borderId="95" xfId="0" applyFont="1" applyFill="1" applyBorder="1" applyAlignment="1">
      <alignment horizontal="center"/>
    </xf>
    <xf numFmtId="0" fontId="28" fillId="0" borderId="59" xfId="0" applyFont="1" applyBorder="1"/>
    <xf numFmtId="14" fontId="29" fillId="0" borderId="49" xfId="0" applyNumberFormat="1" applyFont="1" applyBorder="1" applyAlignment="1">
      <alignment horizontal="center"/>
    </xf>
    <xf numFmtId="17" fontId="28" fillId="0" borderId="49" xfId="0" applyNumberFormat="1" applyFont="1" applyBorder="1"/>
    <xf numFmtId="0" fontId="28" fillId="3" borderId="49" xfId="0" applyFont="1" applyFill="1" applyBorder="1" applyAlignment="1">
      <alignment horizontal="center"/>
    </xf>
    <xf numFmtId="0" fontId="28" fillId="0" borderId="49" xfId="0" applyFont="1" applyFill="1" applyBorder="1" applyAlignment="1">
      <alignment horizontal="center"/>
    </xf>
    <xf numFmtId="0" fontId="28" fillId="0" borderId="13" xfId="0" applyFont="1" applyBorder="1"/>
    <xf numFmtId="0" fontId="28" fillId="0" borderId="35" xfId="0" applyFont="1" applyBorder="1"/>
    <xf numFmtId="0" fontId="28" fillId="3" borderId="13" xfId="0" applyFont="1" applyFill="1" applyBorder="1" applyAlignment="1">
      <alignment horizontal="center"/>
    </xf>
    <xf numFmtId="0" fontId="28" fillId="0" borderId="51" xfId="0" applyFont="1" applyFill="1" applyBorder="1"/>
    <xf numFmtId="0" fontId="28" fillId="0" borderId="1" xfId="0" applyFont="1" applyFill="1" applyBorder="1"/>
    <xf numFmtId="17" fontId="28" fillId="0" borderId="51" xfId="0" applyNumberFormat="1" applyFont="1" applyBorder="1"/>
    <xf numFmtId="0" fontId="28" fillId="0" borderId="51" xfId="0" applyFont="1" applyFill="1" applyBorder="1" applyAlignment="1">
      <alignment horizontal="center"/>
    </xf>
    <xf numFmtId="0" fontId="28" fillId="0" borderId="31" xfId="0" applyFont="1" applyFill="1" applyBorder="1"/>
    <xf numFmtId="0" fontId="28" fillId="0" borderId="47" xfId="0" applyFont="1" applyFill="1" applyBorder="1"/>
    <xf numFmtId="0" fontId="12" fillId="3" borderId="90" xfId="0" applyFont="1" applyFill="1" applyBorder="1" applyAlignment="1">
      <alignment horizontal="center"/>
    </xf>
    <xf numFmtId="0" fontId="12" fillId="0" borderId="106" xfId="0" applyFont="1" applyBorder="1" applyAlignment="1">
      <alignment horizontal="center"/>
    </xf>
    <xf numFmtId="0" fontId="12" fillId="0" borderId="104" xfId="0" applyFont="1" applyBorder="1" applyAlignment="1">
      <alignment horizontal="center"/>
    </xf>
    <xf numFmtId="0" fontId="28" fillId="0" borderId="88" xfId="0" applyFont="1" applyBorder="1"/>
    <xf numFmtId="0" fontId="12" fillId="0" borderId="99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77" xfId="0" applyFont="1" applyBorder="1" applyAlignment="1">
      <alignment horizontal="center"/>
    </xf>
    <xf numFmtId="0" fontId="28" fillId="0" borderId="52" xfId="0" applyFont="1" applyFill="1" applyBorder="1"/>
    <xf numFmtId="0" fontId="28" fillId="0" borderId="20" xfId="0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8" fillId="0" borderId="22" xfId="0" applyFont="1" applyFill="1" applyBorder="1"/>
    <xf numFmtId="0" fontId="12" fillId="0" borderId="8" xfId="0" applyFont="1" applyBorder="1" applyAlignment="1">
      <alignment horizontal="center"/>
    </xf>
    <xf numFmtId="0" fontId="12" fillId="0" borderId="49" xfId="0" applyFont="1" applyBorder="1" applyAlignment="1">
      <alignment horizontal="center"/>
    </xf>
    <xf numFmtId="0" fontId="12" fillId="0" borderId="49" xfId="0" applyFont="1" applyBorder="1" applyAlignment="1">
      <alignment horizontal="center" vertical="justify"/>
    </xf>
    <xf numFmtId="0" fontId="12" fillId="0" borderId="9" xfId="0" applyFont="1" applyBorder="1" applyAlignment="1">
      <alignment horizontal="center"/>
    </xf>
    <xf numFmtId="0" fontId="12" fillId="0" borderId="35" xfId="0" applyFont="1" applyBorder="1" applyAlignment="1">
      <alignment horizontal="center"/>
    </xf>
    <xf numFmtId="0" fontId="12" fillId="0" borderId="48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28" fillId="0" borderId="11" xfId="0" applyFont="1" applyBorder="1"/>
    <xf numFmtId="0" fontId="12" fillId="0" borderId="1" xfId="0" applyFont="1" applyBorder="1"/>
    <xf numFmtId="0" fontId="28" fillId="0" borderId="93" xfId="0" applyFont="1" applyBorder="1" applyAlignment="1">
      <alignment horizontal="center"/>
    </xf>
    <xf numFmtId="0" fontId="28" fillId="0" borderId="54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0" fontId="28" fillId="0" borderId="14" xfId="0" applyFont="1" applyBorder="1" applyAlignment="1">
      <alignment horizontal="center"/>
    </xf>
    <xf numFmtId="0" fontId="28" fillId="0" borderId="76" xfId="0" applyFont="1" applyBorder="1"/>
    <xf numFmtId="0" fontId="12" fillId="0" borderId="51" xfId="0" applyFont="1" applyBorder="1" applyAlignment="1">
      <alignment horizontal="center"/>
    </xf>
    <xf numFmtId="0" fontId="28" fillId="0" borderId="107" xfId="0" applyFont="1" applyBorder="1" applyAlignment="1">
      <alignment horizontal="center"/>
    </xf>
    <xf numFmtId="0" fontId="28" fillId="0" borderId="97" xfId="0" applyFont="1" applyBorder="1"/>
    <xf numFmtId="0" fontId="28" fillId="0" borderId="106" xfId="0" applyFont="1" applyBorder="1" applyAlignment="1">
      <alignment horizontal="center"/>
    </xf>
    <xf numFmtId="0" fontId="28" fillId="0" borderId="100" xfId="0" applyFont="1" applyBorder="1" applyAlignment="1">
      <alignment horizontal="center"/>
    </xf>
    <xf numFmtId="0" fontId="28" fillId="0" borderId="104" xfId="0" applyFont="1" applyBorder="1" applyAlignment="1">
      <alignment horizontal="center"/>
    </xf>
    <xf numFmtId="0" fontId="28" fillId="0" borderId="98" xfId="0" applyFont="1" applyBorder="1"/>
    <xf numFmtId="0" fontId="28" fillId="0" borderId="97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8" fillId="0" borderId="75" xfId="0" applyFont="1" applyBorder="1"/>
    <xf numFmtId="0" fontId="28" fillId="0" borderId="77" xfId="0" applyFont="1" applyBorder="1"/>
    <xf numFmtId="0" fontId="28" fillId="0" borderId="77" xfId="0" applyFont="1" applyBorder="1" applyAlignment="1">
      <alignment horizontal="center"/>
    </xf>
    <xf numFmtId="0" fontId="28" fillId="0" borderId="60" xfId="0" applyFont="1" applyBorder="1" applyAlignment="1">
      <alignment horizontal="center"/>
    </xf>
    <xf numFmtId="0" fontId="12" fillId="0" borderId="39" xfId="0" applyFont="1" applyBorder="1" applyAlignment="1">
      <alignment horizontal="center"/>
    </xf>
    <xf numFmtId="0" fontId="28" fillId="0" borderId="82" xfId="0" applyFont="1" applyBorder="1"/>
    <xf numFmtId="0" fontId="0" fillId="0" borderId="0" xfId="0" applyAlignment="1">
      <alignment horizontal="center"/>
    </xf>
    <xf numFmtId="0" fontId="34" fillId="0" borderId="0" xfId="0" applyFont="1" applyBorder="1"/>
    <xf numFmtId="0" fontId="34" fillId="3" borderId="0" xfId="0" applyFont="1" applyFill="1" applyBorder="1" applyAlignment="1">
      <alignment horizontal="center"/>
    </xf>
    <xf numFmtId="0" fontId="34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/>
    <xf numFmtId="0" fontId="0" fillId="0" borderId="1" xfId="0" applyBorder="1"/>
    <xf numFmtId="0" fontId="0" fillId="0" borderId="14" xfId="0" applyBorder="1"/>
    <xf numFmtId="0" fontId="4" fillId="0" borderId="108" xfId="0" applyFont="1" applyBorder="1" applyAlignment="1"/>
    <xf numFmtId="0" fontId="4" fillId="0" borderId="12" xfId="0" applyFont="1" applyBorder="1" applyAlignment="1"/>
    <xf numFmtId="0" fontId="4" fillId="0" borderId="31" xfId="0" applyFont="1" applyBorder="1" applyAlignment="1"/>
    <xf numFmtId="0" fontId="0" fillId="0" borderId="15" xfId="0" applyBorder="1"/>
    <xf numFmtId="0" fontId="0" fillId="0" borderId="16" xfId="0" applyBorder="1"/>
    <xf numFmtId="0" fontId="0" fillId="0" borderId="72" xfId="0" applyBorder="1"/>
    <xf numFmtId="0" fontId="4" fillId="0" borderId="109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 vertical="justify"/>
    </xf>
    <xf numFmtId="0" fontId="4" fillId="0" borderId="18" xfId="0" applyFont="1" applyBorder="1" applyAlignment="1">
      <alignment horizontal="center"/>
    </xf>
    <xf numFmtId="0" fontId="0" fillId="0" borderId="8" xfId="0" applyBorder="1"/>
    <xf numFmtId="14" fontId="7" fillId="0" borderId="9" xfId="0" applyNumberFormat="1" applyFont="1" applyBorder="1" applyAlignment="1">
      <alignment horizontal="center"/>
    </xf>
    <xf numFmtId="0" fontId="0" fillId="0" borderId="51" xfId="0" applyBorder="1"/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14" xfId="0" applyFont="1" applyBorder="1"/>
    <xf numFmtId="14" fontId="0" fillId="0" borderId="51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49" xfId="0" applyBorder="1" applyAlignment="1">
      <alignment horizontal="center"/>
    </xf>
    <xf numFmtId="0" fontId="0" fillId="3" borderId="49" xfId="0" applyFill="1" applyBorder="1" applyAlignment="1">
      <alignment horizontal="center"/>
    </xf>
    <xf numFmtId="0" fontId="7" fillId="0" borderId="50" xfId="0" applyFont="1" applyBorder="1"/>
    <xf numFmtId="14" fontId="0" fillId="0" borderId="49" xfId="0" applyNumberFormat="1" applyBorder="1" applyAlignment="1">
      <alignment horizontal="center"/>
    </xf>
    <xf numFmtId="0" fontId="0" fillId="0" borderId="49" xfId="0" applyBorder="1"/>
    <xf numFmtId="0" fontId="0" fillId="0" borderId="95" xfId="0" applyBorder="1" applyAlignment="1">
      <alignment horizontal="center"/>
    </xf>
    <xf numFmtId="0" fontId="0" fillId="3" borderId="95" xfId="0" applyFill="1" applyBorder="1" applyAlignment="1">
      <alignment horizontal="center"/>
    </xf>
    <xf numFmtId="0" fontId="7" fillId="0" borderId="110" xfId="0" applyFont="1" applyBorder="1"/>
    <xf numFmtId="14" fontId="0" fillId="0" borderId="16" xfId="0" applyNumberForma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7" fillId="0" borderId="72" xfId="0" applyFont="1" applyBorder="1"/>
    <xf numFmtId="14" fontId="0" fillId="0" borderId="9" xfId="0" applyNumberFormat="1" applyBorder="1" applyAlignment="1">
      <alignment horizontal="center"/>
    </xf>
    <xf numFmtId="0" fontId="0" fillId="0" borderId="9" xfId="0" applyBorder="1"/>
    <xf numFmtId="0" fontId="0" fillId="0" borderId="9" xfId="0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7" fillId="0" borderId="10" xfId="0" applyFont="1" applyBorder="1"/>
    <xf numFmtId="0" fontId="0" fillId="0" borderId="9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6" xfId="0" applyFill="1" applyBorder="1" applyAlignment="1">
      <alignment horizontal="center"/>
    </xf>
    <xf numFmtId="14" fontId="0" fillId="0" borderId="111" xfId="0" applyNumberFormat="1" applyBorder="1" applyAlignment="1">
      <alignment horizontal="center"/>
    </xf>
    <xf numFmtId="0" fontId="2" fillId="0" borderId="9" xfId="0" applyFont="1" applyBorder="1"/>
    <xf numFmtId="0" fontId="7" fillId="0" borderId="10" xfId="0" applyFont="1" applyFill="1" applyBorder="1"/>
    <xf numFmtId="0" fontId="0" fillId="0" borderId="95" xfId="0" applyFill="1" applyBorder="1" applyAlignment="1">
      <alignment horizontal="center"/>
    </xf>
    <xf numFmtId="0" fontId="2" fillId="0" borderId="16" xfId="0" applyFont="1" applyBorder="1"/>
    <xf numFmtId="0" fontId="30" fillId="0" borderId="9" xfId="0" applyFont="1" applyBorder="1"/>
    <xf numFmtId="0" fontId="30" fillId="0" borderId="9" xfId="0" applyFont="1" applyBorder="1" applyAlignment="1">
      <alignment horizontal="center"/>
    </xf>
    <xf numFmtId="0" fontId="30" fillId="3" borderId="9" xfId="0" applyFont="1" applyFill="1" applyBorder="1" applyAlignment="1">
      <alignment horizontal="center"/>
    </xf>
    <xf numFmtId="0" fontId="31" fillId="0" borderId="50" xfId="0" applyFont="1" applyBorder="1"/>
    <xf numFmtId="14" fontId="2" fillId="0" borderId="16" xfId="0" applyNumberFormat="1" applyFont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8" fillId="0" borderId="9" xfId="0" applyFont="1" applyBorder="1"/>
    <xf numFmtId="0" fontId="8" fillId="0" borderId="1" xfId="0" applyFont="1" applyBorder="1"/>
    <xf numFmtId="0" fontId="7" fillId="0" borderId="14" xfId="0" applyFont="1" applyFill="1" applyBorder="1"/>
    <xf numFmtId="0" fontId="8" fillId="0" borderId="16" xfId="0" applyFont="1" applyBorder="1"/>
    <xf numFmtId="0" fontId="7" fillId="0" borderId="72" xfId="0" applyFont="1" applyFill="1" applyBorder="1"/>
    <xf numFmtId="0" fontId="0" fillId="0" borderId="17" xfId="0" applyFill="1" applyBorder="1" applyAlignment="1">
      <alignment horizontal="center"/>
    </xf>
    <xf numFmtId="0" fontId="0" fillId="0" borderId="17" xfId="0" applyBorder="1" applyAlignment="1">
      <alignment horizontal="center"/>
    </xf>
    <xf numFmtId="14" fontId="0" fillId="0" borderId="54" xfId="0" applyNumberFormat="1" applyBorder="1" applyAlignment="1">
      <alignment horizontal="center"/>
    </xf>
    <xf numFmtId="0" fontId="0" fillId="0" borderId="49" xfId="0" applyFill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7" fillId="0" borderId="50" xfId="0" applyFont="1" applyFill="1" applyBorder="1"/>
    <xf numFmtId="0" fontId="2" fillId="0" borderId="1" xfId="0" applyFont="1" applyBorder="1" applyAlignment="1">
      <alignment horizontal="center"/>
    </xf>
    <xf numFmtId="14" fontId="0" fillId="0" borderId="95" xfId="0" applyNumberFormat="1" applyBorder="1" applyAlignment="1">
      <alignment horizontal="center"/>
    </xf>
    <xf numFmtId="0" fontId="2" fillId="0" borderId="95" xfId="0" applyFont="1" applyBorder="1"/>
    <xf numFmtId="1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14" fontId="0" fillId="0" borderId="17" xfId="0" applyNumberFormat="1" applyBorder="1" applyAlignment="1">
      <alignment horizontal="center"/>
    </xf>
    <xf numFmtId="0" fontId="2" fillId="0" borderId="49" xfId="0" applyFont="1" applyBorder="1"/>
    <xf numFmtId="0" fontId="7" fillId="0" borderId="18" xfId="0" applyFont="1" applyBorder="1"/>
    <xf numFmtId="0" fontId="2" fillId="0" borderId="17" xfId="0" applyFont="1" applyBorder="1"/>
    <xf numFmtId="0" fontId="10" fillId="0" borderId="92" xfId="0" applyFont="1" applyBorder="1"/>
    <xf numFmtId="0" fontId="34" fillId="0" borderId="8" xfId="0" applyFont="1" applyFill="1" applyBorder="1"/>
    <xf numFmtId="14" fontId="34" fillId="0" borderId="9" xfId="0" applyNumberFormat="1" applyFont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34" fillId="0" borderId="9" xfId="0" applyFont="1" applyFill="1" applyBorder="1" applyAlignment="1">
      <alignment horizontal="center"/>
    </xf>
    <xf numFmtId="0" fontId="2" fillId="0" borderId="3" xfId="0" applyFont="1" applyFill="1" applyBorder="1"/>
    <xf numFmtId="14" fontId="34" fillId="0" borderId="17" xfId="0" applyNumberFormat="1" applyFont="1" applyBorder="1" applyAlignment="1">
      <alignment horizontal="center"/>
    </xf>
    <xf numFmtId="0" fontId="0" fillId="0" borderId="4" xfId="0" applyBorder="1"/>
    <xf numFmtId="0" fontId="34" fillId="0" borderId="17" xfId="0" applyFont="1" applyFill="1" applyBorder="1" applyAlignment="1">
      <alignment horizontal="center"/>
    </xf>
    <xf numFmtId="0" fontId="2" fillId="0" borderId="48" xfId="0" applyFont="1" applyFill="1" applyBorder="1"/>
    <xf numFmtId="14" fontId="34" fillId="0" borderId="49" xfId="0" applyNumberFormat="1" applyFont="1" applyBorder="1" applyAlignment="1">
      <alignment horizontal="center"/>
    </xf>
    <xf numFmtId="0" fontId="34" fillId="0" borderId="49" xfId="0" applyFont="1" applyBorder="1"/>
    <xf numFmtId="0" fontId="34" fillId="0" borderId="49" xfId="0" applyFont="1" applyFill="1" applyBorder="1" applyAlignment="1">
      <alignment horizontal="center"/>
    </xf>
    <xf numFmtId="0" fontId="2" fillId="0" borderId="8" xfId="0" applyFont="1" applyFill="1" applyBorder="1"/>
    <xf numFmtId="14" fontId="34" fillId="0" borderId="1" xfId="0" applyNumberFormat="1" applyFont="1" applyBorder="1" applyAlignment="1">
      <alignment horizontal="center"/>
    </xf>
    <xf numFmtId="0" fontId="34" fillId="0" borderId="1" xfId="0" applyFont="1" applyBorder="1"/>
    <xf numFmtId="0" fontId="34" fillId="0" borderId="51" xfId="0" applyFont="1" applyFill="1" applyBorder="1" applyAlignment="1">
      <alignment horizontal="center"/>
    </xf>
    <xf numFmtId="0" fontId="7" fillId="0" borderId="107" xfId="0" applyFont="1" applyFill="1" applyBorder="1"/>
    <xf numFmtId="14" fontId="34" fillId="0" borderId="16" xfId="0" applyNumberFormat="1" applyFont="1" applyBorder="1" applyAlignment="1">
      <alignment horizontal="center"/>
    </xf>
    <xf numFmtId="0" fontId="34" fillId="0" borderId="16" xfId="0" applyFont="1" applyBorder="1"/>
    <xf numFmtId="0" fontId="34" fillId="0" borderId="16" xfId="0" applyFont="1" applyFill="1" applyBorder="1" applyAlignment="1">
      <alignment horizontal="center"/>
    </xf>
    <xf numFmtId="0" fontId="34" fillId="0" borderId="95" xfId="0" applyFont="1" applyFill="1" applyBorder="1" applyAlignment="1">
      <alignment horizontal="center"/>
    </xf>
    <xf numFmtId="0" fontId="2" fillId="0" borderId="51" xfId="0" applyFont="1" applyFill="1" applyBorder="1" applyAlignment="1">
      <alignment horizontal="center"/>
    </xf>
    <xf numFmtId="0" fontId="34" fillId="0" borderId="9" xfId="0" applyFont="1" applyBorder="1"/>
    <xf numFmtId="0" fontId="34" fillId="0" borderId="1" xfId="0" applyFont="1" applyFill="1" applyBorder="1" applyAlignment="1">
      <alignment horizontal="center"/>
    </xf>
    <xf numFmtId="0" fontId="34" fillId="0" borderId="1" xfId="0" applyFont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4" fillId="0" borderId="16" xfId="0" applyFont="1" applyBorder="1" applyAlignment="1">
      <alignment horizontal="center"/>
    </xf>
    <xf numFmtId="0" fontId="34" fillId="3" borderId="16" xfId="0" applyFont="1" applyFill="1" applyBorder="1" applyAlignment="1">
      <alignment horizontal="center"/>
    </xf>
    <xf numFmtId="14" fontId="34" fillId="0" borderId="4" xfId="0" applyNumberFormat="1" applyFont="1" applyBorder="1" applyAlignment="1">
      <alignment horizontal="center"/>
    </xf>
    <xf numFmtId="0" fontId="34" fillId="0" borderId="4" xfId="0" applyFont="1" applyBorder="1"/>
    <xf numFmtId="0" fontId="34" fillId="0" borderId="4" xfId="0" applyFont="1" applyFill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7" fillId="0" borderId="92" xfId="0" applyFont="1" applyBorder="1"/>
    <xf numFmtId="0" fontId="2" fillId="0" borderId="91" xfId="0" applyFont="1" applyFill="1" applyBorder="1"/>
    <xf numFmtId="14" fontId="34" fillId="0" borderId="5" xfId="0" applyNumberFormat="1" applyFont="1" applyBorder="1" applyAlignment="1">
      <alignment horizontal="center"/>
    </xf>
    <xf numFmtId="0" fontId="0" fillId="0" borderId="5" xfId="0" applyBorder="1"/>
    <xf numFmtId="0" fontId="34" fillId="0" borderId="5" xfId="0" applyFont="1" applyFill="1" applyBorder="1" applyAlignment="1">
      <alignment horizontal="center"/>
    </xf>
    <xf numFmtId="0" fontId="34" fillId="0" borderId="5" xfId="0" applyFont="1" applyBorder="1" applyAlignment="1">
      <alignment horizontal="center"/>
    </xf>
    <xf numFmtId="0" fontId="7" fillId="0" borderId="104" xfId="0" applyFont="1" applyBorder="1" applyAlignment="1">
      <alignment horizontal="left"/>
    </xf>
    <xf numFmtId="0" fontId="34" fillId="0" borderId="9" xfId="0" applyFont="1" applyBorder="1" applyAlignment="1">
      <alignment horizontal="center"/>
    </xf>
    <xf numFmtId="0" fontId="2" fillId="0" borderId="15" xfId="0" applyFont="1" applyFill="1" applyBorder="1"/>
    <xf numFmtId="0" fontId="34" fillId="0" borderId="49" xfId="0" applyFont="1" applyBorder="1" applyAlignment="1">
      <alignment horizontal="center"/>
    </xf>
    <xf numFmtId="0" fontId="34" fillId="0" borderId="5" xfId="0" applyFont="1" applyBorder="1"/>
    <xf numFmtId="0" fontId="7" fillId="0" borderId="104" xfId="0" applyFont="1" applyBorder="1"/>
    <xf numFmtId="0" fontId="2" fillId="0" borderId="1" xfId="0" applyFont="1" applyBorder="1"/>
    <xf numFmtId="14" fontId="34" fillId="0" borderId="51" xfId="0" applyNumberFormat="1" applyFont="1" applyBorder="1" applyAlignment="1">
      <alignment horizontal="center"/>
    </xf>
    <xf numFmtId="0" fontId="34" fillId="0" borderId="51" xfId="0" applyFont="1" applyBorder="1"/>
    <xf numFmtId="0" fontId="34" fillId="0" borderId="51" xfId="0" applyFont="1" applyBorder="1" applyAlignment="1">
      <alignment horizontal="center"/>
    </xf>
    <xf numFmtId="0" fontId="34" fillId="0" borderId="17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13" xfId="0" applyFont="1" applyBorder="1" applyAlignment="1">
      <alignment horizontal="center"/>
    </xf>
    <xf numFmtId="0" fontId="10" fillId="0" borderId="18" xfId="0" applyFont="1" applyBorder="1"/>
    <xf numFmtId="0" fontId="10" fillId="0" borderId="68" xfId="0" applyFont="1" applyBorder="1" applyAlignment="1">
      <alignment horizontal="center"/>
    </xf>
    <xf numFmtId="0" fontId="0" fillId="0" borderId="18" xfId="0" applyBorder="1"/>
    <xf numFmtId="0" fontId="34" fillId="0" borderId="0" xfId="0" applyFont="1" applyFill="1" applyBorder="1"/>
    <xf numFmtId="16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34" fillId="0" borderId="0" xfId="0" applyFont="1" applyBorder="1" applyAlignment="1">
      <alignment horizontal="center"/>
    </xf>
    <xf numFmtId="0" fontId="7" fillId="0" borderId="0" xfId="0" applyFont="1" applyBorder="1"/>
    <xf numFmtId="43" fontId="10" fillId="0" borderId="0" xfId="1" applyFont="1" applyFill="1" applyBorder="1" applyAlignment="1">
      <alignment horizontal="center"/>
    </xf>
    <xf numFmtId="43" fontId="10" fillId="0" borderId="13" xfId="4" applyNumberFormat="1" applyFont="1" applyBorder="1" applyAlignment="1"/>
    <xf numFmtId="43" fontId="10" fillId="0" borderId="25" xfId="1" applyFont="1" applyBorder="1" applyAlignment="1"/>
    <xf numFmtId="0" fontId="25" fillId="0" borderId="0" xfId="4" applyFont="1" applyAlignment="1">
      <alignment horizontal="center"/>
    </xf>
    <xf numFmtId="0" fontId="10" fillId="0" borderId="0" xfId="4" applyFont="1" applyAlignment="1">
      <alignment horizontal="center"/>
    </xf>
    <xf numFmtId="0" fontId="2" fillId="0" borderId="0" xfId="4" applyFont="1" applyAlignment="1">
      <alignment horizontal="center" vertical="center"/>
    </xf>
    <xf numFmtId="0" fontId="2" fillId="0" borderId="0" xfId="4" applyAlignment="1">
      <alignment horizontal="center" vertical="center"/>
    </xf>
    <xf numFmtId="0" fontId="28" fillId="0" borderId="97" xfId="0" applyFont="1" applyBorder="1" applyAlignment="1">
      <alignment horizontal="center"/>
    </xf>
    <xf numFmtId="0" fontId="28" fillId="0" borderId="98" xfId="0" applyFont="1" applyBorder="1" applyAlignment="1">
      <alignment horizontal="center"/>
    </xf>
    <xf numFmtId="0" fontId="28" fillId="0" borderId="99" xfId="0" applyFont="1" applyBorder="1" applyAlignment="1">
      <alignment horizontal="center"/>
    </xf>
    <xf numFmtId="0" fontId="28" fillId="0" borderId="73" xfId="0" applyFont="1" applyBorder="1" applyAlignment="1">
      <alignment horizontal="center"/>
    </xf>
    <xf numFmtId="0" fontId="28" fillId="0" borderId="71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12" fillId="0" borderId="82" xfId="0" applyFont="1" applyBorder="1" applyAlignment="1">
      <alignment horizontal="center"/>
    </xf>
    <xf numFmtId="0" fontId="12" fillId="0" borderId="105" xfId="0" applyFont="1" applyBorder="1" applyAlignment="1">
      <alignment horizontal="center"/>
    </xf>
    <xf numFmtId="0" fontId="12" fillId="0" borderId="61" xfId="0" applyFont="1" applyBorder="1" applyAlignment="1">
      <alignment horizontal="center"/>
    </xf>
    <xf numFmtId="0" fontId="12" fillId="0" borderId="73" xfId="0" applyFont="1" applyBorder="1" applyAlignment="1">
      <alignment horizontal="center"/>
    </xf>
    <xf numFmtId="0" fontId="12" fillId="0" borderId="19" xfId="0" applyFont="1" applyBorder="1" applyAlignment="1">
      <alignment horizontal="center"/>
    </xf>
    <xf numFmtId="0" fontId="12" fillId="0" borderId="7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04" xfId="0" applyFont="1" applyBorder="1" applyAlignment="1">
      <alignment horizontal="center"/>
    </xf>
    <xf numFmtId="0" fontId="28" fillId="0" borderId="19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71" xfId="0" applyFont="1" applyFill="1" applyBorder="1" applyAlignment="1">
      <alignment horizontal="center"/>
    </xf>
    <xf numFmtId="0" fontId="28" fillId="0" borderId="22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0" fillId="0" borderId="60" xfId="0" applyFont="1" applyBorder="1" applyAlignment="1">
      <alignment horizontal="center"/>
    </xf>
    <xf numFmtId="0" fontId="10" fillId="0" borderId="53" xfId="0" applyFont="1" applyBorder="1" applyAlignment="1">
      <alignment horizontal="center"/>
    </xf>
    <xf numFmtId="0" fontId="10" fillId="0" borderId="96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12" xfId="0" applyFont="1" applyBorder="1" applyAlignment="1">
      <alignment horizontal="center"/>
    </xf>
    <xf numFmtId="0" fontId="2" fillId="4" borderId="0" xfId="4" applyFill="1" applyAlignment="1">
      <alignment horizontal="center"/>
    </xf>
    <xf numFmtId="0" fontId="10" fillId="4" borderId="43" xfId="4" applyFont="1" applyFill="1" applyBorder="1" applyAlignment="1">
      <alignment horizontal="center"/>
    </xf>
    <xf numFmtId="0" fontId="10" fillId="4" borderId="0" xfId="4" applyFont="1" applyFill="1" applyBorder="1" applyAlignment="1">
      <alignment horizontal="left"/>
    </xf>
    <xf numFmtId="0" fontId="15" fillId="4" borderId="73" xfId="4" applyFont="1" applyFill="1" applyBorder="1" applyAlignment="1">
      <alignment horizontal="center"/>
    </xf>
    <xf numFmtId="0" fontId="15" fillId="4" borderId="19" xfId="4" applyFont="1" applyFill="1" applyBorder="1" applyAlignment="1">
      <alignment horizontal="center"/>
    </xf>
    <xf numFmtId="0" fontId="15" fillId="4" borderId="71" xfId="4" applyFont="1" applyFill="1" applyBorder="1" applyAlignment="1">
      <alignment horizontal="center"/>
    </xf>
    <xf numFmtId="0" fontId="10" fillId="4" borderId="6" xfId="4" applyFont="1" applyFill="1" applyBorder="1" applyAlignment="1">
      <alignment horizontal="center"/>
    </xf>
    <xf numFmtId="0" fontId="10" fillId="4" borderId="0" xfId="4" applyFont="1" applyFill="1" applyBorder="1" applyAlignment="1">
      <alignment horizontal="center"/>
    </xf>
    <xf numFmtId="0" fontId="10" fillId="4" borderId="2" xfId="4" applyFont="1" applyFill="1" applyBorder="1" applyAlignment="1">
      <alignment horizontal="center"/>
    </xf>
    <xf numFmtId="0" fontId="10" fillId="4" borderId="78" xfId="4" applyFont="1" applyFill="1" applyBorder="1" applyAlignment="1">
      <alignment horizontal="center"/>
    </xf>
    <xf numFmtId="0" fontId="10" fillId="4" borderId="79" xfId="4" applyFont="1" applyFill="1" applyBorder="1" applyAlignment="1">
      <alignment horizontal="center"/>
    </xf>
    <xf numFmtId="0" fontId="10" fillId="4" borderId="80" xfId="4" applyFont="1" applyFill="1" applyBorder="1" applyAlignment="1">
      <alignment horizontal="center"/>
    </xf>
    <xf numFmtId="0" fontId="10" fillId="4" borderId="25" xfId="4" applyFont="1" applyFill="1" applyBorder="1" applyAlignment="1">
      <alignment horizontal="center"/>
    </xf>
    <xf numFmtId="0" fontId="2" fillId="4" borderId="13" xfId="4" applyFill="1" applyBorder="1" applyAlignment="1">
      <alignment horizontal="center"/>
    </xf>
    <xf numFmtId="0" fontId="2" fillId="4" borderId="1" xfId="4" applyFill="1" applyBorder="1" applyAlignment="1">
      <alignment horizontal="center"/>
    </xf>
    <xf numFmtId="0" fontId="10" fillId="0" borderId="85" xfId="4" applyFont="1" applyBorder="1" applyAlignment="1"/>
    <xf numFmtId="0" fontId="10" fillId="0" borderId="45" xfId="4" applyFont="1" applyBorder="1" applyAlignment="1"/>
    <xf numFmtId="0" fontId="14" fillId="0" borderId="55" xfId="4" applyFont="1" applyBorder="1" applyAlignment="1"/>
    <xf numFmtId="0" fontId="14" fillId="0" borderId="24" xfId="4" applyFont="1" applyBorder="1" applyAlignment="1"/>
    <xf numFmtId="0" fontId="10" fillId="0" borderId="55" xfId="4" applyFont="1" applyBorder="1" applyAlignment="1">
      <alignment horizontal="left"/>
    </xf>
    <xf numFmtId="0" fontId="10" fillId="0" borderId="24" xfId="4" applyFont="1" applyBorder="1" applyAlignment="1">
      <alignment horizontal="left"/>
    </xf>
    <xf numFmtId="0" fontId="14" fillId="3" borderId="55" xfId="4" applyFont="1" applyFill="1" applyBorder="1" applyAlignment="1"/>
    <xf numFmtId="0" fontId="14" fillId="3" borderId="24" xfId="4" applyFont="1" applyFill="1" applyBorder="1" applyAlignment="1"/>
    <xf numFmtId="0" fontId="15" fillId="3" borderId="55" xfId="4" applyFont="1" applyFill="1" applyBorder="1" applyAlignment="1"/>
    <xf numFmtId="0" fontId="15" fillId="3" borderId="24" xfId="4" applyFont="1" applyFill="1" applyBorder="1" applyAlignment="1"/>
    <xf numFmtId="0" fontId="15" fillId="0" borderId="55" xfId="4" applyFont="1" applyBorder="1" applyAlignment="1"/>
    <xf numFmtId="0" fontId="15" fillId="0" borderId="24" xfId="4" applyFont="1" applyBorder="1" applyAlignment="1"/>
    <xf numFmtId="0" fontId="14" fillId="0" borderId="55" xfId="4" applyFont="1" applyBorder="1" applyAlignment="1">
      <alignment horizontal="left"/>
    </xf>
    <xf numFmtId="0" fontId="14" fillId="0" borderId="24" xfId="4" applyFont="1" applyBorder="1" applyAlignment="1">
      <alignment horizontal="left"/>
    </xf>
    <xf numFmtId="0" fontId="15" fillId="0" borderId="12" xfId="4" applyFont="1" applyBorder="1" applyAlignment="1">
      <alignment horizontal="left"/>
    </xf>
    <xf numFmtId="0" fontId="15" fillId="0" borderId="13" xfId="4" applyFont="1" applyBorder="1" applyAlignment="1">
      <alignment horizontal="left"/>
    </xf>
    <xf numFmtId="0" fontId="14" fillId="0" borderId="13" xfId="4" applyFont="1" applyBorder="1" applyAlignment="1"/>
    <xf numFmtId="0" fontId="14" fillId="0" borderId="1" xfId="4" applyFont="1" applyBorder="1" applyAlignment="1"/>
    <xf numFmtId="0" fontId="15" fillId="0" borderId="13" xfId="4" applyFont="1" applyBorder="1" applyAlignment="1"/>
    <xf numFmtId="0" fontId="15" fillId="0" borderId="1" xfId="4" applyFont="1" applyBorder="1" applyAlignment="1"/>
    <xf numFmtId="0" fontId="14" fillId="0" borderId="12" xfId="4" applyFont="1" applyBorder="1" applyAlignment="1">
      <alignment horizontal="left"/>
    </xf>
    <xf numFmtId="0" fontId="14" fillId="0" borderId="13" xfId="4" applyFont="1" applyBorder="1" applyAlignment="1">
      <alignment horizontal="left"/>
    </xf>
    <xf numFmtId="0" fontId="15" fillId="0" borderId="55" xfId="4" applyFont="1" applyBorder="1" applyAlignment="1">
      <alignment horizontal="left"/>
    </xf>
    <xf numFmtId="0" fontId="15" fillId="0" borderId="24" xfId="4" applyFont="1" applyBorder="1" applyAlignment="1">
      <alignment horizontal="left"/>
    </xf>
    <xf numFmtId="0" fontId="10" fillId="0" borderId="12" xfId="4" applyFont="1" applyBorder="1" applyAlignment="1">
      <alignment horizontal="left"/>
    </xf>
    <xf numFmtId="0" fontId="10" fillId="0" borderId="13" xfId="4" applyFont="1" applyBorder="1" applyAlignment="1">
      <alignment horizontal="left"/>
    </xf>
    <xf numFmtId="0" fontId="15" fillId="3" borderId="13" xfId="4" applyFont="1" applyFill="1" applyBorder="1" applyAlignment="1"/>
    <xf numFmtId="0" fontId="15" fillId="3" borderId="1" xfId="4" applyFont="1" applyFill="1" applyBorder="1" applyAlignment="1"/>
    <xf numFmtId="0" fontId="10" fillId="0" borderId="73" xfId="4" applyFont="1" applyBorder="1" applyAlignment="1">
      <alignment horizontal="center"/>
    </xf>
    <xf numFmtId="0" fontId="10" fillId="0" borderId="19" xfId="4" applyFont="1" applyBorder="1" applyAlignment="1">
      <alignment horizontal="center"/>
    </xf>
    <xf numFmtId="0" fontId="10" fillId="0" borderId="71" xfId="4" applyFont="1" applyBorder="1" applyAlignment="1">
      <alignment horizontal="center"/>
    </xf>
    <xf numFmtId="0" fontId="10" fillId="0" borderId="83" xfId="4" applyFont="1" applyBorder="1" applyAlignment="1"/>
    <xf numFmtId="0" fontId="10" fillId="0" borderId="84" xfId="4" applyFont="1" applyBorder="1" applyAlignment="1"/>
    <xf numFmtId="0" fontId="14" fillId="0" borderId="9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9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92" xfId="0" applyFont="1" applyBorder="1" applyAlignment="1">
      <alignment horizontal="center"/>
    </xf>
    <xf numFmtId="0" fontId="10" fillId="0" borderId="94" xfId="0" applyFont="1" applyBorder="1" applyAlignment="1">
      <alignment horizontal="center"/>
    </xf>
    <xf numFmtId="0" fontId="15" fillId="0" borderId="60" xfId="0" applyFont="1" applyBorder="1" applyAlignment="1">
      <alignment horizontal="left"/>
    </xf>
    <xf numFmtId="0" fontId="15" fillId="0" borderId="53" xfId="0" applyFont="1" applyBorder="1" applyAlignment="1">
      <alignment horizontal="left"/>
    </xf>
    <xf numFmtId="0" fontId="15" fillId="0" borderId="68" xfId="0" applyFont="1" applyBorder="1" applyAlignment="1">
      <alignment horizontal="left"/>
    </xf>
    <xf numFmtId="0" fontId="15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4" fillId="4" borderId="99" xfId="0" applyFont="1" applyFill="1" applyBorder="1" applyAlignment="1">
      <alignment horizontal="left"/>
    </xf>
    <xf numFmtId="0" fontId="15" fillId="4" borderId="77" xfId="0" applyFont="1" applyFill="1" applyBorder="1" applyAlignment="1">
      <alignment horizontal="center"/>
    </xf>
    <xf numFmtId="0" fontId="10" fillId="4" borderId="77" xfId="0" applyFont="1" applyFill="1" applyBorder="1" applyAlignment="1">
      <alignment horizontal="center"/>
    </xf>
    <xf numFmtId="0" fontId="10" fillId="4" borderId="4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0" fillId="4" borderId="0" xfId="0" applyFill="1" applyAlignment="1">
      <alignment horizontal="center"/>
    </xf>
    <xf numFmtId="0" fontId="10" fillId="0" borderId="19" xfId="0" applyFont="1" applyBorder="1" applyAlignment="1">
      <alignment horizontal="left"/>
    </xf>
    <xf numFmtId="0" fontId="15" fillId="0" borderId="73" xfId="0" applyFont="1" applyBorder="1" applyAlignment="1">
      <alignment horizontal="center"/>
    </xf>
    <xf numFmtId="0" fontId="15" fillId="0" borderId="19" xfId="0" applyFont="1" applyBorder="1" applyAlignment="1">
      <alignment horizontal="center"/>
    </xf>
    <xf numFmtId="0" fontId="15" fillId="0" borderId="71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14" xfId="0" applyFont="1" applyBorder="1" applyAlignment="1">
      <alignment horizontal="center"/>
    </xf>
    <xf numFmtId="0" fontId="14" fillId="0" borderId="0" xfId="0" applyFont="1" applyAlignment="1">
      <alignment horizontal="left"/>
    </xf>
    <xf numFmtId="0" fontId="4" fillId="0" borderId="0" xfId="0" applyFont="1" applyFill="1" applyBorder="1" applyAlignment="1">
      <alignment horizontal="left"/>
    </xf>
    <xf numFmtId="0" fontId="10" fillId="0" borderId="6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6" fillId="0" borderId="73" xfId="4" applyFont="1" applyBorder="1" applyAlignment="1">
      <alignment horizontal="center"/>
    </xf>
    <xf numFmtId="0" fontId="6" fillId="0" borderId="19" xfId="4" applyFont="1" applyBorder="1" applyAlignment="1">
      <alignment horizontal="center"/>
    </xf>
    <xf numFmtId="0" fontId="6" fillId="0" borderId="71" xfId="4" applyFont="1" applyBorder="1" applyAlignment="1">
      <alignment horizontal="center"/>
    </xf>
    <xf numFmtId="0" fontId="6" fillId="0" borderId="6" xfId="4" applyFont="1" applyBorder="1" applyAlignment="1">
      <alignment horizontal="center"/>
    </xf>
    <xf numFmtId="0" fontId="6" fillId="0" borderId="0" xfId="4" applyFont="1" applyBorder="1" applyAlignment="1">
      <alignment horizontal="center"/>
    </xf>
    <xf numFmtId="0" fontId="6" fillId="0" borderId="2" xfId="4" applyFont="1" applyBorder="1" applyAlignment="1">
      <alignment horizontal="center"/>
    </xf>
    <xf numFmtId="0" fontId="4" fillId="0" borderId="20" xfId="4" applyFont="1" applyBorder="1" applyAlignment="1">
      <alignment horizontal="center"/>
    </xf>
    <xf numFmtId="0" fontId="4" fillId="0" borderId="21" xfId="4" applyFont="1" applyBorder="1" applyAlignment="1">
      <alignment horizontal="center"/>
    </xf>
    <xf numFmtId="0" fontId="4" fillId="0" borderId="22" xfId="4" applyFont="1" applyBorder="1" applyAlignment="1">
      <alignment horizontal="center"/>
    </xf>
    <xf numFmtId="0" fontId="22" fillId="0" borderId="1" xfId="4" applyFont="1" applyBorder="1" applyAlignment="1">
      <alignment horizontal="center"/>
    </xf>
    <xf numFmtId="0" fontId="22" fillId="0" borderId="14" xfId="4" applyFont="1" applyBorder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0" xfId="4" applyFont="1" applyAlignment="1">
      <alignment horizontal="center"/>
    </xf>
    <xf numFmtId="43" fontId="4" fillId="0" borderId="0" xfId="4" applyNumberFormat="1" applyFont="1" applyAlignment="1">
      <alignment horizontal="center"/>
    </xf>
    <xf numFmtId="0" fontId="4" fillId="0" borderId="7" xfId="4" applyFont="1" applyBorder="1" applyAlignment="1">
      <alignment horizontal="center"/>
    </xf>
    <xf numFmtId="0" fontId="4" fillId="0" borderId="15" xfId="4" applyFont="1" applyBorder="1" applyAlignment="1">
      <alignment horizontal="right"/>
    </xf>
    <xf numFmtId="0" fontId="4" fillId="0" borderId="16" xfId="4" applyFont="1" applyBorder="1" applyAlignment="1">
      <alignment horizontal="right"/>
    </xf>
    <xf numFmtId="0" fontId="4" fillId="8" borderId="16" xfId="4" applyFont="1" applyFill="1" applyBorder="1" applyAlignment="1">
      <alignment horizontal="center"/>
    </xf>
    <xf numFmtId="0" fontId="4" fillId="8" borderId="72" xfId="4" applyFont="1" applyFill="1" applyBorder="1" applyAlignment="1">
      <alignment horizontal="center"/>
    </xf>
    <xf numFmtId="0" fontId="2" fillId="0" borderId="19" xfId="4" applyFont="1" applyBorder="1" applyAlignment="1">
      <alignment horizontal="center"/>
    </xf>
    <xf numFmtId="0" fontId="2" fillId="0" borderId="19" xfId="4" applyBorder="1" applyAlignment="1">
      <alignment horizontal="center"/>
    </xf>
  </cellXfs>
  <cellStyles count="6">
    <cellStyle name="Comma" xfId="1" builtinId="3"/>
    <cellStyle name="Hyperlink" xfId="5" builtinId="8"/>
    <cellStyle name="Normal" xfId="0" builtinId="0"/>
    <cellStyle name="Normal 2" xfId="2"/>
    <cellStyle name="Normal 3" xfId="4"/>
    <cellStyle name="Normal_INKS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552450</xdr:colOff>
      <xdr:row>7</xdr:row>
      <xdr:rowOff>247650</xdr:rowOff>
    </xdr:from>
    <xdr:to>
      <xdr:col>8</xdr:col>
      <xdr:colOff>361950</xdr:colOff>
      <xdr:row>10</xdr:row>
      <xdr:rowOff>228600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6334125" y="2362200"/>
          <a:ext cx="36195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552450</xdr:colOff>
      <xdr:row>7</xdr:row>
      <xdr:rowOff>247650</xdr:rowOff>
    </xdr:from>
    <xdr:to>
      <xdr:col>8</xdr:col>
      <xdr:colOff>361950</xdr:colOff>
      <xdr:row>10</xdr:row>
      <xdr:rowOff>228600</xdr:rowOff>
    </xdr:to>
    <xdr:sp macro="" textlink="">
      <xdr:nvSpPr>
        <xdr:cNvPr id="3" name="Rectangle 1"/>
        <xdr:cNvSpPr>
          <a:spLocks noChangeArrowheads="1"/>
        </xdr:cNvSpPr>
      </xdr:nvSpPr>
      <xdr:spPr bwMode="auto">
        <a:xfrm>
          <a:off x="6334125" y="2362200"/>
          <a:ext cx="3619500" cy="923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ixit/W%20I%20P/NOVEMBER%202013/WIPCLOSING%20AS%2030-11-2013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ivek/AppData/Local/Microsoft/Windows/Temporary%20Internet%20Files/Content.Outlook/BA02CE0N/Monthly%20Statment%20DEC.%20-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Vivek/Monthly%20Statement/Monthly%20Statment%20FEB%20-201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  <sheetName val="check"/>
    </sheetNames>
    <sheetDataSet>
      <sheetData sheetId="0">
        <row r="3">
          <cell r="D3" t="str">
            <v>OPENING AS ON</v>
          </cell>
          <cell r="E3" t="str">
            <v>01.12.2013</v>
          </cell>
        </row>
        <row r="7">
          <cell r="B7">
            <v>41608</v>
          </cell>
        </row>
      </sheetData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WIP-1"/>
      <sheetName val="WIP-2"/>
      <sheetName val="WIP-3"/>
      <sheetName val="TFS (I)"/>
      <sheetName val="TFS (II)"/>
      <sheetName val="PVC"/>
      <sheetName val="LAC"/>
      <sheetName val="VAR &amp; SIL"/>
      <sheetName val="INKS"/>
      <sheetName val="PACKING"/>
      <sheetName val="POWER &amp; OIL"/>
      <sheetName val="Consum"/>
      <sheetName val="Butyle,silver size &amp; Epox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10">
          <cell r="B10" t="str">
            <v>RC VARNISH ACRLIC BRD-8730</v>
          </cell>
          <cell r="C10" t="str">
            <v>RC ACRYLIC VARNISH BRD-8730</v>
          </cell>
        </row>
        <row r="11">
          <cell r="B11" t="str">
            <v>VARNISH WATSON - 40713</v>
          </cell>
          <cell r="C11" t="str">
            <v>VARNISH 40-713-B IMP.</v>
          </cell>
        </row>
        <row r="12">
          <cell r="B12" t="str">
            <v>VARNISH WATSON - 50684</v>
          </cell>
          <cell r="C12" t="str">
            <v>VARNISH CLEAR COATING - 50684</v>
          </cell>
        </row>
        <row r="13">
          <cell r="B13" t="str">
            <v>GOLD VARNISH 1655+GOLD</v>
          </cell>
          <cell r="C13" t="str">
            <v>VARNISH GOLD - 1655</v>
          </cell>
        </row>
        <row r="14">
          <cell r="B14" t="str">
            <v>VARNISH OV-1655-02</v>
          </cell>
          <cell r="C14" t="str">
            <v>VARNISH OV 1655-02</v>
          </cell>
        </row>
        <row r="15">
          <cell r="B15" t="str">
            <v>VARNISH -OV -1655.06 Grace.</v>
          </cell>
          <cell r="C15" t="str">
            <v xml:space="preserve">VARNISH OV-1655-06 </v>
          </cell>
        </row>
        <row r="16">
          <cell r="B16" t="str">
            <v>OVER PRINT VARNISH PPG-2666-801</v>
          </cell>
          <cell r="C16" t="str">
            <v>VARNISH OVERPRINT PPG2666-801</v>
          </cell>
        </row>
        <row r="17">
          <cell r="B17" t="str">
            <v>POLYSTER VARNISH GS-814</v>
          </cell>
          <cell r="C17" t="str">
            <v>VARNISH POLYSTER GS-814</v>
          </cell>
        </row>
        <row r="18">
          <cell r="B18" t="str">
            <v>RC POLY COATING  BRD - 8136</v>
          </cell>
          <cell r="C18" t="str">
            <v>VARNISH RC POLY COATING BRD-8136</v>
          </cell>
        </row>
        <row r="19">
          <cell r="B19" t="str">
            <v>VARNISH POLYSTER  GS-812</v>
          </cell>
          <cell r="C19" t="str">
            <v>VARNISH POLYSTER GS-812</v>
          </cell>
        </row>
        <row r="20">
          <cell r="B20" t="str">
            <v>VARNISH SRISOL RU-3552-01</v>
          </cell>
          <cell r="C20" t="str">
            <v>VARNISH SRISOL - RU 3552-01</v>
          </cell>
        </row>
        <row r="21">
          <cell r="B21" t="str">
            <v>VARNISH POLYSTER ANC-6001</v>
          </cell>
          <cell r="C21" t="str">
            <v>VARNISH POLY. ANC.-6001</v>
          </cell>
        </row>
        <row r="22">
          <cell r="B22" t="str">
            <v>VARNISH OVER CROWNS VE-2031</v>
          </cell>
          <cell r="C22" t="str">
            <v>VARNISH OVER CROWNS VE-2031</v>
          </cell>
        </row>
        <row r="23">
          <cell r="B23" t="str">
            <v>VARNISH PPG 5158-801</v>
          </cell>
          <cell r="C23" t="str">
            <v>VARNISH PPG 5158-801</v>
          </cell>
        </row>
        <row r="24">
          <cell r="B24" t="str">
            <v>VARNISH PPG 3986-601</v>
          </cell>
          <cell r="C24" t="str">
            <v>VARNISH PPG 3986-601</v>
          </cell>
        </row>
        <row r="25">
          <cell r="B25" t="str">
            <v>VARNISH PPG-3138-605</v>
          </cell>
          <cell r="C25" t="str">
            <v>VARNISH PPG 3138-605</v>
          </cell>
        </row>
        <row r="26">
          <cell r="B26" t="str">
            <v>OVER PRINT VARNISH IN 300958</v>
          </cell>
          <cell r="C26" t="str">
            <v>VARNISH OVER PRINT IN300958PA25</v>
          </cell>
        </row>
        <row r="27">
          <cell r="B27" t="str">
            <v xml:space="preserve">POLYSTER VARNISH </v>
          </cell>
        </row>
        <row r="28">
          <cell r="B28" t="str">
            <v>OVER PRINT VARNISH NK-301203060</v>
          </cell>
          <cell r="C28" t="str">
            <v>OVER PRINT VARNISH NK-301203060</v>
          </cell>
        </row>
        <row r="29">
          <cell r="B29" t="str">
            <v>TOTAL ( I )</v>
          </cell>
        </row>
        <row r="30">
          <cell r="B30" t="str">
            <v>SILVER SIZE</v>
          </cell>
        </row>
        <row r="31">
          <cell r="B31" t="str">
            <v>CLEAR COATING PAINT 40-993</v>
          </cell>
          <cell r="C31" t="str">
            <v>CLEAR COATING PAINT 40-993</v>
          </cell>
        </row>
        <row r="32">
          <cell r="B32" t="str">
            <v>PVC FREE COATING- 50-564</v>
          </cell>
          <cell r="C32" t="str">
            <v>CLEAR PVC FREE COATING 50-564</v>
          </cell>
        </row>
        <row r="33">
          <cell r="B33" t="str">
            <v>SILVER PRIMER 1254-18</v>
          </cell>
          <cell r="C33" t="str">
            <v>SILVER PRIMER PRI-1254-18</v>
          </cell>
        </row>
        <row r="34">
          <cell r="B34" t="str">
            <v>SILVER SIZE ANC-6037</v>
          </cell>
          <cell r="C34" t="str">
            <v>SILVER SIZE BRIGHT ANC.-6037</v>
          </cell>
        </row>
        <row r="35">
          <cell r="B35" t="str">
            <v>SILVER EM 2473</v>
          </cell>
          <cell r="C35" t="str">
            <v>SILVER SIZE 2473 DIC LOCAL</v>
          </cell>
        </row>
        <row r="36">
          <cell r="B36" t="str">
            <v>VINYAL SIZING 2313</v>
          </cell>
        </row>
        <row r="37">
          <cell r="B37" t="str">
            <v>WHITE COATING GS- 1086</v>
          </cell>
          <cell r="C37" t="str">
            <v>WHITE COATING GS - 1086</v>
          </cell>
        </row>
        <row r="38">
          <cell r="B38" t="str">
            <v>GRACE DAREX SE 1169-18</v>
          </cell>
          <cell r="C38" t="str">
            <v>WHITE COATING SE 1169-18</v>
          </cell>
        </row>
        <row r="39">
          <cell r="B39" t="str">
            <v>Rc Silver HMD 0150 /25D18</v>
          </cell>
          <cell r="C39" t="str">
            <v>EQUIPMENT CLEANING AGENT RMD-0017/25D18</v>
          </cell>
        </row>
        <row r="40">
          <cell r="B40" t="str">
            <v>SILVER SIZE SRISOL RU-1310-02</v>
          </cell>
          <cell r="C40" t="str">
            <v>SILVER SIZE SRISOL RU 1310-02</v>
          </cell>
        </row>
        <row r="41">
          <cell r="B41" t="str">
            <v>SILVER PRIMER RU2066 ACP-01</v>
          </cell>
        </row>
        <row r="42">
          <cell r="B42" t="str">
            <v>MDC MICRO R C EPOXY SILVER SIZE - HMD - 0339</v>
          </cell>
        </row>
        <row r="43">
          <cell r="B43" t="str">
            <v>EPOXY SILVER SIZE IN 316004</v>
          </cell>
          <cell r="C43" t="str">
            <v>SILVER SIZE EPOXY IN316004PA25</v>
          </cell>
        </row>
        <row r="44">
          <cell r="B44" t="str">
            <v>RC VINYLE SIZE COATING EM-2517</v>
          </cell>
          <cell r="C44" t="str">
            <v>VINYL SIZE EM - 2517</v>
          </cell>
        </row>
        <row r="45">
          <cell r="B45" t="str">
            <v>SILVER SIZE PPG 3122-601</v>
          </cell>
          <cell r="C45" t="str">
            <v>LACQUER PPG 3122-601</v>
          </cell>
        </row>
        <row r="46">
          <cell r="B46" t="str">
            <v>ALUMINIUM SIZE</v>
          </cell>
        </row>
        <row r="47">
          <cell r="B47" t="str">
            <v>WHITE COATING NJ-401203170</v>
          </cell>
          <cell r="C47" t="str">
            <v>WHITE COATING NJ-401203170</v>
          </cell>
        </row>
        <row r="48">
          <cell r="B48" t="str">
            <v>TOTAL II</v>
          </cell>
        </row>
        <row r="49">
          <cell r="B49" t="str">
            <v>EPOXY &amp; SILVER SIZE (AMD)</v>
          </cell>
        </row>
        <row r="50">
          <cell r="B50" t="str">
            <v>DISCRIPTION</v>
          </cell>
        </row>
        <row r="51">
          <cell r="B51" t="str">
            <v>EPOXY SIZE</v>
          </cell>
        </row>
        <row r="52">
          <cell r="B52" t="str">
            <v>SILVER SIZE</v>
          </cell>
        </row>
        <row r="53">
          <cell r="B53" t="str">
            <v>UTC SILVER</v>
          </cell>
        </row>
      </sheetData>
      <sheetData sheetId="8"/>
      <sheetData sheetId="9"/>
      <sheetData sheetId="10"/>
      <sheetData sheetId="11"/>
      <sheetData sheetId="1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WIP-1"/>
      <sheetName val="WIP-2"/>
      <sheetName val="WIP-3"/>
      <sheetName val="TFS (I)"/>
      <sheetName val="TFS (II)"/>
      <sheetName val="PVC"/>
      <sheetName val="LAC"/>
      <sheetName val="VAR &amp; SIL"/>
      <sheetName val="INKS"/>
      <sheetName val="PACKING"/>
      <sheetName val="POWER &amp; OIL"/>
      <sheetName val="Consum"/>
      <sheetName val="Butyle,silver size &amp; Epoxy"/>
    </sheetNames>
    <sheetDataSet>
      <sheetData sheetId="0"/>
      <sheetData sheetId="1">
        <row r="5">
          <cell r="E5" t="str">
            <v>OPENING AS ON</v>
          </cell>
        </row>
      </sheetData>
      <sheetData sheetId="2"/>
      <sheetData sheetId="3"/>
      <sheetData sheetId="4">
        <row r="57">
          <cell r="G57">
            <v>736071</v>
          </cell>
          <cell r="J57">
            <v>3067518</v>
          </cell>
        </row>
      </sheetData>
      <sheetData sheetId="5">
        <row r="33">
          <cell r="F33">
            <v>18000</v>
          </cell>
          <cell r="I33">
            <v>120969</v>
          </cell>
        </row>
      </sheetData>
      <sheetData sheetId="6">
        <row r="59">
          <cell r="F59">
            <v>59</v>
          </cell>
          <cell r="I59">
            <v>43028.5</v>
          </cell>
        </row>
      </sheetData>
      <sheetData sheetId="7">
        <row r="30">
          <cell r="F30">
            <v>40195</v>
          </cell>
          <cell r="I30">
            <v>19420</v>
          </cell>
        </row>
        <row r="49">
          <cell r="F49">
            <v>30</v>
          </cell>
          <cell r="I49">
            <v>2237</v>
          </cell>
        </row>
      </sheetData>
      <sheetData sheetId="8">
        <row r="325">
          <cell r="E325">
            <v>252</v>
          </cell>
          <cell r="H325">
            <v>1951.2</v>
          </cell>
        </row>
      </sheetData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2"/>
  </sheetPr>
  <dimension ref="A2:G25"/>
  <sheetViews>
    <sheetView view="pageBreakPreview" workbookViewId="0">
      <selection activeCell="B32" sqref="B32"/>
    </sheetView>
  </sheetViews>
  <sheetFormatPr defaultRowHeight="12.75"/>
  <cols>
    <col min="1" max="1" width="56.140625" style="145" customWidth="1"/>
    <col min="2" max="2" width="30.5703125" style="145" customWidth="1"/>
    <col min="3" max="4" width="9.5703125" style="145" bestFit="1" customWidth="1"/>
    <col min="5" max="5" width="10.5703125" style="145" bestFit="1" customWidth="1"/>
    <col min="6" max="256" width="9.140625" style="145"/>
    <col min="257" max="257" width="56.140625" style="145" customWidth="1"/>
    <col min="258" max="258" width="30.5703125" style="145" customWidth="1"/>
    <col min="259" max="260" width="9.5703125" style="145" bestFit="1" customWidth="1"/>
    <col min="261" max="261" width="10.5703125" style="145" bestFit="1" customWidth="1"/>
    <col min="262" max="512" width="9.140625" style="145"/>
    <col min="513" max="513" width="56.140625" style="145" customWidth="1"/>
    <col min="514" max="514" width="30.5703125" style="145" customWidth="1"/>
    <col min="515" max="516" width="9.5703125" style="145" bestFit="1" customWidth="1"/>
    <col min="517" max="517" width="10.5703125" style="145" bestFit="1" customWidth="1"/>
    <col min="518" max="768" width="9.140625" style="145"/>
    <col min="769" max="769" width="56.140625" style="145" customWidth="1"/>
    <col min="770" max="770" width="30.5703125" style="145" customWidth="1"/>
    <col min="771" max="772" width="9.5703125" style="145" bestFit="1" customWidth="1"/>
    <col min="773" max="773" width="10.5703125" style="145" bestFit="1" customWidth="1"/>
    <col min="774" max="1024" width="9.140625" style="145"/>
    <col min="1025" max="1025" width="56.140625" style="145" customWidth="1"/>
    <col min="1026" max="1026" width="30.5703125" style="145" customWidth="1"/>
    <col min="1027" max="1028" width="9.5703125" style="145" bestFit="1" customWidth="1"/>
    <col min="1029" max="1029" width="10.5703125" style="145" bestFit="1" customWidth="1"/>
    <col min="1030" max="1280" width="9.140625" style="145"/>
    <col min="1281" max="1281" width="56.140625" style="145" customWidth="1"/>
    <col min="1282" max="1282" width="30.5703125" style="145" customWidth="1"/>
    <col min="1283" max="1284" width="9.5703125" style="145" bestFit="1" customWidth="1"/>
    <col min="1285" max="1285" width="10.5703125" style="145" bestFit="1" customWidth="1"/>
    <col min="1286" max="1536" width="9.140625" style="145"/>
    <col min="1537" max="1537" width="56.140625" style="145" customWidth="1"/>
    <col min="1538" max="1538" width="30.5703125" style="145" customWidth="1"/>
    <col min="1539" max="1540" width="9.5703125" style="145" bestFit="1" customWidth="1"/>
    <col min="1541" max="1541" width="10.5703125" style="145" bestFit="1" customWidth="1"/>
    <col min="1542" max="1792" width="9.140625" style="145"/>
    <col min="1793" max="1793" width="56.140625" style="145" customWidth="1"/>
    <col min="1794" max="1794" width="30.5703125" style="145" customWidth="1"/>
    <col min="1795" max="1796" width="9.5703125" style="145" bestFit="1" customWidth="1"/>
    <col min="1797" max="1797" width="10.5703125" style="145" bestFit="1" customWidth="1"/>
    <col min="1798" max="2048" width="9.140625" style="145"/>
    <col min="2049" max="2049" width="56.140625" style="145" customWidth="1"/>
    <col min="2050" max="2050" width="30.5703125" style="145" customWidth="1"/>
    <col min="2051" max="2052" width="9.5703125" style="145" bestFit="1" customWidth="1"/>
    <col min="2053" max="2053" width="10.5703125" style="145" bestFit="1" customWidth="1"/>
    <col min="2054" max="2304" width="9.140625" style="145"/>
    <col min="2305" max="2305" width="56.140625" style="145" customWidth="1"/>
    <col min="2306" max="2306" width="30.5703125" style="145" customWidth="1"/>
    <col min="2307" max="2308" width="9.5703125" style="145" bestFit="1" customWidth="1"/>
    <col min="2309" max="2309" width="10.5703125" style="145" bestFit="1" customWidth="1"/>
    <col min="2310" max="2560" width="9.140625" style="145"/>
    <col min="2561" max="2561" width="56.140625" style="145" customWidth="1"/>
    <col min="2562" max="2562" width="30.5703125" style="145" customWidth="1"/>
    <col min="2563" max="2564" width="9.5703125" style="145" bestFit="1" customWidth="1"/>
    <col min="2565" max="2565" width="10.5703125" style="145" bestFit="1" customWidth="1"/>
    <col min="2566" max="2816" width="9.140625" style="145"/>
    <col min="2817" max="2817" width="56.140625" style="145" customWidth="1"/>
    <col min="2818" max="2818" width="30.5703125" style="145" customWidth="1"/>
    <col min="2819" max="2820" width="9.5703125" style="145" bestFit="1" customWidth="1"/>
    <col min="2821" max="2821" width="10.5703125" style="145" bestFit="1" customWidth="1"/>
    <col min="2822" max="3072" width="9.140625" style="145"/>
    <col min="3073" max="3073" width="56.140625" style="145" customWidth="1"/>
    <col min="3074" max="3074" width="30.5703125" style="145" customWidth="1"/>
    <col min="3075" max="3076" width="9.5703125" style="145" bestFit="1" customWidth="1"/>
    <col min="3077" max="3077" width="10.5703125" style="145" bestFit="1" customWidth="1"/>
    <col min="3078" max="3328" width="9.140625" style="145"/>
    <col min="3329" max="3329" width="56.140625" style="145" customWidth="1"/>
    <col min="3330" max="3330" width="30.5703125" style="145" customWidth="1"/>
    <col min="3331" max="3332" width="9.5703125" style="145" bestFit="1" customWidth="1"/>
    <col min="3333" max="3333" width="10.5703125" style="145" bestFit="1" customWidth="1"/>
    <col min="3334" max="3584" width="9.140625" style="145"/>
    <col min="3585" max="3585" width="56.140625" style="145" customWidth="1"/>
    <col min="3586" max="3586" width="30.5703125" style="145" customWidth="1"/>
    <col min="3587" max="3588" width="9.5703125" style="145" bestFit="1" customWidth="1"/>
    <col min="3589" max="3589" width="10.5703125" style="145" bestFit="1" customWidth="1"/>
    <col min="3590" max="3840" width="9.140625" style="145"/>
    <col min="3841" max="3841" width="56.140625" style="145" customWidth="1"/>
    <col min="3842" max="3842" width="30.5703125" style="145" customWidth="1"/>
    <col min="3843" max="3844" width="9.5703125" style="145" bestFit="1" customWidth="1"/>
    <col min="3845" max="3845" width="10.5703125" style="145" bestFit="1" customWidth="1"/>
    <col min="3846" max="4096" width="9.140625" style="145"/>
    <col min="4097" max="4097" width="56.140625" style="145" customWidth="1"/>
    <col min="4098" max="4098" width="30.5703125" style="145" customWidth="1"/>
    <col min="4099" max="4100" width="9.5703125" style="145" bestFit="1" customWidth="1"/>
    <col min="4101" max="4101" width="10.5703125" style="145" bestFit="1" customWidth="1"/>
    <col min="4102" max="4352" width="9.140625" style="145"/>
    <col min="4353" max="4353" width="56.140625" style="145" customWidth="1"/>
    <col min="4354" max="4354" width="30.5703125" style="145" customWidth="1"/>
    <col min="4355" max="4356" width="9.5703125" style="145" bestFit="1" customWidth="1"/>
    <col min="4357" max="4357" width="10.5703125" style="145" bestFit="1" customWidth="1"/>
    <col min="4358" max="4608" width="9.140625" style="145"/>
    <col min="4609" max="4609" width="56.140625" style="145" customWidth="1"/>
    <col min="4610" max="4610" width="30.5703125" style="145" customWidth="1"/>
    <col min="4611" max="4612" width="9.5703125" style="145" bestFit="1" customWidth="1"/>
    <col min="4613" max="4613" width="10.5703125" style="145" bestFit="1" customWidth="1"/>
    <col min="4614" max="4864" width="9.140625" style="145"/>
    <col min="4865" max="4865" width="56.140625" style="145" customWidth="1"/>
    <col min="4866" max="4866" width="30.5703125" style="145" customWidth="1"/>
    <col min="4867" max="4868" width="9.5703125" style="145" bestFit="1" customWidth="1"/>
    <col min="4869" max="4869" width="10.5703125" style="145" bestFit="1" customWidth="1"/>
    <col min="4870" max="5120" width="9.140625" style="145"/>
    <col min="5121" max="5121" width="56.140625" style="145" customWidth="1"/>
    <col min="5122" max="5122" width="30.5703125" style="145" customWidth="1"/>
    <col min="5123" max="5124" width="9.5703125" style="145" bestFit="1" customWidth="1"/>
    <col min="5125" max="5125" width="10.5703125" style="145" bestFit="1" customWidth="1"/>
    <col min="5126" max="5376" width="9.140625" style="145"/>
    <col min="5377" max="5377" width="56.140625" style="145" customWidth="1"/>
    <col min="5378" max="5378" width="30.5703125" style="145" customWidth="1"/>
    <col min="5379" max="5380" width="9.5703125" style="145" bestFit="1" customWidth="1"/>
    <col min="5381" max="5381" width="10.5703125" style="145" bestFit="1" customWidth="1"/>
    <col min="5382" max="5632" width="9.140625" style="145"/>
    <col min="5633" max="5633" width="56.140625" style="145" customWidth="1"/>
    <col min="5634" max="5634" width="30.5703125" style="145" customWidth="1"/>
    <col min="5635" max="5636" width="9.5703125" style="145" bestFit="1" customWidth="1"/>
    <col min="5637" max="5637" width="10.5703125" style="145" bestFit="1" customWidth="1"/>
    <col min="5638" max="5888" width="9.140625" style="145"/>
    <col min="5889" max="5889" width="56.140625" style="145" customWidth="1"/>
    <col min="5890" max="5890" width="30.5703125" style="145" customWidth="1"/>
    <col min="5891" max="5892" width="9.5703125" style="145" bestFit="1" customWidth="1"/>
    <col min="5893" max="5893" width="10.5703125" style="145" bestFit="1" customWidth="1"/>
    <col min="5894" max="6144" width="9.140625" style="145"/>
    <col min="6145" max="6145" width="56.140625" style="145" customWidth="1"/>
    <col min="6146" max="6146" width="30.5703125" style="145" customWidth="1"/>
    <col min="6147" max="6148" width="9.5703125" style="145" bestFit="1" customWidth="1"/>
    <col min="6149" max="6149" width="10.5703125" style="145" bestFit="1" customWidth="1"/>
    <col min="6150" max="6400" width="9.140625" style="145"/>
    <col min="6401" max="6401" width="56.140625" style="145" customWidth="1"/>
    <col min="6402" max="6402" width="30.5703125" style="145" customWidth="1"/>
    <col min="6403" max="6404" width="9.5703125" style="145" bestFit="1" customWidth="1"/>
    <col min="6405" max="6405" width="10.5703125" style="145" bestFit="1" customWidth="1"/>
    <col min="6406" max="6656" width="9.140625" style="145"/>
    <col min="6657" max="6657" width="56.140625" style="145" customWidth="1"/>
    <col min="6658" max="6658" width="30.5703125" style="145" customWidth="1"/>
    <col min="6659" max="6660" width="9.5703125" style="145" bestFit="1" customWidth="1"/>
    <col min="6661" max="6661" width="10.5703125" style="145" bestFit="1" customWidth="1"/>
    <col min="6662" max="6912" width="9.140625" style="145"/>
    <col min="6913" max="6913" width="56.140625" style="145" customWidth="1"/>
    <col min="6914" max="6914" width="30.5703125" style="145" customWidth="1"/>
    <col min="6915" max="6916" width="9.5703125" style="145" bestFit="1" customWidth="1"/>
    <col min="6917" max="6917" width="10.5703125" style="145" bestFit="1" customWidth="1"/>
    <col min="6918" max="7168" width="9.140625" style="145"/>
    <col min="7169" max="7169" width="56.140625" style="145" customWidth="1"/>
    <col min="7170" max="7170" width="30.5703125" style="145" customWidth="1"/>
    <col min="7171" max="7172" width="9.5703125" style="145" bestFit="1" customWidth="1"/>
    <col min="7173" max="7173" width="10.5703125" style="145" bestFit="1" customWidth="1"/>
    <col min="7174" max="7424" width="9.140625" style="145"/>
    <col min="7425" max="7425" width="56.140625" style="145" customWidth="1"/>
    <col min="7426" max="7426" width="30.5703125" style="145" customWidth="1"/>
    <col min="7427" max="7428" width="9.5703125" style="145" bestFit="1" customWidth="1"/>
    <col min="7429" max="7429" width="10.5703125" style="145" bestFit="1" customWidth="1"/>
    <col min="7430" max="7680" width="9.140625" style="145"/>
    <col min="7681" max="7681" width="56.140625" style="145" customWidth="1"/>
    <col min="7682" max="7682" width="30.5703125" style="145" customWidth="1"/>
    <col min="7683" max="7684" width="9.5703125" style="145" bestFit="1" customWidth="1"/>
    <col min="7685" max="7685" width="10.5703125" style="145" bestFit="1" customWidth="1"/>
    <col min="7686" max="7936" width="9.140625" style="145"/>
    <col min="7937" max="7937" width="56.140625" style="145" customWidth="1"/>
    <col min="7938" max="7938" width="30.5703125" style="145" customWidth="1"/>
    <col min="7939" max="7940" width="9.5703125" style="145" bestFit="1" customWidth="1"/>
    <col min="7941" max="7941" width="10.5703125" style="145" bestFit="1" customWidth="1"/>
    <col min="7942" max="8192" width="9.140625" style="145"/>
    <col min="8193" max="8193" width="56.140625" style="145" customWidth="1"/>
    <col min="8194" max="8194" width="30.5703125" style="145" customWidth="1"/>
    <col min="8195" max="8196" width="9.5703125" style="145" bestFit="1" customWidth="1"/>
    <col min="8197" max="8197" width="10.5703125" style="145" bestFit="1" customWidth="1"/>
    <col min="8198" max="8448" width="9.140625" style="145"/>
    <col min="8449" max="8449" width="56.140625" style="145" customWidth="1"/>
    <col min="8450" max="8450" width="30.5703125" style="145" customWidth="1"/>
    <col min="8451" max="8452" width="9.5703125" style="145" bestFit="1" customWidth="1"/>
    <col min="8453" max="8453" width="10.5703125" style="145" bestFit="1" customWidth="1"/>
    <col min="8454" max="8704" width="9.140625" style="145"/>
    <col min="8705" max="8705" width="56.140625" style="145" customWidth="1"/>
    <col min="8706" max="8706" width="30.5703125" style="145" customWidth="1"/>
    <col min="8707" max="8708" width="9.5703125" style="145" bestFit="1" customWidth="1"/>
    <col min="8709" max="8709" width="10.5703125" style="145" bestFit="1" customWidth="1"/>
    <col min="8710" max="8960" width="9.140625" style="145"/>
    <col min="8961" max="8961" width="56.140625" style="145" customWidth="1"/>
    <col min="8962" max="8962" width="30.5703125" style="145" customWidth="1"/>
    <col min="8963" max="8964" width="9.5703125" style="145" bestFit="1" customWidth="1"/>
    <col min="8965" max="8965" width="10.5703125" style="145" bestFit="1" customWidth="1"/>
    <col min="8966" max="9216" width="9.140625" style="145"/>
    <col min="9217" max="9217" width="56.140625" style="145" customWidth="1"/>
    <col min="9218" max="9218" width="30.5703125" style="145" customWidth="1"/>
    <col min="9219" max="9220" width="9.5703125" style="145" bestFit="1" customWidth="1"/>
    <col min="9221" max="9221" width="10.5703125" style="145" bestFit="1" customWidth="1"/>
    <col min="9222" max="9472" width="9.140625" style="145"/>
    <col min="9473" max="9473" width="56.140625" style="145" customWidth="1"/>
    <col min="9474" max="9474" width="30.5703125" style="145" customWidth="1"/>
    <col min="9475" max="9476" width="9.5703125" style="145" bestFit="1" customWidth="1"/>
    <col min="9477" max="9477" width="10.5703125" style="145" bestFit="1" customWidth="1"/>
    <col min="9478" max="9728" width="9.140625" style="145"/>
    <col min="9729" max="9729" width="56.140625" style="145" customWidth="1"/>
    <col min="9730" max="9730" width="30.5703125" style="145" customWidth="1"/>
    <col min="9731" max="9732" width="9.5703125" style="145" bestFit="1" customWidth="1"/>
    <col min="9733" max="9733" width="10.5703125" style="145" bestFit="1" customWidth="1"/>
    <col min="9734" max="9984" width="9.140625" style="145"/>
    <col min="9985" max="9985" width="56.140625" style="145" customWidth="1"/>
    <col min="9986" max="9986" width="30.5703125" style="145" customWidth="1"/>
    <col min="9987" max="9988" width="9.5703125" style="145" bestFit="1" customWidth="1"/>
    <col min="9989" max="9989" width="10.5703125" style="145" bestFit="1" customWidth="1"/>
    <col min="9990" max="10240" width="9.140625" style="145"/>
    <col min="10241" max="10241" width="56.140625" style="145" customWidth="1"/>
    <col min="10242" max="10242" width="30.5703125" style="145" customWidth="1"/>
    <col min="10243" max="10244" width="9.5703125" style="145" bestFit="1" customWidth="1"/>
    <col min="10245" max="10245" width="10.5703125" style="145" bestFit="1" customWidth="1"/>
    <col min="10246" max="10496" width="9.140625" style="145"/>
    <col min="10497" max="10497" width="56.140625" style="145" customWidth="1"/>
    <col min="10498" max="10498" width="30.5703125" style="145" customWidth="1"/>
    <col min="10499" max="10500" width="9.5703125" style="145" bestFit="1" customWidth="1"/>
    <col min="10501" max="10501" width="10.5703125" style="145" bestFit="1" customWidth="1"/>
    <col min="10502" max="10752" width="9.140625" style="145"/>
    <col min="10753" max="10753" width="56.140625" style="145" customWidth="1"/>
    <col min="10754" max="10754" width="30.5703125" style="145" customWidth="1"/>
    <col min="10755" max="10756" width="9.5703125" style="145" bestFit="1" customWidth="1"/>
    <col min="10757" max="10757" width="10.5703125" style="145" bestFit="1" customWidth="1"/>
    <col min="10758" max="11008" width="9.140625" style="145"/>
    <col min="11009" max="11009" width="56.140625" style="145" customWidth="1"/>
    <col min="11010" max="11010" width="30.5703125" style="145" customWidth="1"/>
    <col min="11011" max="11012" width="9.5703125" style="145" bestFit="1" customWidth="1"/>
    <col min="11013" max="11013" width="10.5703125" style="145" bestFit="1" customWidth="1"/>
    <col min="11014" max="11264" width="9.140625" style="145"/>
    <col min="11265" max="11265" width="56.140625" style="145" customWidth="1"/>
    <col min="11266" max="11266" width="30.5703125" style="145" customWidth="1"/>
    <col min="11267" max="11268" width="9.5703125" style="145" bestFit="1" customWidth="1"/>
    <col min="11269" max="11269" width="10.5703125" style="145" bestFit="1" customWidth="1"/>
    <col min="11270" max="11520" width="9.140625" style="145"/>
    <col min="11521" max="11521" width="56.140625" style="145" customWidth="1"/>
    <col min="11522" max="11522" width="30.5703125" style="145" customWidth="1"/>
    <col min="11523" max="11524" width="9.5703125" style="145" bestFit="1" customWidth="1"/>
    <col min="11525" max="11525" width="10.5703125" style="145" bestFit="1" customWidth="1"/>
    <col min="11526" max="11776" width="9.140625" style="145"/>
    <col min="11777" max="11777" width="56.140625" style="145" customWidth="1"/>
    <col min="11778" max="11778" width="30.5703125" style="145" customWidth="1"/>
    <col min="11779" max="11780" width="9.5703125" style="145" bestFit="1" customWidth="1"/>
    <col min="11781" max="11781" width="10.5703125" style="145" bestFit="1" customWidth="1"/>
    <col min="11782" max="12032" width="9.140625" style="145"/>
    <col min="12033" max="12033" width="56.140625" style="145" customWidth="1"/>
    <col min="12034" max="12034" width="30.5703125" style="145" customWidth="1"/>
    <col min="12035" max="12036" width="9.5703125" style="145" bestFit="1" customWidth="1"/>
    <col min="12037" max="12037" width="10.5703125" style="145" bestFit="1" customWidth="1"/>
    <col min="12038" max="12288" width="9.140625" style="145"/>
    <col min="12289" max="12289" width="56.140625" style="145" customWidth="1"/>
    <col min="12290" max="12290" width="30.5703125" style="145" customWidth="1"/>
    <col min="12291" max="12292" width="9.5703125" style="145" bestFit="1" customWidth="1"/>
    <col min="12293" max="12293" width="10.5703125" style="145" bestFit="1" customWidth="1"/>
    <col min="12294" max="12544" width="9.140625" style="145"/>
    <col min="12545" max="12545" width="56.140625" style="145" customWidth="1"/>
    <col min="12546" max="12546" width="30.5703125" style="145" customWidth="1"/>
    <col min="12547" max="12548" width="9.5703125" style="145" bestFit="1" customWidth="1"/>
    <col min="12549" max="12549" width="10.5703125" style="145" bestFit="1" customWidth="1"/>
    <col min="12550" max="12800" width="9.140625" style="145"/>
    <col min="12801" max="12801" width="56.140625" style="145" customWidth="1"/>
    <col min="12802" max="12802" width="30.5703125" style="145" customWidth="1"/>
    <col min="12803" max="12804" width="9.5703125" style="145" bestFit="1" customWidth="1"/>
    <col min="12805" max="12805" width="10.5703125" style="145" bestFit="1" customWidth="1"/>
    <col min="12806" max="13056" width="9.140625" style="145"/>
    <col min="13057" max="13057" width="56.140625" style="145" customWidth="1"/>
    <col min="13058" max="13058" width="30.5703125" style="145" customWidth="1"/>
    <col min="13059" max="13060" width="9.5703125" style="145" bestFit="1" customWidth="1"/>
    <col min="13061" max="13061" width="10.5703125" style="145" bestFit="1" customWidth="1"/>
    <col min="13062" max="13312" width="9.140625" style="145"/>
    <col min="13313" max="13313" width="56.140625" style="145" customWidth="1"/>
    <col min="13314" max="13314" width="30.5703125" style="145" customWidth="1"/>
    <col min="13315" max="13316" width="9.5703125" style="145" bestFit="1" customWidth="1"/>
    <col min="13317" max="13317" width="10.5703125" style="145" bestFit="1" customWidth="1"/>
    <col min="13318" max="13568" width="9.140625" style="145"/>
    <col min="13569" max="13569" width="56.140625" style="145" customWidth="1"/>
    <col min="13570" max="13570" width="30.5703125" style="145" customWidth="1"/>
    <col min="13571" max="13572" width="9.5703125" style="145" bestFit="1" customWidth="1"/>
    <col min="13573" max="13573" width="10.5703125" style="145" bestFit="1" customWidth="1"/>
    <col min="13574" max="13824" width="9.140625" style="145"/>
    <col min="13825" max="13825" width="56.140625" style="145" customWidth="1"/>
    <col min="13826" max="13826" width="30.5703125" style="145" customWidth="1"/>
    <col min="13827" max="13828" width="9.5703125" style="145" bestFit="1" customWidth="1"/>
    <col min="13829" max="13829" width="10.5703125" style="145" bestFit="1" customWidth="1"/>
    <col min="13830" max="14080" width="9.140625" style="145"/>
    <col min="14081" max="14081" width="56.140625" style="145" customWidth="1"/>
    <col min="14082" max="14082" width="30.5703125" style="145" customWidth="1"/>
    <col min="14083" max="14084" width="9.5703125" style="145" bestFit="1" customWidth="1"/>
    <col min="14085" max="14085" width="10.5703125" style="145" bestFit="1" customWidth="1"/>
    <col min="14086" max="14336" width="9.140625" style="145"/>
    <col min="14337" max="14337" width="56.140625" style="145" customWidth="1"/>
    <col min="14338" max="14338" width="30.5703125" style="145" customWidth="1"/>
    <col min="14339" max="14340" width="9.5703125" style="145" bestFit="1" customWidth="1"/>
    <col min="14341" max="14341" width="10.5703125" style="145" bestFit="1" customWidth="1"/>
    <col min="14342" max="14592" width="9.140625" style="145"/>
    <col min="14593" max="14593" width="56.140625" style="145" customWidth="1"/>
    <col min="14594" max="14594" width="30.5703125" style="145" customWidth="1"/>
    <col min="14595" max="14596" width="9.5703125" style="145" bestFit="1" customWidth="1"/>
    <col min="14597" max="14597" width="10.5703125" style="145" bestFit="1" customWidth="1"/>
    <col min="14598" max="14848" width="9.140625" style="145"/>
    <col min="14849" max="14849" width="56.140625" style="145" customWidth="1"/>
    <col min="14850" max="14850" width="30.5703125" style="145" customWidth="1"/>
    <col min="14851" max="14852" width="9.5703125" style="145" bestFit="1" customWidth="1"/>
    <col min="14853" max="14853" width="10.5703125" style="145" bestFit="1" customWidth="1"/>
    <col min="14854" max="15104" width="9.140625" style="145"/>
    <col min="15105" max="15105" width="56.140625" style="145" customWidth="1"/>
    <col min="15106" max="15106" width="30.5703125" style="145" customWidth="1"/>
    <col min="15107" max="15108" width="9.5703125" style="145" bestFit="1" customWidth="1"/>
    <col min="15109" max="15109" width="10.5703125" style="145" bestFit="1" customWidth="1"/>
    <col min="15110" max="15360" width="9.140625" style="145"/>
    <col min="15361" max="15361" width="56.140625" style="145" customWidth="1"/>
    <col min="15362" max="15362" width="30.5703125" style="145" customWidth="1"/>
    <col min="15363" max="15364" width="9.5703125" style="145" bestFit="1" customWidth="1"/>
    <col min="15365" max="15365" width="10.5703125" style="145" bestFit="1" customWidth="1"/>
    <col min="15366" max="15616" width="9.140625" style="145"/>
    <col min="15617" max="15617" width="56.140625" style="145" customWidth="1"/>
    <col min="15618" max="15618" width="30.5703125" style="145" customWidth="1"/>
    <col min="15619" max="15620" width="9.5703125" style="145" bestFit="1" customWidth="1"/>
    <col min="15621" max="15621" width="10.5703125" style="145" bestFit="1" customWidth="1"/>
    <col min="15622" max="15872" width="9.140625" style="145"/>
    <col min="15873" max="15873" width="56.140625" style="145" customWidth="1"/>
    <col min="15874" max="15874" width="30.5703125" style="145" customWidth="1"/>
    <col min="15875" max="15876" width="9.5703125" style="145" bestFit="1" customWidth="1"/>
    <col min="15877" max="15877" width="10.5703125" style="145" bestFit="1" customWidth="1"/>
    <col min="15878" max="16128" width="9.140625" style="145"/>
    <col min="16129" max="16129" width="56.140625" style="145" customWidth="1"/>
    <col min="16130" max="16130" width="30.5703125" style="145" customWidth="1"/>
    <col min="16131" max="16132" width="9.5703125" style="145" bestFit="1" customWidth="1"/>
    <col min="16133" max="16133" width="10.5703125" style="145" bestFit="1" customWidth="1"/>
    <col min="16134" max="16384" width="9.140625" style="145"/>
  </cols>
  <sheetData>
    <row r="2" spans="1:7" ht="30">
      <c r="A2" s="729" t="s">
        <v>773</v>
      </c>
      <c r="B2" s="729"/>
    </row>
    <row r="3" spans="1:7" ht="33.75">
      <c r="A3" s="210"/>
      <c r="B3" s="210"/>
    </row>
    <row r="4" spans="1:7" ht="33.75">
      <c r="A4" s="210"/>
      <c r="B4" s="210"/>
    </row>
    <row r="6" spans="1:7" ht="18.75" customHeight="1">
      <c r="A6" s="730" t="s">
        <v>774</v>
      </c>
      <c r="B6" s="730"/>
      <c r="G6" s="211"/>
    </row>
    <row r="7" spans="1:7" ht="24.95" customHeight="1"/>
    <row r="8" spans="1:7" ht="24.95" customHeight="1">
      <c r="A8" s="731" t="s">
        <v>775</v>
      </c>
      <c r="B8" s="732"/>
    </row>
    <row r="9" spans="1:7" ht="24.95" customHeight="1">
      <c r="B9" s="212"/>
    </row>
    <row r="10" spans="1:7" ht="24.95" customHeight="1">
      <c r="A10" s="145" t="s">
        <v>425</v>
      </c>
      <c r="B10" s="213">
        <v>284065</v>
      </c>
    </row>
    <row r="11" spans="1:7" ht="24.95" customHeight="1">
      <c r="B11" s="213"/>
    </row>
    <row r="12" spans="1:7" ht="24.95" customHeight="1">
      <c r="A12" s="145" t="s">
        <v>426</v>
      </c>
      <c r="B12" s="212">
        <v>212721</v>
      </c>
    </row>
    <row r="13" spans="1:7" ht="24.95" customHeight="1">
      <c r="B13" s="213"/>
    </row>
    <row r="14" spans="1:7" ht="24.95" customHeight="1">
      <c r="A14" s="145" t="s">
        <v>5</v>
      </c>
      <c r="B14" s="214">
        <f>B10+B12</f>
        <v>496786</v>
      </c>
      <c r="D14" s="215"/>
    </row>
    <row r="15" spans="1:7" ht="24.95" customHeight="1">
      <c r="B15" s="213"/>
      <c r="E15" s="216"/>
    </row>
    <row r="16" spans="1:7" ht="24.95" customHeight="1">
      <c r="A16" s="145" t="s">
        <v>427</v>
      </c>
      <c r="B16" s="212">
        <v>241228</v>
      </c>
      <c r="D16" s="215"/>
      <c r="E16" s="215"/>
    </row>
    <row r="17" spans="1:4" ht="24.95" customHeight="1">
      <c r="B17" s="213"/>
      <c r="C17" s="215"/>
    </row>
    <row r="18" spans="1:4" ht="24.95" customHeight="1">
      <c r="A18" s="145" t="s">
        <v>428</v>
      </c>
      <c r="B18" s="213">
        <v>41</v>
      </c>
    </row>
    <row r="19" spans="1:4" ht="24.95" customHeight="1">
      <c r="B19" s="213"/>
    </row>
    <row r="20" spans="1:4" ht="24.95" customHeight="1">
      <c r="A20" s="217" t="s">
        <v>429</v>
      </c>
      <c r="B20" s="218">
        <v>0</v>
      </c>
    </row>
    <row r="21" spans="1:4" ht="24.95" customHeight="1">
      <c r="B21" s="213"/>
    </row>
    <row r="22" spans="1:4" ht="24.95" customHeight="1">
      <c r="A22" s="219" t="s">
        <v>7</v>
      </c>
      <c r="B22" s="220">
        <f>+B14-(B16+B18+B20)</f>
        <v>255517</v>
      </c>
    </row>
    <row r="25" spans="1:4">
      <c r="D25" s="215"/>
    </row>
  </sheetData>
  <mergeCells count="3">
    <mergeCell ref="A2:B2"/>
    <mergeCell ref="A6:B6"/>
    <mergeCell ref="A8:B8"/>
  </mergeCells>
  <pageMargins left="1.1200000000000001" right="0.75" top="1" bottom="1" header="0.5" footer="0.5"/>
  <pageSetup scale="99" orientation="portrait" r:id="rId1"/>
  <headerFooter alignWithMargins="0">
    <oddFooter>&amp;RPage  No. 1of 17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10"/>
  </sheetPr>
  <dimension ref="A1:N51"/>
  <sheetViews>
    <sheetView tabSelected="1" zoomScale="70" zoomScaleNormal="70" zoomScaleSheetLayoutView="70" workbookViewId="0">
      <pane xSplit="4" ySplit="6" topLeftCell="E21" activePane="bottomRight" state="frozen"/>
      <selection pane="topRight" activeCell="E1" sqref="E1"/>
      <selection pane="bottomLeft" activeCell="A13" sqref="A13"/>
      <selection pane="bottomRight" activeCell="Q28" sqref="Q28"/>
    </sheetView>
  </sheetViews>
  <sheetFormatPr defaultRowHeight="12.75"/>
  <cols>
    <col min="1" max="1" width="4.7109375" customWidth="1"/>
    <col min="2" max="2" width="37.42578125" customWidth="1"/>
    <col min="3" max="3" width="15.140625" customWidth="1"/>
    <col min="4" max="4" width="11.140625" customWidth="1"/>
    <col min="5" max="7" width="15.7109375" bestFit="1" customWidth="1"/>
    <col min="8" max="8" width="15.85546875" customWidth="1"/>
    <col min="9" max="9" width="16" customWidth="1"/>
    <col min="10" max="10" width="11.7109375" bestFit="1" customWidth="1"/>
    <col min="11" max="11" width="15.7109375" bestFit="1" customWidth="1"/>
    <col min="12" max="12" width="10.5703125" bestFit="1" customWidth="1"/>
    <col min="14" max="14" width="10.5703125" bestFit="1" customWidth="1"/>
  </cols>
  <sheetData>
    <row r="1" spans="1:13" ht="13.5" thickBot="1"/>
    <row r="2" spans="1:13" ht="30" customHeight="1">
      <c r="A2" s="835" t="s">
        <v>31</v>
      </c>
      <c r="B2" s="836"/>
      <c r="C2" s="836"/>
      <c r="D2" s="836"/>
      <c r="E2" s="836"/>
      <c r="F2" s="836"/>
      <c r="G2" s="836"/>
      <c r="H2" s="836"/>
      <c r="I2" s="836"/>
      <c r="J2" s="836"/>
      <c r="K2" s="837"/>
    </row>
    <row r="3" spans="1:13" ht="30" customHeight="1">
      <c r="A3" s="841" t="s">
        <v>251</v>
      </c>
      <c r="B3" s="824"/>
      <c r="C3" s="824"/>
      <c r="D3" s="824"/>
      <c r="E3" s="824"/>
      <c r="F3" s="824"/>
      <c r="G3" s="824"/>
      <c r="H3" s="824"/>
      <c r="I3" s="824"/>
      <c r="J3" s="824"/>
      <c r="K3" s="842"/>
    </row>
    <row r="4" spans="1:13" ht="30" customHeight="1" thickBot="1">
      <c r="A4" s="838" t="s">
        <v>781</v>
      </c>
      <c r="B4" s="839"/>
      <c r="C4" s="839"/>
      <c r="D4" s="839"/>
      <c r="E4" s="839"/>
      <c r="F4" s="839"/>
      <c r="G4" s="839"/>
      <c r="H4" s="839"/>
      <c r="I4" s="839"/>
      <c r="J4" s="839"/>
      <c r="K4" s="840"/>
    </row>
    <row r="5" spans="1:13" ht="30" customHeight="1" thickTop="1" thickBot="1">
      <c r="A5" s="55" t="s">
        <v>32</v>
      </c>
      <c r="B5" s="56" t="s">
        <v>33</v>
      </c>
      <c r="C5" s="57" t="s">
        <v>34</v>
      </c>
      <c r="D5" s="58"/>
      <c r="E5" s="58" t="s">
        <v>35</v>
      </c>
      <c r="F5" s="58" t="s">
        <v>36</v>
      </c>
      <c r="G5" s="58" t="s">
        <v>37</v>
      </c>
      <c r="H5" s="58" t="s">
        <v>38</v>
      </c>
      <c r="I5" s="58" t="s">
        <v>39</v>
      </c>
      <c r="J5" s="58"/>
      <c r="K5" s="59" t="s">
        <v>36</v>
      </c>
    </row>
    <row r="6" spans="1:13" ht="30" customHeight="1" thickTop="1" thickBot="1">
      <c r="A6" s="55"/>
      <c r="B6" s="56"/>
      <c r="C6" s="58" t="s">
        <v>40</v>
      </c>
      <c r="D6" s="58" t="s">
        <v>41</v>
      </c>
      <c r="E6" s="60"/>
      <c r="F6" s="58"/>
      <c r="G6" s="58"/>
      <c r="H6" s="95" t="s">
        <v>42</v>
      </c>
      <c r="I6" s="58" t="s">
        <v>40</v>
      </c>
      <c r="J6" s="58" t="s">
        <v>41</v>
      </c>
      <c r="K6" s="59"/>
    </row>
    <row r="7" spans="1:13" ht="30" customHeight="1" thickTop="1">
      <c r="A7" s="97" t="s">
        <v>252</v>
      </c>
      <c r="B7" s="96" t="s">
        <v>43</v>
      </c>
      <c r="C7" s="45"/>
      <c r="D7" s="45"/>
      <c r="E7" s="61"/>
      <c r="F7" s="62"/>
      <c r="G7" s="62"/>
      <c r="H7" s="45"/>
      <c r="I7" s="45"/>
      <c r="J7" s="45"/>
      <c r="K7" s="63"/>
    </row>
    <row r="8" spans="1:13" s="116" customFormat="1" ht="30" customHeight="1">
      <c r="A8" s="137">
        <v>1</v>
      </c>
      <c r="B8" s="466" t="s">
        <v>44</v>
      </c>
      <c r="C8" s="467">
        <v>6014</v>
      </c>
      <c r="D8" s="467"/>
      <c r="E8" s="115">
        <v>13625</v>
      </c>
      <c r="F8" s="115">
        <f>SUM(C8:E8)</f>
        <v>19639</v>
      </c>
      <c r="G8" s="115">
        <f>+F8-K8</f>
        <v>12941</v>
      </c>
      <c r="H8" s="115"/>
      <c r="I8" s="467">
        <v>6698</v>
      </c>
      <c r="J8" s="467"/>
      <c r="K8" s="313">
        <f>SUM(I8:J8)</f>
        <v>6698</v>
      </c>
      <c r="M8" s="141"/>
    </row>
    <row r="9" spans="1:13" ht="30" customHeight="1">
      <c r="A9" s="21"/>
      <c r="B9" s="52"/>
      <c r="C9" s="25"/>
      <c r="D9" s="25"/>
      <c r="E9" s="22"/>
      <c r="F9" s="62"/>
      <c r="G9" s="62"/>
      <c r="H9" s="132"/>
      <c r="I9" s="25"/>
      <c r="J9" s="25"/>
      <c r="K9" s="65"/>
    </row>
    <row r="10" spans="1:13" ht="30" customHeight="1">
      <c r="A10" s="64">
        <v>2</v>
      </c>
      <c r="B10" s="66" t="s">
        <v>313</v>
      </c>
      <c r="C10" s="144">
        <v>1500</v>
      </c>
      <c r="D10" s="25"/>
      <c r="E10" s="67"/>
      <c r="F10" s="8">
        <f>SUM(C10:E10)</f>
        <v>1500</v>
      </c>
      <c r="G10" s="8">
        <f>+F10-K10</f>
        <v>0</v>
      </c>
      <c r="H10" s="8"/>
      <c r="I10" s="144">
        <v>1500</v>
      </c>
      <c r="J10" s="25"/>
      <c r="K10" s="65">
        <f>SUM(I10:J10)</f>
        <v>1500</v>
      </c>
    </row>
    <row r="11" spans="1:13" ht="30" customHeight="1">
      <c r="A11" s="64"/>
      <c r="B11" s="68"/>
      <c r="C11" s="25"/>
      <c r="D11" s="25"/>
      <c r="E11" s="22"/>
      <c r="F11" s="62"/>
      <c r="G11" s="62"/>
      <c r="H11" s="132"/>
      <c r="I11" s="25"/>
      <c r="J11" s="25"/>
      <c r="K11" s="65"/>
    </row>
    <row r="12" spans="1:13" ht="30" customHeight="1">
      <c r="A12" s="6">
        <v>3</v>
      </c>
      <c r="B12" s="69" t="s">
        <v>45</v>
      </c>
      <c r="C12" s="27">
        <v>276</v>
      </c>
      <c r="D12" s="27"/>
      <c r="E12" s="8">
        <v>0</v>
      </c>
      <c r="F12" s="8">
        <f>SUM(C12:E12)</f>
        <v>276</v>
      </c>
      <c r="G12" s="8">
        <f>+F12-K12</f>
        <v>61</v>
      </c>
      <c r="H12" s="8">
        <v>0</v>
      </c>
      <c r="I12" s="27">
        <v>215</v>
      </c>
      <c r="J12" s="27"/>
      <c r="K12" s="29">
        <f>SUM(I12:J12)</f>
        <v>215</v>
      </c>
    </row>
    <row r="13" spans="1:13" ht="30" customHeight="1">
      <c r="A13" s="21"/>
      <c r="B13" s="51"/>
      <c r="C13" s="27"/>
      <c r="D13" s="27"/>
      <c r="E13" s="8"/>
      <c r="F13" s="62"/>
      <c r="G13" s="62"/>
      <c r="H13" s="132"/>
      <c r="I13" s="27"/>
      <c r="J13" s="27"/>
      <c r="K13" s="29"/>
    </row>
    <row r="14" spans="1:13" ht="30" customHeight="1">
      <c r="A14" s="64">
        <v>4</v>
      </c>
      <c r="B14" s="69" t="s">
        <v>46</v>
      </c>
      <c r="C14" s="143">
        <v>5</v>
      </c>
      <c r="D14" s="27"/>
      <c r="E14" s="8"/>
      <c r="F14" s="8">
        <f>SUM(C14:E14)</f>
        <v>5</v>
      </c>
      <c r="G14" s="8">
        <f>+F14-K14</f>
        <v>0</v>
      </c>
      <c r="H14" s="8"/>
      <c r="I14" s="143">
        <v>5</v>
      </c>
      <c r="J14" s="27"/>
      <c r="K14" s="29">
        <f>SUM(I14:J14)</f>
        <v>5</v>
      </c>
    </row>
    <row r="15" spans="1:13" ht="30" customHeight="1">
      <c r="A15" s="64"/>
      <c r="B15" s="51"/>
      <c r="C15" s="27"/>
      <c r="D15" s="27"/>
      <c r="E15" s="8"/>
      <c r="F15" s="62"/>
      <c r="G15" s="62"/>
      <c r="H15" s="132"/>
      <c r="I15" s="27"/>
      <c r="J15" s="27"/>
      <c r="K15" s="29"/>
    </row>
    <row r="16" spans="1:13" ht="30" customHeight="1">
      <c r="A16" s="6">
        <v>5</v>
      </c>
      <c r="B16" s="70" t="s">
        <v>47</v>
      </c>
      <c r="C16" s="27">
        <v>12349</v>
      </c>
      <c r="D16" s="27"/>
      <c r="E16" s="8">
        <v>1100</v>
      </c>
      <c r="F16" s="8">
        <f>SUM(C16:E16)</f>
        <v>13449</v>
      </c>
      <c r="G16" s="8">
        <f>+F16-K16</f>
        <v>1295</v>
      </c>
      <c r="H16" s="8"/>
      <c r="I16" s="27">
        <v>12154</v>
      </c>
      <c r="J16" s="27"/>
      <c r="K16" s="71">
        <f>SUM(I16:J16)</f>
        <v>12154</v>
      </c>
      <c r="M16" s="2"/>
    </row>
    <row r="17" spans="1:14" ht="30" customHeight="1">
      <c r="A17" s="21"/>
      <c r="B17" s="70"/>
      <c r="C17" s="27"/>
      <c r="D17" s="27"/>
      <c r="E17" s="8"/>
      <c r="F17" s="62"/>
      <c r="G17" s="62"/>
      <c r="H17" s="132"/>
      <c r="I17" s="27"/>
      <c r="J17" s="27"/>
      <c r="K17" s="71"/>
    </row>
    <row r="18" spans="1:14" ht="30" customHeight="1">
      <c r="A18" s="64">
        <v>6</v>
      </c>
      <c r="B18" s="70" t="s">
        <v>48</v>
      </c>
      <c r="C18" s="143">
        <v>847</v>
      </c>
      <c r="D18" s="27"/>
      <c r="E18" s="8"/>
      <c r="F18" s="8">
        <f>SUM(C18:E18)</f>
        <v>847</v>
      </c>
      <c r="G18" s="8">
        <f>+F18-K18</f>
        <v>0</v>
      </c>
      <c r="H18" s="8"/>
      <c r="I18" s="143">
        <v>847</v>
      </c>
      <c r="J18" s="27"/>
      <c r="K18" s="71">
        <f>SUM(I18:J18)</f>
        <v>847</v>
      </c>
    </row>
    <row r="19" spans="1:14" ht="30" customHeight="1" thickBot="1">
      <c r="A19" s="64"/>
      <c r="B19" s="70"/>
      <c r="C19" s="27"/>
      <c r="D19" s="27"/>
      <c r="E19" s="8"/>
      <c r="F19" s="62"/>
      <c r="G19" s="62"/>
      <c r="H19" s="132"/>
      <c r="I19" s="27"/>
      <c r="J19" s="27"/>
      <c r="K19" s="71"/>
    </row>
    <row r="20" spans="1:14" ht="30" customHeight="1" thickBot="1">
      <c r="A20" s="72"/>
      <c r="B20" s="33" t="s">
        <v>36</v>
      </c>
      <c r="C20" s="34">
        <f t="shared" ref="C20:K20" si="0">SUM(C7:C19)</f>
        <v>20991</v>
      </c>
      <c r="D20" s="34">
        <f t="shared" si="0"/>
        <v>0</v>
      </c>
      <c r="E20" s="34">
        <f t="shared" si="0"/>
        <v>14725</v>
      </c>
      <c r="F20" s="34">
        <f t="shared" si="0"/>
        <v>35716</v>
      </c>
      <c r="G20" s="34">
        <f t="shared" si="0"/>
        <v>14297</v>
      </c>
      <c r="H20" s="34">
        <f t="shared" si="0"/>
        <v>0</v>
      </c>
      <c r="I20" s="34">
        <f t="shared" si="0"/>
        <v>21419</v>
      </c>
      <c r="J20" s="34">
        <f t="shared" si="0"/>
        <v>0</v>
      </c>
      <c r="K20" s="34">
        <f t="shared" si="0"/>
        <v>21419</v>
      </c>
    </row>
    <row r="21" spans="1:14" ht="30" customHeight="1">
      <c r="A21" s="21">
        <v>7</v>
      </c>
      <c r="B21" s="68" t="s">
        <v>315</v>
      </c>
      <c r="C21" s="25">
        <v>1400</v>
      </c>
      <c r="D21" s="25"/>
      <c r="E21" s="19"/>
      <c r="F21" s="22">
        <f>SUM(C21:E21)</f>
        <v>1400</v>
      </c>
      <c r="G21" s="8">
        <f>+F21-K21-H21</f>
        <v>540</v>
      </c>
      <c r="H21" s="22"/>
      <c r="I21" s="25">
        <v>860</v>
      </c>
      <c r="J21" s="25"/>
      <c r="K21" s="65">
        <f>SUM(I21:J21)</f>
        <v>860</v>
      </c>
      <c r="M21" s="135"/>
    </row>
    <row r="22" spans="1:14" ht="30" customHeight="1">
      <c r="A22" s="6"/>
      <c r="B22" s="51"/>
      <c r="C22" s="27"/>
      <c r="D22" s="27"/>
      <c r="E22" s="7"/>
      <c r="F22" s="8"/>
      <c r="G22" s="22"/>
      <c r="H22" s="22"/>
      <c r="I22" s="27"/>
      <c r="J22" s="27"/>
      <c r="K22" s="29"/>
      <c r="L22" s="2"/>
    </row>
    <row r="23" spans="1:14" ht="30" customHeight="1">
      <c r="A23" s="6">
        <v>8</v>
      </c>
      <c r="B23" s="51" t="s">
        <v>316</v>
      </c>
      <c r="C23" s="73">
        <v>1518</v>
      </c>
      <c r="D23" s="73"/>
      <c r="E23" s="23">
        <v>0</v>
      </c>
      <c r="F23" s="22">
        <f>SUM(C23:E23)</f>
        <v>1518</v>
      </c>
      <c r="G23" s="8">
        <f>+F23-K23</f>
        <v>483</v>
      </c>
      <c r="H23" s="22"/>
      <c r="I23" s="73">
        <v>1035</v>
      </c>
      <c r="J23" s="73"/>
      <c r="K23" s="74">
        <f>SUM(I23:J23)</f>
        <v>1035</v>
      </c>
    </row>
    <row r="24" spans="1:14" ht="30" customHeight="1">
      <c r="A24" s="6"/>
      <c r="B24" s="51"/>
      <c r="C24" s="27"/>
      <c r="D24" s="27"/>
      <c r="E24" s="8"/>
      <c r="F24" s="8"/>
      <c r="G24" s="22"/>
      <c r="H24" s="22"/>
      <c r="I24" s="27"/>
      <c r="J24" s="27"/>
      <c r="K24" s="29"/>
      <c r="N24" s="2"/>
    </row>
    <row r="25" spans="1:14" ht="30" customHeight="1">
      <c r="A25" s="6">
        <v>9</v>
      </c>
      <c r="B25" s="51" t="s">
        <v>245</v>
      </c>
      <c r="C25" s="27">
        <v>19.3</v>
      </c>
      <c r="D25" s="27"/>
      <c r="E25" s="8"/>
      <c r="F25" s="8">
        <f>SUM(C25:E25)</f>
        <v>19.3</v>
      </c>
      <c r="G25" s="8">
        <f>+F25-K25</f>
        <v>0</v>
      </c>
      <c r="H25" s="22"/>
      <c r="I25" s="27">
        <v>19.3</v>
      </c>
      <c r="J25" s="27"/>
      <c r="K25" s="29">
        <f>SUM(I25:J25)</f>
        <v>19.3</v>
      </c>
    </row>
    <row r="26" spans="1:14" ht="30" customHeight="1">
      <c r="A26" s="21"/>
      <c r="B26" s="51"/>
      <c r="C26" s="27"/>
      <c r="D26" s="27"/>
      <c r="E26" s="8"/>
      <c r="F26" s="8"/>
      <c r="G26" s="22"/>
      <c r="H26" s="22"/>
      <c r="I26" s="27"/>
      <c r="J26" s="27"/>
      <c r="K26" s="29"/>
    </row>
    <row r="27" spans="1:14" ht="30" customHeight="1">
      <c r="A27" s="21">
        <v>10</v>
      </c>
      <c r="B27" s="51" t="s">
        <v>49</v>
      </c>
      <c r="C27" s="27">
        <v>1090</v>
      </c>
      <c r="D27" s="27"/>
      <c r="E27" s="8"/>
      <c r="F27" s="8">
        <f>SUM(C27:E27)</f>
        <v>1090</v>
      </c>
      <c r="G27" s="8">
        <f>+F27-K27</f>
        <v>120</v>
      </c>
      <c r="H27" s="22"/>
      <c r="I27" s="27">
        <v>970</v>
      </c>
      <c r="J27" s="27"/>
      <c r="K27" s="29">
        <f>SUM(I27:J27)</f>
        <v>970</v>
      </c>
    </row>
    <row r="28" spans="1:14" ht="30" customHeight="1">
      <c r="A28" s="21"/>
      <c r="B28" s="51"/>
      <c r="C28" s="27"/>
      <c r="D28" s="27"/>
      <c r="E28" s="8"/>
      <c r="F28" s="8"/>
      <c r="G28" s="22"/>
      <c r="H28" s="22"/>
      <c r="I28" s="27"/>
      <c r="J28" s="27"/>
      <c r="K28" s="29"/>
    </row>
    <row r="29" spans="1:14" ht="30" customHeight="1">
      <c r="A29" s="10">
        <v>11</v>
      </c>
      <c r="B29" s="308" t="s">
        <v>50</v>
      </c>
      <c r="C29" s="50">
        <v>899</v>
      </c>
      <c r="D29" s="50"/>
      <c r="E29" s="13"/>
      <c r="F29" s="11">
        <f>SUM(C29:E29)</f>
        <v>899</v>
      </c>
      <c r="G29" s="11">
        <f>+F29-K29</f>
        <v>90</v>
      </c>
      <c r="H29" s="11"/>
      <c r="I29" s="50">
        <v>809</v>
      </c>
      <c r="J29" s="50"/>
      <c r="K29" s="16">
        <f>SUM(I29:J29)</f>
        <v>809</v>
      </c>
    </row>
    <row r="30" spans="1:14" ht="30" customHeight="1">
      <c r="A30" s="87"/>
      <c r="B30" s="309"/>
      <c r="C30" s="27"/>
      <c r="D30" s="27"/>
      <c r="E30" s="14"/>
      <c r="F30" s="8"/>
      <c r="G30" s="8"/>
      <c r="H30" s="8"/>
      <c r="I30" s="27"/>
      <c r="J30" s="27"/>
      <c r="K30" s="15"/>
    </row>
    <row r="31" spans="1:14" ht="30" customHeight="1" thickBot="1">
      <c r="A31" s="310">
        <v>12</v>
      </c>
      <c r="B31" s="311" t="s">
        <v>533</v>
      </c>
      <c r="C31" s="50">
        <v>23</v>
      </c>
      <c r="D31" s="50"/>
      <c r="E31" s="13"/>
      <c r="F31" s="11">
        <f>SUM(C31:E31)</f>
        <v>23</v>
      </c>
      <c r="G31" s="11">
        <f>+F31-K31</f>
        <v>0</v>
      </c>
      <c r="H31" s="11"/>
      <c r="I31" s="50">
        <v>23</v>
      </c>
      <c r="J31" s="50"/>
      <c r="K31" s="16">
        <f>SUM(I31:J31)</f>
        <v>23</v>
      </c>
    </row>
    <row r="32" spans="1:14" ht="30" customHeight="1" thickBot="1">
      <c r="A32" s="88"/>
      <c r="B32" s="306" t="s">
        <v>51</v>
      </c>
      <c r="C32" s="307">
        <f>SUM(C21:C31)</f>
        <v>4949.3</v>
      </c>
      <c r="D32" s="307">
        <f t="shared" ref="D32:K32" si="1">SUM(D21:D31)</f>
        <v>0</v>
      </c>
      <c r="E32" s="307">
        <f t="shared" si="1"/>
        <v>0</v>
      </c>
      <c r="F32" s="307">
        <f t="shared" si="1"/>
        <v>4949.3</v>
      </c>
      <c r="G32" s="307">
        <f t="shared" si="1"/>
        <v>1233</v>
      </c>
      <c r="H32" s="307">
        <f t="shared" si="1"/>
        <v>0</v>
      </c>
      <c r="I32" s="307">
        <f t="shared" si="1"/>
        <v>3716.3</v>
      </c>
      <c r="J32" s="307">
        <f t="shared" si="1"/>
        <v>0</v>
      </c>
      <c r="K32" s="312">
        <f t="shared" si="1"/>
        <v>3716.3</v>
      </c>
      <c r="L32" s="209"/>
    </row>
    <row r="33" spans="1:11" ht="30" customHeight="1">
      <c r="A33" s="21"/>
      <c r="B33" s="68"/>
      <c r="C33" s="25"/>
      <c r="D33" s="25"/>
      <c r="E33" s="22"/>
      <c r="F33" s="22"/>
      <c r="G33" s="22"/>
      <c r="H33" s="22"/>
      <c r="I33" s="25"/>
      <c r="J33" s="25"/>
      <c r="K33" s="65"/>
    </row>
    <row r="34" spans="1:11" ht="30" customHeight="1">
      <c r="A34" s="6">
        <v>13</v>
      </c>
      <c r="B34" s="51" t="s">
        <v>317</v>
      </c>
      <c r="C34" s="142">
        <v>722</v>
      </c>
      <c r="D34" s="27"/>
      <c r="E34" s="7">
        <v>360</v>
      </c>
      <c r="F34" s="7">
        <f>SUM(C34:E34)</f>
        <v>1082</v>
      </c>
      <c r="G34" s="8">
        <f>+F34-K34</f>
        <v>348</v>
      </c>
      <c r="H34" s="19">
        <v>0</v>
      </c>
      <c r="I34" s="142">
        <v>734</v>
      </c>
      <c r="J34" s="27"/>
      <c r="K34" s="46">
        <f>SUM(I34:J34)</f>
        <v>734</v>
      </c>
    </row>
    <row r="35" spans="1:11" ht="30" customHeight="1">
      <c r="A35" s="6"/>
      <c r="B35" s="51"/>
      <c r="C35" s="27"/>
      <c r="D35" s="27"/>
      <c r="E35" s="7"/>
      <c r="F35" s="7"/>
      <c r="G35" s="19"/>
      <c r="H35" s="19"/>
      <c r="I35" s="27"/>
      <c r="J35" s="27"/>
      <c r="K35" s="46"/>
    </row>
    <row r="36" spans="1:11" ht="30" customHeight="1">
      <c r="A36" s="6">
        <v>14</v>
      </c>
      <c r="B36" s="51" t="s">
        <v>304</v>
      </c>
      <c r="C36" s="7">
        <v>51</v>
      </c>
      <c r="D36" s="27"/>
      <c r="E36" s="7">
        <v>128</v>
      </c>
      <c r="F36" s="7">
        <f>SUM(C36:E36)</f>
        <v>179</v>
      </c>
      <c r="G36" s="8">
        <f>+F36-K36</f>
        <v>28</v>
      </c>
      <c r="H36" s="125"/>
      <c r="I36" s="7">
        <v>151</v>
      </c>
      <c r="J36" s="27"/>
      <c r="K36" s="46">
        <f>SUM(I36:J36)</f>
        <v>151</v>
      </c>
    </row>
    <row r="37" spans="1:11" ht="30" customHeight="1">
      <c r="A37" s="6"/>
      <c r="B37" s="51"/>
      <c r="C37" s="27"/>
      <c r="D37" s="27"/>
      <c r="E37" s="7"/>
      <c r="F37" s="7"/>
      <c r="G37" s="19"/>
      <c r="H37" s="19"/>
      <c r="I37" s="27"/>
      <c r="J37" s="27"/>
      <c r="K37" s="46"/>
    </row>
    <row r="38" spans="1:11" ht="30" customHeight="1">
      <c r="A38" s="6">
        <v>15</v>
      </c>
      <c r="B38" s="51" t="s">
        <v>52</v>
      </c>
      <c r="C38" s="7">
        <v>11</v>
      </c>
      <c r="D38" s="27"/>
      <c r="E38" s="7">
        <v>0</v>
      </c>
      <c r="F38" s="7">
        <f>SUM(C38:E38)</f>
        <v>11</v>
      </c>
      <c r="G38" s="8">
        <f>+F38-K38</f>
        <v>0</v>
      </c>
      <c r="H38" s="125">
        <v>0</v>
      </c>
      <c r="I38" s="7">
        <v>11</v>
      </c>
      <c r="J38" s="27"/>
      <c r="K38" s="46">
        <f>SUM(I38:J38)</f>
        <v>11</v>
      </c>
    </row>
    <row r="39" spans="1:11" ht="30" customHeight="1">
      <c r="A39" s="6"/>
      <c r="B39" s="75"/>
      <c r="C39" s="77"/>
      <c r="D39" s="27"/>
      <c r="E39" s="12"/>
      <c r="F39" s="12"/>
      <c r="G39" s="19"/>
      <c r="H39" s="24"/>
      <c r="I39" s="77"/>
      <c r="J39" s="27"/>
      <c r="K39" s="78"/>
    </row>
    <row r="40" spans="1:11" ht="30" customHeight="1" thickBot="1">
      <c r="A40" s="10">
        <v>16</v>
      </c>
      <c r="B40" s="75" t="s">
        <v>266</v>
      </c>
      <c r="C40" s="79">
        <v>1368</v>
      </c>
      <c r="D40" s="50"/>
      <c r="E40" s="12">
        <v>0</v>
      </c>
      <c r="F40" s="12">
        <f>SUM(C40:E40)</f>
        <v>1368</v>
      </c>
      <c r="G40" s="8">
        <f>+F40-K40</f>
        <v>348</v>
      </c>
      <c r="H40" s="12">
        <v>0</v>
      </c>
      <c r="I40" s="79">
        <v>1020</v>
      </c>
      <c r="J40" s="50"/>
      <c r="K40" s="78">
        <f>SUM(I40:J40)</f>
        <v>1020</v>
      </c>
    </row>
    <row r="41" spans="1:11" ht="30" customHeight="1" thickBot="1">
      <c r="A41" s="76"/>
      <c r="B41" s="35" t="s">
        <v>36</v>
      </c>
      <c r="C41" s="36">
        <f>+C40+C38+C36+C34</f>
        <v>2152</v>
      </c>
      <c r="D41" s="36">
        <f t="shared" ref="D41:K41" si="2">+D40+D38+D36+D34</f>
        <v>0</v>
      </c>
      <c r="E41" s="36">
        <f t="shared" si="2"/>
        <v>488</v>
      </c>
      <c r="F41" s="36">
        <f t="shared" si="2"/>
        <v>2640</v>
      </c>
      <c r="G41" s="36">
        <f t="shared" si="2"/>
        <v>724</v>
      </c>
      <c r="H41" s="36">
        <f t="shared" si="2"/>
        <v>0</v>
      </c>
      <c r="I41" s="36">
        <f t="shared" si="2"/>
        <v>1916</v>
      </c>
      <c r="J41" s="36">
        <f t="shared" si="2"/>
        <v>0</v>
      </c>
      <c r="K41" s="36">
        <f t="shared" si="2"/>
        <v>1916</v>
      </c>
    </row>
    <row r="42" spans="1:11" ht="30" customHeight="1">
      <c r="A42" s="834"/>
      <c r="B42" s="834"/>
      <c r="C42" s="834"/>
      <c r="D42" s="834"/>
      <c r="E42" s="834"/>
      <c r="F42" s="834"/>
      <c r="G42" s="834"/>
      <c r="H42" s="834"/>
      <c r="I42" s="834"/>
      <c r="J42" s="834"/>
      <c r="K42" s="834"/>
    </row>
    <row r="45" spans="1:11">
      <c r="B45" t="s">
        <v>314</v>
      </c>
      <c r="C45" s="135" t="s">
        <v>541</v>
      </c>
    </row>
    <row r="46" spans="1:11">
      <c r="C46" s="135" t="s">
        <v>534</v>
      </c>
      <c r="E46" s="4">
        <f>+E41+E32+E20</f>
        <v>15213</v>
      </c>
    </row>
    <row r="47" spans="1:11">
      <c r="I47" s="4">
        <f>+I41+I32+I20</f>
        <v>27051.3</v>
      </c>
    </row>
    <row r="50" spans="5:9">
      <c r="E50" s="4"/>
    </row>
    <row r="51" spans="5:9">
      <c r="I51" s="4"/>
    </row>
  </sheetData>
  <mergeCells count="4">
    <mergeCell ref="A42:K42"/>
    <mergeCell ref="A2:K2"/>
    <mergeCell ref="A4:K4"/>
    <mergeCell ref="A3:K3"/>
  </mergeCells>
  <phoneticPr fontId="7" type="noConversion"/>
  <printOptions gridLines="1"/>
  <pageMargins left="0.17" right="0.16" top="0.19" bottom="0.19" header="0.17" footer="0.17"/>
  <pageSetup paperSize="9" scale="57" orientation="portrait" r:id="rId1"/>
  <headerFooter alignWithMargins="0">
    <oddFooter>&amp;RPage No - 14 of 17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P51"/>
  <sheetViews>
    <sheetView view="pageBreakPreview" zoomScale="70" zoomScaleSheetLayoutView="70" workbookViewId="0">
      <pane ySplit="5" topLeftCell="A11" activePane="bottomLeft" state="frozen"/>
      <selection pane="bottomLeft" activeCell="G21" sqref="G21"/>
    </sheetView>
  </sheetViews>
  <sheetFormatPr defaultRowHeight="12.75"/>
  <cols>
    <col min="1" max="1" width="6.7109375" customWidth="1"/>
    <col min="2" max="2" width="31.42578125" customWidth="1"/>
    <col min="3" max="3" width="15.85546875" customWidth="1"/>
    <col min="4" max="4" width="13.7109375" customWidth="1"/>
    <col min="5" max="7" width="15.7109375" bestFit="1" customWidth="1"/>
    <col min="8" max="8" width="19.5703125" customWidth="1"/>
    <col min="9" max="9" width="14.85546875" customWidth="1"/>
    <col min="10" max="10" width="13.42578125" customWidth="1"/>
    <col min="11" max="11" width="15.7109375" bestFit="1" customWidth="1"/>
    <col min="13" max="13" width="11.28515625" bestFit="1" customWidth="1"/>
    <col min="15" max="15" width="10.28515625" bestFit="1" customWidth="1"/>
    <col min="16" max="16" width="10.140625" bestFit="1" customWidth="1"/>
  </cols>
  <sheetData>
    <row r="1" spans="1:16" ht="13.5" thickBot="1"/>
    <row r="2" spans="1:16" ht="30" customHeight="1">
      <c r="A2" s="835" t="s">
        <v>31</v>
      </c>
      <c r="B2" s="836"/>
      <c r="C2" s="836"/>
      <c r="D2" s="836"/>
      <c r="E2" s="836"/>
      <c r="F2" s="836"/>
      <c r="G2" s="836"/>
      <c r="H2" s="836"/>
      <c r="I2" s="836"/>
      <c r="J2" s="836"/>
      <c r="K2" s="837"/>
    </row>
    <row r="3" spans="1:16" ht="30" customHeight="1" thickBot="1">
      <c r="A3" s="838" t="s">
        <v>782</v>
      </c>
      <c r="B3" s="839"/>
      <c r="C3" s="839"/>
      <c r="D3" s="839"/>
      <c r="E3" s="839"/>
      <c r="F3" s="839"/>
      <c r="G3" s="839"/>
      <c r="H3" s="839"/>
      <c r="I3" s="839"/>
      <c r="J3" s="839"/>
      <c r="K3" s="840"/>
    </row>
    <row r="4" spans="1:16" ht="30" customHeight="1" thickTop="1" thickBot="1">
      <c r="A4" s="55" t="s">
        <v>32</v>
      </c>
      <c r="B4" s="56" t="s">
        <v>33</v>
      </c>
      <c r="C4" s="57" t="s">
        <v>34</v>
      </c>
      <c r="D4" s="58"/>
      <c r="E4" s="58" t="s">
        <v>35</v>
      </c>
      <c r="F4" s="58" t="s">
        <v>36</v>
      </c>
      <c r="G4" s="58" t="s">
        <v>37</v>
      </c>
      <c r="H4" s="58" t="s">
        <v>38</v>
      </c>
      <c r="I4" s="58" t="s">
        <v>39</v>
      </c>
      <c r="J4" s="58"/>
      <c r="K4" s="59" t="s">
        <v>36</v>
      </c>
    </row>
    <row r="5" spans="1:16" ht="30" customHeight="1" thickTop="1" thickBot="1">
      <c r="A5" s="55"/>
      <c r="B5" s="56"/>
      <c r="C5" s="58" t="s">
        <v>40</v>
      </c>
      <c r="D5" s="58" t="s">
        <v>41</v>
      </c>
      <c r="E5" s="60"/>
      <c r="F5" s="58"/>
      <c r="G5" s="58"/>
      <c r="H5" s="57" t="s">
        <v>42</v>
      </c>
      <c r="I5" s="58" t="s">
        <v>40</v>
      </c>
      <c r="J5" s="58" t="s">
        <v>41</v>
      </c>
      <c r="K5" s="59"/>
    </row>
    <row r="6" spans="1:16" ht="30" customHeight="1" thickTop="1">
      <c r="A6" s="80" t="s">
        <v>253</v>
      </c>
      <c r="B6" s="81" t="s">
        <v>53</v>
      </c>
      <c r="C6" s="25"/>
      <c r="D6" s="25"/>
      <c r="E6" s="25"/>
      <c r="F6" s="22"/>
      <c r="G6" s="22"/>
      <c r="H6" s="22"/>
      <c r="I6" s="25"/>
      <c r="J6" s="25"/>
      <c r="K6" s="65"/>
      <c r="M6" s="5"/>
    </row>
    <row r="7" spans="1:16" ht="30" customHeight="1">
      <c r="A7" s="6"/>
      <c r="B7" s="133"/>
      <c r="C7" s="27"/>
      <c r="D7" s="28"/>
      <c r="E7" s="28"/>
      <c r="F7" s="8"/>
      <c r="G7" s="22"/>
      <c r="H7" s="22"/>
      <c r="I7" s="27"/>
      <c r="J7" s="28"/>
      <c r="K7" s="29"/>
    </row>
    <row r="8" spans="1:16" ht="30" customHeight="1">
      <c r="A8" s="6">
        <v>1</v>
      </c>
      <c r="B8" s="43" t="s">
        <v>54</v>
      </c>
      <c r="C8" s="7">
        <v>2020</v>
      </c>
      <c r="D8" s="17"/>
      <c r="E8" s="17">
        <v>13720</v>
      </c>
      <c r="F8" s="8">
        <f>C8+D8+E8</f>
        <v>15740</v>
      </c>
      <c r="G8" s="22">
        <f>+F8-K8</f>
        <v>11420</v>
      </c>
      <c r="H8" s="22"/>
      <c r="I8" s="7">
        <v>4320</v>
      </c>
      <c r="J8" s="17"/>
      <c r="K8" s="29">
        <f>SUM(I8:J8)</f>
        <v>4320</v>
      </c>
      <c r="P8" s="2"/>
    </row>
    <row r="9" spans="1:16" ht="30" customHeight="1">
      <c r="A9" s="6"/>
      <c r="B9" s="43"/>
      <c r="C9" s="7"/>
      <c r="D9" s="17"/>
      <c r="E9" s="17"/>
      <c r="F9" s="8"/>
      <c r="G9" s="22"/>
      <c r="H9" s="22"/>
      <c r="I9" s="7"/>
      <c r="J9" s="17"/>
      <c r="K9" s="29"/>
      <c r="P9" s="2"/>
    </row>
    <row r="10" spans="1:16" ht="30" customHeight="1">
      <c r="A10" s="21">
        <v>2</v>
      </c>
      <c r="B10" s="82" t="s">
        <v>55</v>
      </c>
      <c r="C10" s="7">
        <v>21850</v>
      </c>
      <c r="D10" s="83"/>
      <c r="E10" s="83"/>
      <c r="F10" s="8">
        <f>C10+D10+E10</f>
        <v>21850</v>
      </c>
      <c r="G10" s="22">
        <v>65</v>
      </c>
      <c r="H10" s="84">
        <v>1017</v>
      </c>
      <c r="I10" s="7">
        <v>20450</v>
      </c>
      <c r="J10" s="83">
        <v>318</v>
      </c>
      <c r="K10" s="29">
        <f>SUM(I10:J10)</f>
        <v>20768</v>
      </c>
      <c r="M10" s="2"/>
      <c r="N10" s="203"/>
      <c r="O10" s="203"/>
    </row>
    <row r="11" spans="1:16" ht="30" customHeight="1" thickBot="1">
      <c r="A11" s="6"/>
      <c r="B11" s="85"/>
      <c r="C11" s="12"/>
      <c r="D11" s="114"/>
      <c r="E11" s="11"/>
      <c r="F11" s="11"/>
      <c r="G11" s="8"/>
      <c r="H11" s="115"/>
      <c r="I11" s="12"/>
      <c r="J11" s="114"/>
      <c r="K11" s="44"/>
      <c r="L11" s="134"/>
      <c r="M11" s="203"/>
    </row>
    <row r="12" spans="1:16" ht="30" customHeight="1" thickBot="1">
      <c r="A12" s="76"/>
      <c r="B12" s="37" t="s">
        <v>36</v>
      </c>
      <c r="C12" s="38">
        <f t="shared" ref="C12:K12" si="0">SUM(C8:C11)</f>
        <v>23870</v>
      </c>
      <c r="D12" s="38">
        <f t="shared" si="0"/>
        <v>0</v>
      </c>
      <c r="E12" s="38">
        <f t="shared" si="0"/>
        <v>13720</v>
      </c>
      <c r="F12" s="38">
        <f t="shared" si="0"/>
        <v>37590</v>
      </c>
      <c r="G12" s="38">
        <f t="shared" si="0"/>
        <v>11485</v>
      </c>
      <c r="H12" s="38">
        <f t="shared" si="0"/>
        <v>1017</v>
      </c>
      <c r="I12" s="38">
        <f t="shared" si="0"/>
        <v>24770</v>
      </c>
      <c r="J12" s="38">
        <f t="shared" si="0"/>
        <v>318</v>
      </c>
      <c r="K12" s="38">
        <f t="shared" si="0"/>
        <v>25088</v>
      </c>
      <c r="L12" s="1"/>
      <c r="M12" s="113"/>
    </row>
    <row r="13" spans="1:16" ht="30" customHeight="1">
      <c r="A13" s="80"/>
      <c r="B13" s="131" t="s">
        <v>56</v>
      </c>
      <c r="C13" s="25"/>
      <c r="D13" s="26"/>
      <c r="E13" s="30"/>
      <c r="F13" s="30"/>
      <c r="G13" s="39"/>
      <c r="H13" s="22"/>
      <c r="I13" s="25"/>
      <c r="J13" s="26"/>
      <c r="K13" s="65"/>
      <c r="O13" s="203"/>
    </row>
    <row r="14" spans="1:16" ht="30" customHeight="1">
      <c r="A14" s="6"/>
      <c r="B14" s="40"/>
      <c r="C14" s="86"/>
      <c r="D14" s="50"/>
      <c r="E14" s="31"/>
      <c r="F14" s="31"/>
      <c r="G14" s="41"/>
      <c r="H14" s="48"/>
      <c r="I14" s="86"/>
      <c r="J14" s="50"/>
      <c r="K14" s="53"/>
    </row>
    <row r="15" spans="1:16" ht="30" customHeight="1">
      <c r="A15" s="6">
        <v>1</v>
      </c>
      <c r="B15" s="43" t="s">
        <v>57</v>
      </c>
      <c r="C15" s="20">
        <v>480</v>
      </c>
      <c r="D15" s="27"/>
      <c r="E15" s="8">
        <v>420</v>
      </c>
      <c r="F15" s="8">
        <f>C15+D15+E15</f>
        <v>900</v>
      </c>
      <c r="G15" s="14">
        <f>+F15-K15</f>
        <v>400</v>
      </c>
      <c r="H15" s="8">
        <v>0</v>
      </c>
      <c r="I15" s="20">
        <v>500</v>
      </c>
      <c r="J15" s="27"/>
      <c r="K15" s="29">
        <f>SUM(I15:J15)</f>
        <v>500</v>
      </c>
    </row>
    <row r="16" spans="1:16" ht="30" customHeight="1">
      <c r="A16" s="6"/>
      <c r="B16" s="40"/>
      <c r="C16" s="49"/>
      <c r="D16" s="86"/>
      <c r="E16" s="48"/>
      <c r="F16" s="8"/>
      <c r="G16" s="14"/>
      <c r="H16" s="48"/>
      <c r="I16" s="49"/>
      <c r="J16" s="86"/>
      <c r="K16" s="53"/>
    </row>
    <row r="17" spans="1:11" ht="30" customHeight="1">
      <c r="A17" s="6">
        <v>2</v>
      </c>
      <c r="B17" s="43" t="s">
        <v>58</v>
      </c>
      <c r="C17" s="20">
        <v>530</v>
      </c>
      <c r="D17" s="27"/>
      <c r="E17" s="54">
        <v>0</v>
      </c>
      <c r="F17" s="8">
        <f>C17+D17+E17</f>
        <v>530</v>
      </c>
      <c r="G17" s="14">
        <f t="shared" ref="G17:G37" si="1">+F17-K17</f>
        <v>215</v>
      </c>
      <c r="H17" s="8"/>
      <c r="I17" s="20">
        <v>315</v>
      </c>
      <c r="J17" s="27"/>
      <c r="K17" s="29">
        <f>SUM(I17:J17)</f>
        <v>315</v>
      </c>
    </row>
    <row r="18" spans="1:11" ht="30" customHeight="1">
      <c r="A18" s="6"/>
      <c r="B18" s="40"/>
      <c r="C18" s="49"/>
      <c r="D18" s="86"/>
      <c r="E18" s="48"/>
      <c r="F18" s="8"/>
      <c r="G18" s="14"/>
      <c r="H18" s="48"/>
      <c r="I18" s="49"/>
      <c r="J18" s="86"/>
      <c r="K18" s="53"/>
    </row>
    <row r="19" spans="1:11" ht="30" customHeight="1">
      <c r="A19" s="6">
        <v>3</v>
      </c>
      <c r="B19" s="43" t="s">
        <v>59</v>
      </c>
      <c r="C19" s="20">
        <v>190</v>
      </c>
      <c r="D19" s="27"/>
      <c r="E19" s="8"/>
      <c r="F19" s="8">
        <f>C19+D19+E19</f>
        <v>190</v>
      </c>
      <c r="G19" s="14">
        <f t="shared" si="1"/>
        <v>0</v>
      </c>
      <c r="H19" s="8"/>
      <c r="I19" s="20">
        <v>190</v>
      </c>
      <c r="J19" s="27"/>
      <c r="K19" s="29">
        <f>SUM(I19:J19)</f>
        <v>190</v>
      </c>
    </row>
    <row r="20" spans="1:11" ht="30" customHeight="1">
      <c r="A20" s="6"/>
      <c r="B20" s="40"/>
      <c r="C20" s="49"/>
      <c r="D20" s="86"/>
      <c r="E20" s="48"/>
      <c r="F20" s="8"/>
      <c r="G20" s="14"/>
      <c r="H20" s="48"/>
      <c r="I20" s="49"/>
      <c r="J20" s="86"/>
      <c r="K20" s="53"/>
    </row>
    <row r="21" spans="1:11" ht="30" customHeight="1">
      <c r="A21" s="6">
        <v>4</v>
      </c>
      <c r="B21" s="43" t="s">
        <v>60</v>
      </c>
      <c r="C21" s="20">
        <v>39</v>
      </c>
      <c r="D21" s="27"/>
      <c r="E21" s="8"/>
      <c r="F21" s="8">
        <f>C21+D21+E21</f>
        <v>39</v>
      </c>
      <c r="G21" s="14">
        <f t="shared" si="1"/>
        <v>11</v>
      </c>
      <c r="H21" s="8"/>
      <c r="I21" s="20">
        <v>28</v>
      </c>
      <c r="J21" s="27"/>
      <c r="K21" s="29">
        <f>SUM(I21:J21)</f>
        <v>28</v>
      </c>
    </row>
    <row r="22" spans="1:11" ht="30" customHeight="1">
      <c r="A22" s="6"/>
      <c r="B22" s="40"/>
      <c r="C22" s="86"/>
      <c r="D22" s="86"/>
      <c r="E22" s="48"/>
      <c r="F22" s="8"/>
      <c r="G22" s="14"/>
      <c r="H22" s="48"/>
      <c r="I22" s="86"/>
      <c r="J22" s="86"/>
      <c r="K22" s="53"/>
    </row>
    <row r="23" spans="1:11" ht="30" customHeight="1">
      <c r="A23" s="6">
        <v>5</v>
      </c>
      <c r="B23" s="98" t="s">
        <v>61</v>
      </c>
      <c r="C23" s="20">
        <v>300</v>
      </c>
      <c r="D23" s="27"/>
      <c r="E23" s="8"/>
      <c r="F23" s="8">
        <f>C23+D23+E23</f>
        <v>300</v>
      </c>
      <c r="G23" s="14">
        <f t="shared" si="1"/>
        <v>0</v>
      </c>
      <c r="H23" s="8"/>
      <c r="I23" s="20">
        <v>300</v>
      </c>
      <c r="J23" s="27"/>
      <c r="K23" s="29">
        <f>SUM(I23:J23)</f>
        <v>300</v>
      </c>
    </row>
    <row r="24" spans="1:11" ht="30" customHeight="1">
      <c r="A24" s="6"/>
      <c r="B24" s="40"/>
      <c r="C24" s="86"/>
      <c r="D24" s="86"/>
      <c r="E24" s="48"/>
      <c r="F24" s="8"/>
      <c r="G24" s="14"/>
      <c r="H24" s="48"/>
      <c r="I24" s="86"/>
      <c r="J24" s="86"/>
      <c r="K24" s="53"/>
    </row>
    <row r="25" spans="1:11" ht="30" customHeight="1">
      <c r="A25" s="6">
        <v>6</v>
      </c>
      <c r="B25" s="43" t="s">
        <v>62</v>
      </c>
      <c r="C25" s="128"/>
      <c r="D25" s="102"/>
      <c r="E25" s="102"/>
      <c r="F25" s="8">
        <f>C25+D25+E25</f>
        <v>0</v>
      </c>
      <c r="G25" s="14">
        <f t="shared" si="1"/>
        <v>0</v>
      </c>
      <c r="H25" s="102"/>
      <c r="I25" s="128"/>
      <c r="J25" s="102"/>
      <c r="K25" s="46">
        <f>SUM(I25:J25)</f>
        <v>0</v>
      </c>
    </row>
    <row r="26" spans="1:11" ht="30" customHeight="1">
      <c r="A26" s="6"/>
      <c r="B26" s="40"/>
      <c r="C26" s="86"/>
      <c r="D26" s="104"/>
      <c r="E26" s="105"/>
      <c r="F26" s="8"/>
      <c r="G26" s="14"/>
      <c r="H26" s="105"/>
      <c r="I26" s="86"/>
      <c r="J26" s="104"/>
      <c r="K26" s="106"/>
    </row>
    <row r="27" spans="1:11" ht="30" customHeight="1">
      <c r="A27" s="6">
        <v>7</v>
      </c>
      <c r="B27" s="43" t="s">
        <v>63</v>
      </c>
      <c r="C27" s="7">
        <v>65</v>
      </c>
      <c r="D27" s="102"/>
      <c r="E27" s="102"/>
      <c r="F27" s="8">
        <f>C27+D27+E27</f>
        <v>65</v>
      </c>
      <c r="G27" s="14">
        <f t="shared" si="1"/>
        <v>0</v>
      </c>
      <c r="H27" s="102"/>
      <c r="I27" s="7">
        <v>65</v>
      </c>
      <c r="J27" s="102"/>
      <c r="K27" s="46">
        <f>SUM(I27:J27)</f>
        <v>65</v>
      </c>
    </row>
    <row r="28" spans="1:11" ht="30" customHeight="1">
      <c r="A28" s="6"/>
      <c r="B28" s="9"/>
      <c r="C28" s="7"/>
      <c r="D28" s="102"/>
      <c r="E28" s="102"/>
      <c r="F28" s="8"/>
      <c r="G28" s="14"/>
      <c r="H28" s="105"/>
      <c r="I28" s="7"/>
      <c r="J28" s="102"/>
      <c r="K28" s="103"/>
    </row>
    <row r="29" spans="1:11" ht="30" customHeight="1">
      <c r="A29" s="6">
        <v>8</v>
      </c>
      <c r="B29" s="43" t="s">
        <v>64</v>
      </c>
      <c r="C29" s="7">
        <v>45</v>
      </c>
      <c r="D29" s="102"/>
      <c r="E29" s="102"/>
      <c r="F29" s="8">
        <f>C29+D29+E29</f>
        <v>45</v>
      </c>
      <c r="G29" s="14">
        <f t="shared" si="1"/>
        <v>0</v>
      </c>
      <c r="H29" s="102"/>
      <c r="I29" s="7">
        <v>45</v>
      </c>
      <c r="J29" s="102"/>
      <c r="K29" s="46">
        <f>SUM(I29:J29)</f>
        <v>45</v>
      </c>
    </row>
    <row r="30" spans="1:11" ht="30" customHeight="1">
      <c r="A30" s="6"/>
      <c r="B30" s="43"/>
      <c r="C30" s="7"/>
      <c r="D30" s="102"/>
      <c r="E30" s="102"/>
      <c r="F30" s="8"/>
      <c r="G30" s="14"/>
      <c r="H30" s="105"/>
      <c r="I30" s="7"/>
      <c r="J30" s="102"/>
      <c r="K30" s="107"/>
    </row>
    <row r="31" spans="1:11" ht="30" customHeight="1">
      <c r="A31" s="6">
        <v>9</v>
      </c>
      <c r="B31" s="43" t="s">
        <v>65</v>
      </c>
      <c r="C31" s="7">
        <v>188</v>
      </c>
      <c r="D31" s="102"/>
      <c r="E31" s="7"/>
      <c r="F31" s="8">
        <f>C31+D31+E31</f>
        <v>188</v>
      </c>
      <c r="G31" s="14">
        <f t="shared" si="1"/>
        <v>0</v>
      </c>
      <c r="H31" s="102"/>
      <c r="I31" s="7">
        <v>188</v>
      </c>
      <c r="J31" s="102"/>
      <c r="K31" s="46">
        <f>SUM(I31:J31)</f>
        <v>188</v>
      </c>
    </row>
    <row r="32" spans="1:11" ht="30" customHeight="1">
      <c r="A32" s="6"/>
      <c r="B32" s="43"/>
      <c r="C32" s="7"/>
      <c r="D32" s="102"/>
      <c r="E32" s="102"/>
      <c r="F32" s="8"/>
      <c r="G32" s="14"/>
      <c r="H32" s="102"/>
      <c r="I32" s="7"/>
      <c r="J32" s="102"/>
      <c r="K32" s="103"/>
    </row>
    <row r="33" spans="1:11" ht="30" customHeight="1">
      <c r="A33" s="10">
        <v>10</v>
      </c>
      <c r="B33" s="75" t="s">
        <v>66</v>
      </c>
      <c r="C33" s="12">
        <v>262</v>
      </c>
      <c r="D33" s="108"/>
      <c r="E33" s="129"/>
      <c r="F33" s="8">
        <f>C33+D33+E33</f>
        <v>262</v>
      </c>
      <c r="G33" s="14">
        <f t="shared" si="1"/>
        <v>0</v>
      </c>
      <c r="H33" s="108">
        <v>0</v>
      </c>
      <c r="I33" s="12">
        <v>262</v>
      </c>
      <c r="J33" s="108"/>
      <c r="K33" s="78">
        <f>SUM(I33:J33)</f>
        <v>262</v>
      </c>
    </row>
    <row r="34" spans="1:11" ht="30" customHeight="1">
      <c r="A34" s="87"/>
      <c r="B34" s="51"/>
      <c r="C34" s="7"/>
      <c r="D34" s="102"/>
      <c r="E34" s="102"/>
      <c r="F34" s="8"/>
      <c r="G34" s="14"/>
      <c r="H34" s="102"/>
      <c r="I34" s="7"/>
      <c r="J34" s="102"/>
      <c r="K34" s="103"/>
    </row>
    <row r="35" spans="1:11" ht="30" customHeight="1">
      <c r="A35" s="87">
        <v>11</v>
      </c>
      <c r="B35" s="51" t="s">
        <v>267</v>
      </c>
      <c r="C35" s="7">
        <v>90</v>
      </c>
      <c r="D35" s="102"/>
      <c r="E35" s="102"/>
      <c r="F35" s="8">
        <f>C35+D35+E35</f>
        <v>90</v>
      </c>
      <c r="G35" s="14">
        <f t="shared" si="1"/>
        <v>0</v>
      </c>
      <c r="H35" s="102"/>
      <c r="I35" s="7">
        <v>90</v>
      </c>
      <c r="J35" s="102"/>
      <c r="K35" s="126">
        <f>SUM(I35:J35)</f>
        <v>90</v>
      </c>
    </row>
    <row r="36" spans="1:11" ht="30" customHeight="1">
      <c r="A36" s="87"/>
      <c r="B36" s="43"/>
      <c r="C36" s="7"/>
      <c r="D36" s="102"/>
      <c r="E36" s="102"/>
      <c r="F36" s="8"/>
      <c r="G36" s="14"/>
      <c r="H36" s="102"/>
      <c r="I36" s="7"/>
      <c r="J36" s="102"/>
      <c r="K36" s="112"/>
    </row>
    <row r="37" spans="1:11" ht="30" customHeight="1" thickBot="1">
      <c r="A37" s="109">
        <v>12</v>
      </c>
      <c r="B37" s="110" t="s">
        <v>302</v>
      </c>
      <c r="C37" s="120">
        <v>34</v>
      </c>
      <c r="D37" s="111"/>
      <c r="E37" s="111"/>
      <c r="F37" s="8">
        <f>C37+D37+E37</f>
        <v>34</v>
      </c>
      <c r="G37" s="14">
        <f t="shared" si="1"/>
        <v>0</v>
      </c>
      <c r="H37" s="111"/>
      <c r="I37" s="120">
        <v>34</v>
      </c>
      <c r="J37" s="111"/>
      <c r="K37" s="127">
        <f>SUM(I37:J37)</f>
        <v>34</v>
      </c>
    </row>
    <row r="38" spans="1:11" ht="30" customHeight="1" thickBot="1">
      <c r="A38" s="88"/>
      <c r="B38" s="93" t="s">
        <v>36</v>
      </c>
      <c r="C38" s="42">
        <f t="shared" ref="C38:K38" si="2">SUM(C15:C37)</f>
        <v>2223</v>
      </c>
      <c r="D38" s="42">
        <f t="shared" si="2"/>
        <v>0</v>
      </c>
      <c r="E38" s="42">
        <f t="shared" si="2"/>
        <v>420</v>
      </c>
      <c r="F38" s="42">
        <f t="shared" si="2"/>
        <v>2643</v>
      </c>
      <c r="G38" s="42">
        <f t="shared" si="2"/>
        <v>626</v>
      </c>
      <c r="H38" s="42">
        <f t="shared" si="2"/>
        <v>0</v>
      </c>
      <c r="I38" s="42">
        <f t="shared" si="2"/>
        <v>2017</v>
      </c>
      <c r="J38" s="42">
        <f t="shared" si="2"/>
        <v>0</v>
      </c>
      <c r="K38" s="42">
        <f t="shared" si="2"/>
        <v>2017</v>
      </c>
    </row>
    <row r="39" spans="1:11" ht="15">
      <c r="A39" s="843"/>
      <c r="B39" s="843"/>
      <c r="C39" s="843"/>
      <c r="D39" s="843"/>
      <c r="E39" s="843"/>
      <c r="F39" s="843"/>
      <c r="G39" s="843"/>
      <c r="H39" s="843"/>
      <c r="I39" s="843"/>
      <c r="J39" s="843"/>
      <c r="K39" s="843"/>
    </row>
    <row r="42" spans="1:11">
      <c r="I42" s="3"/>
    </row>
    <row r="44" spans="1:11">
      <c r="I44" s="3"/>
    </row>
    <row r="45" spans="1:11">
      <c r="H45" s="135"/>
    </row>
    <row r="47" spans="1:11">
      <c r="I47" s="135"/>
    </row>
    <row r="50" spans="10:11">
      <c r="J50" s="3"/>
    </row>
    <row r="51" spans="10:11">
      <c r="K51" s="3"/>
    </row>
  </sheetData>
  <mergeCells count="3">
    <mergeCell ref="A2:K2"/>
    <mergeCell ref="A3:K3"/>
    <mergeCell ref="A39:K39"/>
  </mergeCells>
  <phoneticPr fontId="7" type="noConversion"/>
  <printOptions gridLines="1"/>
  <pageMargins left="0.17" right="0.28999999999999998" top="0.57999999999999996" bottom="0.2" header="0.17" footer="0.15"/>
  <pageSetup paperSize="9" scale="56" orientation="portrait" r:id="rId1"/>
  <headerFooter alignWithMargins="0">
    <oddFooter>&amp;RPage No - 15 of 17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53"/>
  </sheetPr>
  <dimension ref="A3:L74"/>
  <sheetViews>
    <sheetView view="pageBreakPreview" zoomScale="70" zoomScaleNormal="85" zoomScaleSheetLayoutView="70" workbookViewId="0">
      <pane ySplit="6" topLeftCell="A48" activePane="bottomLeft" state="frozen"/>
      <selection pane="bottomLeft" activeCell="B15" sqref="B15"/>
    </sheetView>
  </sheetViews>
  <sheetFormatPr defaultRowHeight="12.75"/>
  <cols>
    <col min="1" max="1" width="10.5703125" customWidth="1"/>
    <col min="2" max="2" width="38.85546875" customWidth="1"/>
    <col min="3" max="3" width="19.7109375" customWidth="1"/>
    <col min="4" max="4" width="17" customWidth="1"/>
    <col min="5" max="5" width="17.140625" customWidth="1"/>
    <col min="6" max="6" width="17.42578125" customWidth="1"/>
    <col min="7" max="7" width="18" customWidth="1"/>
    <col min="8" max="8" width="15.140625" customWidth="1"/>
    <col min="9" max="9" width="13.42578125" customWidth="1"/>
    <col min="10" max="10" width="19.85546875" customWidth="1"/>
  </cols>
  <sheetData>
    <row r="3" spans="1:10" ht="13.5" thickBot="1"/>
    <row r="4" spans="1:10" ht="30" customHeight="1">
      <c r="A4" s="835" t="s">
        <v>31</v>
      </c>
      <c r="B4" s="836"/>
      <c r="C4" s="836"/>
      <c r="D4" s="836"/>
      <c r="E4" s="836"/>
      <c r="F4" s="836"/>
      <c r="G4" s="836"/>
      <c r="H4" s="836"/>
      <c r="I4" s="836"/>
      <c r="J4" s="837"/>
    </row>
    <row r="5" spans="1:10" ht="30" customHeight="1" thickBot="1">
      <c r="A5" s="838" t="s">
        <v>783</v>
      </c>
      <c r="B5" s="839"/>
      <c r="C5" s="839"/>
      <c r="D5" s="839"/>
      <c r="E5" s="839"/>
      <c r="F5" s="839"/>
      <c r="G5" s="839"/>
      <c r="H5" s="839"/>
      <c r="I5" s="839"/>
      <c r="J5" s="840"/>
    </row>
    <row r="6" spans="1:10" ht="30" customHeight="1" thickTop="1" thickBot="1">
      <c r="A6" s="55" t="s">
        <v>32</v>
      </c>
      <c r="B6" s="56" t="s">
        <v>33</v>
      </c>
      <c r="C6" s="57" t="s">
        <v>34</v>
      </c>
      <c r="D6" s="58"/>
      <c r="E6" s="58" t="s">
        <v>35</v>
      </c>
      <c r="F6" s="58" t="s">
        <v>36</v>
      </c>
      <c r="G6" s="58" t="s">
        <v>37</v>
      </c>
      <c r="H6" s="58" t="s">
        <v>39</v>
      </c>
      <c r="I6" s="58"/>
      <c r="J6" s="59" t="s">
        <v>36</v>
      </c>
    </row>
    <row r="7" spans="1:10" ht="30" customHeight="1" thickTop="1" thickBot="1">
      <c r="A7" s="55"/>
      <c r="B7" s="56"/>
      <c r="C7" s="58" t="s">
        <v>40</v>
      </c>
      <c r="D7" s="58" t="s">
        <v>41</v>
      </c>
      <c r="E7" s="60"/>
      <c r="F7" s="58"/>
      <c r="G7" s="58"/>
      <c r="H7" s="58" t="s">
        <v>40</v>
      </c>
      <c r="I7" s="58" t="s">
        <v>41</v>
      </c>
      <c r="J7" s="59"/>
    </row>
    <row r="8" spans="1:10" ht="30" customHeight="1" thickTop="1">
      <c r="A8" s="89" t="s">
        <v>67</v>
      </c>
      <c r="B8" s="90"/>
      <c r="C8" s="91"/>
      <c r="D8" s="91"/>
      <c r="E8" s="92"/>
      <c r="F8" s="92"/>
      <c r="G8" s="18"/>
      <c r="H8" s="91"/>
      <c r="I8" s="91"/>
      <c r="J8" s="65"/>
    </row>
    <row r="9" spans="1:10" ht="30" customHeight="1">
      <c r="A9" s="6">
        <v>1</v>
      </c>
      <c r="B9" s="43" t="s">
        <v>68</v>
      </c>
      <c r="C9" s="99">
        <v>265</v>
      </c>
      <c r="D9" s="7">
        <v>165</v>
      </c>
      <c r="E9" s="115">
        <v>750</v>
      </c>
      <c r="F9" s="8">
        <f>SUM(C9:E9)</f>
        <v>1180</v>
      </c>
      <c r="G9" s="8">
        <f>+F9-J9</f>
        <v>855</v>
      </c>
      <c r="H9" s="99">
        <v>175</v>
      </c>
      <c r="I9" s="7">
        <v>150</v>
      </c>
      <c r="J9" s="29">
        <f>SUM(H9:I9)</f>
        <v>325</v>
      </c>
    </row>
    <row r="10" spans="1:10" ht="30" customHeight="1">
      <c r="A10" s="6"/>
      <c r="B10" s="43"/>
      <c r="C10" s="99"/>
      <c r="D10" s="7"/>
      <c r="E10" s="8"/>
      <c r="F10" s="8"/>
      <c r="G10" s="18"/>
      <c r="H10" s="99"/>
      <c r="I10" s="7"/>
      <c r="J10" s="29"/>
    </row>
    <row r="11" spans="1:10" ht="30" customHeight="1">
      <c r="A11" s="6">
        <v>2</v>
      </c>
      <c r="B11" s="43" t="s">
        <v>69</v>
      </c>
      <c r="C11" s="99">
        <v>45</v>
      </c>
      <c r="D11" s="7"/>
      <c r="E11" s="8"/>
      <c r="F11" s="8">
        <f>SUM(C11:E11)</f>
        <v>45</v>
      </c>
      <c r="G11" s="8">
        <f>+F11-J11</f>
        <v>1</v>
      </c>
      <c r="H11" s="99">
        <v>44</v>
      </c>
      <c r="I11" s="7"/>
      <c r="J11" s="29">
        <f>SUM(H11:I11)</f>
        <v>44</v>
      </c>
    </row>
    <row r="12" spans="1:10" ht="30" customHeight="1">
      <c r="A12" s="6"/>
      <c r="B12" s="43"/>
      <c r="C12" s="99"/>
      <c r="D12" s="7"/>
      <c r="E12" s="8"/>
      <c r="F12" s="8"/>
      <c r="G12" s="8"/>
      <c r="H12" s="99"/>
      <c r="I12" s="7"/>
      <c r="J12" s="29"/>
    </row>
    <row r="13" spans="1:10" ht="30" customHeight="1">
      <c r="A13" s="6">
        <v>4</v>
      </c>
      <c r="B13" s="43" t="s">
        <v>70</v>
      </c>
      <c r="C13" s="99">
        <v>15</v>
      </c>
      <c r="D13" s="7"/>
      <c r="E13" s="8"/>
      <c r="F13" s="8">
        <f>SUM(C13:E13)</f>
        <v>15</v>
      </c>
      <c r="G13" s="8">
        <f>+F13-J13</f>
        <v>0</v>
      </c>
      <c r="H13" s="99">
        <v>15</v>
      </c>
      <c r="I13" s="7"/>
      <c r="J13" s="29">
        <f>SUM(H13:I13)</f>
        <v>15</v>
      </c>
    </row>
    <row r="14" spans="1:10" ht="30" customHeight="1">
      <c r="A14" s="6"/>
      <c r="B14" s="43"/>
      <c r="C14" s="99"/>
      <c r="D14" s="7"/>
      <c r="E14" s="8"/>
      <c r="F14" s="8"/>
      <c r="G14" s="8"/>
      <c r="H14" s="99"/>
      <c r="I14" s="7"/>
      <c r="J14" s="29"/>
    </row>
    <row r="15" spans="1:10" ht="30" customHeight="1">
      <c r="A15" s="6">
        <v>5</v>
      </c>
      <c r="B15" s="43" t="s">
        <v>246</v>
      </c>
      <c r="C15" s="99">
        <v>27</v>
      </c>
      <c r="D15" s="7"/>
      <c r="E15" s="8">
        <v>48</v>
      </c>
      <c r="F15" s="8">
        <f>SUM(C15:E15)</f>
        <v>75</v>
      </c>
      <c r="G15" s="8">
        <f>+F15-J15</f>
        <v>28</v>
      </c>
      <c r="H15" s="99">
        <v>47</v>
      </c>
      <c r="I15" s="7"/>
      <c r="J15" s="29">
        <f>SUM(H15:I15)</f>
        <v>47</v>
      </c>
    </row>
    <row r="16" spans="1:10" ht="30" customHeight="1">
      <c r="A16" s="6"/>
      <c r="B16" s="43"/>
      <c r="C16" s="99"/>
      <c r="D16" s="7"/>
      <c r="E16" s="8"/>
      <c r="F16" s="8"/>
      <c r="G16" s="18"/>
      <c r="H16" s="99"/>
      <c r="I16" s="7"/>
      <c r="J16" s="29"/>
    </row>
    <row r="17" spans="1:10" ht="30" customHeight="1">
      <c r="A17" s="6">
        <v>6</v>
      </c>
      <c r="B17" s="43" t="s">
        <v>71</v>
      </c>
      <c r="C17" s="99">
        <v>750</v>
      </c>
      <c r="D17" s="7"/>
      <c r="E17" s="8">
        <v>915</v>
      </c>
      <c r="F17" s="8">
        <f>SUM(C17:E17)</f>
        <v>1665</v>
      </c>
      <c r="G17" s="8">
        <f>+F17-J17</f>
        <v>795</v>
      </c>
      <c r="H17" s="99">
        <v>870</v>
      </c>
      <c r="I17" s="7"/>
      <c r="J17" s="29">
        <f>SUM(H17:I17)</f>
        <v>870</v>
      </c>
    </row>
    <row r="18" spans="1:10" ht="30" customHeight="1">
      <c r="A18" s="6"/>
      <c r="B18" s="43"/>
      <c r="C18" s="99"/>
      <c r="D18" s="7"/>
      <c r="E18" s="8"/>
      <c r="F18" s="8"/>
      <c r="G18" s="8"/>
      <c r="H18" s="99"/>
      <c r="I18" s="7"/>
      <c r="J18" s="29"/>
    </row>
    <row r="19" spans="1:10" ht="30" customHeight="1">
      <c r="A19" s="6">
        <v>7</v>
      </c>
      <c r="B19" s="43" t="s">
        <v>72</v>
      </c>
      <c r="C19" s="99">
        <v>20</v>
      </c>
      <c r="D19" s="7"/>
      <c r="E19" s="8"/>
      <c r="F19" s="8">
        <f>SUM(C19:E19)</f>
        <v>20</v>
      </c>
      <c r="G19" s="8">
        <f>+F19-J19</f>
        <v>0</v>
      </c>
      <c r="H19" s="99">
        <v>20</v>
      </c>
      <c r="I19" s="7"/>
      <c r="J19" s="29">
        <f>SUM(H19:I19)</f>
        <v>20</v>
      </c>
    </row>
    <row r="20" spans="1:10" ht="30" customHeight="1">
      <c r="A20" s="6"/>
      <c r="B20" s="43"/>
      <c r="C20" s="99"/>
      <c r="D20" s="7"/>
      <c r="E20" s="8"/>
      <c r="F20" s="8"/>
      <c r="G20" s="18"/>
      <c r="H20" s="99"/>
      <c r="I20" s="7"/>
      <c r="J20" s="29"/>
    </row>
    <row r="21" spans="1:10" ht="30" customHeight="1">
      <c r="A21" s="6">
        <v>8</v>
      </c>
      <c r="B21" s="43" t="s">
        <v>73</v>
      </c>
      <c r="C21" s="99">
        <v>5</v>
      </c>
      <c r="D21" s="7"/>
      <c r="E21" s="8">
        <v>5</v>
      </c>
      <c r="F21" s="8">
        <f>SUM(C21:E21)</f>
        <v>10</v>
      </c>
      <c r="G21" s="8">
        <f>+F21-J21</f>
        <v>3</v>
      </c>
      <c r="H21" s="99">
        <v>7</v>
      </c>
      <c r="I21" s="7"/>
      <c r="J21" s="29">
        <f>SUM(H21:I21)</f>
        <v>7</v>
      </c>
    </row>
    <row r="22" spans="1:10" ht="30" customHeight="1">
      <c r="A22" s="6"/>
      <c r="B22" s="43"/>
      <c r="C22" s="99"/>
      <c r="D22" s="7"/>
      <c r="E22" s="8"/>
      <c r="F22" s="8"/>
      <c r="G22" s="8"/>
      <c r="H22" s="99"/>
      <c r="I22" s="7"/>
      <c r="J22" s="29"/>
    </row>
    <row r="23" spans="1:10" ht="30" customHeight="1">
      <c r="A23" s="6">
        <v>9</v>
      </c>
      <c r="B23" s="43" t="s">
        <v>74</v>
      </c>
      <c r="C23" s="99">
        <v>31</v>
      </c>
      <c r="D23" s="7"/>
      <c r="E23" s="8"/>
      <c r="F23" s="8">
        <f>SUM(C23:E23)</f>
        <v>31</v>
      </c>
      <c r="G23" s="8">
        <f>+F23-J23</f>
        <v>31</v>
      </c>
      <c r="H23" s="99">
        <v>0</v>
      </c>
      <c r="I23" s="7"/>
      <c r="J23" s="29">
        <f>SUM(H23:I23)</f>
        <v>0</v>
      </c>
    </row>
    <row r="24" spans="1:10" ht="30" customHeight="1">
      <c r="A24" s="6"/>
      <c r="B24" s="43"/>
      <c r="C24" s="99"/>
      <c r="D24" s="7"/>
      <c r="E24" s="8"/>
      <c r="F24" s="8"/>
      <c r="G24" s="8"/>
      <c r="H24" s="99"/>
      <c r="I24" s="7"/>
      <c r="J24" s="29"/>
    </row>
    <row r="25" spans="1:10" ht="30" customHeight="1">
      <c r="A25" s="6">
        <v>10</v>
      </c>
      <c r="B25" s="43" t="s">
        <v>75</v>
      </c>
      <c r="C25" s="99">
        <v>119</v>
      </c>
      <c r="D25" s="7"/>
      <c r="E25" s="8">
        <v>90</v>
      </c>
      <c r="F25" s="8">
        <f>SUM(C25:E25)</f>
        <v>209</v>
      </c>
      <c r="G25" s="8">
        <f>+F25-J25</f>
        <v>42</v>
      </c>
      <c r="H25" s="99">
        <v>167</v>
      </c>
      <c r="I25" s="7"/>
      <c r="J25" s="29">
        <f>SUM(H25:I25)</f>
        <v>167</v>
      </c>
    </row>
    <row r="26" spans="1:10" ht="30" customHeight="1">
      <c r="A26" s="6"/>
      <c r="B26" s="43"/>
      <c r="C26" s="99"/>
      <c r="D26" s="7"/>
      <c r="E26" s="8"/>
      <c r="F26" s="8"/>
      <c r="G26" s="18"/>
      <c r="H26" s="99"/>
      <c r="I26" s="7"/>
      <c r="J26" s="29"/>
    </row>
    <row r="27" spans="1:10" ht="30" customHeight="1">
      <c r="A27" s="6">
        <v>11</v>
      </c>
      <c r="B27" s="43" t="s">
        <v>268</v>
      </c>
      <c r="C27" s="99"/>
      <c r="D27" s="7"/>
      <c r="E27" s="8"/>
      <c r="F27" s="8">
        <f>SUM(C27:E27)</f>
        <v>0</v>
      </c>
      <c r="G27" s="8">
        <v>0</v>
      </c>
      <c r="H27" s="99"/>
      <c r="I27" s="7"/>
      <c r="J27" s="29">
        <f>SUM(H27:I27)</f>
        <v>0</v>
      </c>
    </row>
    <row r="28" spans="1:10" ht="30" customHeight="1">
      <c r="A28" s="6"/>
      <c r="B28" s="43"/>
      <c r="C28" s="99"/>
      <c r="D28" s="7"/>
      <c r="E28" s="8"/>
      <c r="F28" s="8"/>
      <c r="G28" s="8"/>
      <c r="H28" s="99"/>
      <c r="I28" s="7"/>
      <c r="J28" s="29"/>
    </row>
    <row r="29" spans="1:10" s="116" customFormat="1" ht="30" customHeight="1">
      <c r="A29" s="137">
        <v>12</v>
      </c>
      <c r="B29" s="140" t="s">
        <v>76</v>
      </c>
      <c r="C29" s="136">
        <v>25</v>
      </c>
      <c r="D29" s="136"/>
      <c r="E29" s="115"/>
      <c r="F29" s="115">
        <f>SUM(C29:E29)</f>
        <v>25</v>
      </c>
      <c r="G29" s="115">
        <f>+F29-J29</f>
        <v>15</v>
      </c>
      <c r="H29" s="136">
        <v>10</v>
      </c>
      <c r="I29" s="136"/>
      <c r="J29" s="313">
        <f>SUM(H29:I29)</f>
        <v>10</v>
      </c>
    </row>
    <row r="30" spans="1:10" ht="30" customHeight="1">
      <c r="A30" s="6"/>
      <c r="B30" s="43"/>
      <c r="C30" s="99"/>
      <c r="D30" s="7"/>
      <c r="E30" s="8"/>
      <c r="F30" s="8"/>
      <c r="G30" s="8"/>
      <c r="H30" s="99"/>
      <c r="I30" s="7"/>
      <c r="J30" s="29"/>
    </row>
    <row r="31" spans="1:10" ht="30" customHeight="1">
      <c r="A31" s="6">
        <v>13</v>
      </c>
      <c r="B31" s="43" t="s">
        <v>77</v>
      </c>
      <c r="C31" s="99">
        <v>38</v>
      </c>
      <c r="D31" s="7"/>
      <c r="E31" s="8"/>
      <c r="F31" s="8">
        <f>SUM(C31:E31)</f>
        <v>38</v>
      </c>
      <c r="G31" s="8">
        <f>+F31-J31</f>
        <v>25</v>
      </c>
      <c r="H31" s="99">
        <v>13</v>
      </c>
      <c r="I31" s="7"/>
      <c r="J31" s="29">
        <f>SUM(H31:I31)</f>
        <v>13</v>
      </c>
    </row>
    <row r="32" spans="1:10" ht="30" customHeight="1">
      <c r="A32" s="6"/>
      <c r="B32" s="43"/>
      <c r="C32" s="99"/>
      <c r="D32" s="7"/>
      <c r="E32" s="8"/>
      <c r="F32" s="8"/>
      <c r="G32" s="18"/>
      <c r="H32" s="99"/>
      <c r="I32" s="7"/>
      <c r="J32" s="29"/>
    </row>
    <row r="33" spans="1:10" ht="30" customHeight="1">
      <c r="A33" s="6">
        <v>14</v>
      </c>
      <c r="B33" s="43" t="s">
        <v>78</v>
      </c>
      <c r="C33" s="99">
        <v>4</v>
      </c>
      <c r="D33" s="7"/>
      <c r="E33" s="8">
        <v>20</v>
      </c>
      <c r="F33" s="8">
        <f>SUM(C33:E33)</f>
        <v>24</v>
      </c>
      <c r="G33" s="8">
        <f>+F33-J33</f>
        <v>0</v>
      </c>
      <c r="H33" s="99">
        <v>24</v>
      </c>
      <c r="I33" s="7"/>
      <c r="J33" s="29">
        <f>SUM(H33:I33)</f>
        <v>24</v>
      </c>
    </row>
    <row r="34" spans="1:10" ht="30" customHeight="1">
      <c r="A34" s="6"/>
      <c r="B34" s="43"/>
      <c r="C34" s="99"/>
      <c r="D34" s="7"/>
      <c r="E34" s="8"/>
      <c r="F34" s="8"/>
      <c r="G34" s="8"/>
      <c r="H34" s="99"/>
      <c r="I34" s="7"/>
      <c r="J34" s="29"/>
    </row>
    <row r="35" spans="1:10" ht="30" customHeight="1">
      <c r="A35" s="6">
        <v>15</v>
      </c>
      <c r="B35" s="43" t="s">
        <v>79</v>
      </c>
      <c r="C35" s="99">
        <v>3</v>
      </c>
      <c r="D35" s="7"/>
      <c r="E35" s="8"/>
      <c r="F35" s="8">
        <f>SUM(C35:E35)</f>
        <v>3</v>
      </c>
      <c r="G35" s="8">
        <f>+F35-J35</f>
        <v>0</v>
      </c>
      <c r="H35" s="99">
        <v>3</v>
      </c>
      <c r="I35" s="7"/>
      <c r="J35" s="29">
        <f>SUM(H35:I35)</f>
        <v>3</v>
      </c>
    </row>
    <row r="36" spans="1:10" ht="30" customHeight="1">
      <c r="A36" s="6"/>
      <c r="B36" s="43"/>
      <c r="C36" s="99"/>
      <c r="D36" s="7"/>
      <c r="E36" s="8"/>
      <c r="F36" s="8"/>
      <c r="G36" s="8"/>
      <c r="H36" s="99"/>
      <c r="I36" s="7"/>
      <c r="J36" s="29"/>
    </row>
    <row r="37" spans="1:10" ht="30" customHeight="1">
      <c r="A37" s="6">
        <v>16</v>
      </c>
      <c r="B37" s="43" t="s">
        <v>80</v>
      </c>
      <c r="C37" s="99">
        <v>5</v>
      </c>
      <c r="D37" s="7"/>
      <c r="E37" s="8"/>
      <c r="F37" s="8">
        <f>SUM(C37:E37)</f>
        <v>5</v>
      </c>
      <c r="G37" s="8">
        <f>+F37-J37</f>
        <v>0</v>
      </c>
      <c r="H37" s="99">
        <v>5</v>
      </c>
      <c r="I37" s="7"/>
      <c r="J37" s="29">
        <f>SUM(H37:I37)</f>
        <v>5</v>
      </c>
    </row>
    <row r="38" spans="1:10" ht="30" customHeight="1">
      <c r="A38" s="6"/>
      <c r="B38" s="43"/>
      <c r="C38" s="99"/>
      <c r="D38" s="7"/>
      <c r="E38" s="8"/>
      <c r="F38" s="8"/>
      <c r="G38" s="18"/>
      <c r="H38" s="99"/>
      <c r="I38" s="7"/>
      <c r="J38" s="29"/>
    </row>
    <row r="39" spans="1:10" ht="30" customHeight="1">
      <c r="A39" s="6">
        <v>17</v>
      </c>
      <c r="B39" s="43" t="s">
        <v>81</v>
      </c>
      <c r="C39" s="99">
        <v>70</v>
      </c>
      <c r="D39" s="7"/>
      <c r="E39" s="8"/>
      <c r="F39" s="8">
        <f>SUM(C39:E39)</f>
        <v>70</v>
      </c>
      <c r="G39" s="8">
        <f>+F39-J39</f>
        <v>0</v>
      </c>
      <c r="H39" s="99">
        <v>70</v>
      </c>
      <c r="I39" s="7"/>
      <c r="J39" s="29">
        <f>SUM(H39:I39)</f>
        <v>70</v>
      </c>
    </row>
    <row r="40" spans="1:10" ht="30" customHeight="1">
      <c r="A40" s="6"/>
      <c r="B40" s="43"/>
      <c r="C40" s="99"/>
      <c r="D40" s="7"/>
      <c r="E40" s="8"/>
      <c r="F40" s="8"/>
      <c r="G40" s="8"/>
      <c r="H40" s="99"/>
      <c r="I40" s="7"/>
      <c r="J40" s="29"/>
    </row>
    <row r="41" spans="1:10" ht="30" customHeight="1">
      <c r="A41" s="6">
        <v>18</v>
      </c>
      <c r="B41" s="43" t="s">
        <v>82</v>
      </c>
      <c r="C41" s="99">
        <v>35</v>
      </c>
      <c r="D41" s="7"/>
      <c r="E41" s="8"/>
      <c r="F41" s="8">
        <f>SUM(C41:E41)</f>
        <v>35</v>
      </c>
      <c r="G41" s="8">
        <f>+F41-J41</f>
        <v>35</v>
      </c>
      <c r="H41" s="99">
        <v>0</v>
      </c>
      <c r="I41" s="7"/>
      <c r="J41" s="29">
        <f>SUM(H41:I41)</f>
        <v>0</v>
      </c>
    </row>
    <row r="42" spans="1:10" ht="30" customHeight="1">
      <c r="A42" s="6"/>
      <c r="B42" s="43"/>
      <c r="C42" s="99"/>
      <c r="D42" s="7"/>
      <c r="E42" s="8"/>
      <c r="F42" s="8"/>
      <c r="G42" s="8">
        <f>+F42-J42</f>
        <v>0</v>
      </c>
      <c r="H42" s="99"/>
      <c r="I42" s="7"/>
      <c r="J42" s="29"/>
    </row>
    <row r="43" spans="1:10" ht="30" customHeight="1">
      <c r="A43" s="6">
        <v>19</v>
      </c>
      <c r="B43" s="43" t="s">
        <v>83</v>
      </c>
      <c r="C43" s="99">
        <v>754</v>
      </c>
      <c r="D43" s="7"/>
      <c r="E43" s="8"/>
      <c r="F43" s="8">
        <f>SUM(C43:E43)</f>
        <v>754</v>
      </c>
      <c r="G43" s="8">
        <f>+F43-J43</f>
        <v>0</v>
      </c>
      <c r="H43" s="99">
        <v>754</v>
      </c>
      <c r="I43" s="7"/>
      <c r="J43" s="29">
        <f>SUM(H43:I43)</f>
        <v>754</v>
      </c>
    </row>
    <row r="44" spans="1:10" ht="30" customHeight="1">
      <c r="A44" s="6"/>
      <c r="B44" s="43"/>
      <c r="C44" s="99"/>
      <c r="D44" s="7"/>
      <c r="E44" s="8"/>
      <c r="F44" s="8"/>
      <c r="G44" s="18"/>
      <c r="H44" s="99"/>
      <c r="I44" s="7"/>
      <c r="J44" s="29"/>
    </row>
    <row r="45" spans="1:10" ht="30" customHeight="1">
      <c r="A45" s="6">
        <v>20</v>
      </c>
      <c r="B45" s="43" t="s">
        <v>84</v>
      </c>
      <c r="C45" s="99">
        <v>72</v>
      </c>
      <c r="D45" s="7"/>
      <c r="E45" s="8"/>
      <c r="F45" s="8">
        <f>SUM(C45:E45)</f>
        <v>72</v>
      </c>
      <c r="G45" s="8">
        <f>+F45-J45</f>
        <v>0</v>
      </c>
      <c r="H45" s="99">
        <v>72</v>
      </c>
      <c r="I45" s="7"/>
      <c r="J45" s="29">
        <f>SUM(H45:I45)</f>
        <v>72</v>
      </c>
    </row>
    <row r="46" spans="1:10" ht="30" customHeight="1">
      <c r="A46" s="6"/>
      <c r="B46" s="43"/>
      <c r="C46" s="99"/>
      <c r="D46" s="7"/>
      <c r="E46" s="8"/>
      <c r="F46" s="8"/>
      <c r="G46" s="8"/>
      <c r="H46" s="99"/>
      <c r="I46" s="7"/>
      <c r="J46" s="29"/>
    </row>
    <row r="47" spans="1:10" s="116" customFormat="1" ht="30" customHeight="1">
      <c r="A47" s="137">
        <v>21</v>
      </c>
      <c r="B47" s="314" t="s">
        <v>85</v>
      </c>
      <c r="C47" s="138">
        <v>12</v>
      </c>
      <c r="D47" s="138"/>
      <c r="E47" s="117">
        <v>57</v>
      </c>
      <c r="F47" s="117">
        <f>SUM(C47:E47)</f>
        <v>69</v>
      </c>
      <c r="G47" s="115">
        <f>+F47-J47</f>
        <v>61</v>
      </c>
      <c r="H47" s="138">
        <v>8</v>
      </c>
      <c r="I47" s="138"/>
      <c r="J47" s="315">
        <f>SUM(H47:I47)</f>
        <v>8</v>
      </c>
    </row>
    <row r="48" spans="1:10" ht="30" customHeight="1">
      <c r="A48" s="6"/>
      <c r="B48" s="51"/>
      <c r="C48" s="99"/>
      <c r="D48" s="17"/>
      <c r="E48" s="8"/>
      <c r="F48" s="8"/>
      <c r="G48" s="8"/>
      <c r="H48" s="99"/>
      <c r="I48" s="17"/>
      <c r="J48" s="101"/>
    </row>
    <row r="49" spans="1:11" ht="30" customHeight="1">
      <c r="A49" s="6">
        <v>22</v>
      </c>
      <c r="B49" s="51" t="s">
        <v>278</v>
      </c>
      <c r="C49" s="99">
        <v>0</v>
      </c>
      <c r="D49" s="17"/>
      <c r="E49" s="8"/>
      <c r="F49" s="8">
        <f>SUM(C49:E49)</f>
        <v>0</v>
      </c>
      <c r="G49" s="8">
        <f>+F49-J49</f>
        <v>0</v>
      </c>
      <c r="H49" s="99">
        <v>0</v>
      </c>
      <c r="I49" s="17"/>
      <c r="J49" s="101">
        <f>SUM(H49:I49)</f>
        <v>0</v>
      </c>
    </row>
    <row r="50" spans="1:11" ht="30" customHeight="1">
      <c r="A50" s="6"/>
      <c r="B50" s="51"/>
      <c r="C50" s="99"/>
      <c r="D50" s="17"/>
      <c r="E50" s="8"/>
      <c r="F50" s="8"/>
      <c r="G50" s="8"/>
      <c r="H50" s="99"/>
      <c r="I50" s="17"/>
      <c r="J50" s="101"/>
    </row>
    <row r="51" spans="1:11" ht="30" customHeight="1">
      <c r="A51" s="6">
        <v>23</v>
      </c>
      <c r="B51" s="51" t="s">
        <v>794</v>
      </c>
      <c r="C51" s="99"/>
      <c r="D51" s="17"/>
      <c r="E51" s="8">
        <v>2</v>
      </c>
      <c r="F51" s="8">
        <f>SUM(C51:E51)</f>
        <v>2</v>
      </c>
      <c r="G51" s="8">
        <f>+F51-J51</f>
        <v>2</v>
      </c>
      <c r="H51" s="99">
        <v>0</v>
      </c>
      <c r="I51" s="17"/>
      <c r="J51" s="101">
        <f>SUM(H51:I51)</f>
        <v>0</v>
      </c>
    </row>
    <row r="52" spans="1:11" ht="30" customHeight="1">
      <c r="A52" s="6"/>
      <c r="B52" s="75"/>
      <c r="C52" s="100"/>
      <c r="D52" s="47"/>
      <c r="E52" s="11"/>
      <c r="F52" s="11"/>
      <c r="G52" s="11"/>
      <c r="H52" s="100"/>
      <c r="I52" s="47"/>
      <c r="J52" s="123"/>
    </row>
    <row r="53" spans="1:11" ht="30" customHeight="1">
      <c r="A53" s="6">
        <v>24</v>
      </c>
      <c r="B53" s="75" t="s">
        <v>542</v>
      </c>
      <c r="C53" s="99">
        <v>60</v>
      </c>
      <c r="D53" s="17"/>
      <c r="E53" s="8"/>
      <c r="F53" s="8">
        <f>SUM(C53:E53)</f>
        <v>60</v>
      </c>
      <c r="G53" s="8">
        <f>+F53-J53</f>
        <v>0</v>
      </c>
      <c r="H53" s="99">
        <v>60</v>
      </c>
      <c r="I53" s="17"/>
      <c r="J53" s="101">
        <f>SUM(H53:I53)</f>
        <v>60</v>
      </c>
    </row>
    <row r="54" spans="1:11" ht="30" customHeight="1">
      <c r="A54" s="6"/>
      <c r="B54" s="75"/>
      <c r="C54" s="100"/>
      <c r="D54" s="47"/>
      <c r="E54" s="11"/>
      <c r="F54" s="11"/>
      <c r="G54" s="11"/>
      <c r="H54" s="100"/>
      <c r="I54" s="47"/>
      <c r="J54" s="123"/>
    </row>
    <row r="55" spans="1:11" ht="30" customHeight="1">
      <c r="A55" s="6">
        <v>24</v>
      </c>
      <c r="B55" s="75" t="s">
        <v>767</v>
      </c>
      <c r="C55" s="99">
        <v>25</v>
      </c>
      <c r="D55" s="17"/>
      <c r="E55" s="471">
        <v>400</v>
      </c>
      <c r="F55" s="8">
        <f>SUM(C55:E55)</f>
        <v>425</v>
      </c>
      <c r="G55" s="8">
        <f>+F55-J55</f>
        <v>425</v>
      </c>
      <c r="H55" s="99">
        <v>0</v>
      </c>
      <c r="I55" s="17"/>
      <c r="J55" s="462">
        <f>SUM(H55:I55)</f>
        <v>0</v>
      </c>
    </row>
    <row r="56" spans="1:11" ht="30" customHeight="1" thickBot="1">
      <c r="A56" s="6">
        <v>25</v>
      </c>
      <c r="B56" s="75" t="s">
        <v>766</v>
      </c>
      <c r="C56" s="100">
        <v>0</v>
      </c>
      <c r="D56" s="47">
        <v>0</v>
      </c>
      <c r="E56" s="11"/>
      <c r="F56" s="8">
        <f>SUM(C56:E56)</f>
        <v>0</v>
      </c>
      <c r="G56" s="8">
        <f>+F56-J56</f>
        <v>0</v>
      </c>
      <c r="H56" s="100">
        <v>0</v>
      </c>
      <c r="I56" s="47"/>
      <c r="J56" s="101">
        <f>SUM(H56:I56)</f>
        <v>0</v>
      </c>
    </row>
    <row r="57" spans="1:11" ht="30" customHeight="1" thickTop="1" thickBot="1">
      <c r="A57" s="124"/>
      <c r="B57" s="58" t="s">
        <v>36</v>
      </c>
      <c r="C57" s="60">
        <f t="shared" ref="C57:I57" si="0">SUM(C9:C56)</f>
        <v>2380</v>
      </c>
      <c r="D57" s="60">
        <f t="shared" si="0"/>
        <v>165</v>
      </c>
      <c r="E57" s="60">
        <f t="shared" si="0"/>
        <v>2287</v>
      </c>
      <c r="F57" s="60">
        <f t="shared" si="0"/>
        <v>4832</v>
      </c>
      <c r="G57" s="60">
        <f t="shared" si="0"/>
        <v>2318</v>
      </c>
      <c r="H57" s="60">
        <f>SUM(H9:H56)</f>
        <v>2364</v>
      </c>
      <c r="I57" s="130">
        <f t="shared" si="0"/>
        <v>150</v>
      </c>
      <c r="J57" s="130">
        <f>SUM(J9:J56)</f>
        <v>2514</v>
      </c>
    </row>
    <row r="58" spans="1:11" ht="30" customHeight="1" thickTop="1">
      <c r="A58" s="845"/>
      <c r="B58" s="846"/>
      <c r="C58" s="846"/>
      <c r="D58" s="846"/>
      <c r="E58" s="846"/>
      <c r="F58" s="846"/>
      <c r="G58" s="846"/>
      <c r="H58" s="846"/>
      <c r="I58" s="122"/>
      <c r="J58" s="32"/>
      <c r="K58" s="1"/>
    </row>
    <row r="59" spans="1:11">
      <c r="A59" s="844"/>
      <c r="B59" s="844"/>
      <c r="C59" s="844"/>
      <c r="D59" s="844"/>
      <c r="E59" s="844"/>
      <c r="F59" s="844"/>
      <c r="G59" s="844"/>
      <c r="H59" s="844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1">
      <c r="E61" s="2"/>
      <c r="G61" s="2"/>
      <c r="H61" s="2"/>
    </row>
    <row r="65" spans="5:12">
      <c r="E65" s="2"/>
      <c r="H65" s="2"/>
      <c r="J65" s="2"/>
    </row>
    <row r="66" spans="5:12">
      <c r="E66" s="2"/>
    </row>
    <row r="67" spans="5:12">
      <c r="H67" s="2"/>
    </row>
    <row r="68" spans="5:12">
      <c r="I68" s="2"/>
    </row>
    <row r="69" spans="5:12">
      <c r="H69" s="2"/>
      <c r="I69" s="2"/>
    </row>
    <row r="70" spans="5:12">
      <c r="L70" s="2"/>
    </row>
    <row r="71" spans="5:12">
      <c r="J71" s="2"/>
    </row>
    <row r="74" spans="5:12">
      <c r="I74" s="2"/>
    </row>
  </sheetData>
  <mergeCells count="4">
    <mergeCell ref="A59:H59"/>
    <mergeCell ref="A4:J4"/>
    <mergeCell ref="A5:J5"/>
    <mergeCell ref="A58:H58"/>
  </mergeCells>
  <phoneticPr fontId="7" type="noConversion"/>
  <printOptions gridLines="1"/>
  <pageMargins left="0.17" right="0.16" top="0.22" bottom="0.17" header="0.2" footer="0.16"/>
  <pageSetup paperSize="9" scale="51" orientation="portrait" r:id="rId1"/>
  <headerFooter alignWithMargins="0">
    <oddFooter>&amp;RPage  No - 16 of 17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indexed="21"/>
  </sheetPr>
  <dimension ref="A3:O74"/>
  <sheetViews>
    <sheetView view="pageBreakPreview" zoomScaleSheetLayoutView="100" workbookViewId="0">
      <selection activeCell="G63" sqref="G63"/>
    </sheetView>
  </sheetViews>
  <sheetFormatPr defaultRowHeight="12.75"/>
  <cols>
    <col min="1" max="1" width="4.28515625" style="145" customWidth="1"/>
    <col min="2" max="2" width="27.42578125" style="145" customWidth="1"/>
    <col min="3" max="3" width="10.5703125" style="145" customWidth="1"/>
    <col min="4" max="4" width="10.42578125" style="145" customWidth="1"/>
    <col min="5" max="5" width="8.85546875" style="145" customWidth="1"/>
    <col min="6" max="6" width="11.140625" style="145" customWidth="1"/>
    <col min="7" max="7" width="10.5703125" style="145" customWidth="1"/>
    <col min="8" max="8" width="11.85546875" style="145" customWidth="1"/>
    <col min="9" max="9" width="11.28515625" style="145" customWidth="1"/>
    <col min="10" max="10" width="12.7109375" style="145" customWidth="1"/>
    <col min="11" max="256" width="9.140625" style="145"/>
    <col min="257" max="257" width="4.28515625" style="145" customWidth="1"/>
    <col min="258" max="258" width="27.42578125" style="145" customWidth="1"/>
    <col min="259" max="259" width="10.5703125" style="145" customWidth="1"/>
    <col min="260" max="260" width="10.42578125" style="145" customWidth="1"/>
    <col min="261" max="261" width="8.85546875" style="145" customWidth="1"/>
    <col min="262" max="262" width="11.140625" style="145" customWidth="1"/>
    <col min="263" max="263" width="10.5703125" style="145" customWidth="1"/>
    <col min="264" max="264" width="11.85546875" style="145" customWidth="1"/>
    <col min="265" max="265" width="11.28515625" style="145" customWidth="1"/>
    <col min="266" max="266" width="12.7109375" style="145" customWidth="1"/>
    <col min="267" max="512" width="9.140625" style="145"/>
    <col min="513" max="513" width="4.28515625" style="145" customWidth="1"/>
    <col min="514" max="514" width="27.42578125" style="145" customWidth="1"/>
    <col min="515" max="515" width="10.5703125" style="145" customWidth="1"/>
    <col min="516" max="516" width="10.42578125" style="145" customWidth="1"/>
    <col min="517" max="517" width="8.85546875" style="145" customWidth="1"/>
    <col min="518" max="518" width="11.140625" style="145" customWidth="1"/>
    <col min="519" max="519" width="10.5703125" style="145" customWidth="1"/>
    <col min="520" max="520" width="11.85546875" style="145" customWidth="1"/>
    <col min="521" max="521" width="11.28515625" style="145" customWidth="1"/>
    <col min="522" max="522" width="12.7109375" style="145" customWidth="1"/>
    <col min="523" max="768" width="9.140625" style="145"/>
    <col min="769" max="769" width="4.28515625" style="145" customWidth="1"/>
    <col min="770" max="770" width="27.42578125" style="145" customWidth="1"/>
    <col min="771" max="771" width="10.5703125" style="145" customWidth="1"/>
    <col min="772" max="772" width="10.42578125" style="145" customWidth="1"/>
    <col min="773" max="773" width="8.85546875" style="145" customWidth="1"/>
    <col min="774" max="774" width="11.140625" style="145" customWidth="1"/>
    <col min="775" max="775" width="10.5703125" style="145" customWidth="1"/>
    <col min="776" max="776" width="11.85546875" style="145" customWidth="1"/>
    <col min="777" max="777" width="11.28515625" style="145" customWidth="1"/>
    <col min="778" max="778" width="12.7109375" style="145" customWidth="1"/>
    <col min="779" max="1024" width="9.140625" style="145"/>
    <col min="1025" max="1025" width="4.28515625" style="145" customWidth="1"/>
    <col min="1026" max="1026" width="27.42578125" style="145" customWidth="1"/>
    <col min="1027" max="1027" width="10.5703125" style="145" customWidth="1"/>
    <col min="1028" max="1028" width="10.42578125" style="145" customWidth="1"/>
    <col min="1029" max="1029" width="8.85546875" style="145" customWidth="1"/>
    <col min="1030" max="1030" width="11.140625" style="145" customWidth="1"/>
    <col min="1031" max="1031" width="10.5703125" style="145" customWidth="1"/>
    <col min="1032" max="1032" width="11.85546875" style="145" customWidth="1"/>
    <col min="1033" max="1033" width="11.28515625" style="145" customWidth="1"/>
    <col min="1034" max="1034" width="12.7109375" style="145" customWidth="1"/>
    <col min="1035" max="1280" width="9.140625" style="145"/>
    <col min="1281" max="1281" width="4.28515625" style="145" customWidth="1"/>
    <col min="1282" max="1282" width="27.42578125" style="145" customWidth="1"/>
    <col min="1283" max="1283" width="10.5703125" style="145" customWidth="1"/>
    <col min="1284" max="1284" width="10.42578125" style="145" customWidth="1"/>
    <col min="1285" max="1285" width="8.85546875" style="145" customWidth="1"/>
    <col min="1286" max="1286" width="11.140625" style="145" customWidth="1"/>
    <col min="1287" max="1287" width="10.5703125" style="145" customWidth="1"/>
    <col min="1288" max="1288" width="11.85546875" style="145" customWidth="1"/>
    <col min="1289" max="1289" width="11.28515625" style="145" customWidth="1"/>
    <col min="1290" max="1290" width="12.7109375" style="145" customWidth="1"/>
    <col min="1291" max="1536" width="9.140625" style="145"/>
    <col min="1537" max="1537" width="4.28515625" style="145" customWidth="1"/>
    <col min="1538" max="1538" width="27.42578125" style="145" customWidth="1"/>
    <col min="1539" max="1539" width="10.5703125" style="145" customWidth="1"/>
    <col min="1540" max="1540" width="10.42578125" style="145" customWidth="1"/>
    <col min="1541" max="1541" width="8.85546875" style="145" customWidth="1"/>
    <col min="1542" max="1542" width="11.140625" style="145" customWidth="1"/>
    <col min="1543" max="1543" width="10.5703125" style="145" customWidth="1"/>
    <col min="1544" max="1544" width="11.85546875" style="145" customWidth="1"/>
    <col min="1545" max="1545" width="11.28515625" style="145" customWidth="1"/>
    <col min="1546" max="1546" width="12.7109375" style="145" customWidth="1"/>
    <col min="1547" max="1792" width="9.140625" style="145"/>
    <col min="1793" max="1793" width="4.28515625" style="145" customWidth="1"/>
    <col min="1794" max="1794" width="27.42578125" style="145" customWidth="1"/>
    <col min="1795" max="1795" width="10.5703125" style="145" customWidth="1"/>
    <col min="1796" max="1796" width="10.42578125" style="145" customWidth="1"/>
    <col min="1797" max="1797" width="8.85546875" style="145" customWidth="1"/>
    <col min="1798" max="1798" width="11.140625" style="145" customWidth="1"/>
    <col min="1799" max="1799" width="10.5703125" style="145" customWidth="1"/>
    <col min="1800" max="1800" width="11.85546875" style="145" customWidth="1"/>
    <col min="1801" max="1801" width="11.28515625" style="145" customWidth="1"/>
    <col min="1802" max="1802" width="12.7109375" style="145" customWidth="1"/>
    <col min="1803" max="2048" width="9.140625" style="145"/>
    <col min="2049" max="2049" width="4.28515625" style="145" customWidth="1"/>
    <col min="2050" max="2050" width="27.42578125" style="145" customWidth="1"/>
    <col min="2051" max="2051" width="10.5703125" style="145" customWidth="1"/>
    <col min="2052" max="2052" width="10.42578125" style="145" customWidth="1"/>
    <col min="2053" max="2053" width="8.85546875" style="145" customWidth="1"/>
    <col min="2054" max="2054" width="11.140625" style="145" customWidth="1"/>
    <col min="2055" max="2055" width="10.5703125" style="145" customWidth="1"/>
    <col min="2056" max="2056" width="11.85546875" style="145" customWidth="1"/>
    <col min="2057" max="2057" width="11.28515625" style="145" customWidth="1"/>
    <col min="2058" max="2058" width="12.7109375" style="145" customWidth="1"/>
    <col min="2059" max="2304" width="9.140625" style="145"/>
    <col min="2305" max="2305" width="4.28515625" style="145" customWidth="1"/>
    <col min="2306" max="2306" width="27.42578125" style="145" customWidth="1"/>
    <col min="2307" max="2307" width="10.5703125" style="145" customWidth="1"/>
    <col min="2308" max="2308" width="10.42578125" style="145" customWidth="1"/>
    <col min="2309" max="2309" width="8.85546875" style="145" customWidth="1"/>
    <col min="2310" max="2310" width="11.140625" style="145" customWidth="1"/>
    <col min="2311" max="2311" width="10.5703125" style="145" customWidth="1"/>
    <col min="2312" max="2312" width="11.85546875" style="145" customWidth="1"/>
    <col min="2313" max="2313" width="11.28515625" style="145" customWidth="1"/>
    <col min="2314" max="2314" width="12.7109375" style="145" customWidth="1"/>
    <col min="2315" max="2560" width="9.140625" style="145"/>
    <col min="2561" max="2561" width="4.28515625" style="145" customWidth="1"/>
    <col min="2562" max="2562" width="27.42578125" style="145" customWidth="1"/>
    <col min="2563" max="2563" width="10.5703125" style="145" customWidth="1"/>
    <col min="2564" max="2564" width="10.42578125" style="145" customWidth="1"/>
    <col min="2565" max="2565" width="8.85546875" style="145" customWidth="1"/>
    <col min="2566" max="2566" width="11.140625" style="145" customWidth="1"/>
    <col min="2567" max="2567" width="10.5703125" style="145" customWidth="1"/>
    <col min="2568" max="2568" width="11.85546875" style="145" customWidth="1"/>
    <col min="2569" max="2569" width="11.28515625" style="145" customWidth="1"/>
    <col min="2570" max="2570" width="12.7109375" style="145" customWidth="1"/>
    <col min="2571" max="2816" width="9.140625" style="145"/>
    <col min="2817" max="2817" width="4.28515625" style="145" customWidth="1"/>
    <col min="2818" max="2818" width="27.42578125" style="145" customWidth="1"/>
    <col min="2819" max="2819" width="10.5703125" style="145" customWidth="1"/>
    <col min="2820" max="2820" width="10.42578125" style="145" customWidth="1"/>
    <col min="2821" max="2821" width="8.85546875" style="145" customWidth="1"/>
    <col min="2822" max="2822" width="11.140625" style="145" customWidth="1"/>
    <col min="2823" max="2823" width="10.5703125" style="145" customWidth="1"/>
    <col min="2824" max="2824" width="11.85546875" style="145" customWidth="1"/>
    <col min="2825" max="2825" width="11.28515625" style="145" customWidth="1"/>
    <col min="2826" max="2826" width="12.7109375" style="145" customWidth="1"/>
    <col min="2827" max="3072" width="9.140625" style="145"/>
    <col min="3073" max="3073" width="4.28515625" style="145" customWidth="1"/>
    <col min="3074" max="3074" width="27.42578125" style="145" customWidth="1"/>
    <col min="3075" max="3075" width="10.5703125" style="145" customWidth="1"/>
    <col min="3076" max="3076" width="10.42578125" style="145" customWidth="1"/>
    <col min="3077" max="3077" width="8.85546875" style="145" customWidth="1"/>
    <col min="3078" max="3078" width="11.140625" style="145" customWidth="1"/>
    <col min="3079" max="3079" width="10.5703125" style="145" customWidth="1"/>
    <col min="3080" max="3080" width="11.85546875" style="145" customWidth="1"/>
    <col min="3081" max="3081" width="11.28515625" style="145" customWidth="1"/>
    <col min="3082" max="3082" width="12.7109375" style="145" customWidth="1"/>
    <col min="3083" max="3328" width="9.140625" style="145"/>
    <col min="3329" max="3329" width="4.28515625" style="145" customWidth="1"/>
    <col min="3330" max="3330" width="27.42578125" style="145" customWidth="1"/>
    <col min="3331" max="3331" width="10.5703125" style="145" customWidth="1"/>
    <col min="3332" max="3332" width="10.42578125" style="145" customWidth="1"/>
    <col min="3333" max="3333" width="8.85546875" style="145" customWidth="1"/>
    <col min="3334" max="3334" width="11.140625" style="145" customWidth="1"/>
    <col min="3335" max="3335" width="10.5703125" style="145" customWidth="1"/>
    <col min="3336" max="3336" width="11.85546875" style="145" customWidth="1"/>
    <col min="3337" max="3337" width="11.28515625" style="145" customWidth="1"/>
    <col min="3338" max="3338" width="12.7109375" style="145" customWidth="1"/>
    <col min="3339" max="3584" width="9.140625" style="145"/>
    <col min="3585" max="3585" width="4.28515625" style="145" customWidth="1"/>
    <col min="3586" max="3586" width="27.42578125" style="145" customWidth="1"/>
    <col min="3587" max="3587" width="10.5703125" style="145" customWidth="1"/>
    <col min="3588" max="3588" width="10.42578125" style="145" customWidth="1"/>
    <col min="3589" max="3589" width="8.85546875" style="145" customWidth="1"/>
    <col min="3590" max="3590" width="11.140625" style="145" customWidth="1"/>
    <col min="3591" max="3591" width="10.5703125" style="145" customWidth="1"/>
    <col min="3592" max="3592" width="11.85546875" style="145" customWidth="1"/>
    <col min="3593" max="3593" width="11.28515625" style="145" customWidth="1"/>
    <col min="3594" max="3594" width="12.7109375" style="145" customWidth="1"/>
    <col min="3595" max="3840" width="9.140625" style="145"/>
    <col min="3841" max="3841" width="4.28515625" style="145" customWidth="1"/>
    <col min="3842" max="3842" width="27.42578125" style="145" customWidth="1"/>
    <col min="3843" max="3843" width="10.5703125" style="145" customWidth="1"/>
    <col min="3844" max="3844" width="10.42578125" style="145" customWidth="1"/>
    <col min="3845" max="3845" width="8.85546875" style="145" customWidth="1"/>
    <col min="3846" max="3846" width="11.140625" style="145" customWidth="1"/>
    <col min="3847" max="3847" width="10.5703125" style="145" customWidth="1"/>
    <col min="3848" max="3848" width="11.85546875" style="145" customWidth="1"/>
    <col min="3849" max="3849" width="11.28515625" style="145" customWidth="1"/>
    <col min="3850" max="3850" width="12.7109375" style="145" customWidth="1"/>
    <col min="3851" max="4096" width="9.140625" style="145"/>
    <col min="4097" max="4097" width="4.28515625" style="145" customWidth="1"/>
    <col min="4098" max="4098" width="27.42578125" style="145" customWidth="1"/>
    <col min="4099" max="4099" width="10.5703125" style="145" customWidth="1"/>
    <col min="4100" max="4100" width="10.42578125" style="145" customWidth="1"/>
    <col min="4101" max="4101" width="8.85546875" style="145" customWidth="1"/>
    <col min="4102" max="4102" width="11.140625" style="145" customWidth="1"/>
    <col min="4103" max="4103" width="10.5703125" style="145" customWidth="1"/>
    <col min="4104" max="4104" width="11.85546875" style="145" customWidth="1"/>
    <col min="4105" max="4105" width="11.28515625" style="145" customWidth="1"/>
    <col min="4106" max="4106" width="12.7109375" style="145" customWidth="1"/>
    <col min="4107" max="4352" width="9.140625" style="145"/>
    <col min="4353" max="4353" width="4.28515625" style="145" customWidth="1"/>
    <col min="4354" max="4354" width="27.42578125" style="145" customWidth="1"/>
    <col min="4355" max="4355" width="10.5703125" style="145" customWidth="1"/>
    <col min="4356" max="4356" width="10.42578125" style="145" customWidth="1"/>
    <col min="4357" max="4357" width="8.85546875" style="145" customWidth="1"/>
    <col min="4358" max="4358" width="11.140625" style="145" customWidth="1"/>
    <col min="4359" max="4359" width="10.5703125" style="145" customWidth="1"/>
    <col min="4360" max="4360" width="11.85546875" style="145" customWidth="1"/>
    <col min="4361" max="4361" width="11.28515625" style="145" customWidth="1"/>
    <col min="4362" max="4362" width="12.7109375" style="145" customWidth="1"/>
    <col min="4363" max="4608" width="9.140625" style="145"/>
    <col min="4609" max="4609" width="4.28515625" style="145" customWidth="1"/>
    <col min="4610" max="4610" width="27.42578125" style="145" customWidth="1"/>
    <col min="4611" max="4611" width="10.5703125" style="145" customWidth="1"/>
    <col min="4612" max="4612" width="10.42578125" style="145" customWidth="1"/>
    <col min="4613" max="4613" width="8.85546875" style="145" customWidth="1"/>
    <col min="4614" max="4614" width="11.140625" style="145" customWidth="1"/>
    <col min="4615" max="4615" width="10.5703125" style="145" customWidth="1"/>
    <col min="4616" max="4616" width="11.85546875" style="145" customWidth="1"/>
    <col min="4617" max="4617" width="11.28515625" style="145" customWidth="1"/>
    <col min="4618" max="4618" width="12.7109375" style="145" customWidth="1"/>
    <col min="4619" max="4864" width="9.140625" style="145"/>
    <col min="4865" max="4865" width="4.28515625" style="145" customWidth="1"/>
    <col min="4866" max="4866" width="27.42578125" style="145" customWidth="1"/>
    <col min="4867" max="4867" width="10.5703125" style="145" customWidth="1"/>
    <col min="4868" max="4868" width="10.42578125" style="145" customWidth="1"/>
    <col min="4869" max="4869" width="8.85546875" style="145" customWidth="1"/>
    <col min="4870" max="4870" width="11.140625" style="145" customWidth="1"/>
    <col min="4871" max="4871" width="10.5703125" style="145" customWidth="1"/>
    <col min="4872" max="4872" width="11.85546875" style="145" customWidth="1"/>
    <col min="4873" max="4873" width="11.28515625" style="145" customWidth="1"/>
    <col min="4874" max="4874" width="12.7109375" style="145" customWidth="1"/>
    <col min="4875" max="5120" width="9.140625" style="145"/>
    <col min="5121" max="5121" width="4.28515625" style="145" customWidth="1"/>
    <col min="5122" max="5122" width="27.42578125" style="145" customWidth="1"/>
    <col min="5123" max="5123" width="10.5703125" style="145" customWidth="1"/>
    <col min="5124" max="5124" width="10.42578125" style="145" customWidth="1"/>
    <col min="5125" max="5125" width="8.85546875" style="145" customWidth="1"/>
    <col min="5126" max="5126" width="11.140625" style="145" customWidth="1"/>
    <col min="5127" max="5127" width="10.5703125" style="145" customWidth="1"/>
    <col min="5128" max="5128" width="11.85546875" style="145" customWidth="1"/>
    <col min="5129" max="5129" width="11.28515625" style="145" customWidth="1"/>
    <col min="5130" max="5130" width="12.7109375" style="145" customWidth="1"/>
    <col min="5131" max="5376" width="9.140625" style="145"/>
    <col min="5377" max="5377" width="4.28515625" style="145" customWidth="1"/>
    <col min="5378" max="5378" width="27.42578125" style="145" customWidth="1"/>
    <col min="5379" max="5379" width="10.5703125" style="145" customWidth="1"/>
    <col min="5380" max="5380" width="10.42578125" style="145" customWidth="1"/>
    <col min="5381" max="5381" width="8.85546875" style="145" customWidth="1"/>
    <col min="5382" max="5382" width="11.140625" style="145" customWidth="1"/>
    <col min="5383" max="5383" width="10.5703125" style="145" customWidth="1"/>
    <col min="5384" max="5384" width="11.85546875" style="145" customWidth="1"/>
    <col min="5385" max="5385" width="11.28515625" style="145" customWidth="1"/>
    <col min="5386" max="5386" width="12.7109375" style="145" customWidth="1"/>
    <col min="5387" max="5632" width="9.140625" style="145"/>
    <col min="5633" max="5633" width="4.28515625" style="145" customWidth="1"/>
    <col min="5634" max="5634" width="27.42578125" style="145" customWidth="1"/>
    <col min="5635" max="5635" width="10.5703125" style="145" customWidth="1"/>
    <col min="5636" max="5636" width="10.42578125" style="145" customWidth="1"/>
    <col min="5637" max="5637" width="8.85546875" style="145" customWidth="1"/>
    <col min="5638" max="5638" width="11.140625" style="145" customWidth="1"/>
    <col min="5639" max="5639" width="10.5703125" style="145" customWidth="1"/>
    <col min="5640" max="5640" width="11.85546875" style="145" customWidth="1"/>
    <col min="5641" max="5641" width="11.28515625" style="145" customWidth="1"/>
    <col min="5642" max="5642" width="12.7109375" style="145" customWidth="1"/>
    <col min="5643" max="5888" width="9.140625" style="145"/>
    <col min="5889" max="5889" width="4.28515625" style="145" customWidth="1"/>
    <col min="5890" max="5890" width="27.42578125" style="145" customWidth="1"/>
    <col min="5891" max="5891" width="10.5703125" style="145" customWidth="1"/>
    <col min="5892" max="5892" width="10.42578125" style="145" customWidth="1"/>
    <col min="5893" max="5893" width="8.85546875" style="145" customWidth="1"/>
    <col min="5894" max="5894" width="11.140625" style="145" customWidth="1"/>
    <col min="5895" max="5895" width="10.5703125" style="145" customWidth="1"/>
    <col min="5896" max="5896" width="11.85546875" style="145" customWidth="1"/>
    <col min="5897" max="5897" width="11.28515625" style="145" customWidth="1"/>
    <col min="5898" max="5898" width="12.7109375" style="145" customWidth="1"/>
    <col min="5899" max="6144" width="9.140625" style="145"/>
    <col min="6145" max="6145" width="4.28515625" style="145" customWidth="1"/>
    <col min="6146" max="6146" width="27.42578125" style="145" customWidth="1"/>
    <col min="6147" max="6147" width="10.5703125" style="145" customWidth="1"/>
    <col min="6148" max="6148" width="10.42578125" style="145" customWidth="1"/>
    <col min="6149" max="6149" width="8.85546875" style="145" customWidth="1"/>
    <col min="6150" max="6150" width="11.140625" style="145" customWidth="1"/>
    <col min="6151" max="6151" width="10.5703125" style="145" customWidth="1"/>
    <col min="6152" max="6152" width="11.85546875" style="145" customWidth="1"/>
    <col min="6153" max="6153" width="11.28515625" style="145" customWidth="1"/>
    <col min="6154" max="6154" width="12.7109375" style="145" customWidth="1"/>
    <col min="6155" max="6400" width="9.140625" style="145"/>
    <col min="6401" max="6401" width="4.28515625" style="145" customWidth="1"/>
    <col min="6402" max="6402" width="27.42578125" style="145" customWidth="1"/>
    <col min="6403" max="6403" width="10.5703125" style="145" customWidth="1"/>
    <col min="6404" max="6404" width="10.42578125" style="145" customWidth="1"/>
    <col min="6405" max="6405" width="8.85546875" style="145" customWidth="1"/>
    <col min="6406" max="6406" width="11.140625" style="145" customWidth="1"/>
    <col min="6407" max="6407" width="10.5703125" style="145" customWidth="1"/>
    <col min="6408" max="6408" width="11.85546875" style="145" customWidth="1"/>
    <col min="6409" max="6409" width="11.28515625" style="145" customWidth="1"/>
    <col min="6410" max="6410" width="12.7109375" style="145" customWidth="1"/>
    <col min="6411" max="6656" width="9.140625" style="145"/>
    <col min="6657" max="6657" width="4.28515625" style="145" customWidth="1"/>
    <col min="6658" max="6658" width="27.42578125" style="145" customWidth="1"/>
    <col min="6659" max="6659" width="10.5703125" style="145" customWidth="1"/>
    <col min="6660" max="6660" width="10.42578125" style="145" customWidth="1"/>
    <col min="6661" max="6661" width="8.85546875" style="145" customWidth="1"/>
    <col min="6662" max="6662" width="11.140625" style="145" customWidth="1"/>
    <col min="6663" max="6663" width="10.5703125" style="145" customWidth="1"/>
    <col min="6664" max="6664" width="11.85546875" style="145" customWidth="1"/>
    <col min="6665" max="6665" width="11.28515625" style="145" customWidth="1"/>
    <col min="6666" max="6666" width="12.7109375" style="145" customWidth="1"/>
    <col min="6667" max="6912" width="9.140625" style="145"/>
    <col min="6913" max="6913" width="4.28515625" style="145" customWidth="1"/>
    <col min="6914" max="6914" width="27.42578125" style="145" customWidth="1"/>
    <col min="6915" max="6915" width="10.5703125" style="145" customWidth="1"/>
    <col min="6916" max="6916" width="10.42578125" style="145" customWidth="1"/>
    <col min="6917" max="6917" width="8.85546875" style="145" customWidth="1"/>
    <col min="6918" max="6918" width="11.140625" style="145" customWidth="1"/>
    <col min="6919" max="6919" width="10.5703125" style="145" customWidth="1"/>
    <col min="6920" max="6920" width="11.85546875" style="145" customWidth="1"/>
    <col min="6921" max="6921" width="11.28515625" style="145" customWidth="1"/>
    <col min="6922" max="6922" width="12.7109375" style="145" customWidth="1"/>
    <col min="6923" max="7168" width="9.140625" style="145"/>
    <col min="7169" max="7169" width="4.28515625" style="145" customWidth="1"/>
    <col min="7170" max="7170" width="27.42578125" style="145" customWidth="1"/>
    <col min="7171" max="7171" width="10.5703125" style="145" customWidth="1"/>
    <col min="7172" max="7172" width="10.42578125" style="145" customWidth="1"/>
    <col min="7173" max="7173" width="8.85546875" style="145" customWidth="1"/>
    <col min="7174" max="7174" width="11.140625" style="145" customWidth="1"/>
    <col min="7175" max="7175" width="10.5703125" style="145" customWidth="1"/>
    <col min="7176" max="7176" width="11.85546875" style="145" customWidth="1"/>
    <col min="7177" max="7177" width="11.28515625" style="145" customWidth="1"/>
    <col min="7178" max="7178" width="12.7109375" style="145" customWidth="1"/>
    <col min="7179" max="7424" width="9.140625" style="145"/>
    <col min="7425" max="7425" width="4.28515625" style="145" customWidth="1"/>
    <col min="7426" max="7426" width="27.42578125" style="145" customWidth="1"/>
    <col min="7427" max="7427" width="10.5703125" style="145" customWidth="1"/>
    <col min="7428" max="7428" width="10.42578125" style="145" customWidth="1"/>
    <col min="7429" max="7429" width="8.85546875" style="145" customWidth="1"/>
    <col min="7430" max="7430" width="11.140625" style="145" customWidth="1"/>
    <col min="7431" max="7431" width="10.5703125" style="145" customWidth="1"/>
    <col min="7432" max="7432" width="11.85546875" style="145" customWidth="1"/>
    <col min="7433" max="7433" width="11.28515625" style="145" customWidth="1"/>
    <col min="7434" max="7434" width="12.7109375" style="145" customWidth="1"/>
    <col min="7435" max="7680" width="9.140625" style="145"/>
    <col min="7681" max="7681" width="4.28515625" style="145" customWidth="1"/>
    <col min="7682" max="7682" width="27.42578125" style="145" customWidth="1"/>
    <col min="7683" max="7683" width="10.5703125" style="145" customWidth="1"/>
    <col min="7684" max="7684" width="10.42578125" style="145" customWidth="1"/>
    <col min="7685" max="7685" width="8.85546875" style="145" customWidth="1"/>
    <col min="7686" max="7686" width="11.140625" style="145" customWidth="1"/>
    <col min="7687" max="7687" width="10.5703125" style="145" customWidth="1"/>
    <col min="7688" max="7688" width="11.85546875" style="145" customWidth="1"/>
    <col min="7689" max="7689" width="11.28515625" style="145" customWidth="1"/>
    <col min="7690" max="7690" width="12.7109375" style="145" customWidth="1"/>
    <col min="7691" max="7936" width="9.140625" style="145"/>
    <col min="7937" max="7937" width="4.28515625" style="145" customWidth="1"/>
    <col min="7938" max="7938" width="27.42578125" style="145" customWidth="1"/>
    <col min="7939" max="7939" width="10.5703125" style="145" customWidth="1"/>
    <col min="7940" max="7940" width="10.42578125" style="145" customWidth="1"/>
    <col min="7941" max="7941" width="8.85546875" style="145" customWidth="1"/>
    <col min="7942" max="7942" width="11.140625" style="145" customWidth="1"/>
    <col min="7943" max="7943" width="10.5703125" style="145" customWidth="1"/>
    <col min="7944" max="7944" width="11.85546875" style="145" customWidth="1"/>
    <col min="7945" max="7945" width="11.28515625" style="145" customWidth="1"/>
    <col min="7946" max="7946" width="12.7109375" style="145" customWidth="1"/>
    <col min="7947" max="8192" width="9.140625" style="145"/>
    <col min="8193" max="8193" width="4.28515625" style="145" customWidth="1"/>
    <col min="8194" max="8194" width="27.42578125" style="145" customWidth="1"/>
    <col min="8195" max="8195" width="10.5703125" style="145" customWidth="1"/>
    <col min="8196" max="8196" width="10.42578125" style="145" customWidth="1"/>
    <col min="8197" max="8197" width="8.85546875" style="145" customWidth="1"/>
    <col min="8198" max="8198" width="11.140625" style="145" customWidth="1"/>
    <col min="8199" max="8199" width="10.5703125" style="145" customWidth="1"/>
    <col min="8200" max="8200" width="11.85546875" style="145" customWidth="1"/>
    <col min="8201" max="8201" width="11.28515625" style="145" customWidth="1"/>
    <col min="8202" max="8202" width="12.7109375" style="145" customWidth="1"/>
    <col min="8203" max="8448" width="9.140625" style="145"/>
    <col min="8449" max="8449" width="4.28515625" style="145" customWidth="1"/>
    <col min="8450" max="8450" width="27.42578125" style="145" customWidth="1"/>
    <col min="8451" max="8451" width="10.5703125" style="145" customWidth="1"/>
    <col min="8452" max="8452" width="10.42578125" style="145" customWidth="1"/>
    <col min="8453" max="8453" width="8.85546875" style="145" customWidth="1"/>
    <col min="8454" max="8454" width="11.140625" style="145" customWidth="1"/>
    <col min="8455" max="8455" width="10.5703125" style="145" customWidth="1"/>
    <col min="8456" max="8456" width="11.85546875" style="145" customWidth="1"/>
    <col min="8457" max="8457" width="11.28515625" style="145" customWidth="1"/>
    <col min="8458" max="8458" width="12.7109375" style="145" customWidth="1"/>
    <col min="8459" max="8704" width="9.140625" style="145"/>
    <col min="8705" max="8705" width="4.28515625" style="145" customWidth="1"/>
    <col min="8706" max="8706" width="27.42578125" style="145" customWidth="1"/>
    <col min="8707" max="8707" width="10.5703125" style="145" customWidth="1"/>
    <col min="8708" max="8708" width="10.42578125" style="145" customWidth="1"/>
    <col min="8709" max="8709" width="8.85546875" style="145" customWidth="1"/>
    <col min="8710" max="8710" width="11.140625" style="145" customWidth="1"/>
    <col min="8711" max="8711" width="10.5703125" style="145" customWidth="1"/>
    <col min="8712" max="8712" width="11.85546875" style="145" customWidth="1"/>
    <col min="8713" max="8713" width="11.28515625" style="145" customWidth="1"/>
    <col min="8714" max="8714" width="12.7109375" style="145" customWidth="1"/>
    <col min="8715" max="8960" width="9.140625" style="145"/>
    <col min="8961" max="8961" width="4.28515625" style="145" customWidth="1"/>
    <col min="8962" max="8962" width="27.42578125" style="145" customWidth="1"/>
    <col min="8963" max="8963" width="10.5703125" style="145" customWidth="1"/>
    <col min="8964" max="8964" width="10.42578125" style="145" customWidth="1"/>
    <col min="8965" max="8965" width="8.85546875" style="145" customWidth="1"/>
    <col min="8966" max="8966" width="11.140625" style="145" customWidth="1"/>
    <col min="8967" max="8967" width="10.5703125" style="145" customWidth="1"/>
    <col min="8968" max="8968" width="11.85546875" style="145" customWidth="1"/>
    <col min="8969" max="8969" width="11.28515625" style="145" customWidth="1"/>
    <col min="8970" max="8970" width="12.7109375" style="145" customWidth="1"/>
    <col min="8971" max="9216" width="9.140625" style="145"/>
    <col min="9217" max="9217" width="4.28515625" style="145" customWidth="1"/>
    <col min="9218" max="9218" width="27.42578125" style="145" customWidth="1"/>
    <col min="9219" max="9219" width="10.5703125" style="145" customWidth="1"/>
    <col min="9220" max="9220" width="10.42578125" style="145" customWidth="1"/>
    <col min="9221" max="9221" width="8.85546875" style="145" customWidth="1"/>
    <col min="9222" max="9222" width="11.140625" style="145" customWidth="1"/>
    <col min="9223" max="9223" width="10.5703125" style="145" customWidth="1"/>
    <col min="9224" max="9224" width="11.85546875" style="145" customWidth="1"/>
    <col min="9225" max="9225" width="11.28515625" style="145" customWidth="1"/>
    <col min="9226" max="9226" width="12.7109375" style="145" customWidth="1"/>
    <col min="9227" max="9472" width="9.140625" style="145"/>
    <col min="9473" max="9473" width="4.28515625" style="145" customWidth="1"/>
    <col min="9474" max="9474" width="27.42578125" style="145" customWidth="1"/>
    <col min="9475" max="9475" width="10.5703125" style="145" customWidth="1"/>
    <col min="9476" max="9476" width="10.42578125" style="145" customWidth="1"/>
    <col min="9477" max="9477" width="8.85546875" style="145" customWidth="1"/>
    <col min="9478" max="9478" width="11.140625" style="145" customWidth="1"/>
    <col min="9479" max="9479" width="10.5703125" style="145" customWidth="1"/>
    <col min="9480" max="9480" width="11.85546875" style="145" customWidth="1"/>
    <col min="9481" max="9481" width="11.28515625" style="145" customWidth="1"/>
    <col min="9482" max="9482" width="12.7109375" style="145" customWidth="1"/>
    <col min="9483" max="9728" width="9.140625" style="145"/>
    <col min="9729" max="9729" width="4.28515625" style="145" customWidth="1"/>
    <col min="9730" max="9730" width="27.42578125" style="145" customWidth="1"/>
    <col min="9731" max="9731" width="10.5703125" style="145" customWidth="1"/>
    <col min="9732" max="9732" width="10.42578125" style="145" customWidth="1"/>
    <col min="9733" max="9733" width="8.85546875" style="145" customWidth="1"/>
    <col min="9734" max="9734" width="11.140625" style="145" customWidth="1"/>
    <col min="9735" max="9735" width="10.5703125" style="145" customWidth="1"/>
    <col min="9736" max="9736" width="11.85546875" style="145" customWidth="1"/>
    <col min="9737" max="9737" width="11.28515625" style="145" customWidth="1"/>
    <col min="9738" max="9738" width="12.7109375" style="145" customWidth="1"/>
    <col min="9739" max="9984" width="9.140625" style="145"/>
    <col min="9985" max="9985" width="4.28515625" style="145" customWidth="1"/>
    <col min="9986" max="9986" width="27.42578125" style="145" customWidth="1"/>
    <col min="9987" max="9987" width="10.5703125" style="145" customWidth="1"/>
    <col min="9988" max="9988" width="10.42578125" style="145" customWidth="1"/>
    <col min="9989" max="9989" width="8.85546875" style="145" customWidth="1"/>
    <col min="9990" max="9990" width="11.140625" style="145" customWidth="1"/>
    <col min="9991" max="9991" width="10.5703125" style="145" customWidth="1"/>
    <col min="9992" max="9992" width="11.85546875" style="145" customWidth="1"/>
    <col min="9993" max="9993" width="11.28515625" style="145" customWidth="1"/>
    <col min="9994" max="9994" width="12.7109375" style="145" customWidth="1"/>
    <col min="9995" max="10240" width="9.140625" style="145"/>
    <col min="10241" max="10241" width="4.28515625" style="145" customWidth="1"/>
    <col min="10242" max="10242" width="27.42578125" style="145" customWidth="1"/>
    <col min="10243" max="10243" width="10.5703125" style="145" customWidth="1"/>
    <col min="10244" max="10244" width="10.42578125" style="145" customWidth="1"/>
    <col min="10245" max="10245" width="8.85546875" style="145" customWidth="1"/>
    <col min="10246" max="10246" width="11.140625" style="145" customWidth="1"/>
    <col min="10247" max="10247" width="10.5703125" style="145" customWidth="1"/>
    <col min="10248" max="10248" width="11.85546875" style="145" customWidth="1"/>
    <col min="10249" max="10249" width="11.28515625" style="145" customWidth="1"/>
    <col min="10250" max="10250" width="12.7109375" style="145" customWidth="1"/>
    <col min="10251" max="10496" width="9.140625" style="145"/>
    <col min="10497" max="10497" width="4.28515625" style="145" customWidth="1"/>
    <col min="10498" max="10498" width="27.42578125" style="145" customWidth="1"/>
    <col min="10499" max="10499" width="10.5703125" style="145" customWidth="1"/>
    <col min="10500" max="10500" width="10.42578125" style="145" customWidth="1"/>
    <col min="10501" max="10501" width="8.85546875" style="145" customWidth="1"/>
    <col min="10502" max="10502" width="11.140625" style="145" customWidth="1"/>
    <col min="10503" max="10503" width="10.5703125" style="145" customWidth="1"/>
    <col min="10504" max="10504" width="11.85546875" style="145" customWidth="1"/>
    <col min="10505" max="10505" width="11.28515625" style="145" customWidth="1"/>
    <col min="10506" max="10506" width="12.7109375" style="145" customWidth="1"/>
    <col min="10507" max="10752" width="9.140625" style="145"/>
    <col min="10753" max="10753" width="4.28515625" style="145" customWidth="1"/>
    <col min="10754" max="10754" width="27.42578125" style="145" customWidth="1"/>
    <col min="10755" max="10755" width="10.5703125" style="145" customWidth="1"/>
    <col min="10756" max="10756" width="10.42578125" style="145" customWidth="1"/>
    <col min="10757" max="10757" width="8.85546875" style="145" customWidth="1"/>
    <col min="10758" max="10758" width="11.140625" style="145" customWidth="1"/>
    <col min="10759" max="10759" width="10.5703125" style="145" customWidth="1"/>
    <col min="10760" max="10760" width="11.85546875" style="145" customWidth="1"/>
    <col min="10761" max="10761" width="11.28515625" style="145" customWidth="1"/>
    <col min="10762" max="10762" width="12.7109375" style="145" customWidth="1"/>
    <col min="10763" max="11008" width="9.140625" style="145"/>
    <col min="11009" max="11009" width="4.28515625" style="145" customWidth="1"/>
    <col min="11010" max="11010" width="27.42578125" style="145" customWidth="1"/>
    <col min="11011" max="11011" width="10.5703125" style="145" customWidth="1"/>
    <col min="11012" max="11012" width="10.42578125" style="145" customWidth="1"/>
    <col min="11013" max="11013" width="8.85546875" style="145" customWidth="1"/>
    <col min="11014" max="11014" width="11.140625" style="145" customWidth="1"/>
    <col min="11015" max="11015" width="10.5703125" style="145" customWidth="1"/>
    <col min="11016" max="11016" width="11.85546875" style="145" customWidth="1"/>
    <col min="11017" max="11017" width="11.28515625" style="145" customWidth="1"/>
    <col min="11018" max="11018" width="12.7109375" style="145" customWidth="1"/>
    <col min="11019" max="11264" width="9.140625" style="145"/>
    <col min="11265" max="11265" width="4.28515625" style="145" customWidth="1"/>
    <col min="11266" max="11266" width="27.42578125" style="145" customWidth="1"/>
    <col min="11267" max="11267" width="10.5703125" style="145" customWidth="1"/>
    <col min="11268" max="11268" width="10.42578125" style="145" customWidth="1"/>
    <col min="11269" max="11269" width="8.85546875" style="145" customWidth="1"/>
    <col min="11270" max="11270" width="11.140625" style="145" customWidth="1"/>
    <col min="11271" max="11271" width="10.5703125" style="145" customWidth="1"/>
    <col min="11272" max="11272" width="11.85546875" style="145" customWidth="1"/>
    <col min="11273" max="11273" width="11.28515625" style="145" customWidth="1"/>
    <col min="11274" max="11274" width="12.7109375" style="145" customWidth="1"/>
    <col min="11275" max="11520" width="9.140625" style="145"/>
    <col min="11521" max="11521" width="4.28515625" style="145" customWidth="1"/>
    <col min="11522" max="11522" width="27.42578125" style="145" customWidth="1"/>
    <col min="11523" max="11523" width="10.5703125" style="145" customWidth="1"/>
    <col min="11524" max="11524" width="10.42578125" style="145" customWidth="1"/>
    <col min="11525" max="11525" width="8.85546875" style="145" customWidth="1"/>
    <col min="11526" max="11526" width="11.140625" style="145" customWidth="1"/>
    <col min="11527" max="11527" width="10.5703125" style="145" customWidth="1"/>
    <col min="11528" max="11528" width="11.85546875" style="145" customWidth="1"/>
    <col min="11529" max="11529" width="11.28515625" style="145" customWidth="1"/>
    <col min="11530" max="11530" width="12.7109375" style="145" customWidth="1"/>
    <col min="11531" max="11776" width="9.140625" style="145"/>
    <col min="11777" max="11777" width="4.28515625" style="145" customWidth="1"/>
    <col min="11778" max="11778" width="27.42578125" style="145" customWidth="1"/>
    <col min="11779" max="11779" width="10.5703125" style="145" customWidth="1"/>
    <col min="11780" max="11780" width="10.42578125" style="145" customWidth="1"/>
    <col min="11781" max="11781" width="8.85546875" style="145" customWidth="1"/>
    <col min="11782" max="11782" width="11.140625" style="145" customWidth="1"/>
    <col min="11783" max="11783" width="10.5703125" style="145" customWidth="1"/>
    <col min="11784" max="11784" width="11.85546875" style="145" customWidth="1"/>
    <col min="11785" max="11785" width="11.28515625" style="145" customWidth="1"/>
    <col min="11786" max="11786" width="12.7109375" style="145" customWidth="1"/>
    <col min="11787" max="12032" width="9.140625" style="145"/>
    <col min="12033" max="12033" width="4.28515625" style="145" customWidth="1"/>
    <col min="12034" max="12034" width="27.42578125" style="145" customWidth="1"/>
    <col min="12035" max="12035" width="10.5703125" style="145" customWidth="1"/>
    <col min="12036" max="12036" width="10.42578125" style="145" customWidth="1"/>
    <col min="12037" max="12037" width="8.85546875" style="145" customWidth="1"/>
    <col min="12038" max="12038" width="11.140625" style="145" customWidth="1"/>
    <col min="12039" max="12039" width="10.5703125" style="145" customWidth="1"/>
    <col min="12040" max="12040" width="11.85546875" style="145" customWidth="1"/>
    <col min="12041" max="12041" width="11.28515625" style="145" customWidth="1"/>
    <col min="12042" max="12042" width="12.7109375" style="145" customWidth="1"/>
    <col min="12043" max="12288" width="9.140625" style="145"/>
    <col min="12289" max="12289" width="4.28515625" style="145" customWidth="1"/>
    <col min="12290" max="12290" width="27.42578125" style="145" customWidth="1"/>
    <col min="12291" max="12291" width="10.5703125" style="145" customWidth="1"/>
    <col min="12292" max="12292" width="10.42578125" style="145" customWidth="1"/>
    <col min="12293" max="12293" width="8.85546875" style="145" customWidth="1"/>
    <col min="12294" max="12294" width="11.140625" style="145" customWidth="1"/>
    <col min="12295" max="12295" width="10.5703125" style="145" customWidth="1"/>
    <col min="12296" max="12296" width="11.85546875" style="145" customWidth="1"/>
    <col min="12297" max="12297" width="11.28515625" style="145" customWidth="1"/>
    <col min="12298" max="12298" width="12.7109375" style="145" customWidth="1"/>
    <col min="12299" max="12544" width="9.140625" style="145"/>
    <col min="12545" max="12545" width="4.28515625" style="145" customWidth="1"/>
    <col min="12546" max="12546" width="27.42578125" style="145" customWidth="1"/>
    <col min="12547" max="12547" width="10.5703125" style="145" customWidth="1"/>
    <col min="12548" max="12548" width="10.42578125" style="145" customWidth="1"/>
    <col min="12549" max="12549" width="8.85546875" style="145" customWidth="1"/>
    <col min="12550" max="12550" width="11.140625" style="145" customWidth="1"/>
    <col min="12551" max="12551" width="10.5703125" style="145" customWidth="1"/>
    <col min="12552" max="12552" width="11.85546875" style="145" customWidth="1"/>
    <col min="12553" max="12553" width="11.28515625" style="145" customWidth="1"/>
    <col min="12554" max="12554" width="12.7109375" style="145" customWidth="1"/>
    <col min="12555" max="12800" width="9.140625" style="145"/>
    <col min="12801" max="12801" width="4.28515625" style="145" customWidth="1"/>
    <col min="12802" max="12802" width="27.42578125" style="145" customWidth="1"/>
    <col min="12803" max="12803" width="10.5703125" style="145" customWidth="1"/>
    <col min="12804" max="12804" width="10.42578125" style="145" customWidth="1"/>
    <col min="12805" max="12805" width="8.85546875" style="145" customWidth="1"/>
    <col min="12806" max="12806" width="11.140625" style="145" customWidth="1"/>
    <col min="12807" max="12807" width="10.5703125" style="145" customWidth="1"/>
    <col min="12808" max="12808" width="11.85546875" style="145" customWidth="1"/>
    <col min="12809" max="12809" width="11.28515625" style="145" customWidth="1"/>
    <col min="12810" max="12810" width="12.7109375" style="145" customWidth="1"/>
    <col min="12811" max="13056" width="9.140625" style="145"/>
    <col min="13057" max="13057" width="4.28515625" style="145" customWidth="1"/>
    <col min="13058" max="13058" width="27.42578125" style="145" customWidth="1"/>
    <col min="13059" max="13059" width="10.5703125" style="145" customWidth="1"/>
    <col min="13060" max="13060" width="10.42578125" style="145" customWidth="1"/>
    <col min="13061" max="13061" width="8.85546875" style="145" customWidth="1"/>
    <col min="13062" max="13062" width="11.140625" style="145" customWidth="1"/>
    <col min="13063" max="13063" width="10.5703125" style="145" customWidth="1"/>
    <col min="13064" max="13064" width="11.85546875" style="145" customWidth="1"/>
    <col min="13065" max="13065" width="11.28515625" style="145" customWidth="1"/>
    <col min="13066" max="13066" width="12.7109375" style="145" customWidth="1"/>
    <col min="13067" max="13312" width="9.140625" style="145"/>
    <col min="13313" max="13313" width="4.28515625" style="145" customWidth="1"/>
    <col min="13314" max="13314" width="27.42578125" style="145" customWidth="1"/>
    <col min="13315" max="13315" width="10.5703125" style="145" customWidth="1"/>
    <col min="13316" max="13316" width="10.42578125" style="145" customWidth="1"/>
    <col min="13317" max="13317" width="8.85546875" style="145" customWidth="1"/>
    <col min="13318" max="13318" width="11.140625" style="145" customWidth="1"/>
    <col min="13319" max="13319" width="10.5703125" style="145" customWidth="1"/>
    <col min="13320" max="13320" width="11.85546875" style="145" customWidth="1"/>
    <col min="13321" max="13321" width="11.28515625" style="145" customWidth="1"/>
    <col min="13322" max="13322" width="12.7109375" style="145" customWidth="1"/>
    <col min="13323" max="13568" width="9.140625" style="145"/>
    <col min="13569" max="13569" width="4.28515625" style="145" customWidth="1"/>
    <col min="13570" max="13570" width="27.42578125" style="145" customWidth="1"/>
    <col min="13571" max="13571" width="10.5703125" style="145" customWidth="1"/>
    <col min="13572" max="13572" width="10.42578125" style="145" customWidth="1"/>
    <col min="13573" max="13573" width="8.85546875" style="145" customWidth="1"/>
    <col min="13574" max="13574" width="11.140625" style="145" customWidth="1"/>
    <col min="13575" max="13575" width="10.5703125" style="145" customWidth="1"/>
    <col min="13576" max="13576" width="11.85546875" style="145" customWidth="1"/>
    <col min="13577" max="13577" width="11.28515625" style="145" customWidth="1"/>
    <col min="13578" max="13578" width="12.7109375" style="145" customWidth="1"/>
    <col min="13579" max="13824" width="9.140625" style="145"/>
    <col min="13825" max="13825" width="4.28515625" style="145" customWidth="1"/>
    <col min="13826" max="13826" width="27.42578125" style="145" customWidth="1"/>
    <col min="13827" max="13827" width="10.5703125" style="145" customWidth="1"/>
    <col min="13828" max="13828" width="10.42578125" style="145" customWidth="1"/>
    <col min="13829" max="13829" width="8.85546875" style="145" customWidth="1"/>
    <col min="13830" max="13830" width="11.140625" style="145" customWidth="1"/>
    <col min="13831" max="13831" width="10.5703125" style="145" customWidth="1"/>
    <col min="13832" max="13832" width="11.85546875" style="145" customWidth="1"/>
    <col min="13833" max="13833" width="11.28515625" style="145" customWidth="1"/>
    <col min="13834" max="13834" width="12.7109375" style="145" customWidth="1"/>
    <col min="13835" max="14080" width="9.140625" style="145"/>
    <col min="14081" max="14081" width="4.28515625" style="145" customWidth="1"/>
    <col min="14082" max="14082" width="27.42578125" style="145" customWidth="1"/>
    <col min="14083" max="14083" width="10.5703125" style="145" customWidth="1"/>
    <col min="14084" max="14084" width="10.42578125" style="145" customWidth="1"/>
    <col min="14085" max="14085" width="8.85546875" style="145" customWidth="1"/>
    <col min="14086" max="14086" width="11.140625" style="145" customWidth="1"/>
    <col min="14087" max="14087" width="10.5703125" style="145" customWidth="1"/>
    <col min="14088" max="14088" width="11.85546875" style="145" customWidth="1"/>
    <col min="14089" max="14089" width="11.28515625" style="145" customWidth="1"/>
    <col min="14090" max="14090" width="12.7109375" style="145" customWidth="1"/>
    <col min="14091" max="14336" width="9.140625" style="145"/>
    <col min="14337" max="14337" width="4.28515625" style="145" customWidth="1"/>
    <col min="14338" max="14338" width="27.42578125" style="145" customWidth="1"/>
    <col min="14339" max="14339" width="10.5703125" style="145" customWidth="1"/>
    <col min="14340" max="14340" width="10.42578125" style="145" customWidth="1"/>
    <col min="14341" max="14341" width="8.85546875" style="145" customWidth="1"/>
    <col min="14342" max="14342" width="11.140625" style="145" customWidth="1"/>
    <col min="14343" max="14343" width="10.5703125" style="145" customWidth="1"/>
    <col min="14344" max="14344" width="11.85546875" style="145" customWidth="1"/>
    <col min="14345" max="14345" width="11.28515625" style="145" customWidth="1"/>
    <col min="14346" max="14346" width="12.7109375" style="145" customWidth="1"/>
    <col min="14347" max="14592" width="9.140625" style="145"/>
    <col min="14593" max="14593" width="4.28515625" style="145" customWidth="1"/>
    <col min="14594" max="14594" width="27.42578125" style="145" customWidth="1"/>
    <col min="14595" max="14595" width="10.5703125" style="145" customWidth="1"/>
    <col min="14596" max="14596" width="10.42578125" style="145" customWidth="1"/>
    <col min="14597" max="14597" width="8.85546875" style="145" customWidth="1"/>
    <col min="14598" max="14598" width="11.140625" style="145" customWidth="1"/>
    <col min="14599" max="14599" width="10.5703125" style="145" customWidth="1"/>
    <col min="14600" max="14600" width="11.85546875" style="145" customWidth="1"/>
    <col min="14601" max="14601" width="11.28515625" style="145" customWidth="1"/>
    <col min="14602" max="14602" width="12.7109375" style="145" customWidth="1"/>
    <col min="14603" max="14848" width="9.140625" style="145"/>
    <col min="14849" max="14849" width="4.28515625" style="145" customWidth="1"/>
    <col min="14850" max="14850" width="27.42578125" style="145" customWidth="1"/>
    <col min="14851" max="14851" width="10.5703125" style="145" customWidth="1"/>
    <col min="14852" max="14852" width="10.42578125" style="145" customWidth="1"/>
    <col min="14853" max="14853" width="8.85546875" style="145" customWidth="1"/>
    <col min="14854" max="14854" width="11.140625" style="145" customWidth="1"/>
    <col min="14855" max="14855" width="10.5703125" style="145" customWidth="1"/>
    <col min="14856" max="14856" width="11.85546875" style="145" customWidth="1"/>
    <col min="14857" max="14857" width="11.28515625" style="145" customWidth="1"/>
    <col min="14858" max="14858" width="12.7109375" style="145" customWidth="1"/>
    <col min="14859" max="15104" width="9.140625" style="145"/>
    <col min="15105" max="15105" width="4.28515625" style="145" customWidth="1"/>
    <col min="15106" max="15106" width="27.42578125" style="145" customWidth="1"/>
    <col min="15107" max="15107" width="10.5703125" style="145" customWidth="1"/>
    <col min="15108" max="15108" width="10.42578125" style="145" customWidth="1"/>
    <col min="15109" max="15109" width="8.85546875" style="145" customWidth="1"/>
    <col min="15110" max="15110" width="11.140625" style="145" customWidth="1"/>
    <col min="15111" max="15111" width="10.5703125" style="145" customWidth="1"/>
    <col min="15112" max="15112" width="11.85546875" style="145" customWidth="1"/>
    <col min="15113" max="15113" width="11.28515625" style="145" customWidth="1"/>
    <col min="15114" max="15114" width="12.7109375" style="145" customWidth="1"/>
    <col min="15115" max="15360" width="9.140625" style="145"/>
    <col min="15361" max="15361" width="4.28515625" style="145" customWidth="1"/>
    <col min="15362" max="15362" width="27.42578125" style="145" customWidth="1"/>
    <col min="15363" max="15363" width="10.5703125" style="145" customWidth="1"/>
    <col min="15364" max="15364" width="10.42578125" style="145" customWidth="1"/>
    <col min="15365" max="15365" width="8.85546875" style="145" customWidth="1"/>
    <col min="15366" max="15366" width="11.140625" style="145" customWidth="1"/>
    <col min="15367" max="15367" width="10.5703125" style="145" customWidth="1"/>
    <col min="15368" max="15368" width="11.85546875" style="145" customWidth="1"/>
    <col min="15369" max="15369" width="11.28515625" style="145" customWidth="1"/>
    <col min="15370" max="15370" width="12.7109375" style="145" customWidth="1"/>
    <col min="15371" max="15616" width="9.140625" style="145"/>
    <col min="15617" max="15617" width="4.28515625" style="145" customWidth="1"/>
    <col min="15618" max="15618" width="27.42578125" style="145" customWidth="1"/>
    <col min="15619" max="15619" width="10.5703125" style="145" customWidth="1"/>
    <col min="15620" max="15620" width="10.42578125" style="145" customWidth="1"/>
    <col min="15621" max="15621" width="8.85546875" style="145" customWidth="1"/>
    <col min="15622" max="15622" width="11.140625" style="145" customWidth="1"/>
    <col min="15623" max="15623" width="10.5703125" style="145" customWidth="1"/>
    <col min="15624" max="15624" width="11.85546875" style="145" customWidth="1"/>
    <col min="15625" max="15625" width="11.28515625" style="145" customWidth="1"/>
    <col min="15626" max="15626" width="12.7109375" style="145" customWidth="1"/>
    <col min="15627" max="15872" width="9.140625" style="145"/>
    <col min="15873" max="15873" width="4.28515625" style="145" customWidth="1"/>
    <col min="15874" max="15874" width="27.42578125" style="145" customWidth="1"/>
    <col min="15875" max="15875" width="10.5703125" style="145" customWidth="1"/>
    <col min="15876" max="15876" width="10.42578125" style="145" customWidth="1"/>
    <col min="15877" max="15877" width="8.85546875" style="145" customWidth="1"/>
    <col min="15878" max="15878" width="11.140625" style="145" customWidth="1"/>
    <col min="15879" max="15879" width="10.5703125" style="145" customWidth="1"/>
    <col min="15880" max="15880" width="11.85546875" style="145" customWidth="1"/>
    <col min="15881" max="15881" width="11.28515625" style="145" customWidth="1"/>
    <col min="15882" max="15882" width="12.7109375" style="145" customWidth="1"/>
    <col min="15883" max="16128" width="9.140625" style="145"/>
    <col min="16129" max="16129" width="4.28515625" style="145" customWidth="1"/>
    <col min="16130" max="16130" width="27.42578125" style="145" customWidth="1"/>
    <col min="16131" max="16131" width="10.5703125" style="145" customWidth="1"/>
    <col min="16132" max="16132" width="10.42578125" style="145" customWidth="1"/>
    <col min="16133" max="16133" width="8.85546875" style="145" customWidth="1"/>
    <col min="16134" max="16134" width="11.140625" style="145" customWidth="1"/>
    <col min="16135" max="16135" width="10.5703125" style="145" customWidth="1"/>
    <col min="16136" max="16136" width="11.85546875" style="145" customWidth="1"/>
    <col min="16137" max="16137" width="11.28515625" style="145" customWidth="1"/>
    <col min="16138" max="16138" width="12.7109375" style="145" customWidth="1"/>
    <col min="16139" max="16384" width="9.140625" style="145"/>
  </cols>
  <sheetData>
    <row r="3" spans="1:10" ht="13.5" thickBot="1"/>
    <row r="4" spans="1:10">
      <c r="A4" s="847" t="s">
        <v>31</v>
      </c>
      <c r="B4" s="848"/>
      <c r="C4" s="848"/>
      <c r="D4" s="848"/>
      <c r="E4" s="848"/>
      <c r="F4" s="848"/>
      <c r="G4" s="848"/>
      <c r="H4" s="848"/>
      <c r="I4" s="848"/>
      <c r="J4" s="849"/>
    </row>
    <row r="5" spans="1:10">
      <c r="A5" s="850" t="s">
        <v>380</v>
      </c>
      <c r="B5" s="851"/>
      <c r="C5" s="851"/>
      <c r="D5" s="851"/>
      <c r="E5" s="851"/>
      <c r="F5" s="851"/>
      <c r="G5" s="851"/>
      <c r="H5" s="851"/>
      <c r="I5" s="851"/>
      <c r="J5" s="852"/>
    </row>
    <row r="6" spans="1:10" ht="13.5" thickBot="1">
      <c r="A6" s="853" t="s">
        <v>784</v>
      </c>
      <c r="B6" s="854"/>
      <c r="C6" s="854"/>
      <c r="D6" s="854"/>
      <c r="E6" s="854"/>
      <c r="F6" s="854"/>
      <c r="G6" s="854"/>
      <c r="H6" s="854"/>
      <c r="I6" s="854"/>
      <c r="J6" s="855"/>
    </row>
    <row r="7" spans="1:10">
      <c r="A7" s="154" t="s">
        <v>32</v>
      </c>
      <c r="B7" s="155" t="s">
        <v>33</v>
      </c>
      <c r="C7" s="156" t="s">
        <v>34</v>
      </c>
      <c r="D7" s="157"/>
      <c r="E7" s="157" t="s">
        <v>35</v>
      </c>
      <c r="F7" s="157" t="s">
        <v>36</v>
      </c>
      <c r="G7" s="157" t="s">
        <v>37</v>
      </c>
      <c r="H7" s="157" t="s">
        <v>39</v>
      </c>
      <c r="I7" s="157"/>
      <c r="J7" s="158" t="s">
        <v>36</v>
      </c>
    </row>
    <row r="8" spans="1:10">
      <c r="A8" s="159"/>
      <c r="B8" s="160"/>
      <c r="C8" s="161" t="s">
        <v>40</v>
      </c>
      <c r="D8" s="162" t="s">
        <v>381</v>
      </c>
      <c r="E8" s="163"/>
      <c r="F8" s="162"/>
      <c r="G8" s="163"/>
      <c r="H8" s="162" t="s">
        <v>40</v>
      </c>
      <c r="I8" s="164" t="s">
        <v>382</v>
      </c>
      <c r="J8" s="165"/>
    </row>
    <row r="9" spans="1:10" ht="13.5" thickBot="1">
      <c r="A9" s="166"/>
      <c r="B9" s="167"/>
      <c r="C9" s="168" t="s">
        <v>86</v>
      </c>
      <c r="D9" s="168" t="s">
        <v>86</v>
      </c>
      <c r="E9" s="168" t="s">
        <v>86</v>
      </c>
      <c r="F9" s="168" t="s">
        <v>86</v>
      </c>
      <c r="G9" s="168" t="s">
        <v>86</v>
      </c>
      <c r="H9" s="168" t="s">
        <v>86</v>
      </c>
      <c r="I9" s="168" t="s">
        <v>86</v>
      </c>
      <c r="J9" s="169" t="s">
        <v>86</v>
      </c>
    </row>
    <row r="10" spans="1:10">
      <c r="A10" s="170"/>
      <c r="B10" s="149"/>
      <c r="C10" s="149"/>
      <c r="D10" s="149"/>
      <c r="E10" s="149"/>
      <c r="F10" s="149"/>
      <c r="G10" s="149"/>
      <c r="H10" s="149"/>
      <c r="I10" s="149"/>
      <c r="J10" s="171"/>
    </row>
    <row r="11" spans="1:10">
      <c r="A11" s="172">
        <v>1</v>
      </c>
      <c r="B11" s="151" t="s">
        <v>383</v>
      </c>
      <c r="C11" s="151"/>
      <c r="D11" s="151">
        <v>132</v>
      </c>
      <c r="E11" s="151"/>
      <c r="F11" s="151">
        <f>SUM(C11:E11)</f>
        <v>132</v>
      </c>
      <c r="G11" s="151">
        <f>+F11-J11</f>
        <v>8</v>
      </c>
      <c r="H11" s="151"/>
      <c r="I11" s="151">
        <v>124</v>
      </c>
      <c r="J11" s="173">
        <f>SUM(H11:I11)</f>
        <v>124</v>
      </c>
    </row>
    <row r="12" spans="1:10">
      <c r="A12" s="172"/>
      <c r="B12" s="151"/>
      <c r="C12" s="149"/>
      <c r="D12" s="149"/>
      <c r="E12" s="151"/>
      <c r="F12" s="149"/>
      <c r="G12" s="149"/>
      <c r="H12" s="149"/>
      <c r="I12" s="149"/>
      <c r="J12" s="171"/>
    </row>
    <row r="13" spans="1:10">
      <c r="A13" s="172">
        <v>2</v>
      </c>
      <c r="B13" s="151" t="s">
        <v>384</v>
      </c>
      <c r="C13" s="151"/>
      <c r="D13" s="151">
        <v>1750</v>
      </c>
      <c r="E13" s="151"/>
      <c r="F13" s="151">
        <f>SUM(C13:E13)</f>
        <v>1750</v>
      </c>
      <c r="G13" s="151">
        <f>+F13-J13</f>
        <v>482</v>
      </c>
      <c r="H13" s="151"/>
      <c r="I13" s="151">
        <v>1268</v>
      </c>
      <c r="J13" s="173">
        <f>SUM(H13:I13)</f>
        <v>1268</v>
      </c>
    </row>
    <row r="14" spans="1:10">
      <c r="A14" s="172"/>
      <c r="B14" s="151"/>
      <c r="C14" s="149"/>
      <c r="D14" s="149"/>
      <c r="E14" s="151"/>
      <c r="F14" s="149"/>
      <c r="G14" s="149"/>
      <c r="H14" s="149"/>
      <c r="I14" s="149"/>
      <c r="J14" s="171"/>
    </row>
    <row r="15" spans="1:10">
      <c r="A15" s="172">
        <v>3</v>
      </c>
      <c r="B15" s="151" t="s">
        <v>385</v>
      </c>
      <c r="C15" s="151"/>
      <c r="D15" s="151">
        <v>684</v>
      </c>
      <c r="E15" s="151"/>
      <c r="F15" s="151">
        <f>SUM(C15:E15)</f>
        <v>684</v>
      </c>
      <c r="G15" s="151">
        <f>+F15-J15</f>
        <v>183</v>
      </c>
      <c r="H15" s="151"/>
      <c r="I15" s="151">
        <v>501</v>
      </c>
      <c r="J15" s="173">
        <f>SUM(H15:I15)</f>
        <v>501</v>
      </c>
    </row>
    <row r="16" spans="1:10">
      <c r="A16" s="172"/>
      <c r="B16" s="151"/>
      <c r="C16" s="149"/>
      <c r="D16" s="149"/>
      <c r="E16" s="151"/>
      <c r="F16" s="149"/>
      <c r="G16" s="149"/>
      <c r="H16" s="149"/>
      <c r="I16" s="149"/>
      <c r="J16" s="171"/>
    </row>
    <row r="17" spans="1:10">
      <c r="A17" s="172">
        <v>4</v>
      </c>
      <c r="B17" s="174" t="s">
        <v>386</v>
      </c>
      <c r="C17" s="151"/>
      <c r="D17" s="151">
        <v>19.25</v>
      </c>
      <c r="E17" s="151"/>
      <c r="F17" s="151">
        <f>SUM(C17:E17)</f>
        <v>19.25</v>
      </c>
      <c r="G17" s="151">
        <f>+F17-J17</f>
        <v>0</v>
      </c>
      <c r="H17" s="151"/>
      <c r="I17" s="151">
        <v>19.25</v>
      </c>
      <c r="J17" s="173">
        <f>SUM(H17:I17)</f>
        <v>19.25</v>
      </c>
    </row>
    <row r="18" spans="1:10">
      <c r="A18" s="172"/>
      <c r="B18" s="151"/>
      <c r="C18" s="149"/>
      <c r="D18" s="149"/>
      <c r="E18" s="151"/>
      <c r="F18" s="149"/>
      <c r="G18" s="149"/>
      <c r="H18" s="149"/>
      <c r="I18" s="149"/>
      <c r="J18" s="171"/>
    </row>
    <row r="19" spans="1:10">
      <c r="A19" s="172">
        <v>5</v>
      </c>
      <c r="B19" s="151" t="s">
        <v>387</v>
      </c>
      <c r="C19" s="151"/>
      <c r="D19" s="151">
        <v>0</v>
      </c>
      <c r="E19" s="151"/>
      <c r="F19" s="151">
        <f>SUM(C19:E19)</f>
        <v>0</v>
      </c>
      <c r="G19" s="151">
        <f>+F19-J19</f>
        <v>0</v>
      </c>
      <c r="H19" s="151"/>
      <c r="I19" s="151">
        <v>0</v>
      </c>
      <c r="J19" s="173">
        <f>SUM(H19:I19)</f>
        <v>0</v>
      </c>
    </row>
    <row r="20" spans="1:10">
      <c r="A20" s="172"/>
      <c r="B20" s="151"/>
      <c r="C20" s="149"/>
      <c r="D20" s="149"/>
      <c r="E20" s="151"/>
      <c r="F20" s="149"/>
      <c r="G20" s="149"/>
      <c r="H20" s="149"/>
      <c r="I20" s="149"/>
      <c r="J20" s="171"/>
    </row>
    <row r="21" spans="1:10">
      <c r="A21" s="172">
        <v>6</v>
      </c>
      <c r="B21" s="151" t="s">
        <v>388</v>
      </c>
      <c r="C21" s="151"/>
      <c r="D21" s="151">
        <v>20.2</v>
      </c>
      <c r="E21" s="151"/>
      <c r="F21" s="151">
        <f>SUM(C21:E21)</f>
        <v>20.2</v>
      </c>
      <c r="G21" s="151">
        <f>+F21-J21</f>
        <v>0</v>
      </c>
      <c r="H21" s="151"/>
      <c r="I21" s="151">
        <v>20.2</v>
      </c>
      <c r="J21" s="173">
        <f>SUM(H21:I21)</f>
        <v>20.2</v>
      </c>
    </row>
    <row r="22" spans="1:10">
      <c r="A22" s="172"/>
      <c r="B22" s="151"/>
      <c r="C22" s="149"/>
      <c r="D22" s="149"/>
      <c r="E22" s="151"/>
      <c r="F22" s="149"/>
      <c r="G22" s="149"/>
      <c r="H22" s="149"/>
      <c r="I22" s="149"/>
      <c r="J22" s="171"/>
    </row>
    <row r="23" spans="1:10">
      <c r="A23" s="172">
        <v>7</v>
      </c>
      <c r="B23" s="151" t="s">
        <v>389</v>
      </c>
      <c r="C23" s="151"/>
      <c r="D23" s="151">
        <v>74.5</v>
      </c>
      <c r="E23" s="151"/>
      <c r="F23" s="151">
        <f>SUM(C23:E23)</f>
        <v>74.5</v>
      </c>
      <c r="G23" s="151">
        <f>+F23-J23</f>
        <v>0</v>
      </c>
      <c r="H23" s="151"/>
      <c r="I23" s="151">
        <v>74.5</v>
      </c>
      <c r="J23" s="173">
        <f>SUM(H23:I23)</f>
        <v>74.5</v>
      </c>
    </row>
    <row r="24" spans="1:10">
      <c r="A24" s="172"/>
      <c r="B24" s="151"/>
      <c r="C24" s="149"/>
      <c r="D24" s="149"/>
      <c r="E24" s="151"/>
      <c r="F24" s="149"/>
      <c r="G24" s="149"/>
      <c r="H24" s="149"/>
      <c r="I24" s="149"/>
      <c r="J24" s="171"/>
    </row>
    <row r="25" spans="1:10">
      <c r="A25" s="172">
        <v>8</v>
      </c>
      <c r="B25" s="151" t="s">
        <v>390</v>
      </c>
      <c r="C25" s="151"/>
      <c r="D25" s="151">
        <v>8.3000000000000007</v>
      </c>
      <c r="E25" s="151"/>
      <c r="F25" s="151">
        <f>SUM(C25:E25)</f>
        <v>8.3000000000000007</v>
      </c>
      <c r="G25" s="151">
        <f>+F25-J25</f>
        <v>0</v>
      </c>
      <c r="H25" s="151"/>
      <c r="I25" s="151">
        <v>8.3000000000000007</v>
      </c>
      <c r="J25" s="173">
        <f>SUM(H25:I25)</f>
        <v>8.3000000000000007</v>
      </c>
    </row>
    <row r="26" spans="1:10">
      <c r="A26" s="172"/>
      <c r="B26" s="151"/>
      <c r="C26" s="149"/>
      <c r="D26" s="149"/>
      <c r="E26" s="151"/>
      <c r="F26" s="149"/>
      <c r="G26" s="149"/>
      <c r="H26" s="149"/>
      <c r="I26" s="149"/>
      <c r="J26" s="171"/>
    </row>
    <row r="27" spans="1:10">
      <c r="A27" s="172">
        <v>9</v>
      </c>
      <c r="B27" s="151" t="s">
        <v>391</v>
      </c>
      <c r="C27" s="151"/>
      <c r="D27" s="151">
        <v>9.8000000000000007</v>
      </c>
      <c r="E27" s="151"/>
      <c r="F27" s="151">
        <f>SUM(C27:E27)</f>
        <v>9.8000000000000007</v>
      </c>
      <c r="G27" s="151">
        <f>+F27-J27</f>
        <v>0</v>
      </c>
      <c r="H27" s="151"/>
      <c r="I27" s="151">
        <v>9.8000000000000007</v>
      </c>
      <c r="J27" s="173">
        <f>SUM(H27:I27)</f>
        <v>9.8000000000000007</v>
      </c>
    </row>
    <row r="28" spans="1:10">
      <c r="A28" s="172"/>
      <c r="B28" s="151"/>
      <c r="C28" s="149"/>
      <c r="D28" s="149"/>
      <c r="E28" s="151"/>
      <c r="F28" s="149"/>
      <c r="G28" s="149"/>
      <c r="H28" s="149"/>
      <c r="I28" s="149"/>
      <c r="J28" s="171"/>
    </row>
    <row r="29" spans="1:10">
      <c r="A29" s="172">
        <v>10</v>
      </c>
      <c r="B29" s="151" t="s">
        <v>392</v>
      </c>
      <c r="C29" s="151"/>
      <c r="D29" s="151">
        <v>7.5</v>
      </c>
      <c r="E29" s="151"/>
      <c r="F29" s="151">
        <f>SUM(C29:E29)</f>
        <v>7.5</v>
      </c>
      <c r="G29" s="151">
        <f>+F29-J29</f>
        <v>0</v>
      </c>
      <c r="H29" s="151"/>
      <c r="I29" s="151">
        <v>7.5</v>
      </c>
      <c r="J29" s="173">
        <f>SUM(H29:I29)</f>
        <v>7.5</v>
      </c>
    </row>
    <row r="30" spans="1:10">
      <c r="A30" s="172"/>
      <c r="B30" s="151"/>
      <c r="C30" s="149"/>
      <c r="D30" s="149"/>
      <c r="E30" s="151"/>
      <c r="F30" s="149"/>
      <c r="G30" s="149"/>
      <c r="H30" s="149"/>
      <c r="I30" s="149"/>
      <c r="J30" s="171"/>
    </row>
    <row r="31" spans="1:10">
      <c r="A31" s="172">
        <v>11</v>
      </c>
      <c r="B31" s="151" t="s">
        <v>393</v>
      </c>
      <c r="C31" s="151"/>
      <c r="D31" s="151">
        <v>176</v>
      </c>
      <c r="E31" s="151"/>
      <c r="F31" s="151">
        <f>SUM(C31:E31)</f>
        <v>176</v>
      </c>
      <c r="G31" s="151">
        <f>+F31-J31</f>
        <v>0</v>
      </c>
      <c r="H31" s="151"/>
      <c r="I31" s="151">
        <v>176</v>
      </c>
      <c r="J31" s="173">
        <f>SUM(H31:I31)</f>
        <v>176</v>
      </c>
    </row>
    <row r="32" spans="1:10">
      <c r="A32" s="172"/>
      <c r="B32" s="151"/>
      <c r="C32" s="149"/>
      <c r="D32" s="149"/>
      <c r="E32" s="151"/>
      <c r="F32" s="149"/>
      <c r="G32" s="149"/>
      <c r="H32" s="149"/>
      <c r="I32" s="149"/>
      <c r="J32" s="171"/>
    </row>
    <row r="33" spans="1:15">
      <c r="A33" s="172">
        <v>12</v>
      </c>
      <c r="B33" s="151" t="s">
        <v>394</v>
      </c>
      <c r="C33" s="151"/>
      <c r="D33" s="151">
        <v>90.5</v>
      </c>
      <c r="E33" s="151"/>
      <c r="F33" s="151">
        <f>SUM(C33:E33)</f>
        <v>90.5</v>
      </c>
      <c r="G33" s="151">
        <f>+F33-J33</f>
        <v>0</v>
      </c>
      <c r="H33" s="151"/>
      <c r="I33" s="151">
        <v>90.5</v>
      </c>
      <c r="J33" s="173">
        <f>SUM(H33:I33)</f>
        <v>90.5</v>
      </c>
    </row>
    <row r="34" spans="1:15">
      <c r="A34" s="172"/>
      <c r="B34" s="151"/>
      <c r="C34" s="149"/>
      <c r="D34" s="149"/>
      <c r="E34" s="151"/>
      <c r="F34" s="149"/>
      <c r="G34" s="149"/>
      <c r="H34" s="149"/>
      <c r="I34" s="149"/>
      <c r="J34" s="171"/>
    </row>
    <row r="35" spans="1:15">
      <c r="A35" s="172">
        <v>13</v>
      </c>
      <c r="B35" s="151" t="s">
        <v>395</v>
      </c>
      <c r="C35" s="151"/>
      <c r="D35" s="151">
        <v>0</v>
      </c>
      <c r="E35" s="151"/>
      <c r="F35" s="151">
        <f>SUM(C35:E35)</f>
        <v>0</v>
      </c>
      <c r="G35" s="151">
        <f>+F35-J35</f>
        <v>0</v>
      </c>
      <c r="H35" s="151"/>
      <c r="I35" s="151">
        <v>0</v>
      </c>
      <c r="J35" s="173">
        <f>SUM(H35:I35)</f>
        <v>0</v>
      </c>
    </row>
    <row r="36" spans="1:15">
      <c r="A36" s="172"/>
      <c r="B36" s="151"/>
      <c r="C36" s="149"/>
      <c r="D36" s="149"/>
      <c r="E36" s="151"/>
      <c r="F36" s="149"/>
      <c r="G36" s="149"/>
      <c r="H36" s="149"/>
      <c r="I36" s="149"/>
      <c r="J36" s="171"/>
    </row>
    <row r="37" spans="1:15">
      <c r="A37" s="172">
        <v>14</v>
      </c>
      <c r="B37" s="151" t="s">
        <v>396</v>
      </c>
      <c r="C37" s="151"/>
      <c r="D37" s="151">
        <v>18.5</v>
      </c>
      <c r="E37" s="151"/>
      <c r="F37" s="151">
        <f>SUM(C37:E37)</f>
        <v>18.5</v>
      </c>
      <c r="G37" s="151">
        <f>+F37-J37</f>
        <v>0</v>
      </c>
      <c r="H37" s="151"/>
      <c r="I37" s="151">
        <v>18.5</v>
      </c>
      <c r="J37" s="173">
        <f>SUM(H37:I37)</f>
        <v>18.5</v>
      </c>
    </row>
    <row r="38" spans="1:15">
      <c r="A38" s="172"/>
      <c r="B38" s="151"/>
      <c r="C38" s="149"/>
      <c r="D38" s="149"/>
      <c r="E38" s="151"/>
      <c r="F38" s="149"/>
      <c r="G38" s="149"/>
      <c r="H38" s="149"/>
      <c r="I38" s="149"/>
      <c r="J38" s="171"/>
    </row>
    <row r="39" spans="1:15">
      <c r="A39" s="172">
        <v>15</v>
      </c>
      <c r="B39" s="151" t="s">
        <v>397</v>
      </c>
      <c r="C39" s="151"/>
      <c r="D39" s="151">
        <v>16.5</v>
      </c>
      <c r="E39" s="151"/>
      <c r="F39" s="151">
        <f>SUM(C39:E39)</f>
        <v>16.5</v>
      </c>
      <c r="G39" s="151">
        <f>+F39-J39</f>
        <v>0</v>
      </c>
      <c r="H39" s="151"/>
      <c r="I39" s="151">
        <v>16.5</v>
      </c>
      <c r="J39" s="173">
        <f>SUM(H39:I39)</f>
        <v>16.5</v>
      </c>
    </row>
    <row r="40" spans="1:15">
      <c r="A40" s="172"/>
      <c r="B40" s="151"/>
      <c r="C40" s="149"/>
      <c r="D40" s="149"/>
      <c r="E40" s="151"/>
      <c r="F40" s="149"/>
      <c r="G40" s="149"/>
      <c r="H40" s="149"/>
      <c r="I40" s="149"/>
      <c r="J40" s="171"/>
    </row>
    <row r="41" spans="1:15">
      <c r="A41" s="172">
        <v>16</v>
      </c>
      <c r="B41" s="151" t="s">
        <v>398</v>
      </c>
      <c r="C41" s="151"/>
      <c r="D41" s="151">
        <v>0</v>
      </c>
      <c r="E41" s="151"/>
      <c r="F41" s="151">
        <f>SUM(C41:E41)</f>
        <v>0</v>
      </c>
      <c r="G41" s="151">
        <f>+F41-J41</f>
        <v>0</v>
      </c>
      <c r="H41" s="151"/>
      <c r="I41" s="151">
        <v>0</v>
      </c>
      <c r="J41" s="173">
        <f>SUM(H41:I41)</f>
        <v>0</v>
      </c>
    </row>
    <row r="42" spans="1:15">
      <c r="A42" s="172"/>
      <c r="B42" s="151"/>
      <c r="C42" s="149"/>
      <c r="D42" s="149"/>
      <c r="E42" s="151"/>
      <c r="F42" s="149"/>
      <c r="G42" s="149"/>
      <c r="H42" s="149"/>
      <c r="I42" s="149"/>
      <c r="J42" s="171"/>
    </row>
    <row r="43" spans="1:15">
      <c r="A43" s="172">
        <v>17</v>
      </c>
      <c r="B43" s="151" t="s">
        <v>399</v>
      </c>
      <c r="C43" s="151"/>
      <c r="D43" s="151">
        <v>0</v>
      </c>
      <c r="E43" s="151"/>
      <c r="F43" s="151">
        <f>SUM(C43:E43)</f>
        <v>0</v>
      </c>
      <c r="G43" s="151">
        <f>+F43-J43</f>
        <v>0</v>
      </c>
      <c r="H43" s="151"/>
      <c r="I43" s="151">
        <v>0</v>
      </c>
      <c r="J43" s="173">
        <f>SUM(H43:I43)</f>
        <v>0</v>
      </c>
    </row>
    <row r="44" spans="1:15">
      <c r="A44" s="172"/>
      <c r="B44" s="151"/>
      <c r="C44" s="149"/>
      <c r="D44" s="149"/>
      <c r="E44" s="151"/>
      <c r="F44" s="149"/>
      <c r="G44" s="149"/>
      <c r="H44" s="149"/>
      <c r="I44" s="149"/>
      <c r="J44" s="171"/>
      <c r="O44" s="175"/>
    </row>
    <row r="45" spans="1:15">
      <c r="A45" s="176">
        <v>18</v>
      </c>
      <c r="B45" s="153" t="s">
        <v>400</v>
      </c>
      <c r="C45" s="151"/>
      <c r="D45" s="151">
        <v>24.3</v>
      </c>
      <c r="E45" s="153"/>
      <c r="F45" s="151">
        <f>SUM(C45:E45)</f>
        <v>24.3</v>
      </c>
      <c r="G45" s="151">
        <f>+F45-J45</f>
        <v>0</v>
      </c>
      <c r="H45" s="151"/>
      <c r="I45" s="151">
        <v>24.3</v>
      </c>
      <c r="J45" s="173">
        <f>SUM(H45:I45)</f>
        <v>24.3</v>
      </c>
    </row>
    <row r="46" spans="1:15">
      <c r="A46" s="176"/>
      <c r="B46" s="153"/>
      <c r="C46" s="149"/>
      <c r="D46" s="149"/>
      <c r="E46" s="153"/>
      <c r="F46" s="149"/>
      <c r="G46" s="149"/>
      <c r="H46" s="149"/>
      <c r="I46" s="149"/>
      <c r="J46" s="171"/>
    </row>
    <row r="47" spans="1:15">
      <c r="A47" s="176">
        <v>19</v>
      </c>
      <c r="B47" s="153" t="s">
        <v>401</v>
      </c>
      <c r="C47" s="151"/>
      <c r="D47" s="151">
        <v>25</v>
      </c>
      <c r="E47" s="153"/>
      <c r="F47" s="151">
        <f>SUM(C47:E47)</f>
        <v>25</v>
      </c>
      <c r="G47" s="151">
        <f>+F47-J47</f>
        <v>0</v>
      </c>
      <c r="H47" s="151"/>
      <c r="I47" s="151">
        <v>25</v>
      </c>
      <c r="J47" s="173">
        <f>SUM(H47:I47)</f>
        <v>25</v>
      </c>
    </row>
    <row r="48" spans="1:15">
      <c r="A48" s="176"/>
      <c r="B48" s="153"/>
      <c r="C48" s="149"/>
      <c r="D48" s="149"/>
      <c r="E48" s="153"/>
      <c r="F48" s="149"/>
      <c r="G48" s="149"/>
      <c r="H48" s="149"/>
      <c r="I48" s="149"/>
      <c r="J48" s="171"/>
    </row>
    <row r="49" spans="1:10">
      <c r="A49" s="176">
        <v>20</v>
      </c>
      <c r="B49" s="177" t="s">
        <v>402</v>
      </c>
      <c r="C49" s="151"/>
      <c r="D49" s="151">
        <v>165</v>
      </c>
      <c r="E49" s="153"/>
      <c r="F49" s="149">
        <f>SUM(C49:E49)</f>
        <v>165</v>
      </c>
      <c r="G49" s="151">
        <f>+F49-J49</f>
        <v>0</v>
      </c>
      <c r="H49" s="151"/>
      <c r="I49" s="151">
        <v>165</v>
      </c>
      <c r="J49" s="173">
        <f>SUM(H49:I49)</f>
        <v>165</v>
      </c>
    </row>
    <row r="50" spans="1:10" ht="13.5" thickBot="1">
      <c r="A50" s="172"/>
      <c r="B50" s="151"/>
      <c r="C50" s="151"/>
      <c r="D50" s="151"/>
      <c r="E50" s="151"/>
      <c r="F50" s="149"/>
      <c r="G50" s="151"/>
      <c r="H50" s="151"/>
      <c r="I50" s="151"/>
      <c r="J50" s="173"/>
    </row>
    <row r="51" spans="1:10" ht="13.5" thickBot="1">
      <c r="A51" s="178"/>
      <c r="B51" s="179" t="s">
        <v>403</v>
      </c>
      <c r="C51" s="179">
        <f>SUM(C11:C50)</f>
        <v>0</v>
      </c>
      <c r="D51" s="179">
        <f t="shared" ref="D51:J51" si="0">SUM(D11:D50)</f>
        <v>3221.3500000000004</v>
      </c>
      <c r="E51" s="179">
        <f t="shared" si="0"/>
        <v>0</v>
      </c>
      <c r="F51" s="179">
        <f t="shared" si="0"/>
        <v>3221.3500000000004</v>
      </c>
      <c r="G51" s="180">
        <f t="shared" si="0"/>
        <v>673</v>
      </c>
      <c r="H51" s="179">
        <f t="shared" si="0"/>
        <v>0</v>
      </c>
      <c r="I51" s="179">
        <f t="shared" si="0"/>
        <v>2548.3500000000004</v>
      </c>
      <c r="J51" s="179">
        <f t="shared" si="0"/>
        <v>2548.3500000000004</v>
      </c>
    </row>
    <row r="52" spans="1:10">
      <c r="A52" s="150"/>
      <c r="B52" s="148"/>
      <c r="C52" s="148"/>
      <c r="D52" s="148"/>
      <c r="E52" s="148"/>
      <c r="F52" s="148"/>
      <c r="G52" s="148"/>
      <c r="H52" s="148"/>
      <c r="I52" s="148"/>
      <c r="J52" s="181"/>
    </row>
    <row r="53" spans="1:10">
      <c r="A53" s="182"/>
      <c r="B53" s="183" t="s">
        <v>243</v>
      </c>
      <c r="C53" s="856" t="s">
        <v>552</v>
      </c>
      <c r="D53" s="856"/>
      <c r="E53" s="856"/>
      <c r="F53" s="856"/>
      <c r="G53" s="856"/>
      <c r="H53" s="856"/>
      <c r="I53" s="856"/>
      <c r="J53" s="857"/>
    </row>
    <row r="54" spans="1:10">
      <c r="A54" s="184"/>
      <c r="B54" s="858" t="s">
        <v>404</v>
      </c>
      <c r="C54" s="858"/>
      <c r="D54" s="858" t="s">
        <v>405</v>
      </c>
      <c r="E54" s="858"/>
      <c r="F54" s="858" t="s">
        <v>269</v>
      </c>
      <c r="G54" s="858"/>
      <c r="H54" s="185"/>
      <c r="I54" s="161" t="s">
        <v>280</v>
      </c>
      <c r="J54" s="186" t="s">
        <v>406</v>
      </c>
    </row>
    <row r="55" spans="1:10">
      <c r="A55" s="184">
        <v>1</v>
      </c>
      <c r="B55" s="187" t="s">
        <v>407</v>
      </c>
      <c r="C55" s="152">
        <v>8</v>
      </c>
      <c r="D55" s="188" t="s">
        <v>408</v>
      </c>
      <c r="E55" s="147"/>
      <c r="F55" s="188" t="s">
        <v>408</v>
      </c>
      <c r="G55" s="152"/>
      <c r="H55" s="147" t="s">
        <v>409</v>
      </c>
      <c r="I55" s="189"/>
      <c r="J55" s="190"/>
    </row>
    <row r="56" spans="1:10">
      <c r="A56" s="184">
        <v>2</v>
      </c>
      <c r="B56" s="147" t="s">
        <v>409</v>
      </c>
      <c r="C56" s="147">
        <v>482</v>
      </c>
      <c r="D56" s="147" t="s">
        <v>409</v>
      </c>
      <c r="E56" s="147"/>
      <c r="F56" s="147" t="s">
        <v>409</v>
      </c>
      <c r="G56" s="147"/>
      <c r="H56" s="147" t="s">
        <v>410</v>
      </c>
      <c r="I56" s="189"/>
      <c r="J56" s="190"/>
    </row>
    <row r="57" spans="1:10">
      <c r="A57" s="184">
        <v>3</v>
      </c>
      <c r="B57" s="147" t="s">
        <v>410</v>
      </c>
      <c r="C57" s="147">
        <v>183</v>
      </c>
      <c r="D57" s="147" t="s">
        <v>410</v>
      </c>
      <c r="E57" s="147"/>
      <c r="F57" s="147" t="s">
        <v>410</v>
      </c>
      <c r="G57" s="147"/>
      <c r="H57" s="191" t="s">
        <v>407</v>
      </c>
      <c r="I57" s="189"/>
      <c r="J57" s="190"/>
    </row>
    <row r="58" spans="1:10">
      <c r="A58" s="184">
        <v>4</v>
      </c>
      <c r="B58" s="147"/>
      <c r="C58" s="147"/>
      <c r="D58" s="188" t="s">
        <v>411</v>
      </c>
      <c r="E58" s="147"/>
      <c r="F58" s="188" t="s">
        <v>412</v>
      </c>
      <c r="G58" s="189"/>
      <c r="H58" s="192" t="s">
        <v>399</v>
      </c>
      <c r="I58" s="189"/>
      <c r="J58" s="190"/>
    </row>
    <row r="59" spans="1:10">
      <c r="A59" s="184">
        <v>5</v>
      </c>
      <c r="B59" s="147"/>
      <c r="C59" s="147"/>
      <c r="D59" s="188" t="s">
        <v>412</v>
      </c>
      <c r="E59" s="147"/>
      <c r="F59" s="147" t="s">
        <v>413</v>
      </c>
      <c r="G59" s="189"/>
      <c r="H59" s="188" t="s">
        <v>411</v>
      </c>
      <c r="I59" s="189"/>
      <c r="J59" s="190"/>
    </row>
    <row r="60" spans="1:10">
      <c r="A60" s="184"/>
      <c r="B60" s="147"/>
      <c r="C60" s="147"/>
      <c r="D60" s="147" t="s">
        <v>413</v>
      </c>
      <c r="E60" s="147"/>
      <c r="F60" s="147"/>
      <c r="G60" s="193"/>
      <c r="H60" s="194" t="s">
        <v>414</v>
      </c>
      <c r="I60" s="189"/>
      <c r="J60" s="190">
        <v>0</v>
      </c>
    </row>
    <row r="61" spans="1:10">
      <c r="A61" s="861" t="s">
        <v>36</v>
      </c>
      <c r="B61" s="858"/>
      <c r="C61" s="195">
        <f>SUM(C55:C60)</f>
        <v>673</v>
      </c>
      <c r="D61" s="183"/>
      <c r="E61" s="196">
        <f>SUM(E55:E60)</f>
        <v>0</v>
      </c>
      <c r="F61" s="183"/>
      <c r="G61" s="196">
        <f>SUM(G55:G60)</f>
        <v>0</v>
      </c>
      <c r="H61" s="183"/>
      <c r="I61" s="196">
        <f>+I60+I59</f>
        <v>0</v>
      </c>
      <c r="J61" s="197">
        <f>+J60+J59+J58+J57+J56+J55</f>
        <v>0</v>
      </c>
    </row>
    <row r="62" spans="1:10" ht="13.5" thickBot="1">
      <c r="A62" s="862" t="s">
        <v>415</v>
      </c>
      <c r="B62" s="863"/>
      <c r="C62" s="863"/>
      <c r="D62" s="863"/>
      <c r="E62" s="863"/>
      <c r="F62" s="863"/>
      <c r="G62" s="863"/>
      <c r="H62" s="863"/>
      <c r="I62" s="864">
        <f>+C61+E61+G61+I61+J61</f>
        <v>673</v>
      </c>
      <c r="J62" s="865"/>
    </row>
    <row r="63" spans="1:10">
      <c r="A63" s="866" t="s">
        <v>540</v>
      </c>
      <c r="B63" s="867"/>
      <c r="C63" s="198">
        <f>+C61/0.89</f>
        <v>756.17977528089887</v>
      </c>
      <c r="D63" s="199" t="s">
        <v>416</v>
      </c>
      <c r="E63" s="200">
        <f>C63*0.89</f>
        <v>673</v>
      </c>
      <c r="F63" s="200" t="s">
        <v>417</v>
      </c>
      <c r="G63" s="200"/>
      <c r="H63" s="200"/>
      <c r="I63" s="200"/>
      <c r="J63" s="200"/>
    </row>
    <row r="66" spans="2:12">
      <c r="B66" s="859"/>
      <c r="C66" s="859"/>
      <c r="D66" s="859"/>
      <c r="E66" s="859"/>
      <c r="F66" s="859"/>
      <c r="L66" s="148"/>
    </row>
    <row r="67" spans="2:12">
      <c r="B67" s="859" t="s">
        <v>418</v>
      </c>
      <c r="C67" s="859"/>
      <c r="D67" s="859"/>
      <c r="E67" s="860">
        <f>+E51+[3]INKS!E325+'[3]VAR &amp; SIL'!F49+'[3]VAR &amp; SIL'!F30+[3]LAC!F59+[3]PVC!F33+'[3]TFS (II)'!G57</f>
        <v>794607</v>
      </c>
      <c r="F67" s="859"/>
      <c r="J67" s="201"/>
    </row>
    <row r="68" spans="2:12">
      <c r="B68" s="202"/>
      <c r="C68" s="146"/>
      <c r="D68" s="146"/>
      <c r="E68" s="146"/>
      <c r="F68" s="146"/>
    </row>
    <row r="69" spans="2:12">
      <c r="B69" s="859" t="s">
        <v>419</v>
      </c>
      <c r="C69" s="859"/>
      <c r="D69" s="859"/>
      <c r="E69" s="860">
        <f>+H51+[3]INKS!H325+'[3]VAR &amp; SIL'!I30+'[3]VAR &amp; SIL'!I49+[3]LAC!I59+[3]PVC!I33+'[3]TFS (II)'!J57</f>
        <v>3255123.7</v>
      </c>
      <c r="F69" s="859"/>
      <c r="J69" s="201"/>
    </row>
    <row r="71" spans="2:12">
      <c r="G71" s="201"/>
    </row>
    <row r="74" spans="2:12">
      <c r="H74" s="148"/>
    </row>
  </sheetData>
  <mergeCells count="16">
    <mergeCell ref="B69:D69"/>
    <mergeCell ref="E69:F69"/>
    <mergeCell ref="A61:B61"/>
    <mergeCell ref="A62:H62"/>
    <mergeCell ref="I62:J62"/>
    <mergeCell ref="A63:B63"/>
    <mergeCell ref="B66:F66"/>
    <mergeCell ref="B67:D67"/>
    <mergeCell ref="E67:F67"/>
    <mergeCell ref="A4:J4"/>
    <mergeCell ref="A5:J5"/>
    <mergeCell ref="A6:J6"/>
    <mergeCell ref="C53:J53"/>
    <mergeCell ref="B54:C54"/>
    <mergeCell ref="D54:E54"/>
    <mergeCell ref="F54:G54"/>
  </mergeCells>
  <pageMargins left="0" right="0" top="0" bottom="0" header="0.18" footer="0.5"/>
  <pageSetup scale="85" orientation="portrait" r:id="rId1"/>
  <headerFooter alignWithMargins="0">
    <oddFooter>&amp;RPage  No - 17 of 17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3:I170"/>
  <sheetViews>
    <sheetView view="pageBreakPreview" topLeftCell="A107" zoomScale="60" zoomScaleNormal="40" workbookViewId="0">
      <selection activeCell="C122" sqref="C122"/>
    </sheetView>
  </sheetViews>
  <sheetFormatPr defaultRowHeight="12.75"/>
  <cols>
    <col min="1" max="1" width="10.5703125" customWidth="1"/>
    <col min="2" max="2" width="17.42578125" customWidth="1"/>
    <col min="3" max="3" width="36.140625" customWidth="1"/>
    <col min="4" max="4" width="69.5703125" customWidth="1"/>
    <col min="5" max="5" width="29.28515625" bestFit="1" customWidth="1"/>
    <col min="6" max="6" width="18.7109375" bestFit="1" customWidth="1"/>
    <col min="7" max="7" width="49.42578125" customWidth="1"/>
    <col min="9" max="9" width="16.85546875" customWidth="1"/>
    <col min="257" max="257" width="10.5703125" customWidth="1"/>
    <col min="258" max="258" width="17.42578125" customWidth="1"/>
    <col min="259" max="259" width="36.140625" customWidth="1"/>
    <col min="260" max="260" width="69.5703125" customWidth="1"/>
    <col min="261" max="261" width="29.28515625" bestFit="1" customWidth="1"/>
    <col min="262" max="262" width="18.7109375" bestFit="1" customWidth="1"/>
    <col min="263" max="263" width="49.42578125" customWidth="1"/>
    <col min="265" max="265" width="16.85546875" customWidth="1"/>
    <col min="513" max="513" width="10.5703125" customWidth="1"/>
    <col min="514" max="514" width="17.42578125" customWidth="1"/>
    <col min="515" max="515" width="36.140625" customWidth="1"/>
    <col min="516" max="516" width="69.5703125" customWidth="1"/>
    <col min="517" max="517" width="29.28515625" bestFit="1" customWidth="1"/>
    <col min="518" max="518" width="18.7109375" bestFit="1" customWidth="1"/>
    <col min="519" max="519" width="49.42578125" customWidth="1"/>
    <col min="521" max="521" width="16.85546875" customWidth="1"/>
    <col min="769" max="769" width="10.5703125" customWidth="1"/>
    <col min="770" max="770" width="17.42578125" customWidth="1"/>
    <col min="771" max="771" width="36.140625" customWidth="1"/>
    <col min="772" max="772" width="69.5703125" customWidth="1"/>
    <col min="773" max="773" width="29.28515625" bestFit="1" customWidth="1"/>
    <col min="774" max="774" width="18.7109375" bestFit="1" customWidth="1"/>
    <col min="775" max="775" width="49.42578125" customWidth="1"/>
    <col min="777" max="777" width="16.85546875" customWidth="1"/>
    <col min="1025" max="1025" width="10.5703125" customWidth="1"/>
    <col min="1026" max="1026" width="17.42578125" customWidth="1"/>
    <col min="1027" max="1027" width="36.140625" customWidth="1"/>
    <col min="1028" max="1028" width="69.5703125" customWidth="1"/>
    <col min="1029" max="1029" width="29.28515625" bestFit="1" customWidth="1"/>
    <col min="1030" max="1030" width="18.7109375" bestFit="1" customWidth="1"/>
    <col min="1031" max="1031" width="49.42578125" customWidth="1"/>
    <col min="1033" max="1033" width="16.85546875" customWidth="1"/>
    <col min="1281" max="1281" width="10.5703125" customWidth="1"/>
    <col min="1282" max="1282" width="17.42578125" customWidth="1"/>
    <col min="1283" max="1283" width="36.140625" customWidth="1"/>
    <col min="1284" max="1284" width="69.5703125" customWidth="1"/>
    <col min="1285" max="1285" width="29.28515625" bestFit="1" customWidth="1"/>
    <col min="1286" max="1286" width="18.7109375" bestFit="1" customWidth="1"/>
    <col min="1287" max="1287" width="49.42578125" customWidth="1"/>
    <col min="1289" max="1289" width="16.85546875" customWidth="1"/>
    <col min="1537" max="1537" width="10.5703125" customWidth="1"/>
    <col min="1538" max="1538" width="17.42578125" customWidth="1"/>
    <col min="1539" max="1539" width="36.140625" customWidth="1"/>
    <col min="1540" max="1540" width="69.5703125" customWidth="1"/>
    <col min="1541" max="1541" width="29.28515625" bestFit="1" customWidth="1"/>
    <col min="1542" max="1542" width="18.7109375" bestFit="1" customWidth="1"/>
    <col min="1543" max="1543" width="49.42578125" customWidth="1"/>
    <col min="1545" max="1545" width="16.85546875" customWidth="1"/>
    <col min="1793" max="1793" width="10.5703125" customWidth="1"/>
    <col min="1794" max="1794" width="17.42578125" customWidth="1"/>
    <col min="1795" max="1795" width="36.140625" customWidth="1"/>
    <col min="1796" max="1796" width="69.5703125" customWidth="1"/>
    <col min="1797" max="1797" width="29.28515625" bestFit="1" customWidth="1"/>
    <col min="1798" max="1798" width="18.7109375" bestFit="1" customWidth="1"/>
    <col min="1799" max="1799" width="49.42578125" customWidth="1"/>
    <col min="1801" max="1801" width="16.85546875" customWidth="1"/>
    <col min="2049" max="2049" width="10.5703125" customWidth="1"/>
    <col min="2050" max="2050" width="17.42578125" customWidth="1"/>
    <col min="2051" max="2051" width="36.140625" customWidth="1"/>
    <col min="2052" max="2052" width="69.5703125" customWidth="1"/>
    <col min="2053" max="2053" width="29.28515625" bestFit="1" customWidth="1"/>
    <col min="2054" max="2054" width="18.7109375" bestFit="1" customWidth="1"/>
    <col min="2055" max="2055" width="49.42578125" customWidth="1"/>
    <col min="2057" max="2057" width="16.85546875" customWidth="1"/>
    <col min="2305" max="2305" width="10.5703125" customWidth="1"/>
    <col min="2306" max="2306" width="17.42578125" customWidth="1"/>
    <col min="2307" max="2307" width="36.140625" customWidth="1"/>
    <col min="2308" max="2308" width="69.5703125" customWidth="1"/>
    <col min="2309" max="2309" width="29.28515625" bestFit="1" customWidth="1"/>
    <col min="2310" max="2310" width="18.7109375" bestFit="1" customWidth="1"/>
    <col min="2311" max="2311" width="49.42578125" customWidth="1"/>
    <col min="2313" max="2313" width="16.85546875" customWidth="1"/>
    <col min="2561" max="2561" width="10.5703125" customWidth="1"/>
    <col min="2562" max="2562" width="17.42578125" customWidth="1"/>
    <col min="2563" max="2563" width="36.140625" customWidth="1"/>
    <col min="2564" max="2564" width="69.5703125" customWidth="1"/>
    <col min="2565" max="2565" width="29.28515625" bestFit="1" customWidth="1"/>
    <col min="2566" max="2566" width="18.7109375" bestFit="1" customWidth="1"/>
    <col min="2567" max="2567" width="49.42578125" customWidth="1"/>
    <col min="2569" max="2569" width="16.85546875" customWidth="1"/>
    <col min="2817" max="2817" width="10.5703125" customWidth="1"/>
    <col min="2818" max="2818" width="17.42578125" customWidth="1"/>
    <col min="2819" max="2819" width="36.140625" customWidth="1"/>
    <col min="2820" max="2820" width="69.5703125" customWidth="1"/>
    <col min="2821" max="2821" width="29.28515625" bestFit="1" customWidth="1"/>
    <col min="2822" max="2822" width="18.7109375" bestFit="1" customWidth="1"/>
    <col min="2823" max="2823" width="49.42578125" customWidth="1"/>
    <col min="2825" max="2825" width="16.85546875" customWidth="1"/>
    <col min="3073" max="3073" width="10.5703125" customWidth="1"/>
    <col min="3074" max="3074" width="17.42578125" customWidth="1"/>
    <col min="3075" max="3075" width="36.140625" customWidth="1"/>
    <col min="3076" max="3076" width="69.5703125" customWidth="1"/>
    <col min="3077" max="3077" width="29.28515625" bestFit="1" customWidth="1"/>
    <col min="3078" max="3078" width="18.7109375" bestFit="1" customWidth="1"/>
    <col min="3079" max="3079" width="49.42578125" customWidth="1"/>
    <col min="3081" max="3081" width="16.85546875" customWidth="1"/>
    <col min="3329" max="3329" width="10.5703125" customWidth="1"/>
    <col min="3330" max="3330" width="17.42578125" customWidth="1"/>
    <col min="3331" max="3331" width="36.140625" customWidth="1"/>
    <col min="3332" max="3332" width="69.5703125" customWidth="1"/>
    <col min="3333" max="3333" width="29.28515625" bestFit="1" customWidth="1"/>
    <col min="3334" max="3334" width="18.7109375" bestFit="1" customWidth="1"/>
    <col min="3335" max="3335" width="49.42578125" customWidth="1"/>
    <col min="3337" max="3337" width="16.85546875" customWidth="1"/>
    <col min="3585" max="3585" width="10.5703125" customWidth="1"/>
    <col min="3586" max="3586" width="17.42578125" customWidth="1"/>
    <col min="3587" max="3587" width="36.140625" customWidth="1"/>
    <col min="3588" max="3588" width="69.5703125" customWidth="1"/>
    <col min="3589" max="3589" width="29.28515625" bestFit="1" customWidth="1"/>
    <col min="3590" max="3590" width="18.7109375" bestFit="1" customWidth="1"/>
    <col min="3591" max="3591" width="49.42578125" customWidth="1"/>
    <col min="3593" max="3593" width="16.85546875" customWidth="1"/>
    <col min="3841" max="3841" width="10.5703125" customWidth="1"/>
    <col min="3842" max="3842" width="17.42578125" customWidth="1"/>
    <col min="3843" max="3843" width="36.140625" customWidth="1"/>
    <col min="3844" max="3844" width="69.5703125" customWidth="1"/>
    <col min="3845" max="3845" width="29.28515625" bestFit="1" customWidth="1"/>
    <col min="3846" max="3846" width="18.7109375" bestFit="1" customWidth="1"/>
    <col min="3847" max="3847" width="49.42578125" customWidth="1"/>
    <col min="3849" max="3849" width="16.85546875" customWidth="1"/>
    <col min="4097" max="4097" width="10.5703125" customWidth="1"/>
    <col min="4098" max="4098" width="17.42578125" customWidth="1"/>
    <col min="4099" max="4099" width="36.140625" customWidth="1"/>
    <col min="4100" max="4100" width="69.5703125" customWidth="1"/>
    <col min="4101" max="4101" width="29.28515625" bestFit="1" customWidth="1"/>
    <col min="4102" max="4102" width="18.7109375" bestFit="1" customWidth="1"/>
    <col min="4103" max="4103" width="49.42578125" customWidth="1"/>
    <col min="4105" max="4105" width="16.85546875" customWidth="1"/>
    <col min="4353" max="4353" width="10.5703125" customWidth="1"/>
    <col min="4354" max="4354" width="17.42578125" customWidth="1"/>
    <col min="4355" max="4355" width="36.140625" customWidth="1"/>
    <col min="4356" max="4356" width="69.5703125" customWidth="1"/>
    <col min="4357" max="4357" width="29.28515625" bestFit="1" customWidth="1"/>
    <col min="4358" max="4358" width="18.7109375" bestFit="1" customWidth="1"/>
    <col min="4359" max="4359" width="49.42578125" customWidth="1"/>
    <col min="4361" max="4361" width="16.85546875" customWidth="1"/>
    <col min="4609" max="4609" width="10.5703125" customWidth="1"/>
    <col min="4610" max="4610" width="17.42578125" customWidth="1"/>
    <col min="4611" max="4611" width="36.140625" customWidth="1"/>
    <col min="4612" max="4612" width="69.5703125" customWidth="1"/>
    <col min="4613" max="4613" width="29.28515625" bestFit="1" customWidth="1"/>
    <col min="4614" max="4614" width="18.7109375" bestFit="1" customWidth="1"/>
    <col min="4615" max="4615" width="49.42578125" customWidth="1"/>
    <col min="4617" max="4617" width="16.85546875" customWidth="1"/>
    <col min="4865" max="4865" width="10.5703125" customWidth="1"/>
    <col min="4866" max="4866" width="17.42578125" customWidth="1"/>
    <col min="4867" max="4867" width="36.140625" customWidth="1"/>
    <col min="4868" max="4868" width="69.5703125" customWidth="1"/>
    <col min="4869" max="4869" width="29.28515625" bestFit="1" customWidth="1"/>
    <col min="4870" max="4870" width="18.7109375" bestFit="1" customWidth="1"/>
    <col min="4871" max="4871" width="49.42578125" customWidth="1"/>
    <col min="4873" max="4873" width="16.85546875" customWidth="1"/>
    <col min="5121" max="5121" width="10.5703125" customWidth="1"/>
    <col min="5122" max="5122" width="17.42578125" customWidth="1"/>
    <col min="5123" max="5123" width="36.140625" customWidth="1"/>
    <col min="5124" max="5124" width="69.5703125" customWidth="1"/>
    <col min="5125" max="5125" width="29.28515625" bestFit="1" customWidth="1"/>
    <col min="5126" max="5126" width="18.7109375" bestFit="1" customWidth="1"/>
    <col min="5127" max="5127" width="49.42578125" customWidth="1"/>
    <col min="5129" max="5129" width="16.85546875" customWidth="1"/>
    <col min="5377" max="5377" width="10.5703125" customWidth="1"/>
    <col min="5378" max="5378" width="17.42578125" customWidth="1"/>
    <col min="5379" max="5379" width="36.140625" customWidth="1"/>
    <col min="5380" max="5380" width="69.5703125" customWidth="1"/>
    <col min="5381" max="5381" width="29.28515625" bestFit="1" customWidth="1"/>
    <col min="5382" max="5382" width="18.7109375" bestFit="1" customWidth="1"/>
    <col min="5383" max="5383" width="49.42578125" customWidth="1"/>
    <col min="5385" max="5385" width="16.85546875" customWidth="1"/>
    <col min="5633" max="5633" width="10.5703125" customWidth="1"/>
    <col min="5634" max="5634" width="17.42578125" customWidth="1"/>
    <col min="5635" max="5635" width="36.140625" customWidth="1"/>
    <col min="5636" max="5636" width="69.5703125" customWidth="1"/>
    <col min="5637" max="5637" width="29.28515625" bestFit="1" customWidth="1"/>
    <col min="5638" max="5638" width="18.7109375" bestFit="1" customWidth="1"/>
    <col min="5639" max="5639" width="49.42578125" customWidth="1"/>
    <col min="5641" max="5641" width="16.85546875" customWidth="1"/>
    <col min="5889" max="5889" width="10.5703125" customWidth="1"/>
    <col min="5890" max="5890" width="17.42578125" customWidth="1"/>
    <col min="5891" max="5891" width="36.140625" customWidth="1"/>
    <col min="5892" max="5892" width="69.5703125" customWidth="1"/>
    <col min="5893" max="5893" width="29.28515625" bestFit="1" customWidth="1"/>
    <col min="5894" max="5894" width="18.7109375" bestFit="1" customWidth="1"/>
    <col min="5895" max="5895" width="49.42578125" customWidth="1"/>
    <col min="5897" max="5897" width="16.85546875" customWidth="1"/>
    <col min="6145" max="6145" width="10.5703125" customWidth="1"/>
    <col min="6146" max="6146" width="17.42578125" customWidth="1"/>
    <col min="6147" max="6147" width="36.140625" customWidth="1"/>
    <col min="6148" max="6148" width="69.5703125" customWidth="1"/>
    <col min="6149" max="6149" width="29.28515625" bestFit="1" customWidth="1"/>
    <col min="6150" max="6150" width="18.7109375" bestFit="1" customWidth="1"/>
    <col min="6151" max="6151" width="49.42578125" customWidth="1"/>
    <col min="6153" max="6153" width="16.85546875" customWidth="1"/>
    <col min="6401" max="6401" width="10.5703125" customWidth="1"/>
    <col min="6402" max="6402" width="17.42578125" customWidth="1"/>
    <col min="6403" max="6403" width="36.140625" customWidth="1"/>
    <col min="6404" max="6404" width="69.5703125" customWidth="1"/>
    <col min="6405" max="6405" width="29.28515625" bestFit="1" customWidth="1"/>
    <col min="6406" max="6406" width="18.7109375" bestFit="1" customWidth="1"/>
    <col min="6407" max="6407" width="49.42578125" customWidth="1"/>
    <col min="6409" max="6409" width="16.85546875" customWidth="1"/>
    <col min="6657" max="6657" width="10.5703125" customWidth="1"/>
    <col min="6658" max="6658" width="17.42578125" customWidth="1"/>
    <col min="6659" max="6659" width="36.140625" customWidth="1"/>
    <col min="6660" max="6660" width="69.5703125" customWidth="1"/>
    <col min="6661" max="6661" width="29.28515625" bestFit="1" customWidth="1"/>
    <col min="6662" max="6662" width="18.7109375" bestFit="1" customWidth="1"/>
    <col min="6663" max="6663" width="49.42578125" customWidth="1"/>
    <col min="6665" max="6665" width="16.85546875" customWidth="1"/>
    <col min="6913" max="6913" width="10.5703125" customWidth="1"/>
    <col min="6914" max="6914" width="17.42578125" customWidth="1"/>
    <col min="6915" max="6915" width="36.140625" customWidth="1"/>
    <col min="6916" max="6916" width="69.5703125" customWidth="1"/>
    <col min="6917" max="6917" width="29.28515625" bestFit="1" customWidth="1"/>
    <col min="6918" max="6918" width="18.7109375" bestFit="1" customWidth="1"/>
    <col min="6919" max="6919" width="49.42578125" customWidth="1"/>
    <col min="6921" max="6921" width="16.85546875" customWidth="1"/>
    <col min="7169" max="7169" width="10.5703125" customWidth="1"/>
    <col min="7170" max="7170" width="17.42578125" customWidth="1"/>
    <col min="7171" max="7171" width="36.140625" customWidth="1"/>
    <col min="7172" max="7172" width="69.5703125" customWidth="1"/>
    <col min="7173" max="7173" width="29.28515625" bestFit="1" customWidth="1"/>
    <col min="7174" max="7174" width="18.7109375" bestFit="1" customWidth="1"/>
    <col min="7175" max="7175" width="49.42578125" customWidth="1"/>
    <col min="7177" max="7177" width="16.85546875" customWidth="1"/>
    <col min="7425" max="7425" width="10.5703125" customWidth="1"/>
    <col min="7426" max="7426" width="17.42578125" customWidth="1"/>
    <col min="7427" max="7427" width="36.140625" customWidth="1"/>
    <col min="7428" max="7428" width="69.5703125" customWidth="1"/>
    <col min="7429" max="7429" width="29.28515625" bestFit="1" customWidth="1"/>
    <col min="7430" max="7430" width="18.7109375" bestFit="1" customWidth="1"/>
    <col min="7431" max="7431" width="49.42578125" customWidth="1"/>
    <col min="7433" max="7433" width="16.85546875" customWidth="1"/>
    <col min="7681" max="7681" width="10.5703125" customWidth="1"/>
    <col min="7682" max="7682" width="17.42578125" customWidth="1"/>
    <col min="7683" max="7683" width="36.140625" customWidth="1"/>
    <col min="7684" max="7684" width="69.5703125" customWidth="1"/>
    <col min="7685" max="7685" width="29.28515625" bestFit="1" customWidth="1"/>
    <col min="7686" max="7686" width="18.7109375" bestFit="1" customWidth="1"/>
    <col min="7687" max="7687" width="49.42578125" customWidth="1"/>
    <col min="7689" max="7689" width="16.85546875" customWidth="1"/>
    <col min="7937" max="7937" width="10.5703125" customWidth="1"/>
    <col min="7938" max="7938" width="17.42578125" customWidth="1"/>
    <col min="7939" max="7939" width="36.140625" customWidth="1"/>
    <col min="7940" max="7940" width="69.5703125" customWidth="1"/>
    <col min="7941" max="7941" width="29.28515625" bestFit="1" customWidth="1"/>
    <col min="7942" max="7942" width="18.7109375" bestFit="1" customWidth="1"/>
    <col min="7943" max="7943" width="49.42578125" customWidth="1"/>
    <col min="7945" max="7945" width="16.85546875" customWidth="1"/>
    <col min="8193" max="8193" width="10.5703125" customWidth="1"/>
    <col min="8194" max="8194" width="17.42578125" customWidth="1"/>
    <col min="8195" max="8195" width="36.140625" customWidth="1"/>
    <col min="8196" max="8196" width="69.5703125" customWidth="1"/>
    <col min="8197" max="8197" width="29.28515625" bestFit="1" customWidth="1"/>
    <col min="8198" max="8198" width="18.7109375" bestFit="1" customWidth="1"/>
    <col min="8199" max="8199" width="49.42578125" customWidth="1"/>
    <col min="8201" max="8201" width="16.85546875" customWidth="1"/>
    <col min="8449" max="8449" width="10.5703125" customWidth="1"/>
    <col min="8450" max="8450" width="17.42578125" customWidth="1"/>
    <col min="8451" max="8451" width="36.140625" customWidth="1"/>
    <col min="8452" max="8452" width="69.5703125" customWidth="1"/>
    <col min="8453" max="8453" width="29.28515625" bestFit="1" customWidth="1"/>
    <col min="8454" max="8454" width="18.7109375" bestFit="1" customWidth="1"/>
    <col min="8455" max="8455" width="49.42578125" customWidth="1"/>
    <col min="8457" max="8457" width="16.85546875" customWidth="1"/>
    <col min="8705" max="8705" width="10.5703125" customWidth="1"/>
    <col min="8706" max="8706" width="17.42578125" customWidth="1"/>
    <col min="8707" max="8707" width="36.140625" customWidth="1"/>
    <col min="8708" max="8708" width="69.5703125" customWidth="1"/>
    <col min="8709" max="8709" width="29.28515625" bestFit="1" customWidth="1"/>
    <col min="8710" max="8710" width="18.7109375" bestFit="1" customWidth="1"/>
    <col min="8711" max="8711" width="49.42578125" customWidth="1"/>
    <col min="8713" max="8713" width="16.85546875" customWidth="1"/>
    <col min="8961" max="8961" width="10.5703125" customWidth="1"/>
    <col min="8962" max="8962" width="17.42578125" customWidth="1"/>
    <col min="8963" max="8963" width="36.140625" customWidth="1"/>
    <col min="8964" max="8964" width="69.5703125" customWidth="1"/>
    <col min="8965" max="8965" width="29.28515625" bestFit="1" customWidth="1"/>
    <col min="8966" max="8966" width="18.7109375" bestFit="1" customWidth="1"/>
    <col min="8967" max="8967" width="49.42578125" customWidth="1"/>
    <col min="8969" max="8969" width="16.85546875" customWidth="1"/>
    <col min="9217" max="9217" width="10.5703125" customWidth="1"/>
    <col min="9218" max="9218" width="17.42578125" customWidth="1"/>
    <col min="9219" max="9219" width="36.140625" customWidth="1"/>
    <col min="9220" max="9220" width="69.5703125" customWidth="1"/>
    <col min="9221" max="9221" width="29.28515625" bestFit="1" customWidth="1"/>
    <col min="9222" max="9222" width="18.7109375" bestFit="1" customWidth="1"/>
    <col min="9223" max="9223" width="49.42578125" customWidth="1"/>
    <col min="9225" max="9225" width="16.85546875" customWidth="1"/>
    <col min="9473" max="9473" width="10.5703125" customWidth="1"/>
    <col min="9474" max="9474" width="17.42578125" customWidth="1"/>
    <col min="9475" max="9475" width="36.140625" customWidth="1"/>
    <col min="9476" max="9476" width="69.5703125" customWidth="1"/>
    <col min="9477" max="9477" width="29.28515625" bestFit="1" customWidth="1"/>
    <col min="9478" max="9478" width="18.7109375" bestFit="1" customWidth="1"/>
    <col min="9479" max="9479" width="49.42578125" customWidth="1"/>
    <col min="9481" max="9481" width="16.85546875" customWidth="1"/>
    <col min="9729" max="9729" width="10.5703125" customWidth="1"/>
    <col min="9730" max="9730" width="17.42578125" customWidth="1"/>
    <col min="9731" max="9731" width="36.140625" customWidth="1"/>
    <col min="9732" max="9732" width="69.5703125" customWidth="1"/>
    <col min="9733" max="9733" width="29.28515625" bestFit="1" customWidth="1"/>
    <col min="9734" max="9734" width="18.7109375" bestFit="1" customWidth="1"/>
    <col min="9735" max="9735" width="49.42578125" customWidth="1"/>
    <col min="9737" max="9737" width="16.85546875" customWidth="1"/>
    <col min="9985" max="9985" width="10.5703125" customWidth="1"/>
    <col min="9986" max="9986" width="17.42578125" customWidth="1"/>
    <col min="9987" max="9987" width="36.140625" customWidth="1"/>
    <col min="9988" max="9988" width="69.5703125" customWidth="1"/>
    <col min="9989" max="9989" width="29.28515625" bestFit="1" customWidth="1"/>
    <col min="9990" max="9990" width="18.7109375" bestFit="1" customWidth="1"/>
    <col min="9991" max="9991" width="49.42578125" customWidth="1"/>
    <col min="9993" max="9993" width="16.85546875" customWidth="1"/>
    <col min="10241" max="10241" width="10.5703125" customWidth="1"/>
    <col min="10242" max="10242" width="17.42578125" customWidth="1"/>
    <col min="10243" max="10243" width="36.140625" customWidth="1"/>
    <col min="10244" max="10244" width="69.5703125" customWidth="1"/>
    <col min="10245" max="10245" width="29.28515625" bestFit="1" customWidth="1"/>
    <col min="10246" max="10246" width="18.7109375" bestFit="1" customWidth="1"/>
    <col min="10247" max="10247" width="49.42578125" customWidth="1"/>
    <col min="10249" max="10249" width="16.85546875" customWidth="1"/>
    <col min="10497" max="10497" width="10.5703125" customWidth="1"/>
    <col min="10498" max="10498" width="17.42578125" customWidth="1"/>
    <col min="10499" max="10499" width="36.140625" customWidth="1"/>
    <col min="10500" max="10500" width="69.5703125" customWidth="1"/>
    <col min="10501" max="10501" width="29.28515625" bestFit="1" customWidth="1"/>
    <col min="10502" max="10502" width="18.7109375" bestFit="1" customWidth="1"/>
    <col min="10503" max="10503" width="49.42578125" customWidth="1"/>
    <col min="10505" max="10505" width="16.85546875" customWidth="1"/>
    <col min="10753" max="10753" width="10.5703125" customWidth="1"/>
    <col min="10754" max="10754" width="17.42578125" customWidth="1"/>
    <col min="10755" max="10755" width="36.140625" customWidth="1"/>
    <col min="10756" max="10756" width="69.5703125" customWidth="1"/>
    <col min="10757" max="10757" width="29.28515625" bestFit="1" customWidth="1"/>
    <col min="10758" max="10758" width="18.7109375" bestFit="1" customWidth="1"/>
    <col min="10759" max="10759" width="49.42578125" customWidth="1"/>
    <col min="10761" max="10761" width="16.85546875" customWidth="1"/>
    <col min="11009" max="11009" width="10.5703125" customWidth="1"/>
    <col min="11010" max="11010" width="17.42578125" customWidth="1"/>
    <col min="11011" max="11011" width="36.140625" customWidth="1"/>
    <col min="11012" max="11012" width="69.5703125" customWidth="1"/>
    <col min="11013" max="11013" width="29.28515625" bestFit="1" customWidth="1"/>
    <col min="11014" max="11014" width="18.7109375" bestFit="1" customWidth="1"/>
    <col min="11015" max="11015" width="49.42578125" customWidth="1"/>
    <col min="11017" max="11017" width="16.85546875" customWidth="1"/>
    <col min="11265" max="11265" width="10.5703125" customWidth="1"/>
    <col min="11266" max="11266" width="17.42578125" customWidth="1"/>
    <col min="11267" max="11267" width="36.140625" customWidth="1"/>
    <col min="11268" max="11268" width="69.5703125" customWidth="1"/>
    <col min="11269" max="11269" width="29.28515625" bestFit="1" customWidth="1"/>
    <col min="11270" max="11270" width="18.7109375" bestFit="1" customWidth="1"/>
    <col min="11271" max="11271" width="49.42578125" customWidth="1"/>
    <col min="11273" max="11273" width="16.85546875" customWidth="1"/>
    <col min="11521" max="11521" width="10.5703125" customWidth="1"/>
    <col min="11522" max="11522" width="17.42578125" customWidth="1"/>
    <col min="11523" max="11523" width="36.140625" customWidth="1"/>
    <col min="11524" max="11524" width="69.5703125" customWidth="1"/>
    <col min="11525" max="11525" width="29.28515625" bestFit="1" customWidth="1"/>
    <col min="11526" max="11526" width="18.7109375" bestFit="1" customWidth="1"/>
    <col min="11527" max="11527" width="49.42578125" customWidth="1"/>
    <col min="11529" max="11529" width="16.85546875" customWidth="1"/>
    <col min="11777" max="11777" width="10.5703125" customWidth="1"/>
    <col min="11778" max="11778" width="17.42578125" customWidth="1"/>
    <col min="11779" max="11779" width="36.140625" customWidth="1"/>
    <col min="11780" max="11780" width="69.5703125" customWidth="1"/>
    <col min="11781" max="11781" width="29.28515625" bestFit="1" customWidth="1"/>
    <col min="11782" max="11782" width="18.7109375" bestFit="1" customWidth="1"/>
    <col min="11783" max="11783" width="49.42578125" customWidth="1"/>
    <col min="11785" max="11785" width="16.85546875" customWidth="1"/>
    <col min="12033" max="12033" width="10.5703125" customWidth="1"/>
    <col min="12034" max="12034" width="17.42578125" customWidth="1"/>
    <col min="12035" max="12035" width="36.140625" customWidth="1"/>
    <col min="12036" max="12036" width="69.5703125" customWidth="1"/>
    <col min="12037" max="12037" width="29.28515625" bestFit="1" customWidth="1"/>
    <col min="12038" max="12038" width="18.7109375" bestFit="1" customWidth="1"/>
    <col min="12039" max="12039" width="49.42578125" customWidth="1"/>
    <col min="12041" max="12041" width="16.85546875" customWidth="1"/>
    <col min="12289" max="12289" width="10.5703125" customWidth="1"/>
    <col min="12290" max="12290" width="17.42578125" customWidth="1"/>
    <col min="12291" max="12291" width="36.140625" customWidth="1"/>
    <col min="12292" max="12292" width="69.5703125" customWidth="1"/>
    <col min="12293" max="12293" width="29.28515625" bestFit="1" customWidth="1"/>
    <col min="12294" max="12294" width="18.7109375" bestFit="1" customWidth="1"/>
    <col min="12295" max="12295" width="49.42578125" customWidth="1"/>
    <col min="12297" max="12297" width="16.85546875" customWidth="1"/>
    <col min="12545" max="12545" width="10.5703125" customWidth="1"/>
    <col min="12546" max="12546" width="17.42578125" customWidth="1"/>
    <col min="12547" max="12547" width="36.140625" customWidth="1"/>
    <col min="12548" max="12548" width="69.5703125" customWidth="1"/>
    <col min="12549" max="12549" width="29.28515625" bestFit="1" customWidth="1"/>
    <col min="12550" max="12550" width="18.7109375" bestFit="1" customWidth="1"/>
    <col min="12551" max="12551" width="49.42578125" customWidth="1"/>
    <col min="12553" max="12553" width="16.85546875" customWidth="1"/>
    <col min="12801" max="12801" width="10.5703125" customWidth="1"/>
    <col min="12802" max="12802" width="17.42578125" customWidth="1"/>
    <col min="12803" max="12803" width="36.140625" customWidth="1"/>
    <col min="12804" max="12804" width="69.5703125" customWidth="1"/>
    <col min="12805" max="12805" width="29.28515625" bestFit="1" customWidth="1"/>
    <col min="12806" max="12806" width="18.7109375" bestFit="1" customWidth="1"/>
    <col min="12807" max="12807" width="49.42578125" customWidth="1"/>
    <col min="12809" max="12809" width="16.85546875" customWidth="1"/>
    <col min="13057" max="13057" width="10.5703125" customWidth="1"/>
    <col min="13058" max="13058" width="17.42578125" customWidth="1"/>
    <col min="13059" max="13059" width="36.140625" customWidth="1"/>
    <col min="13060" max="13060" width="69.5703125" customWidth="1"/>
    <col min="13061" max="13061" width="29.28515625" bestFit="1" customWidth="1"/>
    <col min="13062" max="13062" width="18.7109375" bestFit="1" customWidth="1"/>
    <col min="13063" max="13063" width="49.42578125" customWidth="1"/>
    <col min="13065" max="13065" width="16.85546875" customWidth="1"/>
    <col min="13313" max="13313" width="10.5703125" customWidth="1"/>
    <col min="13314" max="13314" width="17.42578125" customWidth="1"/>
    <col min="13315" max="13315" width="36.140625" customWidth="1"/>
    <col min="13316" max="13316" width="69.5703125" customWidth="1"/>
    <col min="13317" max="13317" width="29.28515625" bestFit="1" customWidth="1"/>
    <col min="13318" max="13318" width="18.7109375" bestFit="1" customWidth="1"/>
    <col min="13319" max="13319" width="49.42578125" customWidth="1"/>
    <col min="13321" max="13321" width="16.85546875" customWidth="1"/>
    <col min="13569" max="13569" width="10.5703125" customWidth="1"/>
    <col min="13570" max="13570" width="17.42578125" customWidth="1"/>
    <col min="13571" max="13571" width="36.140625" customWidth="1"/>
    <col min="13572" max="13572" width="69.5703125" customWidth="1"/>
    <col min="13573" max="13573" width="29.28515625" bestFit="1" customWidth="1"/>
    <col min="13574" max="13574" width="18.7109375" bestFit="1" customWidth="1"/>
    <col min="13575" max="13575" width="49.42578125" customWidth="1"/>
    <col min="13577" max="13577" width="16.85546875" customWidth="1"/>
    <col min="13825" max="13825" width="10.5703125" customWidth="1"/>
    <col min="13826" max="13826" width="17.42578125" customWidth="1"/>
    <col min="13827" max="13827" width="36.140625" customWidth="1"/>
    <col min="13828" max="13828" width="69.5703125" customWidth="1"/>
    <col min="13829" max="13829" width="29.28515625" bestFit="1" customWidth="1"/>
    <col min="13830" max="13830" width="18.7109375" bestFit="1" customWidth="1"/>
    <col min="13831" max="13831" width="49.42578125" customWidth="1"/>
    <col min="13833" max="13833" width="16.85546875" customWidth="1"/>
    <col min="14081" max="14081" width="10.5703125" customWidth="1"/>
    <col min="14082" max="14082" width="17.42578125" customWidth="1"/>
    <col min="14083" max="14083" width="36.140625" customWidth="1"/>
    <col min="14084" max="14084" width="69.5703125" customWidth="1"/>
    <col min="14085" max="14085" width="29.28515625" bestFit="1" customWidth="1"/>
    <col min="14086" max="14086" width="18.7109375" bestFit="1" customWidth="1"/>
    <col min="14087" max="14087" width="49.42578125" customWidth="1"/>
    <col min="14089" max="14089" width="16.85546875" customWidth="1"/>
    <col min="14337" max="14337" width="10.5703125" customWidth="1"/>
    <col min="14338" max="14338" width="17.42578125" customWidth="1"/>
    <col min="14339" max="14339" width="36.140625" customWidth="1"/>
    <col min="14340" max="14340" width="69.5703125" customWidth="1"/>
    <col min="14341" max="14341" width="29.28515625" bestFit="1" customWidth="1"/>
    <col min="14342" max="14342" width="18.7109375" bestFit="1" customWidth="1"/>
    <col min="14343" max="14343" width="49.42578125" customWidth="1"/>
    <col min="14345" max="14345" width="16.85546875" customWidth="1"/>
    <col min="14593" max="14593" width="10.5703125" customWidth="1"/>
    <col min="14594" max="14594" width="17.42578125" customWidth="1"/>
    <col min="14595" max="14595" width="36.140625" customWidth="1"/>
    <col min="14596" max="14596" width="69.5703125" customWidth="1"/>
    <col min="14597" max="14597" width="29.28515625" bestFit="1" customWidth="1"/>
    <col min="14598" max="14598" width="18.7109375" bestFit="1" customWidth="1"/>
    <col min="14599" max="14599" width="49.42578125" customWidth="1"/>
    <col min="14601" max="14601" width="16.85546875" customWidth="1"/>
    <col min="14849" max="14849" width="10.5703125" customWidth="1"/>
    <col min="14850" max="14850" width="17.42578125" customWidth="1"/>
    <col min="14851" max="14851" width="36.140625" customWidth="1"/>
    <col min="14852" max="14852" width="69.5703125" customWidth="1"/>
    <col min="14853" max="14853" width="29.28515625" bestFit="1" customWidth="1"/>
    <col min="14854" max="14854" width="18.7109375" bestFit="1" customWidth="1"/>
    <col min="14855" max="14855" width="49.42578125" customWidth="1"/>
    <col min="14857" max="14857" width="16.85546875" customWidth="1"/>
    <col min="15105" max="15105" width="10.5703125" customWidth="1"/>
    <col min="15106" max="15106" width="17.42578125" customWidth="1"/>
    <col min="15107" max="15107" width="36.140625" customWidth="1"/>
    <col min="15108" max="15108" width="69.5703125" customWidth="1"/>
    <col min="15109" max="15109" width="29.28515625" bestFit="1" customWidth="1"/>
    <col min="15110" max="15110" width="18.7109375" bestFit="1" customWidth="1"/>
    <col min="15111" max="15111" width="49.42578125" customWidth="1"/>
    <col min="15113" max="15113" width="16.85546875" customWidth="1"/>
    <col min="15361" max="15361" width="10.5703125" customWidth="1"/>
    <col min="15362" max="15362" width="17.42578125" customWidth="1"/>
    <col min="15363" max="15363" width="36.140625" customWidth="1"/>
    <col min="15364" max="15364" width="69.5703125" customWidth="1"/>
    <col min="15365" max="15365" width="29.28515625" bestFit="1" customWidth="1"/>
    <col min="15366" max="15366" width="18.7109375" bestFit="1" customWidth="1"/>
    <col min="15367" max="15367" width="49.42578125" customWidth="1"/>
    <col min="15369" max="15369" width="16.85546875" customWidth="1"/>
    <col min="15617" max="15617" width="10.5703125" customWidth="1"/>
    <col min="15618" max="15618" width="17.42578125" customWidth="1"/>
    <col min="15619" max="15619" width="36.140625" customWidth="1"/>
    <col min="15620" max="15620" width="69.5703125" customWidth="1"/>
    <col min="15621" max="15621" width="29.28515625" bestFit="1" customWidth="1"/>
    <col min="15622" max="15622" width="18.7109375" bestFit="1" customWidth="1"/>
    <col min="15623" max="15623" width="49.42578125" customWidth="1"/>
    <col min="15625" max="15625" width="16.85546875" customWidth="1"/>
    <col min="15873" max="15873" width="10.5703125" customWidth="1"/>
    <col min="15874" max="15874" width="17.42578125" customWidth="1"/>
    <col min="15875" max="15875" width="36.140625" customWidth="1"/>
    <col min="15876" max="15876" width="69.5703125" customWidth="1"/>
    <col min="15877" max="15877" width="29.28515625" bestFit="1" customWidth="1"/>
    <col min="15878" max="15878" width="18.7109375" bestFit="1" customWidth="1"/>
    <col min="15879" max="15879" width="49.42578125" customWidth="1"/>
    <col min="15881" max="15881" width="16.85546875" customWidth="1"/>
    <col min="16129" max="16129" width="10.5703125" customWidth="1"/>
    <col min="16130" max="16130" width="17.42578125" customWidth="1"/>
    <col min="16131" max="16131" width="36.140625" customWidth="1"/>
    <col min="16132" max="16132" width="69.5703125" customWidth="1"/>
    <col min="16133" max="16133" width="29.28515625" bestFit="1" customWidth="1"/>
    <col min="16134" max="16134" width="18.7109375" bestFit="1" customWidth="1"/>
    <col min="16135" max="16135" width="49.42578125" customWidth="1"/>
    <col min="16137" max="16137" width="16.85546875" customWidth="1"/>
  </cols>
  <sheetData>
    <row r="3" spans="1:9" ht="13.5" thickBot="1"/>
    <row r="4" spans="1:9" ht="30" customHeight="1">
      <c r="A4" s="743" t="s">
        <v>0</v>
      </c>
      <c r="B4" s="744"/>
      <c r="C4" s="744"/>
      <c r="D4" s="744"/>
      <c r="E4" s="744"/>
      <c r="F4" s="744"/>
      <c r="G4" s="745"/>
    </row>
    <row r="5" spans="1:9" ht="30" customHeight="1">
      <c r="A5" s="481" t="s">
        <v>553</v>
      </c>
      <c r="B5" s="482"/>
      <c r="C5" s="482"/>
      <c r="D5" s="482"/>
      <c r="E5" s="483" t="str">
        <f>+[1]Sheet1!D3</f>
        <v>OPENING AS ON</v>
      </c>
      <c r="F5" s="483" t="str">
        <f>+[1]Sheet1!E3</f>
        <v>01.12.2013</v>
      </c>
      <c r="G5" s="484"/>
    </row>
    <row r="6" spans="1:9" ht="30" customHeight="1" thickBot="1">
      <c r="A6" s="485"/>
      <c r="B6" s="482"/>
      <c r="D6" s="482"/>
      <c r="E6" s="482"/>
      <c r="F6" s="482"/>
      <c r="G6" s="486"/>
    </row>
    <row r="7" spans="1:9" ht="30" customHeight="1" thickBot="1">
      <c r="A7" s="487" t="s">
        <v>554</v>
      </c>
      <c r="B7" s="488" t="s">
        <v>555</v>
      </c>
      <c r="C7" s="487" t="s">
        <v>556</v>
      </c>
      <c r="D7" s="487" t="s">
        <v>557</v>
      </c>
      <c r="E7" s="489" t="s">
        <v>558</v>
      </c>
      <c r="F7" s="487" t="s">
        <v>559</v>
      </c>
      <c r="G7" s="490" t="s">
        <v>560</v>
      </c>
    </row>
    <row r="8" spans="1:9" ht="30" customHeight="1" thickBot="1">
      <c r="A8" s="746" t="s">
        <v>561</v>
      </c>
      <c r="B8" s="747"/>
      <c r="C8" s="747"/>
      <c r="D8" s="747"/>
      <c r="E8" s="747"/>
      <c r="F8" s="747"/>
      <c r="G8" s="748"/>
    </row>
    <row r="9" spans="1:9" ht="30" customHeight="1">
      <c r="A9" s="491">
        <v>1</v>
      </c>
      <c r="B9" s="492">
        <f>+[1]Sheet1!B7</f>
        <v>41608</v>
      </c>
      <c r="C9" s="493" t="s">
        <v>562</v>
      </c>
      <c r="D9" s="493" t="s">
        <v>563</v>
      </c>
      <c r="E9" s="494">
        <v>174</v>
      </c>
      <c r="F9" s="495">
        <v>368</v>
      </c>
      <c r="G9" s="496"/>
    </row>
    <row r="10" spans="1:9" ht="30" customHeight="1">
      <c r="A10" s="497">
        <f>+A9+1</f>
        <v>2</v>
      </c>
      <c r="B10" s="498" t="s">
        <v>564</v>
      </c>
      <c r="C10" s="499" t="s">
        <v>565</v>
      </c>
      <c r="D10" s="499" t="s">
        <v>566</v>
      </c>
      <c r="E10" s="500">
        <v>296</v>
      </c>
      <c r="F10" s="501">
        <v>435</v>
      </c>
      <c r="G10" s="496"/>
    </row>
    <row r="11" spans="1:9" ht="30" customHeight="1">
      <c r="A11" s="497">
        <f t="shared" ref="A11:A50" si="0">+A10+1</f>
        <v>3</v>
      </c>
      <c r="B11" s="498" t="s">
        <v>564</v>
      </c>
      <c r="C11" s="502" t="s">
        <v>567</v>
      </c>
      <c r="D11" s="499" t="s">
        <v>568</v>
      </c>
      <c r="E11" s="503">
        <v>90</v>
      </c>
      <c r="F11" s="501">
        <v>145</v>
      </c>
      <c r="G11" s="504"/>
    </row>
    <row r="12" spans="1:9" ht="30" customHeight="1">
      <c r="A12" s="497">
        <f t="shared" si="0"/>
        <v>4</v>
      </c>
      <c r="B12" s="498" t="s">
        <v>564</v>
      </c>
      <c r="C12" s="493" t="s">
        <v>569</v>
      </c>
      <c r="D12" s="505" t="s">
        <v>570</v>
      </c>
      <c r="E12" s="506">
        <v>595</v>
      </c>
      <c r="F12" s="506">
        <v>953</v>
      </c>
      <c r="G12" s="496"/>
    </row>
    <row r="13" spans="1:9" ht="30" customHeight="1">
      <c r="A13" s="497">
        <f t="shared" si="0"/>
        <v>5</v>
      </c>
      <c r="B13" s="498" t="s">
        <v>564</v>
      </c>
      <c r="C13" s="499" t="s">
        <v>571</v>
      </c>
      <c r="D13" s="499" t="s">
        <v>572</v>
      </c>
      <c r="E13" s="500">
        <v>170</v>
      </c>
      <c r="F13" s="501">
        <v>276</v>
      </c>
      <c r="G13" s="496"/>
    </row>
    <row r="14" spans="1:9" ht="30" customHeight="1">
      <c r="A14" s="497">
        <f t="shared" si="0"/>
        <v>6</v>
      </c>
      <c r="B14" s="498" t="s">
        <v>564</v>
      </c>
      <c r="C14" s="499" t="s">
        <v>571</v>
      </c>
      <c r="D14" s="499" t="s">
        <v>573</v>
      </c>
      <c r="E14" s="500">
        <v>126</v>
      </c>
      <c r="F14" s="501">
        <v>204</v>
      </c>
      <c r="G14" s="496"/>
      <c r="I14" s="5"/>
    </row>
    <row r="15" spans="1:9" ht="30" customHeight="1">
      <c r="A15" s="497">
        <f t="shared" si="0"/>
        <v>7</v>
      </c>
      <c r="B15" s="507" t="s">
        <v>564</v>
      </c>
      <c r="C15" s="499" t="s">
        <v>574</v>
      </c>
      <c r="D15" s="499" t="s">
        <v>575</v>
      </c>
      <c r="E15" s="500">
        <v>484</v>
      </c>
      <c r="F15" s="501">
        <v>784</v>
      </c>
      <c r="G15" s="508"/>
      <c r="I15" s="5"/>
    </row>
    <row r="16" spans="1:9" ht="30" customHeight="1">
      <c r="A16" s="497">
        <f t="shared" si="0"/>
        <v>8</v>
      </c>
      <c r="B16" s="507" t="s">
        <v>564</v>
      </c>
      <c r="C16" s="499" t="s">
        <v>576</v>
      </c>
      <c r="D16" s="499" t="s">
        <v>577</v>
      </c>
      <c r="E16" s="500">
        <v>759</v>
      </c>
      <c r="F16" s="501">
        <v>1231</v>
      </c>
      <c r="G16" s="508"/>
    </row>
    <row r="17" spans="1:7" ht="30" customHeight="1">
      <c r="A17" s="497">
        <f t="shared" si="0"/>
        <v>9</v>
      </c>
      <c r="B17" s="498" t="s">
        <v>564</v>
      </c>
      <c r="C17" s="499" t="s">
        <v>565</v>
      </c>
      <c r="D17" s="499" t="s">
        <v>578</v>
      </c>
      <c r="E17" s="500">
        <v>2803</v>
      </c>
      <c r="F17" s="501">
        <v>4546</v>
      </c>
      <c r="G17" s="508"/>
    </row>
    <row r="18" spans="1:7" ht="30" customHeight="1">
      <c r="A18" s="497">
        <f t="shared" si="0"/>
        <v>10</v>
      </c>
      <c r="B18" s="498" t="s">
        <v>564</v>
      </c>
      <c r="C18" s="499" t="s">
        <v>571</v>
      </c>
      <c r="D18" s="499" t="s">
        <v>579</v>
      </c>
      <c r="E18" s="500">
        <v>864</v>
      </c>
      <c r="F18" s="509">
        <v>1396</v>
      </c>
      <c r="G18" s="496"/>
    </row>
    <row r="19" spans="1:7" ht="30" customHeight="1">
      <c r="A19" s="497">
        <f t="shared" si="0"/>
        <v>11</v>
      </c>
      <c r="B19" s="498" t="s">
        <v>564</v>
      </c>
      <c r="C19" s="499" t="s">
        <v>571</v>
      </c>
      <c r="D19" s="499" t="s">
        <v>580</v>
      </c>
      <c r="E19" s="500">
        <v>911</v>
      </c>
      <c r="F19" s="509">
        <v>1473</v>
      </c>
      <c r="G19" s="496"/>
    </row>
    <row r="20" spans="1:7" ht="30" customHeight="1">
      <c r="A20" s="497">
        <f t="shared" si="0"/>
        <v>12</v>
      </c>
      <c r="B20" s="498" t="s">
        <v>564</v>
      </c>
      <c r="C20" s="510" t="s">
        <v>581</v>
      </c>
      <c r="D20" s="511" t="s">
        <v>582</v>
      </c>
      <c r="E20" s="512">
        <v>316</v>
      </c>
      <c r="F20" s="513">
        <v>510</v>
      </c>
      <c r="G20" s="510"/>
    </row>
    <row r="21" spans="1:7" ht="30" customHeight="1">
      <c r="A21" s="497">
        <f t="shared" si="0"/>
        <v>13</v>
      </c>
      <c r="B21" s="498" t="s">
        <v>564</v>
      </c>
      <c r="C21" s="514" t="s">
        <v>583</v>
      </c>
      <c r="D21" s="511" t="s">
        <v>584</v>
      </c>
      <c r="E21" s="512">
        <v>298</v>
      </c>
      <c r="F21" s="513">
        <v>480</v>
      </c>
      <c r="G21" s="510"/>
    </row>
    <row r="22" spans="1:7" ht="30" customHeight="1">
      <c r="A22" s="497">
        <f t="shared" si="0"/>
        <v>14</v>
      </c>
      <c r="B22" s="498" t="s">
        <v>564</v>
      </c>
      <c r="C22" s="496" t="s">
        <v>585</v>
      </c>
      <c r="D22" s="496" t="s">
        <v>586</v>
      </c>
      <c r="E22" s="515">
        <v>938</v>
      </c>
      <c r="F22" s="516">
        <v>1491</v>
      </c>
      <c r="G22" s="510"/>
    </row>
    <row r="23" spans="1:7" ht="30" customHeight="1">
      <c r="A23" s="497">
        <f t="shared" si="0"/>
        <v>15</v>
      </c>
      <c r="B23" s="498" t="s">
        <v>564</v>
      </c>
      <c r="C23" s="496" t="s">
        <v>585</v>
      </c>
      <c r="D23" s="496" t="s">
        <v>587</v>
      </c>
      <c r="E23" s="515">
        <v>372</v>
      </c>
      <c r="F23" s="516">
        <v>592</v>
      </c>
      <c r="G23" s="510"/>
    </row>
    <row r="24" spans="1:7" ht="30" customHeight="1">
      <c r="A24" s="497">
        <f t="shared" si="0"/>
        <v>16</v>
      </c>
      <c r="B24" s="498" t="s">
        <v>564</v>
      </c>
      <c r="C24" s="517" t="s">
        <v>583</v>
      </c>
      <c r="D24" s="499" t="s">
        <v>588</v>
      </c>
      <c r="E24" s="500">
        <v>455</v>
      </c>
      <c r="F24" s="509">
        <v>728</v>
      </c>
      <c r="G24" s="510"/>
    </row>
    <row r="25" spans="1:7" ht="30" customHeight="1">
      <c r="A25" s="497">
        <f t="shared" si="0"/>
        <v>17</v>
      </c>
      <c r="B25" s="498" t="s">
        <v>564</v>
      </c>
      <c r="C25" s="517" t="s">
        <v>583</v>
      </c>
      <c r="D25" s="499" t="s">
        <v>589</v>
      </c>
      <c r="E25" s="500">
        <v>110</v>
      </c>
      <c r="F25" s="509">
        <v>176</v>
      </c>
      <c r="G25" s="510"/>
    </row>
    <row r="26" spans="1:7" ht="30" customHeight="1">
      <c r="A26" s="497">
        <f t="shared" si="0"/>
        <v>18</v>
      </c>
      <c r="B26" s="498" t="s">
        <v>564</v>
      </c>
      <c r="C26" s="510" t="s">
        <v>581</v>
      </c>
      <c r="D26" s="496" t="s">
        <v>590</v>
      </c>
      <c r="E26" s="515">
        <v>78</v>
      </c>
      <c r="F26" s="518">
        <v>125</v>
      </c>
      <c r="G26" s="508"/>
    </row>
    <row r="27" spans="1:7" ht="30" customHeight="1">
      <c r="A27" s="497">
        <f t="shared" si="0"/>
        <v>19</v>
      </c>
      <c r="B27" s="498" t="s">
        <v>564</v>
      </c>
      <c r="C27" s="496" t="s">
        <v>565</v>
      </c>
      <c r="D27" s="496" t="s">
        <v>591</v>
      </c>
      <c r="E27" s="515">
        <v>165</v>
      </c>
      <c r="F27" s="518">
        <v>268</v>
      </c>
      <c r="G27" s="508"/>
    </row>
    <row r="28" spans="1:7" ht="30" customHeight="1">
      <c r="A28" s="497">
        <f t="shared" si="0"/>
        <v>20</v>
      </c>
      <c r="B28" s="498" t="s">
        <v>564</v>
      </c>
      <c r="C28" s="514" t="s">
        <v>583</v>
      </c>
      <c r="D28" s="496" t="s">
        <v>592</v>
      </c>
      <c r="E28" s="515">
        <v>235</v>
      </c>
      <c r="F28" s="518">
        <v>376</v>
      </c>
      <c r="G28" s="508"/>
    </row>
    <row r="29" spans="1:7" ht="30" customHeight="1">
      <c r="A29" s="497">
        <f t="shared" si="0"/>
        <v>21</v>
      </c>
      <c r="B29" s="498" t="s">
        <v>564</v>
      </c>
      <c r="C29" s="514" t="s">
        <v>583</v>
      </c>
      <c r="D29" s="496" t="s">
        <v>593</v>
      </c>
      <c r="E29" s="515">
        <v>882</v>
      </c>
      <c r="F29" s="518">
        <v>1411</v>
      </c>
      <c r="G29" s="508"/>
    </row>
    <row r="30" spans="1:7" ht="30" customHeight="1">
      <c r="A30" s="497">
        <f t="shared" si="0"/>
        <v>22</v>
      </c>
      <c r="B30" s="498" t="s">
        <v>564</v>
      </c>
      <c r="C30" s="496" t="s">
        <v>594</v>
      </c>
      <c r="D30" s="504" t="s">
        <v>595</v>
      </c>
      <c r="E30" s="515">
        <v>115</v>
      </c>
      <c r="F30" s="518">
        <v>186</v>
      </c>
      <c r="G30" s="508"/>
    </row>
    <row r="31" spans="1:7" ht="30" customHeight="1">
      <c r="A31" s="497">
        <f t="shared" si="0"/>
        <v>23</v>
      </c>
      <c r="B31" s="498" t="s">
        <v>564</v>
      </c>
      <c r="C31" s="496" t="s">
        <v>585</v>
      </c>
      <c r="D31" s="504" t="s">
        <v>596</v>
      </c>
      <c r="E31" s="519">
        <v>118</v>
      </c>
      <c r="F31" s="518">
        <v>189</v>
      </c>
      <c r="G31" s="520"/>
    </row>
    <row r="32" spans="1:7" ht="30" customHeight="1">
      <c r="A32" s="497">
        <f t="shared" si="0"/>
        <v>24</v>
      </c>
      <c r="B32" s="498" t="s">
        <v>564</v>
      </c>
      <c r="C32" s="496" t="s">
        <v>597</v>
      </c>
      <c r="D32" s="514" t="s">
        <v>598</v>
      </c>
      <c r="E32" s="521">
        <v>191</v>
      </c>
      <c r="F32" s="518">
        <v>261</v>
      </c>
      <c r="G32" s="520"/>
    </row>
    <row r="33" spans="1:7" ht="30" customHeight="1">
      <c r="A33" s="497">
        <f t="shared" si="0"/>
        <v>25</v>
      </c>
      <c r="B33" s="498" t="s">
        <v>564</v>
      </c>
      <c r="C33" s="496" t="s">
        <v>585</v>
      </c>
      <c r="D33" s="514" t="s">
        <v>599</v>
      </c>
      <c r="E33" s="521">
        <v>175</v>
      </c>
      <c r="F33" s="518">
        <v>280</v>
      </c>
      <c r="G33" s="520"/>
    </row>
    <row r="34" spans="1:7" ht="30" customHeight="1">
      <c r="A34" s="497">
        <f t="shared" si="0"/>
        <v>26</v>
      </c>
      <c r="B34" s="498" t="s">
        <v>564</v>
      </c>
      <c r="C34" s="496" t="s">
        <v>600</v>
      </c>
      <c r="D34" s="514" t="s">
        <v>601</v>
      </c>
      <c r="E34" s="521">
        <v>405</v>
      </c>
      <c r="F34" s="518">
        <v>657</v>
      </c>
      <c r="G34" s="520"/>
    </row>
    <row r="35" spans="1:7" ht="30" customHeight="1">
      <c r="A35" s="497">
        <f t="shared" si="0"/>
        <v>27</v>
      </c>
      <c r="B35" s="498" t="s">
        <v>564</v>
      </c>
      <c r="C35" s="496" t="s">
        <v>571</v>
      </c>
      <c r="D35" s="514" t="s">
        <v>602</v>
      </c>
      <c r="E35" s="521">
        <f>12050-4650-2996-3050</f>
        <v>1354</v>
      </c>
      <c r="F35" s="518">
        <f>19545-7542-4860-4947</f>
        <v>2196</v>
      </c>
      <c r="G35" s="520"/>
    </row>
    <row r="36" spans="1:7" ht="30" customHeight="1">
      <c r="A36" s="497">
        <f t="shared" si="0"/>
        <v>28</v>
      </c>
      <c r="B36" s="498" t="s">
        <v>564</v>
      </c>
      <c r="C36" s="496" t="s">
        <v>571</v>
      </c>
      <c r="D36" s="496" t="s">
        <v>603</v>
      </c>
      <c r="E36" s="515">
        <v>1463</v>
      </c>
      <c r="F36" s="518">
        <v>2374</v>
      </c>
      <c r="G36" s="520"/>
    </row>
    <row r="37" spans="1:7" ht="30" customHeight="1">
      <c r="A37" s="497">
        <f t="shared" si="0"/>
        <v>29</v>
      </c>
      <c r="B37" s="498" t="s">
        <v>564</v>
      </c>
      <c r="C37" s="496" t="s">
        <v>571</v>
      </c>
      <c r="D37" s="496" t="s">
        <v>604</v>
      </c>
      <c r="E37" s="515">
        <f>412-300</f>
        <v>112</v>
      </c>
      <c r="F37" s="518">
        <f>668-487</f>
        <v>181</v>
      </c>
      <c r="G37" s="520"/>
    </row>
    <row r="38" spans="1:7" ht="30" customHeight="1">
      <c r="A38" s="497">
        <f t="shared" si="0"/>
        <v>30</v>
      </c>
      <c r="B38" s="498" t="s">
        <v>564</v>
      </c>
      <c r="C38" s="510" t="s">
        <v>562</v>
      </c>
      <c r="D38" s="496" t="s">
        <v>605</v>
      </c>
      <c r="E38" s="515">
        <f>3084-1680-1250</f>
        <v>154</v>
      </c>
      <c r="F38" s="518">
        <f>4999-2723-2026</f>
        <v>250</v>
      </c>
      <c r="G38" s="520"/>
    </row>
    <row r="39" spans="1:7" ht="30" customHeight="1">
      <c r="A39" s="497">
        <f t="shared" si="0"/>
        <v>31</v>
      </c>
      <c r="B39" s="498" t="s">
        <v>564</v>
      </c>
      <c r="C39" s="510" t="s">
        <v>562</v>
      </c>
      <c r="D39" s="496" t="s">
        <v>606</v>
      </c>
      <c r="E39" s="515">
        <v>139</v>
      </c>
      <c r="F39" s="518">
        <v>226</v>
      </c>
      <c r="G39" s="520"/>
    </row>
    <row r="40" spans="1:7" ht="30" customHeight="1">
      <c r="A40" s="497">
        <f t="shared" si="0"/>
        <v>32</v>
      </c>
      <c r="B40" s="498" t="s">
        <v>564</v>
      </c>
      <c r="C40" s="510" t="s">
        <v>562</v>
      </c>
      <c r="D40" s="496" t="s">
        <v>607</v>
      </c>
      <c r="E40" s="515">
        <f>19500-10285-8930</f>
        <v>285</v>
      </c>
      <c r="F40" s="518">
        <f>31610-16672-14475</f>
        <v>463</v>
      </c>
      <c r="G40" s="520"/>
    </row>
    <row r="41" spans="1:7" ht="30" customHeight="1">
      <c r="A41" s="497">
        <f t="shared" si="0"/>
        <v>33</v>
      </c>
      <c r="B41" s="498" t="s">
        <v>564</v>
      </c>
      <c r="C41" s="510" t="s">
        <v>562</v>
      </c>
      <c r="D41" s="496" t="s">
        <v>608</v>
      </c>
      <c r="E41" s="515">
        <f>3886-3070</f>
        <v>816</v>
      </c>
      <c r="F41" s="518">
        <f>6299-4976</f>
        <v>1323</v>
      </c>
      <c r="G41" s="520"/>
    </row>
    <row r="42" spans="1:7" ht="30" customHeight="1">
      <c r="A42" s="497">
        <f t="shared" si="0"/>
        <v>34</v>
      </c>
      <c r="B42" s="498" t="s">
        <v>564</v>
      </c>
      <c r="C42" s="510" t="s">
        <v>562</v>
      </c>
      <c r="D42" s="496" t="s">
        <v>756</v>
      </c>
      <c r="E42" s="515">
        <f>20560-1739-4435-829-2094-1750-3041-2980-1138-1266-139</f>
        <v>1149</v>
      </c>
      <c r="F42" s="518">
        <f>33328-2819-7189-1344-3394-2837-4929-4831-1845-2052-226</f>
        <v>1862</v>
      </c>
      <c r="G42" s="520"/>
    </row>
    <row r="43" spans="1:7" ht="30" customHeight="1">
      <c r="A43" s="497">
        <f t="shared" si="0"/>
        <v>35</v>
      </c>
      <c r="B43" s="498" t="s">
        <v>564</v>
      </c>
      <c r="C43" s="510" t="s">
        <v>562</v>
      </c>
      <c r="D43" s="496" t="s">
        <v>759</v>
      </c>
      <c r="E43" s="515">
        <f>20560-12495-1818-5980</f>
        <v>267</v>
      </c>
      <c r="F43" s="518">
        <f>33328-20254-2947-9694</f>
        <v>433</v>
      </c>
      <c r="G43" s="520"/>
    </row>
    <row r="44" spans="1:7" ht="30" customHeight="1">
      <c r="A44" s="497">
        <f t="shared" si="0"/>
        <v>36</v>
      </c>
      <c r="B44" s="498" t="s">
        <v>564</v>
      </c>
      <c r="C44" s="496" t="s">
        <v>571</v>
      </c>
      <c r="D44" s="496" t="s">
        <v>760</v>
      </c>
      <c r="E44" s="515">
        <f>20560-5280-1315-3648-1260-7824</f>
        <v>1233</v>
      </c>
      <c r="F44" s="518">
        <f>33348-8564-2133-5917-2044-12690</f>
        <v>2000</v>
      </c>
      <c r="G44" s="520"/>
    </row>
    <row r="45" spans="1:7" ht="30" customHeight="1">
      <c r="A45" s="497">
        <f t="shared" si="0"/>
        <v>37</v>
      </c>
      <c r="B45" s="498" t="s">
        <v>564</v>
      </c>
      <c r="C45" s="496"/>
      <c r="D45" s="496"/>
      <c r="E45" s="515"/>
      <c r="F45" s="518"/>
      <c r="G45" s="520"/>
    </row>
    <row r="46" spans="1:7" ht="30" customHeight="1">
      <c r="A46" s="497">
        <f t="shared" si="0"/>
        <v>38</v>
      </c>
      <c r="B46" s="498" t="s">
        <v>564</v>
      </c>
      <c r="C46" s="496"/>
      <c r="D46" s="496"/>
      <c r="E46" s="515"/>
      <c r="F46" s="518"/>
      <c r="G46" s="520"/>
    </row>
    <row r="47" spans="1:7" ht="30" customHeight="1">
      <c r="A47" s="497">
        <f t="shared" si="0"/>
        <v>39</v>
      </c>
      <c r="B47" s="498" t="s">
        <v>564</v>
      </c>
      <c r="C47" s="496"/>
      <c r="D47" s="496"/>
      <c r="E47" s="515"/>
      <c r="F47" s="518"/>
      <c r="G47" s="520"/>
    </row>
    <row r="48" spans="1:7" ht="30" customHeight="1">
      <c r="A48" s="497">
        <f t="shared" si="0"/>
        <v>40</v>
      </c>
      <c r="B48" s="498" t="s">
        <v>564</v>
      </c>
      <c r="C48" s="496"/>
      <c r="D48" s="504"/>
      <c r="E48" s="515"/>
      <c r="F48" s="518"/>
      <c r="G48" s="520"/>
    </row>
    <row r="49" spans="1:7" ht="30" customHeight="1">
      <c r="A49" s="497">
        <f t="shared" si="0"/>
        <v>41</v>
      </c>
      <c r="B49" s="498" t="s">
        <v>564</v>
      </c>
      <c r="C49" s="496"/>
      <c r="D49" s="496"/>
      <c r="E49" s="515"/>
      <c r="F49" s="518"/>
      <c r="G49" s="520"/>
    </row>
    <row r="50" spans="1:7" ht="30" customHeight="1">
      <c r="A50" s="497">
        <f t="shared" si="0"/>
        <v>42</v>
      </c>
      <c r="B50" s="498" t="s">
        <v>564</v>
      </c>
      <c r="C50" s="496"/>
      <c r="D50" s="504"/>
      <c r="E50" s="515"/>
      <c r="F50" s="518"/>
      <c r="G50" s="520"/>
    </row>
    <row r="51" spans="1:7" ht="30" customHeight="1" thickBot="1">
      <c r="A51" s="482"/>
      <c r="B51" s="522"/>
      <c r="C51" s="482"/>
      <c r="D51" s="523"/>
      <c r="E51" s="524">
        <f>SUM(E9:E50)</f>
        <v>19097</v>
      </c>
      <c r="F51" s="525">
        <f>SUM(F9:F50)</f>
        <v>30849</v>
      </c>
      <c r="G51" s="520"/>
    </row>
    <row r="52" spans="1:7" ht="30" customHeight="1">
      <c r="A52" s="526" t="s">
        <v>609</v>
      </c>
      <c r="B52" s="527" t="s">
        <v>564</v>
      </c>
      <c r="C52" s="499" t="s">
        <v>610</v>
      </c>
      <c r="D52" s="499" t="s">
        <v>611</v>
      </c>
      <c r="E52" s="528">
        <v>1043</v>
      </c>
      <c r="F52" s="495">
        <v>865</v>
      </c>
      <c r="G52" s="520"/>
    </row>
    <row r="53" spans="1:7" ht="30" customHeight="1">
      <c r="A53" s="529">
        <v>1</v>
      </c>
      <c r="B53" s="530" t="s">
        <v>564</v>
      </c>
      <c r="C53" s="493" t="s">
        <v>612</v>
      </c>
      <c r="D53" s="493" t="s">
        <v>613</v>
      </c>
      <c r="E53" s="500">
        <v>932</v>
      </c>
      <c r="F53" s="501">
        <v>755</v>
      </c>
      <c r="G53" s="520"/>
    </row>
    <row r="54" spans="1:7" ht="30" customHeight="1">
      <c r="A54" s="496">
        <v>2</v>
      </c>
      <c r="B54" s="527" t="s">
        <v>564</v>
      </c>
      <c r="C54" s="499" t="s">
        <v>614</v>
      </c>
      <c r="D54" s="499" t="s">
        <v>615</v>
      </c>
      <c r="E54" s="500">
        <v>287</v>
      </c>
      <c r="F54" s="501">
        <v>238</v>
      </c>
      <c r="G54" s="520"/>
    </row>
    <row r="55" spans="1:7" ht="30" customHeight="1">
      <c r="A55" s="529">
        <v>3</v>
      </c>
      <c r="B55" s="527" t="s">
        <v>564</v>
      </c>
      <c r="C55" s="499" t="s">
        <v>612</v>
      </c>
      <c r="D55" s="499" t="s">
        <v>616</v>
      </c>
      <c r="E55" s="500">
        <v>1314</v>
      </c>
      <c r="F55" s="501">
        <v>1091</v>
      </c>
      <c r="G55" s="520"/>
    </row>
    <row r="56" spans="1:7" ht="30" customHeight="1">
      <c r="A56" s="496">
        <v>4</v>
      </c>
      <c r="B56" s="527" t="s">
        <v>564</v>
      </c>
      <c r="C56" s="499" t="s">
        <v>612</v>
      </c>
      <c r="D56" s="499" t="s">
        <v>617</v>
      </c>
      <c r="E56" s="500">
        <v>254</v>
      </c>
      <c r="F56" s="501">
        <v>210</v>
      </c>
      <c r="G56" s="520"/>
    </row>
    <row r="57" spans="1:7" ht="30" customHeight="1">
      <c r="A57" s="529">
        <v>5</v>
      </c>
      <c r="B57" s="527" t="s">
        <v>564</v>
      </c>
      <c r="C57" s="499" t="s">
        <v>612</v>
      </c>
      <c r="D57" s="499" t="s">
        <v>618</v>
      </c>
      <c r="E57" s="500">
        <v>301</v>
      </c>
      <c r="F57" s="501">
        <v>249</v>
      </c>
      <c r="G57" s="520"/>
    </row>
    <row r="58" spans="1:7" ht="30" customHeight="1">
      <c r="A58" s="496">
        <v>6</v>
      </c>
      <c r="B58" s="498" t="s">
        <v>564</v>
      </c>
      <c r="C58" s="496" t="s">
        <v>619</v>
      </c>
      <c r="D58" s="531" t="s">
        <v>620</v>
      </c>
      <c r="E58" s="515">
        <v>733</v>
      </c>
      <c r="F58" s="518">
        <v>611</v>
      </c>
      <c r="G58" s="520"/>
    </row>
    <row r="59" spans="1:7" ht="30" customHeight="1">
      <c r="A59" s="529">
        <v>9</v>
      </c>
      <c r="B59" s="498" t="s">
        <v>564</v>
      </c>
      <c r="C59" s="496" t="s">
        <v>619</v>
      </c>
      <c r="D59" s="531" t="s">
        <v>621</v>
      </c>
      <c r="E59" s="515">
        <v>376</v>
      </c>
      <c r="F59" s="518">
        <v>315</v>
      </c>
      <c r="G59" s="520"/>
    </row>
    <row r="60" spans="1:7" ht="30" customHeight="1">
      <c r="A60" s="496">
        <v>10</v>
      </c>
      <c r="B60" s="498" t="s">
        <v>564</v>
      </c>
      <c r="C60" s="496" t="s">
        <v>619</v>
      </c>
      <c r="D60" s="531" t="s">
        <v>622</v>
      </c>
      <c r="E60" s="532">
        <v>856</v>
      </c>
      <c r="F60" s="533">
        <v>715</v>
      </c>
      <c r="G60" s="520"/>
    </row>
    <row r="61" spans="1:7" ht="30" customHeight="1">
      <c r="A61" s="529">
        <v>11</v>
      </c>
      <c r="B61" s="498" t="s">
        <v>564</v>
      </c>
      <c r="C61" s="496" t="s">
        <v>623</v>
      </c>
      <c r="D61" s="531" t="s">
        <v>624</v>
      </c>
      <c r="E61" s="532">
        <v>510</v>
      </c>
      <c r="F61" s="518">
        <v>443</v>
      </c>
      <c r="G61" s="520"/>
    </row>
    <row r="62" spans="1:7" ht="30" customHeight="1">
      <c r="A62" s="496">
        <v>12</v>
      </c>
      <c r="B62" s="498" t="s">
        <v>564</v>
      </c>
      <c r="C62" s="496" t="s">
        <v>610</v>
      </c>
      <c r="D62" s="531" t="s">
        <v>625</v>
      </c>
      <c r="E62" s="532">
        <v>541</v>
      </c>
      <c r="F62" s="533">
        <v>449</v>
      </c>
      <c r="G62" s="534"/>
    </row>
    <row r="63" spans="1:7" ht="30" customHeight="1">
      <c r="A63" s="529">
        <v>13</v>
      </c>
      <c r="B63" s="498" t="s">
        <v>564</v>
      </c>
      <c r="C63" s="496" t="s">
        <v>610</v>
      </c>
      <c r="D63" s="531" t="s">
        <v>626</v>
      </c>
      <c r="E63" s="532">
        <v>129</v>
      </c>
      <c r="F63" s="533">
        <v>107</v>
      </c>
      <c r="G63" s="534"/>
    </row>
    <row r="64" spans="1:7" ht="30" customHeight="1">
      <c r="A64" s="496">
        <v>14</v>
      </c>
      <c r="B64" s="498" t="s">
        <v>564</v>
      </c>
      <c r="C64" s="496" t="s">
        <v>619</v>
      </c>
      <c r="D64" s="531" t="s">
        <v>627</v>
      </c>
      <c r="E64" s="532">
        <v>278</v>
      </c>
      <c r="F64" s="533">
        <v>233</v>
      </c>
      <c r="G64" s="534"/>
    </row>
    <row r="65" spans="1:7" ht="30" customHeight="1">
      <c r="A65" s="529">
        <v>15</v>
      </c>
      <c r="B65" s="498" t="s">
        <v>564</v>
      </c>
      <c r="C65" s="496" t="s">
        <v>619</v>
      </c>
      <c r="D65" s="531" t="s">
        <v>628</v>
      </c>
      <c r="E65" s="532">
        <v>700</v>
      </c>
      <c r="F65" s="533">
        <v>560</v>
      </c>
      <c r="G65" s="534"/>
    </row>
    <row r="66" spans="1:7" ht="30" customHeight="1">
      <c r="A66" s="496">
        <v>16</v>
      </c>
      <c r="B66" s="498" t="s">
        <v>564</v>
      </c>
      <c r="C66" s="496" t="s">
        <v>619</v>
      </c>
      <c r="D66" s="531" t="s">
        <v>629</v>
      </c>
      <c r="E66" s="532">
        <v>400</v>
      </c>
      <c r="F66" s="533">
        <v>334</v>
      </c>
      <c r="G66" s="534"/>
    </row>
    <row r="67" spans="1:7" ht="30" customHeight="1">
      <c r="A67" s="529">
        <v>17</v>
      </c>
      <c r="B67" s="498" t="s">
        <v>564</v>
      </c>
      <c r="C67" s="496" t="s">
        <v>610</v>
      </c>
      <c r="D67" s="504" t="s">
        <v>630</v>
      </c>
      <c r="E67" s="515">
        <v>360</v>
      </c>
      <c r="F67" s="518">
        <v>298</v>
      </c>
      <c r="G67" s="534"/>
    </row>
    <row r="68" spans="1:7" ht="30" customHeight="1">
      <c r="A68" s="496">
        <v>18</v>
      </c>
      <c r="B68" s="498" t="s">
        <v>564</v>
      </c>
      <c r="C68" s="496" t="s">
        <v>610</v>
      </c>
      <c r="D68" s="504" t="s">
        <v>631</v>
      </c>
      <c r="E68" s="515">
        <v>310</v>
      </c>
      <c r="F68" s="518">
        <v>258</v>
      </c>
      <c r="G68" s="535"/>
    </row>
    <row r="69" spans="1:7" ht="30" customHeight="1">
      <c r="A69" s="496">
        <v>19</v>
      </c>
      <c r="B69" s="498" t="s">
        <v>564</v>
      </c>
      <c r="C69" s="496" t="s">
        <v>610</v>
      </c>
      <c r="D69" s="504" t="s">
        <v>632</v>
      </c>
      <c r="E69" s="515">
        <v>176</v>
      </c>
      <c r="F69" s="518">
        <v>146</v>
      </c>
      <c r="G69" s="535"/>
    </row>
    <row r="70" spans="1:7" ht="30" customHeight="1">
      <c r="A70" s="529">
        <v>21</v>
      </c>
      <c r="B70" s="498" t="s">
        <v>564</v>
      </c>
      <c r="C70" s="496" t="s">
        <v>614</v>
      </c>
      <c r="D70" s="504" t="s">
        <v>633</v>
      </c>
      <c r="E70" s="515">
        <v>151</v>
      </c>
      <c r="F70" s="516">
        <v>126</v>
      </c>
      <c r="G70" s="496"/>
    </row>
    <row r="71" spans="1:7" ht="30" customHeight="1">
      <c r="A71" s="496">
        <f>+A70+1</f>
        <v>22</v>
      </c>
      <c r="B71" s="498" t="s">
        <v>564</v>
      </c>
      <c r="C71" s="496" t="s">
        <v>619</v>
      </c>
      <c r="D71" s="504" t="s">
        <v>634</v>
      </c>
      <c r="E71" s="515">
        <v>123</v>
      </c>
      <c r="F71" s="516">
        <v>103</v>
      </c>
      <c r="G71" s="510"/>
    </row>
    <row r="72" spans="1:7" ht="30" customHeight="1">
      <c r="A72" s="496">
        <f t="shared" ref="A72:A102" si="1">+A71+1</f>
        <v>23</v>
      </c>
      <c r="B72" s="498" t="s">
        <v>564</v>
      </c>
      <c r="C72" s="496" t="s">
        <v>619</v>
      </c>
      <c r="D72" s="504" t="s">
        <v>635</v>
      </c>
      <c r="E72" s="536">
        <v>165</v>
      </c>
      <c r="F72" s="516">
        <v>138</v>
      </c>
      <c r="G72" s="510"/>
    </row>
    <row r="73" spans="1:7" ht="30" customHeight="1">
      <c r="A73" s="496">
        <f t="shared" si="1"/>
        <v>24</v>
      </c>
      <c r="B73" s="498" t="s">
        <v>564</v>
      </c>
      <c r="C73" s="496" t="s">
        <v>614</v>
      </c>
      <c r="D73" s="504" t="s">
        <v>636</v>
      </c>
      <c r="E73" s="515">
        <v>488</v>
      </c>
      <c r="F73" s="516">
        <v>408</v>
      </c>
      <c r="G73" s="510"/>
    </row>
    <row r="74" spans="1:7" ht="30" customHeight="1">
      <c r="A74" s="496">
        <f t="shared" si="1"/>
        <v>25</v>
      </c>
      <c r="B74" s="498" t="s">
        <v>564</v>
      </c>
      <c r="C74" s="496" t="s">
        <v>614</v>
      </c>
      <c r="D74" s="504" t="s">
        <v>637</v>
      </c>
      <c r="E74" s="515">
        <v>2025</v>
      </c>
      <c r="F74" s="516">
        <v>1693</v>
      </c>
      <c r="G74" s="510"/>
    </row>
    <row r="75" spans="1:7" ht="30" customHeight="1">
      <c r="A75" s="496">
        <f t="shared" si="1"/>
        <v>26</v>
      </c>
      <c r="B75" s="498" t="s">
        <v>564</v>
      </c>
      <c r="C75" s="496" t="s">
        <v>610</v>
      </c>
      <c r="D75" s="504" t="s">
        <v>638</v>
      </c>
      <c r="E75" s="515">
        <v>266</v>
      </c>
      <c r="F75" s="516">
        <v>221</v>
      </c>
      <c r="G75" s="518"/>
    </row>
    <row r="76" spans="1:7" ht="30" customHeight="1">
      <c r="A76" s="496">
        <f t="shared" si="1"/>
        <v>27</v>
      </c>
      <c r="B76" s="498" t="s">
        <v>564</v>
      </c>
      <c r="C76" s="496" t="s">
        <v>623</v>
      </c>
      <c r="D76" s="504" t="s">
        <v>639</v>
      </c>
      <c r="E76" s="515">
        <v>502</v>
      </c>
      <c r="F76" s="516">
        <v>437</v>
      </c>
      <c r="G76" s="514"/>
    </row>
    <row r="77" spans="1:7" ht="30" customHeight="1">
      <c r="A77" s="496">
        <f t="shared" si="1"/>
        <v>28</v>
      </c>
      <c r="B77" s="498" t="s">
        <v>564</v>
      </c>
      <c r="C77" s="496" t="s">
        <v>610</v>
      </c>
      <c r="D77" s="504" t="s">
        <v>640</v>
      </c>
      <c r="E77" s="515">
        <v>737</v>
      </c>
      <c r="F77" s="516">
        <v>612</v>
      </c>
      <c r="G77" s="537"/>
    </row>
    <row r="78" spans="1:7" ht="30" customHeight="1">
      <c r="A78" s="496">
        <f t="shared" si="1"/>
        <v>29</v>
      </c>
      <c r="B78" s="498" t="s">
        <v>564</v>
      </c>
      <c r="C78" s="496" t="s">
        <v>610</v>
      </c>
      <c r="D78" s="504" t="s">
        <v>641</v>
      </c>
      <c r="E78" s="515">
        <v>569</v>
      </c>
      <c r="F78" s="516">
        <v>473</v>
      </c>
      <c r="G78" s="538"/>
    </row>
    <row r="79" spans="1:7" ht="30" customHeight="1">
      <c r="A79" s="496">
        <f t="shared" si="1"/>
        <v>30</v>
      </c>
      <c r="B79" s="498" t="s">
        <v>564</v>
      </c>
      <c r="C79" s="496" t="s">
        <v>610</v>
      </c>
      <c r="D79" s="539" t="s">
        <v>642</v>
      </c>
      <c r="E79" s="519">
        <v>236</v>
      </c>
      <c r="F79" s="540">
        <v>195</v>
      </c>
      <c r="G79" s="541"/>
    </row>
    <row r="80" spans="1:7" ht="30" customHeight="1">
      <c r="A80" s="496">
        <f t="shared" si="1"/>
        <v>31</v>
      </c>
      <c r="B80" s="498" t="s">
        <v>564</v>
      </c>
      <c r="C80" s="496" t="s">
        <v>610</v>
      </c>
      <c r="D80" s="539" t="s">
        <v>643</v>
      </c>
      <c r="E80" s="519">
        <v>505</v>
      </c>
      <c r="F80" s="540">
        <v>419</v>
      </c>
      <c r="G80" s="542"/>
    </row>
    <row r="81" spans="1:7" ht="30" customHeight="1">
      <c r="A81" s="496">
        <f t="shared" si="1"/>
        <v>32</v>
      </c>
      <c r="B81" s="498" t="s">
        <v>564</v>
      </c>
      <c r="C81" s="496" t="s">
        <v>610</v>
      </c>
      <c r="D81" s="539" t="s">
        <v>644</v>
      </c>
      <c r="E81" s="519">
        <v>178</v>
      </c>
      <c r="F81" s="540">
        <v>148</v>
      </c>
      <c r="G81" s="542"/>
    </row>
    <row r="82" spans="1:7" ht="30" customHeight="1">
      <c r="A82" s="496">
        <f t="shared" si="1"/>
        <v>33</v>
      </c>
      <c r="B82" s="498" t="s">
        <v>564</v>
      </c>
      <c r="C82" s="496" t="s">
        <v>623</v>
      </c>
      <c r="D82" s="539" t="s">
        <v>645</v>
      </c>
      <c r="E82" s="515">
        <v>80</v>
      </c>
      <c r="F82" s="518">
        <v>70</v>
      </c>
      <c r="G82" s="538"/>
    </row>
    <row r="83" spans="1:7" ht="30" customHeight="1">
      <c r="A83" s="496">
        <f t="shared" si="1"/>
        <v>34</v>
      </c>
      <c r="B83" s="498" t="s">
        <v>564</v>
      </c>
      <c r="C83" s="496" t="s">
        <v>610</v>
      </c>
      <c r="D83" s="539" t="s">
        <v>646</v>
      </c>
      <c r="E83" s="515">
        <v>207</v>
      </c>
      <c r="F83" s="518">
        <v>172</v>
      </c>
      <c r="G83" s="538"/>
    </row>
    <row r="84" spans="1:7" ht="30" customHeight="1">
      <c r="A84" s="496">
        <f t="shared" si="1"/>
        <v>35</v>
      </c>
      <c r="B84" s="498" t="s">
        <v>564</v>
      </c>
      <c r="C84" s="496" t="s">
        <v>647</v>
      </c>
      <c r="D84" s="539" t="s">
        <v>648</v>
      </c>
      <c r="E84" s="515">
        <v>305</v>
      </c>
      <c r="F84" s="518">
        <v>217</v>
      </c>
      <c r="G84" s="538"/>
    </row>
    <row r="85" spans="1:7" ht="30" customHeight="1">
      <c r="A85" s="496">
        <f t="shared" si="1"/>
        <v>36</v>
      </c>
      <c r="B85" s="498" t="s">
        <v>564</v>
      </c>
      <c r="C85" s="496" t="s">
        <v>647</v>
      </c>
      <c r="D85" s="539" t="s">
        <v>649</v>
      </c>
      <c r="E85" s="515">
        <v>184</v>
      </c>
      <c r="F85" s="518">
        <v>131</v>
      </c>
      <c r="G85" s="538"/>
    </row>
    <row r="86" spans="1:7" ht="30" customHeight="1">
      <c r="A86" s="496">
        <f t="shared" si="1"/>
        <v>37</v>
      </c>
      <c r="B86" s="498" t="s">
        <v>564</v>
      </c>
      <c r="C86" s="496" t="s">
        <v>647</v>
      </c>
      <c r="D86" s="539" t="s">
        <v>650</v>
      </c>
      <c r="E86" s="515">
        <v>160</v>
      </c>
      <c r="F86" s="518">
        <v>114</v>
      </c>
      <c r="G86" s="538"/>
    </row>
    <row r="87" spans="1:7" ht="30" customHeight="1">
      <c r="A87" s="496">
        <f t="shared" si="1"/>
        <v>38</v>
      </c>
      <c r="B87" s="498" t="s">
        <v>564</v>
      </c>
      <c r="C87" s="496" t="s">
        <v>647</v>
      </c>
      <c r="D87" s="539" t="s">
        <v>651</v>
      </c>
      <c r="E87" s="515">
        <v>150</v>
      </c>
      <c r="F87" s="518">
        <v>106</v>
      </c>
      <c r="G87" s="538"/>
    </row>
    <row r="88" spans="1:7" ht="30" customHeight="1">
      <c r="A88" s="496">
        <f t="shared" si="1"/>
        <v>39</v>
      </c>
      <c r="B88" s="498" t="s">
        <v>564</v>
      </c>
      <c r="C88" s="496" t="s">
        <v>647</v>
      </c>
      <c r="D88" s="539" t="s">
        <v>652</v>
      </c>
      <c r="E88" s="515">
        <f>6744-3130-3462</f>
        <v>152</v>
      </c>
      <c r="F88" s="518">
        <f>4795-2225-2461</f>
        <v>109</v>
      </c>
      <c r="G88" s="538"/>
    </row>
    <row r="89" spans="1:7" ht="30" customHeight="1">
      <c r="A89" s="496">
        <f t="shared" si="1"/>
        <v>40</v>
      </c>
      <c r="B89" s="498" t="s">
        <v>564</v>
      </c>
      <c r="C89" s="496" t="s">
        <v>647</v>
      </c>
      <c r="D89" s="539" t="s">
        <v>653</v>
      </c>
      <c r="E89" s="515">
        <f>5092-3768-611</f>
        <v>713</v>
      </c>
      <c r="F89" s="518">
        <f>3620-2679-434</f>
        <v>507</v>
      </c>
      <c r="G89" s="538"/>
    </row>
    <row r="90" spans="1:7" ht="30" customHeight="1">
      <c r="A90" s="496">
        <f t="shared" si="1"/>
        <v>41</v>
      </c>
      <c r="B90" s="498" t="s">
        <v>564</v>
      </c>
      <c r="C90" s="496" t="s">
        <v>647</v>
      </c>
      <c r="D90" s="539" t="s">
        <v>654</v>
      </c>
      <c r="E90" s="515">
        <f>1224-1049</f>
        <v>175</v>
      </c>
      <c r="F90" s="518">
        <f>870-746</f>
        <v>124</v>
      </c>
      <c r="G90" s="538"/>
    </row>
    <row r="91" spans="1:7" ht="30" customHeight="1">
      <c r="A91" s="496">
        <f t="shared" si="1"/>
        <v>42</v>
      </c>
      <c r="B91" s="498" t="s">
        <v>564</v>
      </c>
      <c r="C91" s="496" t="s">
        <v>610</v>
      </c>
      <c r="D91" s="539" t="s">
        <v>655</v>
      </c>
      <c r="E91" s="515">
        <f>425-152</f>
        <v>273</v>
      </c>
      <c r="F91" s="518">
        <f>355-127</f>
        <v>228</v>
      </c>
      <c r="G91" s="538"/>
    </row>
    <row r="92" spans="1:7" ht="30" customHeight="1">
      <c r="A92" s="496">
        <f t="shared" si="1"/>
        <v>43</v>
      </c>
      <c r="B92" s="498" t="s">
        <v>564</v>
      </c>
      <c r="C92" s="496" t="s">
        <v>610</v>
      </c>
      <c r="D92" s="539" t="s">
        <v>656</v>
      </c>
      <c r="E92" s="515">
        <v>150</v>
      </c>
      <c r="F92" s="518">
        <v>125</v>
      </c>
      <c r="G92" s="538"/>
    </row>
    <row r="93" spans="1:7" ht="30" customHeight="1">
      <c r="A93" s="496">
        <f t="shared" si="1"/>
        <v>44</v>
      </c>
      <c r="B93" s="498" t="s">
        <v>564</v>
      </c>
      <c r="C93" s="496" t="s">
        <v>610</v>
      </c>
      <c r="D93" s="539" t="s">
        <v>657</v>
      </c>
      <c r="E93" s="515">
        <f>12627-5454-2962</f>
        <v>4211</v>
      </c>
      <c r="F93" s="518">
        <f>10544-7059-2473</f>
        <v>1012</v>
      </c>
      <c r="G93" s="538"/>
    </row>
    <row r="94" spans="1:7" ht="30" customHeight="1">
      <c r="A94" s="496">
        <f t="shared" si="1"/>
        <v>45</v>
      </c>
      <c r="B94" s="498" t="s">
        <v>564</v>
      </c>
      <c r="C94" s="496" t="s">
        <v>610</v>
      </c>
      <c r="D94" s="539" t="s">
        <v>658</v>
      </c>
      <c r="E94" s="515">
        <f>5057-1030-3597</f>
        <v>430</v>
      </c>
      <c r="F94" s="518">
        <f>4223-860-3003</f>
        <v>360</v>
      </c>
      <c r="G94" s="538"/>
    </row>
    <row r="95" spans="1:7" ht="30" customHeight="1">
      <c r="A95" s="496">
        <f t="shared" si="1"/>
        <v>46</v>
      </c>
      <c r="B95" s="498" t="s">
        <v>564</v>
      </c>
      <c r="C95" s="496" t="s">
        <v>623</v>
      </c>
      <c r="D95" s="539" t="s">
        <v>659</v>
      </c>
      <c r="E95" s="515">
        <f>10100-2000-3804-3850-285</f>
        <v>161</v>
      </c>
      <c r="F95" s="518">
        <f>8787-1740-3309-3350-248</f>
        <v>140</v>
      </c>
      <c r="G95" s="538"/>
    </row>
    <row r="96" spans="1:7" ht="30" customHeight="1">
      <c r="A96" s="496">
        <f t="shared" si="1"/>
        <v>47</v>
      </c>
      <c r="B96" s="498" t="s">
        <v>564</v>
      </c>
      <c r="C96" s="496" t="s">
        <v>610</v>
      </c>
      <c r="D96" s="539" t="s">
        <v>660</v>
      </c>
      <c r="E96" s="515">
        <f>9030-6345-1757</f>
        <v>928</v>
      </c>
      <c r="F96" s="518">
        <f>7540-5298-1467</f>
        <v>775</v>
      </c>
      <c r="G96" s="538"/>
    </row>
    <row r="97" spans="1:7" ht="30" customHeight="1">
      <c r="A97" s="496">
        <f t="shared" si="1"/>
        <v>48</v>
      </c>
      <c r="B97" s="498" t="s">
        <v>564</v>
      </c>
      <c r="C97" s="496" t="s">
        <v>612</v>
      </c>
      <c r="D97" s="539" t="s">
        <v>761</v>
      </c>
      <c r="E97" s="515">
        <f>11810-10816-619</f>
        <v>375</v>
      </c>
      <c r="F97" s="518">
        <f>9861-9031-517</f>
        <v>313</v>
      </c>
      <c r="G97" s="538"/>
    </row>
    <row r="98" spans="1:7" ht="30" customHeight="1">
      <c r="A98" s="496">
        <f t="shared" si="1"/>
        <v>49</v>
      </c>
      <c r="B98" s="498" t="s">
        <v>564</v>
      </c>
      <c r="C98" s="496" t="s">
        <v>647</v>
      </c>
      <c r="D98" s="539" t="s">
        <v>762</v>
      </c>
      <c r="E98" s="515">
        <v>50</v>
      </c>
      <c r="F98" s="518">
        <v>36</v>
      </c>
      <c r="G98" s="538"/>
    </row>
    <row r="99" spans="1:7" ht="30" customHeight="1">
      <c r="A99" s="496">
        <f t="shared" si="1"/>
        <v>50</v>
      </c>
      <c r="B99" s="498" t="s">
        <v>564</v>
      </c>
      <c r="C99" s="496" t="s">
        <v>612</v>
      </c>
      <c r="D99" s="539" t="s">
        <v>765</v>
      </c>
      <c r="E99" s="515">
        <f>16115-5538-4545</f>
        <v>6032</v>
      </c>
      <c r="F99" s="518">
        <f>13456-4624-3795</f>
        <v>5037</v>
      </c>
      <c r="G99" s="538"/>
    </row>
    <row r="100" spans="1:7" ht="30" customHeight="1">
      <c r="A100" s="496">
        <f t="shared" si="1"/>
        <v>51</v>
      </c>
      <c r="B100" s="498" t="s">
        <v>564</v>
      </c>
      <c r="C100" s="496" t="s">
        <v>612</v>
      </c>
      <c r="D100" s="539" t="s">
        <v>771</v>
      </c>
      <c r="E100" s="515">
        <f>12080-3018-5084-3117-383</f>
        <v>478</v>
      </c>
      <c r="F100" s="518">
        <f>10087-2520-4245-2603-313</f>
        <v>406</v>
      </c>
      <c r="G100" s="538"/>
    </row>
    <row r="101" spans="1:7" ht="30" customHeight="1">
      <c r="A101" s="496">
        <f t="shared" si="1"/>
        <v>52</v>
      </c>
      <c r="B101" s="498" t="s">
        <v>564</v>
      </c>
      <c r="C101" s="496" t="s">
        <v>647</v>
      </c>
      <c r="D101" s="539" t="s">
        <v>772</v>
      </c>
      <c r="E101" s="515">
        <f>7080-2500-535-226-2118-587</f>
        <v>1114</v>
      </c>
      <c r="F101" s="518">
        <f>5034-1778-380-161-1506-417</f>
        <v>792</v>
      </c>
      <c r="G101" s="538"/>
    </row>
    <row r="102" spans="1:7" ht="30" customHeight="1">
      <c r="A102" s="496">
        <f t="shared" si="1"/>
        <v>53</v>
      </c>
      <c r="B102" s="498" t="s">
        <v>564</v>
      </c>
      <c r="C102" s="496" t="s">
        <v>610</v>
      </c>
      <c r="D102" s="539" t="s">
        <v>795</v>
      </c>
      <c r="E102" s="515">
        <v>1758</v>
      </c>
      <c r="F102" s="518">
        <v>1468</v>
      </c>
      <c r="G102" s="538"/>
    </row>
    <row r="103" spans="1:7" ht="30" customHeight="1">
      <c r="A103" s="496">
        <f>+A98+1</f>
        <v>50</v>
      </c>
      <c r="B103" s="498" t="s">
        <v>564</v>
      </c>
      <c r="C103" s="496" t="s">
        <v>612</v>
      </c>
      <c r="D103" s="539" t="s">
        <v>796</v>
      </c>
      <c r="E103" s="515">
        <f>2545-2147</f>
        <v>398</v>
      </c>
      <c r="F103" s="518">
        <f>2125-1801</f>
        <v>324</v>
      </c>
      <c r="G103" s="538"/>
    </row>
    <row r="104" spans="1:7" ht="30" customHeight="1">
      <c r="A104" s="496">
        <f t="shared" ref="A104:A113" si="2">+A99+1</f>
        <v>51</v>
      </c>
      <c r="B104" s="498" t="s">
        <v>564</v>
      </c>
      <c r="C104" s="496" t="s">
        <v>612</v>
      </c>
      <c r="D104" s="539" t="s">
        <v>797</v>
      </c>
      <c r="E104" s="515">
        <f>5260-2925</f>
        <v>2335</v>
      </c>
      <c r="F104" s="518">
        <f>4392-2442</f>
        <v>1950</v>
      </c>
      <c r="G104" s="538"/>
    </row>
    <row r="105" spans="1:7" ht="30" customHeight="1">
      <c r="A105" s="496">
        <f t="shared" si="2"/>
        <v>52</v>
      </c>
      <c r="B105" s="498" t="s">
        <v>564</v>
      </c>
      <c r="C105" s="496" t="s">
        <v>612</v>
      </c>
      <c r="D105" s="539" t="s">
        <v>798</v>
      </c>
      <c r="E105" s="515">
        <v>1140</v>
      </c>
      <c r="F105" s="518">
        <v>952</v>
      </c>
      <c r="G105" s="538"/>
    </row>
    <row r="106" spans="1:7" ht="30" customHeight="1">
      <c r="A106" s="496">
        <f t="shared" si="2"/>
        <v>53</v>
      </c>
      <c r="B106" s="498" t="s">
        <v>564</v>
      </c>
      <c r="C106" s="496" t="s">
        <v>619</v>
      </c>
      <c r="D106" s="539" t="s">
        <v>798</v>
      </c>
      <c r="E106" s="515">
        <v>3345</v>
      </c>
      <c r="F106" s="518">
        <v>2793</v>
      </c>
      <c r="G106" s="538"/>
    </row>
    <row r="107" spans="1:7" ht="30" customHeight="1">
      <c r="A107" s="496">
        <f t="shared" si="2"/>
        <v>54</v>
      </c>
      <c r="B107" s="498" t="s">
        <v>564</v>
      </c>
      <c r="C107" s="496" t="s">
        <v>647</v>
      </c>
      <c r="D107" s="539" t="s">
        <v>799</v>
      </c>
      <c r="E107" s="515">
        <f>4045-2895</f>
        <v>1150</v>
      </c>
      <c r="F107" s="518">
        <f>2876-2058</f>
        <v>818</v>
      </c>
      <c r="G107" s="538"/>
    </row>
    <row r="108" spans="1:7" ht="30" customHeight="1">
      <c r="A108" s="496">
        <f t="shared" si="2"/>
        <v>51</v>
      </c>
      <c r="B108" s="498" t="s">
        <v>564</v>
      </c>
      <c r="C108" s="496" t="s">
        <v>647</v>
      </c>
      <c r="D108" s="539" t="s">
        <v>800</v>
      </c>
      <c r="E108" s="515">
        <v>1133</v>
      </c>
      <c r="F108" s="518">
        <v>806</v>
      </c>
      <c r="G108" s="538"/>
    </row>
    <row r="109" spans="1:7" ht="30" customHeight="1">
      <c r="A109" s="496">
        <f t="shared" si="2"/>
        <v>52</v>
      </c>
      <c r="B109" s="498" t="s">
        <v>564</v>
      </c>
      <c r="C109" s="496" t="s">
        <v>647</v>
      </c>
      <c r="D109" s="539" t="s">
        <v>801</v>
      </c>
      <c r="E109" s="515">
        <v>850</v>
      </c>
      <c r="F109" s="518">
        <v>604</v>
      </c>
      <c r="G109" s="538"/>
    </row>
    <row r="110" spans="1:7" ht="30" customHeight="1">
      <c r="A110" s="496">
        <f t="shared" si="2"/>
        <v>53</v>
      </c>
      <c r="B110" s="498" t="s">
        <v>564</v>
      </c>
      <c r="C110" s="496" t="s">
        <v>647</v>
      </c>
      <c r="D110" s="539" t="s">
        <v>802</v>
      </c>
      <c r="E110" s="515">
        <v>2793</v>
      </c>
      <c r="F110" s="518">
        <v>1986</v>
      </c>
      <c r="G110" s="538"/>
    </row>
    <row r="111" spans="1:7" ht="30" customHeight="1">
      <c r="A111" s="496">
        <f t="shared" si="2"/>
        <v>54</v>
      </c>
      <c r="B111" s="498" t="s">
        <v>564</v>
      </c>
      <c r="C111" s="496" t="s">
        <v>647</v>
      </c>
      <c r="D111" s="539" t="s">
        <v>803</v>
      </c>
      <c r="E111" s="515">
        <v>1983</v>
      </c>
      <c r="F111" s="518">
        <v>1410</v>
      </c>
      <c r="G111" s="538"/>
    </row>
    <row r="112" spans="1:7" ht="39.950000000000003" customHeight="1">
      <c r="A112" s="496">
        <f t="shared" si="2"/>
        <v>55</v>
      </c>
      <c r="B112" s="498" t="s">
        <v>564</v>
      </c>
      <c r="C112" s="496" t="s">
        <v>619</v>
      </c>
      <c r="D112" s="539" t="s">
        <v>804</v>
      </c>
      <c r="E112" s="515">
        <f>6070-3080</f>
        <v>2990</v>
      </c>
      <c r="F112" s="518">
        <f>5068-2530</f>
        <v>2538</v>
      </c>
      <c r="G112" s="538"/>
    </row>
    <row r="113" spans="1:7" ht="39.950000000000003" customHeight="1" thickBot="1">
      <c r="A113" s="496">
        <f t="shared" si="2"/>
        <v>52</v>
      </c>
      <c r="B113" s="498" t="s">
        <v>564</v>
      </c>
      <c r="C113" s="496"/>
      <c r="D113" s="539"/>
      <c r="E113" s="515"/>
      <c r="F113" s="518"/>
      <c r="G113" s="538"/>
    </row>
    <row r="114" spans="1:7" ht="39.950000000000003" customHeight="1" thickBot="1">
      <c r="A114" s="736"/>
      <c r="B114" s="749"/>
      <c r="C114" s="749"/>
      <c r="D114" s="737"/>
      <c r="E114" s="543">
        <f>SUM(E52:E113)</f>
        <v>51648</v>
      </c>
      <c r="F114" s="543">
        <f>SUM(F52:F113)</f>
        <v>39273</v>
      </c>
      <c r="G114" s="751"/>
    </row>
    <row r="115" spans="1:7" ht="39.950000000000003" customHeight="1" thickBot="1">
      <c r="A115" s="738"/>
      <c r="B115" s="750"/>
      <c r="C115" s="750"/>
      <c r="D115" s="739"/>
      <c r="E115" s="544">
        <f>+E114+E51</f>
        <v>70745</v>
      </c>
      <c r="F115" s="545">
        <f>+F114+F51</f>
        <v>70122</v>
      </c>
      <c r="G115" s="752"/>
    </row>
    <row r="116" spans="1:7" ht="39.950000000000003" customHeight="1" thickBot="1">
      <c r="A116" s="546"/>
      <c r="B116" s="547"/>
      <c r="C116" s="548"/>
      <c r="D116" s="547"/>
      <c r="E116" s="549"/>
      <c r="F116" s="549"/>
      <c r="G116" s="550"/>
    </row>
    <row r="117" spans="1:7" ht="39.950000000000003" customHeight="1" thickBot="1">
      <c r="A117" s="551"/>
      <c r="B117" s="738" t="s">
        <v>661</v>
      </c>
      <c r="C117" s="750"/>
      <c r="D117" s="551"/>
      <c r="E117" s="551"/>
      <c r="F117" s="552"/>
      <c r="G117" s="553" t="str">
        <f>+[1]Sheet1!E3</f>
        <v>01.12.2013</v>
      </c>
    </row>
    <row r="118" spans="1:7" ht="39.950000000000003" customHeight="1">
      <c r="A118" s="554"/>
      <c r="B118" s="555" t="s">
        <v>662</v>
      </c>
      <c r="C118" s="555" t="s">
        <v>663</v>
      </c>
      <c r="D118" s="555" t="s">
        <v>664</v>
      </c>
      <c r="E118" s="556" t="s">
        <v>665</v>
      </c>
      <c r="F118" s="557" t="s">
        <v>666</v>
      </c>
      <c r="G118" s="558" t="s">
        <v>272</v>
      </c>
    </row>
    <row r="119" spans="1:7" ht="39.950000000000003" customHeight="1">
      <c r="A119" s="559"/>
      <c r="B119" s="512"/>
      <c r="C119" s="512"/>
      <c r="D119" s="512"/>
      <c r="E119" s="512"/>
      <c r="F119" s="512"/>
      <c r="G119" s="538"/>
    </row>
    <row r="120" spans="1:7" ht="39.950000000000003" customHeight="1">
      <c r="A120" s="560"/>
      <c r="B120" s="512"/>
      <c r="C120" s="512"/>
      <c r="D120" s="512"/>
      <c r="E120" s="512"/>
      <c r="F120" s="512"/>
      <c r="G120" s="538"/>
    </row>
    <row r="121" spans="1:7" ht="39.950000000000003" customHeight="1">
      <c r="A121" s="560"/>
      <c r="B121" s="512"/>
      <c r="C121" s="512"/>
      <c r="D121" s="512"/>
      <c r="E121" s="512"/>
      <c r="F121" s="512"/>
      <c r="G121" s="538"/>
    </row>
    <row r="122" spans="1:7" ht="39.950000000000003" customHeight="1">
      <c r="A122" s="560"/>
      <c r="B122" s="512"/>
      <c r="C122" s="512"/>
      <c r="D122" s="512"/>
      <c r="E122" s="512"/>
      <c r="F122" s="512"/>
      <c r="G122" s="538"/>
    </row>
    <row r="123" spans="1:7" ht="39.950000000000003" customHeight="1">
      <c r="A123" s="560"/>
      <c r="B123" s="512"/>
      <c r="C123" s="512"/>
      <c r="D123" s="512"/>
      <c r="E123" s="512"/>
      <c r="F123" s="512"/>
      <c r="G123" s="538"/>
    </row>
    <row r="124" spans="1:7" ht="39.950000000000003" customHeight="1">
      <c r="A124" s="560"/>
      <c r="B124" s="512"/>
      <c r="C124" s="512"/>
      <c r="D124" s="512"/>
      <c r="E124" s="512"/>
      <c r="F124" s="512"/>
      <c r="G124" s="538"/>
    </row>
    <row r="125" spans="1:7" ht="39.950000000000003" customHeight="1">
      <c r="A125" s="560"/>
      <c r="B125" s="512"/>
      <c r="C125" s="512"/>
      <c r="D125" s="512"/>
      <c r="E125" s="512"/>
      <c r="F125" s="512"/>
      <c r="G125" s="538"/>
    </row>
    <row r="126" spans="1:7" ht="39.950000000000003" customHeight="1">
      <c r="A126" s="560"/>
      <c r="B126" s="512"/>
      <c r="C126" s="512"/>
      <c r="D126" s="512"/>
      <c r="E126" s="512"/>
      <c r="F126" s="512"/>
      <c r="G126" s="526"/>
    </row>
    <row r="127" spans="1:7" ht="39.950000000000003" customHeight="1">
      <c r="A127" s="560"/>
      <c r="B127" s="512"/>
      <c r="C127" s="512"/>
      <c r="D127" s="512"/>
      <c r="E127" s="512"/>
      <c r="F127" s="512"/>
      <c r="G127" s="526"/>
    </row>
    <row r="128" spans="1:7" ht="39.950000000000003" customHeight="1">
      <c r="A128" s="560"/>
      <c r="B128" s="512"/>
      <c r="C128" s="512"/>
      <c r="D128" s="512"/>
      <c r="E128" s="512"/>
      <c r="F128" s="512"/>
      <c r="G128" s="526"/>
    </row>
    <row r="129" spans="1:7" ht="39.950000000000003" customHeight="1">
      <c r="A129" s="560"/>
      <c r="B129" s="512"/>
      <c r="C129" s="512"/>
      <c r="D129" s="512"/>
      <c r="E129" s="512"/>
      <c r="F129" s="512"/>
      <c r="G129" s="526"/>
    </row>
    <row r="130" spans="1:7" ht="18">
      <c r="A130" s="560"/>
      <c r="B130" s="512"/>
      <c r="C130" s="512"/>
      <c r="D130" s="512"/>
      <c r="E130" s="512"/>
      <c r="F130" s="512"/>
      <c r="G130" s="538"/>
    </row>
    <row r="131" spans="1:7" ht="18">
      <c r="A131" s="560"/>
      <c r="B131" s="512"/>
      <c r="C131" s="512"/>
      <c r="D131" s="512"/>
      <c r="E131" s="512"/>
      <c r="F131" s="512"/>
      <c r="G131" s="526"/>
    </row>
    <row r="132" spans="1:7" ht="18">
      <c r="A132" s="560"/>
      <c r="B132" s="512"/>
      <c r="C132" s="512"/>
      <c r="D132" s="512"/>
      <c r="E132" s="512"/>
      <c r="F132" s="512"/>
      <c r="G132" s="561"/>
    </row>
    <row r="133" spans="1:7" ht="18">
      <c r="A133" s="560"/>
      <c r="B133" s="512"/>
      <c r="C133" s="512"/>
      <c r="D133" s="512"/>
      <c r="E133" s="512"/>
      <c r="F133" s="512"/>
      <c r="G133" s="561"/>
    </row>
    <row r="134" spans="1:7" ht="18">
      <c r="A134" s="560"/>
      <c r="B134" s="512"/>
      <c r="C134" s="496"/>
      <c r="D134" s="526" t="s">
        <v>36</v>
      </c>
      <c r="E134" s="496"/>
      <c r="F134" s="562"/>
      <c r="G134" s="512"/>
    </row>
    <row r="135" spans="1:7" ht="18">
      <c r="A135" s="560"/>
      <c r="B135" s="563" t="s">
        <v>667</v>
      </c>
      <c r="C135" s="564"/>
      <c r="D135" s="565"/>
      <c r="E135" s="566"/>
      <c r="F135" s="513"/>
      <c r="G135" s="512"/>
    </row>
    <row r="136" spans="1:7" ht="18">
      <c r="A136" s="560"/>
      <c r="B136" s="496"/>
      <c r="C136" s="496"/>
      <c r="D136" s="496"/>
      <c r="E136" s="534"/>
      <c r="F136" s="562"/>
      <c r="G136" s="567"/>
    </row>
    <row r="137" spans="1:7" ht="18">
      <c r="A137" s="497"/>
      <c r="B137" s="496"/>
      <c r="C137" s="496"/>
      <c r="D137" s="496"/>
      <c r="E137" s="496"/>
      <c r="F137" s="562"/>
      <c r="G137" s="567"/>
    </row>
    <row r="138" spans="1:7" ht="18.75" thickBot="1">
      <c r="A138" s="568"/>
      <c r="B138" s="569" t="s">
        <v>668</v>
      </c>
      <c r="C138" s="569" t="s">
        <v>669</v>
      </c>
      <c r="D138" s="569" t="s">
        <v>670</v>
      </c>
      <c r="E138" s="741" t="s">
        <v>671</v>
      </c>
      <c r="F138" s="742"/>
      <c r="G138" s="570"/>
    </row>
    <row r="139" spans="1:7" ht="18.75" thickBot="1">
      <c r="A139" s="733"/>
      <c r="B139" s="571"/>
      <c r="C139" s="733"/>
      <c r="D139" s="733"/>
      <c r="E139" s="572" t="s">
        <v>672</v>
      </c>
      <c r="F139" s="573" t="s">
        <v>673</v>
      </c>
      <c r="G139" s="574"/>
    </row>
    <row r="140" spans="1:7" ht="18">
      <c r="A140" s="734"/>
      <c r="B140" s="575"/>
      <c r="C140" s="734"/>
      <c r="D140" s="734"/>
      <c r="E140" s="576"/>
      <c r="F140" s="576"/>
      <c r="G140" s="577"/>
    </row>
    <row r="141" spans="1:7" ht="18">
      <c r="A141" s="734"/>
      <c r="B141" s="575"/>
      <c r="C141" s="734"/>
      <c r="D141" s="734"/>
      <c r="E141" s="578"/>
      <c r="F141" s="578"/>
      <c r="G141" s="577"/>
    </row>
    <row r="142" spans="1:7" ht="18">
      <c r="A142" s="734"/>
      <c r="B142" s="575"/>
      <c r="C142" s="734"/>
      <c r="D142" s="734"/>
      <c r="E142" s="578"/>
      <c r="F142" s="578"/>
      <c r="G142" s="577"/>
    </row>
    <row r="143" spans="1:7" ht="18">
      <c r="A143" s="734"/>
      <c r="B143" s="575"/>
      <c r="C143" s="734"/>
      <c r="D143" s="734"/>
      <c r="E143" s="578"/>
      <c r="F143" s="578"/>
      <c r="G143" s="577"/>
    </row>
    <row r="144" spans="1:7" ht="18.75" thickBot="1">
      <c r="A144" s="735"/>
      <c r="B144" s="575"/>
      <c r="C144" s="735"/>
      <c r="D144" s="735"/>
      <c r="E144" s="552"/>
      <c r="F144" s="552"/>
      <c r="G144" s="577"/>
    </row>
    <row r="145" spans="1:7" ht="18.75" thickBot="1">
      <c r="A145" s="579"/>
      <c r="B145" s="580"/>
      <c r="C145" s="580"/>
      <c r="D145" s="580"/>
      <c r="E145" s="581"/>
      <c r="F145" s="582"/>
      <c r="G145" s="733"/>
    </row>
    <row r="146" spans="1:7" ht="18">
      <c r="A146" s="733"/>
      <c r="B146" s="583" t="s">
        <v>36</v>
      </c>
      <c r="C146" s="736"/>
      <c r="D146" s="737"/>
      <c r="E146" s="565"/>
      <c r="F146" s="564"/>
      <c r="G146" s="734"/>
    </row>
    <row r="147" spans="1:7" ht="18.75" thickBot="1">
      <c r="A147" s="735"/>
      <c r="B147" s="584"/>
      <c r="C147" s="738"/>
      <c r="D147" s="739"/>
      <c r="E147" s="740" t="s">
        <v>674</v>
      </c>
      <c r="F147" s="740"/>
      <c r="G147" s="735"/>
    </row>
    <row r="148" spans="1:7">
      <c r="A148" s="1"/>
      <c r="B148" s="585"/>
      <c r="C148" s="585"/>
      <c r="D148" s="585"/>
      <c r="E148" s="585"/>
    </row>
    <row r="149" spans="1:7">
      <c r="A149" s="585"/>
    </row>
    <row r="158" spans="1:7">
      <c r="C158" s="586"/>
      <c r="D158" s="586"/>
      <c r="E158" s="587"/>
      <c r="F158" s="588"/>
    </row>
    <row r="159" spans="1:7">
      <c r="C159" s="586"/>
      <c r="D159" s="586"/>
      <c r="E159" s="587"/>
      <c r="F159" s="588"/>
    </row>
    <row r="160" spans="1:7">
      <c r="C160" s="586"/>
      <c r="D160" s="586"/>
      <c r="E160" s="587"/>
      <c r="F160" s="588"/>
    </row>
    <row r="161" spans="3:7">
      <c r="C161" s="586"/>
      <c r="D161" s="586"/>
      <c r="E161" s="587"/>
      <c r="F161" s="588"/>
    </row>
    <row r="162" spans="3:7">
      <c r="C162" s="586"/>
      <c r="D162" s="586"/>
      <c r="E162" s="587"/>
      <c r="F162" s="588"/>
    </row>
    <row r="163" spans="3:7">
      <c r="C163" s="586"/>
      <c r="D163" s="586"/>
      <c r="E163" s="587"/>
      <c r="F163" s="588"/>
    </row>
    <row r="164" spans="3:7">
      <c r="C164" s="586"/>
      <c r="D164" s="586"/>
      <c r="E164" s="587"/>
      <c r="F164" s="588"/>
    </row>
    <row r="165" spans="3:7">
      <c r="C165" s="586"/>
      <c r="D165" s="586"/>
      <c r="E165" s="587"/>
      <c r="F165" s="588"/>
    </row>
    <row r="166" spans="3:7">
      <c r="C166" s="586"/>
      <c r="D166" s="586"/>
      <c r="E166" s="587"/>
      <c r="F166" s="588"/>
    </row>
    <row r="170" spans="3:7">
      <c r="G170" s="589"/>
    </row>
  </sheetData>
  <mergeCells count="13">
    <mergeCell ref="E138:F138"/>
    <mergeCell ref="A4:G4"/>
    <mergeCell ref="A8:G8"/>
    <mergeCell ref="A114:D115"/>
    <mergeCell ref="G114:G115"/>
    <mergeCell ref="B117:C117"/>
    <mergeCell ref="A139:A144"/>
    <mergeCell ref="C139:C144"/>
    <mergeCell ref="D139:D144"/>
    <mergeCell ref="G145:G147"/>
    <mergeCell ref="A146:A147"/>
    <mergeCell ref="C146:D147"/>
    <mergeCell ref="E147:F147"/>
  </mergeCells>
  <pageMargins left="3.937007874015748E-2" right="0.47244094488188981" top="0.35433070866141736" bottom="0.43307086614173229" header="0.47244094488188981" footer="0.43307086614173229"/>
  <pageSetup scale="34" fitToWidth="2" fitToHeight="2" orientation="portrait" r:id="rId1"/>
  <headerFooter alignWithMargins="0"/>
  <rowBreaks count="1" manualBreakCount="1">
    <brk id="125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M113"/>
  <sheetViews>
    <sheetView topLeftCell="A91" zoomScaleSheetLayoutView="115" workbookViewId="0">
      <selection activeCell="C88" sqref="C88"/>
    </sheetView>
  </sheetViews>
  <sheetFormatPr defaultRowHeight="12.75"/>
  <cols>
    <col min="1" max="1" width="9.42578125" customWidth="1"/>
    <col min="2" max="2" width="12.28515625" customWidth="1"/>
    <col min="3" max="3" width="24.28515625" customWidth="1"/>
    <col min="4" max="4" width="11.85546875" customWidth="1"/>
    <col min="5" max="5" width="12.85546875" customWidth="1"/>
    <col min="6" max="6" width="57.28515625" customWidth="1"/>
    <col min="7" max="7" width="17.5703125" style="585" customWidth="1"/>
    <col min="11" max="11" width="14.140625" customWidth="1"/>
    <col min="257" max="257" width="9.42578125" customWidth="1"/>
    <col min="258" max="258" width="12.28515625" customWidth="1"/>
    <col min="259" max="259" width="24.28515625" customWidth="1"/>
    <col min="260" max="260" width="11.85546875" customWidth="1"/>
    <col min="261" max="261" width="12.85546875" customWidth="1"/>
    <col min="262" max="262" width="57.28515625" customWidth="1"/>
    <col min="263" max="263" width="17.5703125" customWidth="1"/>
    <col min="267" max="267" width="14.140625" customWidth="1"/>
    <col min="513" max="513" width="9.42578125" customWidth="1"/>
    <col min="514" max="514" width="12.28515625" customWidth="1"/>
    <col min="515" max="515" width="24.28515625" customWidth="1"/>
    <col min="516" max="516" width="11.85546875" customWidth="1"/>
    <col min="517" max="517" width="12.85546875" customWidth="1"/>
    <col min="518" max="518" width="57.28515625" customWidth="1"/>
    <col min="519" max="519" width="17.5703125" customWidth="1"/>
    <col min="523" max="523" width="14.140625" customWidth="1"/>
    <col min="769" max="769" width="9.42578125" customWidth="1"/>
    <col min="770" max="770" width="12.28515625" customWidth="1"/>
    <col min="771" max="771" width="24.28515625" customWidth="1"/>
    <col min="772" max="772" width="11.85546875" customWidth="1"/>
    <col min="773" max="773" width="12.85546875" customWidth="1"/>
    <col min="774" max="774" width="57.28515625" customWidth="1"/>
    <col min="775" max="775" width="17.5703125" customWidth="1"/>
    <col min="779" max="779" width="14.140625" customWidth="1"/>
    <col min="1025" max="1025" width="9.42578125" customWidth="1"/>
    <col min="1026" max="1026" width="12.28515625" customWidth="1"/>
    <col min="1027" max="1027" width="24.28515625" customWidth="1"/>
    <col min="1028" max="1028" width="11.85546875" customWidth="1"/>
    <col min="1029" max="1029" width="12.85546875" customWidth="1"/>
    <col min="1030" max="1030" width="57.28515625" customWidth="1"/>
    <col min="1031" max="1031" width="17.5703125" customWidth="1"/>
    <col min="1035" max="1035" width="14.140625" customWidth="1"/>
    <col min="1281" max="1281" width="9.42578125" customWidth="1"/>
    <col min="1282" max="1282" width="12.28515625" customWidth="1"/>
    <col min="1283" max="1283" width="24.28515625" customWidth="1"/>
    <col min="1284" max="1284" width="11.85546875" customWidth="1"/>
    <col min="1285" max="1285" width="12.85546875" customWidth="1"/>
    <col min="1286" max="1286" width="57.28515625" customWidth="1"/>
    <col min="1287" max="1287" width="17.5703125" customWidth="1"/>
    <col min="1291" max="1291" width="14.140625" customWidth="1"/>
    <col min="1537" max="1537" width="9.42578125" customWidth="1"/>
    <col min="1538" max="1538" width="12.28515625" customWidth="1"/>
    <col min="1539" max="1539" width="24.28515625" customWidth="1"/>
    <col min="1540" max="1540" width="11.85546875" customWidth="1"/>
    <col min="1541" max="1541" width="12.85546875" customWidth="1"/>
    <col min="1542" max="1542" width="57.28515625" customWidth="1"/>
    <col min="1543" max="1543" width="17.5703125" customWidth="1"/>
    <col min="1547" max="1547" width="14.140625" customWidth="1"/>
    <col min="1793" max="1793" width="9.42578125" customWidth="1"/>
    <col min="1794" max="1794" width="12.28515625" customWidth="1"/>
    <col min="1795" max="1795" width="24.28515625" customWidth="1"/>
    <col min="1796" max="1796" width="11.85546875" customWidth="1"/>
    <col min="1797" max="1797" width="12.85546875" customWidth="1"/>
    <col min="1798" max="1798" width="57.28515625" customWidth="1"/>
    <col min="1799" max="1799" width="17.5703125" customWidth="1"/>
    <col min="1803" max="1803" width="14.140625" customWidth="1"/>
    <col min="2049" max="2049" width="9.42578125" customWidth="1"/>
    <col min="2050" max="2050" width="12.28515625" customWidth="1"/>
    <col min="2051" max="2051" width="24.28515625" customWidth="1"/>
    <col min="2052" max="2052" width="11.85546875" customWidth="1"/>
    <col min="2053" max="2053" width="12.85546875" customWidth="1"/>
    <col min="2054" max="2054" width="57.28515625" customWidth="1"/>
    <col min="2055" max="2055" width="17.5703125" customWidth="1"/>
    <col min="2059" max="2059" width="14.140625" customWidth="1"/>
    <col min="2305" max="2305" width="9.42578125" customWidth="1"/>
    <col min="2306" max="2306" width="12.28515625" customWidth="1"/>
    <col min="2307" max="2307" width="24.28515625" customWidth="1"/>
    <col min="2308" max="2308" width="11.85546875" customWidth="1"/>
    <col min="2309" max="2309" width="12.85546875" customWidth="1"/>
    <col min="2310" max="2310" width="57.28515625" customWidth="1"/>
    <col min="2311" max="2311" width="17.5703125" customWidth="1"/>
    <col min="2315" max="2315" width="14.140625" customWidth="1"/>
    <col min="2561" max="2561" width="9.42578125" customWidth="1"/>
    <col min="2562" max="2562" width="12.28515625" customWidth="1"/>
    <col min="2563" max="2563" width="24.28515625" customWidth="1"/>
    <col min="2564" max="2564" width="11.85546875" customWidth="1"/>
    <col min="2565" max="2565" width="12.85546875" customWidth="1"/>
    <col min="2566" max="2566" width="57.28515625" customWidth="1"/>
    <col min="2567" max="2567" width="17.5703125" customWidth="1"/>
    <col min="2571" max="2571" width="14.140625" customWidth="1"/>
    <col min="2817" max="2817" width="9.42578125" customWidth="1"/>
    <col min="2818" max="2818" width="12.28515625" customWidth="1"/>
    <col min="2819" max="2819" width="24.28515625" customWidth="1"/>
    <col min="2820" max="2820" width="11.85546875" customWidth="1"/>
    <col min="2821" max="2821" width="12.85546875" customWidth="1"/>
    <col min="2822" max="2822" width="57.28515625" customWidth="1"/>
    <col min="2823" max="2823" width="17.5703125" customWidth="1"/>
    <col min="2827" max="2827" width="14.140625" customWidth="1"/>
    <col min="3073" max="3073" width="9.42578125" customWidth="1"/>
    <col min="3074" max="3074" width="12.28515625" customWidth="1"/>
    <col min="3075" max="3075" width="24.28515625" customWidth="1"/>
    <col min="3076" max="3076" width="11.85546875" customWidth="1"/>
    <col min="3077" max="3077" width="12.85546875" customWidth="1"/>
    <col min="3078" max="3078" width="57.28515625" customWidth="1"/>
    <col min="3079" max="3079" width="17.5703125" customWidth="1"/>
    <col min="3083" max="3083" width="14.140625" customWidth="1"/>
    <col min="3329" max="3329" width="9.42578125" customWidth="1"/>
    <col min="3330" max="3330" width="12.28515625" customWidth="1"/>
    <col min="3331" max="3331" width="24.28515625" customWidth="1"/>
    <col min="3332" max="3332" width="11.85546875" customWidth="1"/>
    <col min="3333" max="3333" width="12.85546875" customWidth="1"/>
    <col min="3334" max="3334" width="57.28515625" customWidth="1"/>
    <col min="3335" max="3335" width="17.5703125" customWidth="1"/>
    <col min="3339" max="3339" width="14.140625" customWidth="1"/>
    <col min="3585" max="3585" width="9.42578125" customWidth="1"/>
    <col min="3586" max="3586" width="12.28515625" customWidth="1"/>
    <col min="3587" max="3587" width="24.28515625" customWidth="1"/>
    <col min="3588" max="3588" width="11.85546875" customWidth="1"/>
    <col min="3589" max="3589" width="12.85546875" customWidth="1"/>
    <col min="3590" max="3590" width="57.28515625" customWidth="1"/>
    <col min="3591" max="3591" width="17.5703125" customWidth="1"/>
    <col min="3595" max="3595" width="14.140625" customWidth="1"/>
    <col min="3841" max="3841" width="9.42578125" customWidth="1"/>
    <col min="3842" max="3842" width="12.28515625" customWidth="1"/>
    <col min="3843" max="3843" width="24.28515625" customWidth="1"/>
    <col min="3844" max="3844" width="11.85546875" customWidth="1"/>
    <col min="3845" max="3845" width="12.85546875" customWidth="1"/>
    <col min="3846" max="3846" width="57.28515625" customWidth="1"/>
    <col min="3847" max="3847" width="17.5703125" customWidth="1"/>
    <col min="3851" max="3851" width="14.140625" customWidth="1"/>
    <col min="4097" max="4097" width="9.42578125" customWidth="1"/>
    <col min="4098" max="4098" width="12.28515625" customWidth="1"/>
    <col min="4099" max="4099" width="24.28515625" customWidth="1"/>
    <col min="4100" max="4100" width="11.85546875" customWidth="1"/>
    <col min="4101" max="4101" width="12.85546875" customWidth="1"/>
    <col min="4102" max="4102" width="57.28515625" customWidth="1"/>
    <col min="4103" max="4103" width="17.5703125" customWidth="1"/>
    <col min="4107" max="4107" width="14.140625" customWidth="1"/>
    <col min="4353" max="4353" width="9.42578125" customWidth="1"/>
    <col min="4354" max="4354" width="12.28515625" customWidth="1"/>
    <col min="4355" max="4355" width="24.28515625" customWidth="1"/>
    <col min="4356" max="4356" width="11.85546875" customWidth="1"/>
    <col min="4357" max="4357" width="12.85546875" customWidth="1"/>
    <col min="4358" max="4358" width="57.28515625" customWidth="1"/>
    <col min="4359" max="4359" width="17.5703125" customWidth="1"/>
    <col min="4363" max="4363" width="14.140625" customWidth="1"/>
    <col min="4609" max="4609" width="9.42578125" customWidth="1"/>
    <col min="4610" max="4610" width="12.28515625" customWidth="1"/>
    <col min="4611" max="4611" width="24.28515625" customWidth="1"/>
    <col min="4612" max="4612" width="11.85546875" customWidth="1"/>
    <col min="4613" max="4613" width="12.85546875" customWidth="1"/>
    <col min="4614" max="4614" width="57.28515625" customWidth="1"/>
    <col min="4615" max="4615" width="17.5703125" customWidth="1"/>
    <col min="4619" max="4619" width="14.140625" customWidth="1"/>
    <col min="4865" max="4865" width="9.42578125" customWidth="1"/>
    <col min="4866" max="4866" width="12.28515625" customWidth="1"/>
    <col min="4867" max="4867" width="24.28515625" customWidth="1"/>
    <col min="4868" max="4868" width="11.85546875" customWidth="1"/>
    <col min="4869" max="4869" width="12.85546875" customWidth="1"/>
    <col min="4870" max="4870" width="57.28515625" customWidth="1"/>
    <col min="4871" max="4871" width="17.5703125" customWidth="1"/>
    <col min="4875" max="4875" width="14.140625" customWidth="1"/>
    <col min="5121" max="5121" width="9.42578125" customWidth="1"/>
    <col min="5122" max="5122" width="12.28515625" customWidth="1"/>
    <col min="5123" max="5123" width="24.28515625" customWidth="1"/>
    <col min="5124" max="5124" width="11.85546875" customWidth="1"/>
    <col min="5125" max="5125" width="12.85546875" customWidth="1"/>
    <col min="5126" max="5126" width="57.28515625" customWidth="1"/>
    <col min="5127" max="5127" width="17.5703125" customWidth="1"/>
    <col min="5131" max="5131" width="14.140625" customWidth="1"/>
    <col min="5377" max="5377" width="9.42578125" customWidth="1"/>
    <col min="5378" max="5378" width="12.28515625" customWidth="1"/>
    <col min="5379" max="5379" width="24.28515625" customWidth="1"/>
    <col min="5380" max="5380" width="11.85546875" customWidth="1"/>
    <col min="5381" max="5381" width="12.85546875" customWidth="1"/>
    <col min="5382" max="5382" width="57.28515625" customWidth="1"/>
    <col min="5383" max="5383" width="17.5703125" customWidth="1"/>
    <col min="5387" max="5387" width="14.140625" customWidth="1"/>
    <col min="5633" max="5633" width="9.42578125" customWidth="1"/>
    <col min="5634" max="5634" width="12.28515625" customWidth="1"/>
    <col min="5635" max="5635" width="24.28515625" customWidth="1"/>
    <col min="5636" max="5636" width="11.85546875" customWidth="1"/>
    <col min="5637" max="5637" width="12.85546875" customWidth="1"/>
    <col min="5638" max="5638" width="57.28515625" customWidth="1"/>
    <col min="5639" max="5639" width="17.5703125" customWidth="1"/>
    <col min="5643" max="5643" width="14.140625" customWidth="1"/>
    <col min="5889" max="5889" width="9.42578125" customWidth="1"/>
    <col min="5890" max="5890" width="12.28515625" customWidth="1"/>
    <col min="5891" max="5891" width="24.28515625" customWidth="1"/>
    <col min="5892" max="5892" width="11.85546875" customWidth="1"/>
    <col min="5893" max="5893" width="12.85546875" customWidth="1"/>
    <col min="5894" max="5894" width="57.28515625" customWidth="1"/>
    <col min="5895" max="5895" width="17.5703125" customWidth="1"/>
    <col min="5899" max="5899" width="14.140625" customWidth="1"/>
    <col min="6145" max="6145" width="9.42578125" customWidth="1"/>
    <col min="6146" max="6146" width="12.28515625" customWidth="1"/>
    <col min="6147" max="6147" width="24.28515625" customWidth="1"/>
    <col min="6148" max="6148" width="11.85546875" customWidth="1"/>
    <col min="6149" max="6149" width="12.85546875" customWidth="1"/>
    <col min="6150" max="6150" width="57.28515625" customWidth="1"/>
    <col min="6151" max="6151" width="17.5703125" customWidth="1"/>
    <col min="6155" max="6155" width="14.140625" customWidth="1"/>
    <col min="6401" max="6401" width="9.42578125" customWidth="1"/>
    <col min="6402" max="6402" width="12.28515625" customWidth="1"/>
    <col min="6403" max="6403" width="24.28515625" customWidth="1"/>
    <col min="6404" max="6404" width="11.85546875" customWidth="1"/>
    <col min="6405" max="6405" width="12.85546875" customWidth="1"/>
    <col min="6406" max="6406" width="57.28515625" customWidth="1"/>
    <col min="6407" max="6407" width="17.5703125" customWidth="1"/>
    <col min="6411" max="6411" width="14.140625" customWidth="1"/>
    <col min="6657" max="6657" width="9.42578125" customWidth="1"/>
    <col min="6658" max="6658" width="12.28515625" customWidth="1"/>
    <col min="6659" max="6659" width="24.28515625" customWidth="1"/>
    <col min="6660" max="6660" width="11.85546875" customWidth="1"/>
    <col min="6661" max="6661" width="12.85546875" customWidth="1"/>
    <col min="6662" max="6662" width="57.28515625" customWidth="1"/>
    <col min="6663" max="6663" width="17.5703125" customWidth="1"/>
    <col min="6667" max="6667" width="14.140625" customWidth="1"/>
    <col min="6913" max="6913" width="9.42578125" customWidth="1"/>
    <col min="6914" max="6914" width="12.28515625" customWidth="1"/>
    <col min="6915" max="6915" width="24.28515625" customWidth="1"/>
    <col min="6916" max="6916" width="11.85546875" customWidth="1"/>
    <col min="6917" max="6917" width="12.85546875" customWidth="1"/>
    <col min="6918" max="6918" width="57.28515625" customWidth="1"/>
    <col min="6919" max="6919" width="17.5703125" customWidth="1"/>
    <col min="6923" max="6923" width="14.140625" customWidth="1"/>
    <col min="7169" max="7169" width="9.42578125" customWidth="1"/>
    <col min="7170" max="7170" width="12.28515625" customWidth="1"/>
    <col min="7171" max="7171" width="24.28515625" customWidth="1"/>
    <col min="7172" max="7172" width="11.85546875" customWidth="1"/>
    <col min="7173" max="7173" width="12.85546875" customWidth="1"/>
    <col min="7174" max="7174" width="57.28515625" customWidth="1"/>
    <col min="7175" max="7175" width="17.5703125" customWidth="1"/>
    <col min="7179" max="7179" width="14.140625" customWidth="1"/>
    <col min="7425" max="7425" width="9.42578125" customWidth="1"/>
    <col min="7426" max="7426" width="12.28515625" customWidth="1"/>
    <col min="7427" max="7427" width="24.28515625" customWidth="1"/>
    <col min="7428" max="7428" width="11.85546875" customWidth="1"/>
    <col min="7429" max="7429" width="12.85546875" customWidth="1"/>
    <col min="7430" max="7430" width="57.28515625" customWidth="1"/>
    <col min="7431" max="7431" width="17.5703125" customWidth="1"/>
    <col min="7435" max="7435" width="14.140625" customWidth="1"/>
    <col min="7681" max="7681" width="9.42578125" customWidth="1"/>
    <col min="7682" max="7682" width="12.28515625" customWidth="1"/>
    <col min="7683" max="7683" width="24.28515625" customWidth="1"/>
    <col min="7684" max="7684" width="11.85546875" customWidth="1"/>
    <col min="7685" max="7685" width="12.85546875" customWidth="1"/>
    <col min="7686" max="7686" width="57.28515625" customWidth="1"/>
    <col min="7687" max="7687" width="17.5703125" customWidth="1"/>
    <col min="7691" max="7691" width="14.140625" customWidth="1"/>
    <col min="7937" max="7937" width="9.42578125" customWidth="1"/>
    <col min="7938" max="7938" width="12.28515625" customWidth="1"/>
    <col min="7939" max="7939" width="24.28515625" customWidth="1"/>
    <col min="7940" max="7940" width="11.85546875" customWidth="1"/>
    <col min="7941" max="7941" width="12.85546875" customWidth="1"/>
    <col min="7942" max="7942" width="57.28515625" customWidth="1"/>
    <col min="7943" max="7943" width="17.5703125" customWidth="1"/>
    <col min="7947" max="7947" width="14.140625" customWidth="1"/>
    <col min="8193" max="8193" width="9.42578125" customWidth="1"/>
    <col min="8194" max="8194" width="12.28515625" customWidth="1"/>
    <col min="8195" max="8195" width="24.28515625" customWidth="1"/>
    <col min="8196" max="8196" width="11.85546875" customWidth="1"/>
    <col min="8197" max="8197" width="12.85546875" customWidth="1"/>
    <col min="8198" max="8198" width="57.28515625" customWidth="1"/>
    <col min="8199" max="8199" width="17.5703125" customWidth="1"/>
    <col min="8203" max="8203" width="14.140625" customWidth="1"/>
    <col min="8449" max="8449" width="9.42578125" customWidth="1"/>
    <col min="8450" max="8450" width="12.28515625" customWidth="1"/>
    <col min="8451" max="8451" width="24.28515625" customWidth="1"/>
    <col min="8452" max="8452" width="11.85546875" customWidth="1"/>
    <col min="8453" max="8453" width="12.85546875" customWidth="1"/>
    <col min="8454" max="8454" width="57.28515625" customWidth="1"/>
    <col min="8455" max="8455" width="17.5703125" customWidth="1"/>
    <col min="8459" max="8459" width="14.140625" customWidth="1"/>
    <col min="8705" max="8705" width="9.42578125" customWidth="1"/>
    <col min="8706" max="8706" width="12.28515625" customWidth="1"/>
    <col min="8707" max="8707" width="24.28515625" customWidth="1"/>
    <col min="8708" max="8708" width="11.85546875" customWidth="1"/>
    <col min="8709" max="8709" width="12.85546875" customWidth="1"/>
    <col min="8710" max="8710" width="57.28515625" customWidth="1"/>
    <col min="8711" max="8711" width="17.5703125" customWidth="1"/>
    <col min="8715" max="8715" width="14.140625" customWidth="1"/>
    <col min="8961" max="8961" width="9.42578125" customWidth="1"/>
    <col min="8962" max="8962" width="12.28515625" customWidth="1"/>
    <col min="8963" max="8963" width="24.28515625" customWidth="1"/>
    <col min="8964" max="8964" width="11.85546875" customWidth="1"/>
    <col min="8965" max="8965" width="12.85546875" customWidth="1"/>
    <col min="8966" max="8966" width="57.28515625" customWidth="1"/>
    <col min="8967" max="8967" width="17.5703125" customWidth="1"/>
    <col min="8971" max="8971" width="14.140625" customWidth="1"/>
    <col min="9217" max="9217" width="9.42578125" customWidth="1"/>
    <col min="9218" max="9218" width="12.28515625" customWidth="1"/>
    <col min="9219" max="9219" width="24.28515625" customWidth="1"/>
    <col min="9220" max="9220" width="11.85546875" customWidth="1"/>
    <col min="9221" max="9221" width="12.85546875" customWidth="1"/>
    <col min="9222" max="9222" width="57.28515625" customWidth="1"/>
    <col min="9223" max="9223" width="17.5703125" customWidth="1"/>
    <col min="9227" max="9227" width="14.140625" customWidth="1"/>
    <col min="9473" max="9473" width="9.42578125" customWidth="1"/>
    <col min="9474" max="9474" width="12.28515625" customWidth="1"/>
    <col min="9475" max="9475" width="24.28515625" customWidth="1"/>
    <col min="9476" max="9476" width="11.85546875" customWidth="1"/>
    <col min="9477" max="9477" width="12.85546875" customWidth="1"/>
    <col min="9478" max="9478" width="57.28515625" customWidth="1"/>
    <col min="9479" max="9479" width="17.5703125" customWidth="1"/>
    <col min="9483" max="9483" width="14.140625" customWidth="1"/>
    <col min="9729" max="9729" width="9.42578125" customWidth="1"/>
    <col min="9730" max="9730" width="12.28515625" customWidth="1"/>
    <col min="9731" max="9731" width="24.28515625" customWidth="1"/>
    <col min="9732" max="9732" width="11.85546875" customWidth="1"/>
    <col min="9733" max="9733" width="12.85546875" customWidth="1"/>
    <col min="9734" max="9734" width="57.28515625" customWidth="1"/>
    <col min="9735" max="9735" width="17.5703125" customWidth="1"/>
    <col min="9739" max="9739" width="14.140625" customWidth="1"/>
    <col min="9985" max="9985" width="9.42578125" customWidth="1"/>
    <col min="9986" max="9986" width="12.28515625" customWidth="1"/>
    <col min="9987" max="9987" width="24.28515625" customWidth="1"/>
    <col min="9988" max="9988" width="11.85546875" customWidth="1"/>
    <col min="9989" max="9989" width="12.85546875" customWidth="1"/>
    <col min="9990" max="9990" width="57.28515625" customWidth="1"/>
    <col min="9991" max="9991" width="17.5703125" customWidth="1"/>
    <col min="9995" max="9995" width="14.140625" customWidth="1"/>
    <col min="10241" max="10241" width="9.42578125" customWidth="1"/>
    <col min="10242" max="10242" width="12.28515625" customWidth="1"/>
    <col min="10243" max="10243" width="24.28515625" customWidth="1"/>
    <col min="10244" max="10244" width="11.85546875" customWidth="1"/>
    <col min="10245" max="10245" width="12.85546875" customWidth="1"/>
    <col min="10246" max="10246" width="57.28515625" customWidth="1"/>
    <col min="10247" max="10247" width="17.5703125" customWidth="1"/>
    <col min="10251" max="10251" width="14.140625" customWidth="1"/>
    <col min="10497" max="10497" width="9.42578125" customWidth="1"/>
    <col min="10498" max="10498" width="12.28515625" customWidth="1"/>
    <col min="10499" max="10499" width="24.28515625" customWidth="1"/>
    <col min="10500" max="10500" width="11.85546875" customWidth="1"/>
    <col min="10501" max="10501" width="12.85546875" customWidth="1"/>
    <col min="10502" max="10502" width="57.28515625" customWidth="1"/>
    <col min="10503" max="10503" width="17.5703125" customWidth="1"/>
    <col min="10507" max="10507" width="14.140625" customWidth="1"/>
    <col min="10753" max="10753" width="9.42578125" customWidth="1"/>
    <col min="10754" max="10754" width="12.28515625" customWidth="1"/>
    <col min="10755" max="10755" width="24.28515625" customWidth="1"/>
    <col min="10756" max="10756" width="11.85546875" customWidth="1"/>
    <col min="10757" max="10757" width="12.85546875" customWidth="1"/>
    <col min="10758" max="10758" width="57.28515625" customWidth="1"/>
    <col min="10759" max="10759" width="17.5703125" customWidth="1"/>
    <col min="10763" max="10763" width="14.140625" customWidth="1"/>
    <col min="11009" max="11009" width="9.42578125" customWidth="1"/>
    <col min="11010" max="11010" width="12.28515625" customWidth="1"/>
    <col min="11011" max="11011" width="24.28515625" customWidth="1"/>
    <col min="11012" max="11012" width="11.85546875" customWidth="1"/>
    <col min="11013" max="11013" width="12.85546875" customWidth="1"/>
    <col min="11014" max="11014" width="57.28515625" customWidth="1"/>
    <col min="11015" max="11015" width="17.5703125" customWidth="1"/>
    <col min="11019" max="11019" width="14.140625" customWidth="1"/>
    <col min="11265" max="11265" width="9.42578125" customWidth="1"/>
    <col min="11266" max="11266" width="12.28515625" customWidth="1"/>
    <col min="11267" max="11267" width="24.28515625" customWidth="1"/>
    <col min="11268" max="11268" width="11.85546875" customWidth="1"/>
    <col min="11269" max="11269" width="12.85546875" customWidth="1"/>
    <col min="11270" max="11270" width="57.28515625" customWidth="1"/>
    <col min="11271" max="11271" width="17.5703125" customWidth="1"/>
    <col min="11275" max="11275" width="14.140625" customWidth="1"/>
    <col min="11521" max="11521" width="9.42578125" customWidth="1"/>
    <col min="11522" max="11522" width="12.28515625" customWidth="1"/>
    <col min="11523" max="11523" width="24.28515625" customWidth="1"/>
    <col min="11524" max="11524" width="11.85546875" customWidth="1"/>
    <col min="11525" max="11525" width="12.85546875" customWidth="1"/>
    <col min="11526" max="11526" width="57.28515625" customWidth="1"/>
    <col min="11527" max="11527" width="17.5703125" customWidth="1"/>
    <col min="11531" max="11531" width="14.140625" customWidth="1"/>
    <col min="11777" max="11777" width="9.42578125" customWidth="1"/>
    <col min="11778" max="11778" width="12.28515625" customWidth="1"/>
    <col min="11779" max="11779" width="24.28515625" customWidth="1"/>
    <col min="11780" max="11780" width="11.85546875" customWidth="1"/>
    <col min="11781" max="11781" width="12.85546875" customWidth="1"/>
    <col min="11782" max="11782" width="57.28515625" customWidth="1"/>
    <col min="11783" max="11783" width="17.5703125" customWidth="1"/>
    <col min="11787" max="11787" width="14.140625" customWidth="1"/>
    <col min="12033" max="12033" width="9.42578125" customWidth="1"/>
    <col min="12034" max="12034" width="12.28515625" customWidth="1"/>
    <col min="12035" max="12035" width="24.28515625" customWidth="1"/>
    <col min="12036" max="12036" width="11.85546875" customWidth="1"/>
    <col min="12037" max="12037" width="12.85546875" customWidth="1"/>
    <col min="12038" max="12038" width="57.28515625" customWidth="1"/>
    <col min="12039" max="12039" width="17.5703125" customWidth="1"/>
    <col min="12043" max="12043" width="14.140625" customWidth="1"/>
    <col min="12289" max="12289" width="9.42578125" customWidth="1"/>
    <col min="12290" max="12290" width="12.28515625" customWidth="1"/>
    <col min="12291" max="12291" width="24.28515625" customWidth="1"/>
    <col min="12292" max="12292" width="11.85546875" customWidth="1"/>
    <col min="12293" max="12293" width="12.85546875" customWidth="1"/>
    <col min="12294" max="12294" width="57.28515625" customWidth="1"/>
    <col min="12295" max="12295" width="17.5703125" customWidth="1"/>
    <col min="12299" max="12299" width="14.140625" customWidth="1"/>
    <col min="12545" max="12545" width="9.42578125" customWidth="1"/>
    <col min="12546" max="12546" width="12.28515625" customWidth="1"/>
    <col min="12547" max="12547" width="24.28515625" customWidth="1"/>
    <col min="12548" max="12548" width="11.85546875" customWidth="1"/>
    <col min="12549" max="12549" width="12.85546875" customWidth="1"/>
    <col min="12550" max="12550" width="57.28515625" customWidth="1"/>
    <col min="12551" max="12551" width="17.5703125" customWidth="1"/>
    <col min="12555" max="12555" width="14.140625" customWidth="1"/>
    <col min="12801" max="12801" width="9.42578125" customWidth="1"/>
    <col min="12802" max="12802" width="12.28515625" customWidth="1"/>
    <col min="12803" max="12803" width="24.28515625" customWidth="1"/>
    <col min="12804" max="12804" width="11.85546875" customWidth="1"/>
    <col min="12805" max="12805" width="12.85546875" customWidth="1"/>
    <col min="12806" max="12806" width="57.28515625" customWidth="1"/>
    <col min="12807" max="12807" width="17.5703125" customWidth="1"/>
    <col min="12811" max="12811" width="14.140625" customWidth="1"/>
    <col min="13057" max="13057" width="9.42578125" customWidth="1"/>
    <col min="13058" max="13058" width="12.28515625" customWidth="1"/>
    <col min="13059" max="13059" width="24.28515625" customWidth="1"/>
    <col min="13060" max="13060" width="11.85546875" customWidth="1"/>
    <col min="13061" max="13061" width="12.85546875" customWidth="1"/>
    <col min="13062" max="13062" width="57.28515625" customWidth="1"/>
    <col min="13063" max="13063" width="17.5703125" customWidth="1"/>
    <col min="13067" max="13067" width="14.140625" customWidth="1"/>
    <col min="13313" max="13313" width="9.42578125" customWidth="1"/>
    <col min="13314" max="13314" width="12.28515625" customWidth="1"/>
    <col min="13315" max="13315" width="24.28515625" customWidth="1"/>
    <col min="13316" max="13316" width="11.85546875" customWidth="1"/>
    <col min="13317" max="13317" width="12.85546875" customWidth="1"/>
    <col min="13318" max="13318" width="57.28515625" customWidth="1"/>
    <col min="13319" max="13319" width="17.5703125" customWidth="1"/>
    <col min="13323" max="13323" width="14.140625" customWidth="1"/>
    <col min="13569" max="13569" width="9.42578125" customWidth="1"/>
    <col min="13570" max="13570" width="12.28515625" customWidth="1"/>
    <col min="13571" max="13571" width="24.28515625" customWidth="1"/>
    <col min="13572" max="13572" width="11.85546875" customWidth="1"/>
    <col min="13573" max="13573" width="12.85546875" customWidth="1"/>
    <col min="13574" max="13574" width="57.28515625" customWidth="1"/>
    <col min="13575" max="13575" width="17.5703125" customWidth="1"/>
    <col min="13579" max="13579" width="14.140625" customWidth="1"/>
    <col min="13825" max="13825" width="9.42578125" customWidth="1"/>
    <col min="13826" max="13826" width="12.28515625" customWidth="1"/>
    <col min="13827" max="13827" width="24.28515625" customWidth="1"/>
    <col min="13828" max="13828" width="11.85546875" customWidth="1"/>
    <col min="13829" max="13829" width="12.85546875" customWidth="1"/>
    <col min="13830" max="13830" width="57.28515625" customWidth="1"/>
    <col min="13831" max="13831" width="17.5703125" customWidth="1"/>
    <col min="13835" max="13835" width="14.140625" customWidth="1"/>
    <col min="14081" max="14081" width="9.42578125" customWidth="1"/>
    <col min="14082" max="14082" width="12.28515625" customWidth="1"/>
    <col min="14083" max="14083" width="24.28515625" customWidth="1"/>
    <col min="14084" max="14084" width="11.85546875" customWidth="1"/>
    <col min="14085" max="14085" width="12.85546875" customWidth="1"/>
    <col min="14086" max="14086" width="57.28515625" customWidth="1"/>
    <col min="14087" max="14087" width="17.5703125" customWidth="1"/>
    <col min="14091" max="14091" width="14.140625" customWidth="1"/>
    <col min="14337" max="14337" width="9.42578125" customWidth="1"/>
    <col min="14338" max="14338" width="12.28515625" customWidth="1"/>
    <col min="14339" max="14339" width="24.28515625" customWidth="1"/>
    <col min="14340" max="14340" width="11.85546875" customWidth="1"/>
    <col min="14341" max="14341" width="12.85546875" customWidth="1"/>
    <col min="14342" max="14342" width="57.28515625" customWidth="1"/>
    <col min="14343" max="14343" width="17.5703125" customWidth="1"/>
    <col min="14347" max="14347" width="14.140625" customWidth="1"/>
    <col min="14593" max="14593" width="9.42578125" customWidth="1"/>
    <col min="14594" max="14594" width="12.28515625" customWidth="1"/>
    <col min="14595" max="14595" width="24.28515625" customWidth="1"/>
    <col min="14596" max="14596" width="11.85546875" customWidth="1"/>
    <col min="14597" max="14597" width="12.85546875" customWidth="1"/>
    <col min="14598" max="14598" width="57.28515625" customWidth="1"/>
    <col min="14599" max="14599" width="17.5703125" customWidth="1"/>
    <col min="14603" max="14603" width="14.140625" customWidth="1"/>
    <col min="14849" max="14849" width="9.42578125" customWidth="1"/>
    <col min="14850" max="14850" width="12.28515625" customWidth="1"/>
    <col min="14851" max="14851" width="24.28515625" customWidth="1"/>
    <col min="14852" max="14852" width="11.85546875" customWidth="1"/>
    <col min="14853" max="14853" width="12.85546875" customWidth="1"/>
    <col min="14854" max="14854" width="57.28515625" customWidth="1"/>
    <col min="14855" max="14855" width="17.5703125" customWidth="1"/>
    <col min="14859" max="14859" width="14.140625" customWidth="1"/>
    <col min="15105" max="15105" width="9.42578125" customWidth="1"/>
    <col min="15106" max="15106" width="12.28515625" customWidth="1"/>
    <col min="15107" max="15107" width="24.28515625" customWidth="1"/>
    <col min="15108" max="15108" width="11.85546875" customWidth="1"/>
    <col min="15109" max="15109" width="12.85546875" customWidth="1"/>
    <col min="15110" max="15110" width="57.28515625" customWidth="1"/>
    <col min="15111" max="15111" width="17.5703125" customWidth="1"/>
    <col min="15115" max="15115" width="14.140625" customWidth="1"/>
    <col min="15361" max="15361" width="9.42578125" customWidth="1"/>
    <col min="15362" max="15362" width="12.28515625" customWidth="1"/>
    <col min="15363" max="15363" width="24.28515625" customWidth="1"/>
    <col min="15364" max="15364" width="11.85546875" customWidth="1"/>
    <col min="15365" max="15365" width="12.85546875" customWidth="1"/>
    <col min="15366" max="15366" width="57.28515625" customWidth="1"/>
    <col min="15367" max="15367" width="17.5703125" customWidth="1"/>
    <col min="15371" max="15371" width="14.140625" customWidth="1"/>
    <col min="15617" max="15617" width="9.42578125" customWidth="1"/>
    <col min="15618" max="15618" width="12.28515625" customWidth="1"/>
    <col min="15619" max="15619" width="24.28515625" customWidth="1"/>
    <col min="15620" max="15620" width="11.85546875" customWidth="1"/>
    <col min="15621" max="15621" width="12.85546875" customWidth="1"/>
    <col min="15622" max="15622" width="57.28515625" customWidth="1"/>
    <col min="15623" max="15623" width="17.5703125" customWidth="1"/>
    <col min="15627" max="15627" width="14.140625" customWidth="1"/>
    <col min="15873" max="15873" width="9.42578125" customWidth="1"/>
    <col min="15874" max="15874" width="12.28515625" customWidth="1"/>
    <col min="15875" max="15875" width="24.28515625" customWidth="1"/>
    <col min="15876" max="15876" width="11.85546875" customWidth="1"/>
    <col min="15877" max="15877" width="12.85546875" customWidth="1"/>
    <col min="15878" max="15878" width="57.28515625" customWidth="1"/>
    <col min="15879" max="15879" width="17.5703125" customWidth="1"/>
    <col min="15883" max="15883" width="14.140625" customWidth="1"/>
    <col min="16129" max="16129" width="9.42578125" customWidth="1"/>
    <col min="16130" max="16130" width="12.28515625" customWidth="1"/>
    <col min="16131" max="16131" width="24.28515625" customWidth="1"/>
    <col min="16132" max="16132" width="11.85546875" customWidth="1"/>
    <col min="16133" max="16133" width="12.85546875" customWidth="1"/>
    <col min="16134" max="16134" width="57.28515625" customWidth="1"/>
    <col min="16135" max="16135" width="17.5703125" customWidth="1"/>
    <col min="16139" max="16139" width="14.140625" customWidth="1"/>
  </cols>
  <sheetData>
    <row r="3" spans="1:7" ht="13.5" thickBot="1"/>
    <row r="4" spans="1:7" ht="15.75">
      <c r="A4" s="757" t="s">
        <v>0</v>
      </c>
      <c r="B4" s="758"/>
      <c r="C4" s="758"/>
      <c r="D4" s="758"/>
      <c r="E4" s="758"/>
      <c r="F4" s="759"/>
    </row>
    <row r="5" spans="1:7">
      <c r="A5" s="590"/>
      <c r="B5" s="591"/>
      <c r="C5" s="591"/>
      <c r="D5" s="591"/>
      <c r="E5" s="591"/>
      <c r="F5" s="592"/>
    </row>
    <row r="6" spans="1:7">
      <c r="A6" s="593" t="s">
        <v>675</v>
      </c>
      <c r="B6" s="594"/>
      <c r="C6" s="594"/>
      <c r="D6" s="760" t="str">
        <f>+'WIP-2'!E5</f>
        <v>OPENING AS ON</v>
      </c>
      <c r="E6" s="760"/>
      <c r="F6" s="595" t="str">
        <f>+[1]Sheet1!E3</f>
        <v>01.12.2013</v>
      </c>
    </row>
    <row r="7" spans="1:7" ht="13.5" thickBot="1">
      <c r="A7" s="596"/>
      <c r="B7" s="597"/>
      <c r="C7" s="597"/>
      <c r="D7" s="597"/>
      <c r="E7" s="597"/>
      <c r="F7" s="598"/>
    </row>
    <row r="8" spans="1:7" ht="39" thickBot="1">
      <c r="A8" s="599" t="s">
        <v>554</v>
      </c>
      <c r="B8" s="600" t="s">
        <v>555</v>
      </c>
      <c r="C8" s="600" t="s">
        <v>556</v>
      </c>
      <c r="D8" s="601" t="s">
        <v>558</v>
      </c>
      <c r="E8" s="600" t="s">
        <v>559</v>
      </c>
      <c r="F8" s="602" t="s">
        <v>560</v>
      </c>
    </row>
    <row r="9" spans="1:7">
      <c r="A9" s="603">
        <v>1</v>
      </c>
      <c r="B9" s="604">
        <f>+'WIP-2'!B9</f>
        <v>41608</v>
      </c>
      <c r="C9" s="605" t="s">
        <v>676</v>
      </c>
      <c r="D9" s="606">
        <v>0</v>
      </c>
      <c r="E9" s="607">
        <v>0</v>
      </c>
      <c r="F9" s="608" t="s">
        <v>677</v>
      </c>
    </row>
    <row r="10" spans="1:7">
      <c r="A10" s="590">
        <f>+A9+1</f>
        <v>2</v>
      </c>
      <c r="B10" s="609" t="s">
        <v>564</v>
      </c>
      <c r="C10" s="605" t="s">
        <v>676</v>
      </c>
      <c r="D10" s="606">
        <v>1098</v>
      </c>
      <c r="E10" s="607">
        <v>1582</v>
      </c>
      <c r="F10" s="608" t="s">
        <v>677</v>
      </c>
      <c r="G10" s="585">
        <f>+E10+E9</f>
        <v>1582</v>
      </c>
    </row>
    <row r="11" spans="1:7">
      <c r="A11" s="590">
        <f t="shared" ref="A11:A56" si="0">+A10+1</f>
        <v>3</v>
      </c>
      <c r="B11" s="610" t="s">
        <v>564</v>
      </c>
      <c r="C11" s="591" t="s">
        <v>678</v>
      </c>
      <c r="D11" s="611">
        <v>305</v>
      </c>
      <c r="E11" s="612">
        <v>474</v>
      </c>
      <c r="F11" s="613" t="s">
        <v>679</v>
      </c>
    </row>
    <row r="12" spans="1:7">
      <c r="A12" s="590">
        <f t="shared" si="0"/>
        <v>4</v>
      </c>
      <c r="B12" s="614" t="s">
        <v>564</v>
      </c>
      <c r="C12" s="615" t="s">
        <v>678</v>
      </c>
      <c r="D12" s="616">
        <v>0</v>
      </c>
      <c r="E12" s="617">
        <v>0</v>
      </c>
      <c r="F12" s="618" t="s">
        <v>680</v>
      </c>
    </row>
    <row r="13" spans="1:7" ht="13.5" thickBot="1">
      <c r="A13" s="590">
        <f t="shared" si="0"/>
        <v>5</v>
      </c>
      <c r="B13" s="619" t="s">
        <v>564</v>
      </c>
      <c r="C13" s="597" t="s">
        <v>678</v>
      </c>
      <c r="D13" s="620">
        <v>0</v>
      </c>
      <c r="E13" s="621">
        <v>0</v>
      </c>
      <c r="F13" s="622" t="s">
        <v>681</v>
      </c>
      <c r="G13" s="585">
        <f>+E13+E12+E11</f>
        <v>474</v>
      </c>
    </row>
    <row r="14" spans="1:7">
      <c r="A14" s="590">
        <f t="shared" si="0"/>
        <v>6</v>
      </c>
      <c r="B14" s="623" t="s">
        <v>564</v>
      </c>
      <c r="C14" s="624" t="s">
        <v>682</v>
      </c>
      <c r="D14" s="625">
        <v>200</v>
      </c>
      <c r="E14" s="626">
        <v>324</v>
      </c>
      <c r="F14" s="627" t="s">
        <v>683</v>
      </c>
    </row>
    <row r="15" spans="1:7">
      <c r="A15" s="590">
        <f t="shared" si="0"/>
        <v>7</v>
      </c>
      <c r="B15" s="610" t="s">
        <v>564</v>
      </c>
      <c r="C15" s="591" t="s">
        <v>682</v>
      </c>
      <c r="D15" s="606">
        <v>492</v>
      </c>
      <c r="E15" s="607">
        <v>799</v>
      </c>
      <c r="F15" s="608" t="s">
        <v>685</v>
      </c>
    </row>
    <row r="16" spans="1:7" ht="13.5" thickBot="1">
      <c r="A16" s="590">
        <f t="shared" si="0"/>
        <v>8</v>
      </c>
      <c r="B16" s="619" t="s">
        <v>564</v>
      </c>
      <c r="C16" s="597" t="s">
        <v>682</v>
      </c>
      <c r="D16" s="620">
        <v>0</v>
      </c>
      <c r="E16" s="621">
        <v>0</v>
      </c>
      <c r="F16" s="622" t="s">
        <v>686</v>
      </c>
      <c r="G16" s="585">
        <f>+E16+E15+E14</f>
        <v>1123</v>
      </c>
    </row>
    <row r="17" spans="1:11">
      <c r="A17" s="590">
        <f t="shared" si="0"/>
        <v>9</v>
      </c>
      <c r="B17" s="623" t="s">
        <v>564</v>
      </c>
      <c r="C17" s="624" t="s">
        <v>687</v>
      </c>
      <c r="D17" s="628">
        <v>340</v>
      </c>
      <c r="E17" s="625">
        <v>537</v>
      </c>
      <c r="F17" s="627" t="s">
        <v>688</v>
      </c>
    </row>
    <row r="18" spans="1:11">
      <c r="A18" s="590">
        <f t="shared" si="0"/>
        <v>10</v>
      </c>
      <c r="B18" s="610" t="s">
        <v>564</v>
      </c>
      <c r="C18" s="591" t="s">
        <v>687</v>
      </c>
      <c r="D18" s="629">
        <v>0</v>
      </c>
      <c r="E18" s="606">
        <v>0</v>
      </c>
      <c r="F18" s="608" t="s">
        <v>689</v>
      </c>
    </row>
    <row r="19" spans="1:11">
      <c r="A19" s="590">
        <f t="shared" si="0"/>
        <v>11</v>
      </c>
      <c r="B19" s="630" t="s">
        <v>564</v>
      </c>
      <c r="C19" s="591" t="s">
        <v>687</v>
      </c>
      <c r="D19" s="629">
        <v>0</v>
      </c>
      <c r="E19" s="606">
        <v>0</v>
      </c>
      <c r="F19" s="608" t="s">
        <v>690</v>
      </c>
    </row>
    <row r="20" spans="1:11" ht="13.5" thickBot="1">
      <c r="A20" s="590">
        <f t="shared" si="0"/>
        <v>12</v>
      </c>
      <c r="B20" s="619" t="s">
        <v>564</v>
      </c>
      <c r="C20" s="597" t="s">
        <v>687</v>
      </c>
      <c r="D20" s="631">
        <f>2152-258-256</f>
        <v>1638</v>
      </c>
      <c r="E20" s="620">
        <f>3465-415-412</f>
        <v>2638</v>
      </c>
      <c r="F20" s="622" t="s">
        <v>691</v>
      </c>
      <c r="G20" s="585">
        <f>+E20+E19+E18+E17</f>
        <v>3175</v>
      </c>
    </row>
    <row r="21" spans="1:11" ht="13.5" thickBot="1">
      <c r="A21" s="590">
        <f t="shared" si="0"/>
        <v>13</v>
      </c>
      <c r="B21" s="632" t="s">
        <v>564</v>
      </c>
      <c r="C21" s="633" t="s">
        <v>692</v>
      </c>
      <c r="D21" s="628">
        <v>0</v>
      </c>
      <c r="E21" s="625">
        <v>0</v>
      </c>
      <c r="F21" s="634" t="s">
        <v>680</v>
      </c>
    </row>
    <row r="22" spans="1:11">
      <c r="A22" s="590">
        <f t="shared" si="0"/>
        <v>14</v>
      </c>
      <c r="B22" s="632" t="s">
        <v>564</v>
      </c>
      <c r="C22" s="633" t="s">
        <v>692</v>
      </c>
      <c r="D22" s="635">
        <f>8042-6520</f>
        <v>1522</v>
      </c>
      <c r="E22" s="616">
        <f>13036-10569</f>
        <v>2467</v>
      </c>
      <c r="F22" s="634" t="s">
        <v>693</v>
      </c>
    </row>
    <row r="23" spans="1:11" ht="13.5" thickBot="1">
      <c r="A23" s="590">
        <f t="shared" si="0"/>
        <v>15</v>
      </c>
      <c r="B23" s="619" t="s">
        <v>564</v>
      </c>
      <c r="C23" s="636" t="s">
        <v>692</v>
      </c>
      <c r="D23" s="631">
        <f>14459+3681+6520-5119-400-4004-1850-263</f>
        <v>13024</v>
      </c>
      <c r="E23" s="620">
        <f>23053+48843-17741-4182-3404-36-4329-1621-10835-3332-2963+5968+10569-8297-648-6490-2998-426</f>
        <v>21131</v>
      </c>
      <c r="F23" s="622" t="s">
        <v>694</v>
      </c>
      <c r="G23" s="585">
        <f>+E23+E21+E22</f>
        <v>23598</v>
      </c>
    </row>
    <row r="24" spans="1:11">
      <c r="A24" s="590">
        <f t="shared" si="0"/>
        <v>16</v>
      </c>
      <c r="B24" s="632" t="s">
        <v>564</v>
      </c>
      <c r="C24" s="624" t="s">
        <v>695</v>
      </c>
      <c r="D24" s="628">
        <f>7640-15</f>
        <v>7625</v>
      </c>
      <c r="E24" s="625">
        <f>12403-24</f>
        <v>12379</v>
      </c>
      <c r="F24" s="634" t="s">
        <v>693</v>
      </c>
      <c r="K24" s="1"/>
    </row>
    <row r="25" spans="1:11">
      <c r="A25" s="590">
        <f t="shared" si="0"/>
        <v>17</v>
      </c>
      <c r="B25" s="630" t="s">
        <v>564</v>
      </c>
      <c r="C25" s="591" t="s">
        <v>695</v>
      </c>
      <c r="D25" s="629">
        <v>983</v>
      </c>
      <c r="E25" s="606">
        <v>1578</v>
      </c>
      <c r="F25" s="608" t="s">
        <v>696</v>
      </c>
      <c r="K25" s="1"/>
    </row>
    <row r="26" spans="1:11" ht="13.5" thickBot="1">
      <c r="A26" s="590">
        <f t="shared" si="0"/>
        <v>18</v>
      </c>
      <c r="B26" s="630" t="s">
        <v>564</v>
      </c>
      <c r="C26" s="591" t="s">
        <v>695</v>
      </c>
      <c r="D26" s="629">
        <f>978-515-384</f>
        <v>79</v>
      </c>
      <c r="E26" s="606">
        <f>1570-824-622</f>
        <v>124</v>
      </c>
      <c r="F26" s="608" t="s">
        <v>697</v>
      </c>
    </row>
    <row r="27" spans="1:11">
      <c r="A27" s="590">
        <f t="shared" si="0"/>
        <v>19</v>
      </c>
      <c r="B27" s="630" t="s">
        <v>564</v>
      </c>
      <c r="C27" s="637" t="s">
        <v>698</v>
      </c>
      <c r="D27" s="638">
        <f>3160-2625</f>
        <v>535</v>
      </c>
      <c r="E27" s="639">
        <f>5056-4258</f>
        <v>798</v>
      </c>
      <c r="F27" s="640" t="s">
        <v>679</v>
      </c>
    </row>
    <row r="28" spans="1:11" ht="13.5" thickBot="1">
      <c r="A28" s="590">
        <f t="shared" si="0"/>
        <v>20</v>
      </c>
      <c r="B28" s="641" t="s">
        <v>564</v>
      </c>
      <c r="C28" s="636" t="s">
        <v>699</v>
      </c>
      <c r="D28" s="642">
        <f>5706-3160+4614+23315-1440-2028-2056-2262-35-3392-6581+9212-5134-9335</f>
        <v>7424</v>
      </c>
      <c r="E28" s="643">
        <f>9112-5056+7382+37267-2333-3285-3331-3664-57-5495-10661+14924-8316-15121</f>
        <v>11366</v>
      </c>
      <c r="F28" s="622" t="s">
        <v>694</v>
      </c>
      <c r="G28" s="585">
        <f>+E28+E27+E26+E25+E24</f>
        <v>26245</v>
      </c>
    </row>
    <row r="29" spans="1:11">
      <c r="A29" s="590">
        <f t="shared" si="0"/>
        <v>21</v>
      </c>
      <c r="B29" s="632" t="s">
        <v>564</v>
      </c>
      <c r="C29" s="644" t="s">
        <v>700</v>
      </c>
      <c r="D29" s="628">
        <v>0</v>
      </c>
      <c r="E29" s="625">
        <v>0</v>
      </c>
      <c r="F29" s="634" t="s">
        <v>680</v>
      </c>
    </row>
    <row r="30" spans="1:11">
      <c r="A30" s="590">
        <f t="shared" si="0"/>
        <v>22</v>
      </c>
      <c r="B30" s="630" t="s">
        <v>564</v>
      </c>
      <c r="C30" s="645" t="s">
        <v>700</v>
      </c>
      <c r="D30" s="629">
        <f>429+14608+1417-15650</f>
        <v>804</v>
      </c>
      <c r="E30" s="606">
        <f>732+23373+2267-25369</f>
        <v>1003</v>
      </c>
      <c r="F30" s="646" t="s">
        <v>701</v>
      </c>
    </row>
    <row r="31" spans="1:11">
      <c r="A31" s="590">
        <f t="shared" si="0"/>
        <v>23</v>
      </c>
      <c r="B31" s="630" t="s">
        <v>564</v>
      </c>
      <c r="C31" s="645" t="s">
        <v>700</v>
      </c>
      <c r="D31" s="629">
        <v>917</v>
      </c>
      <c r="E31" s="606">
        <v>987</v>
      </c>
      <c r="F31" s="646" t="s">
        <v>702</v>
      </c>
    </row>
    <row r="32" spans="1:11" ht="13.5" thickBot="1">
      <c r="A32" s="590">
        <f t="shared" si="0"/>
        <v>24</v>
      </c>
      <c r="B32" s="619" t="s">
        <v>564</v>
      </c>
      <c r="C32" s="647" t="s">
        <v>700</v>
      </c>
      <c r="D32" s="631">
        <f>2029+18525-9-16850+3670+14023-7270-9955-9+18766-17250+7448-9430</f>
        <v>3688</v>
      </c>
      <c r="E32" s="620">
        <f>3247+29806-15-27314+5949+22732-11785-16137-14+30273-27962+12067-15277</f>
        <v>5570</v>
      </c>
      <c r="F32" s="648" t="s">
        <v>703</v>
      </c>
      <c r="G32" s="585">
        <f>+E32+E31+E30+E29</f>
        <v>7560</v>
      </c>
    </row>
    <row r="33" spans="1:7">
      <c r="A33" s="590">
        <f t="shared" si="0"/>
        <v>25</v>
      </c>
      <c r="B33" s="632" t="s">
        <v>564</v>
      </c>
      <c r="C33" s="624" t="s">
        <v>704</v>
      </c>
      <c r="D33" s="628">
        <f>1835-1520</f>
        <v>315</v>
      </c>
      <c r="E33" s="625">
        <f>3600-2508</f>
        <v>1092</v>
      </c>
      <c r="F33" s="634" t="s">
        <v>680</v>
      </c>
    </row>
    <row r="34" spans="1:7">
      <c r="A34" s="590">
        <f t="shared" si="0"/>
        <v>26</v>
      </c>
      <c r="B34" s="610" t="s">
        <v>564</v>
      </c>
      <c r="C34" s="591" t="s">
        <v>704</v>
      </c>
      <c r="D34" s="629">
        <f>3130-515</f>
        <v>2615</v>
      </c>
      <c r="E34" s="606">
        <v>4215</v>
      </c>
      <c r="F34" s="646" t="s">
        <v>705</v>
      </c>
    </row>
    <row r="35" spans="1:7" ht="13.5" thickBot="1">
      <c r="A35" s="590">
        <f t="shared" si="0"/>
        <v>27</v>
      </c>
      <c r="B35" s="619" t="s">
        <v>564</v>
      </c>
      <c r="C35" s="597" t="s">
        <v>704</v>
      </c>
      <c r="D35" s="649">
        <v>0</v>
      </c>
      <c r="E35" s="650">
        <v>0</v>
      </c>
      <c r="F35" s="622" t="s">
        <v>706</v>
      </c>
      <c r="G35" s="585">
        <f>+E33+E34+E35</f>
        <v>5307</v>
      </c>
    </row>
    <row r="36" spans="1:7">
      <c r="A36" s="590">
        <f t="shared" si="0"/>
        <v>28</v>
      </c>
      <c r="B36" s="632" t="s">
        <v>564</v>
      </c>
      <c r="C36" s="624" t="s">
        <v>707</v>
      </c>
      <c r="D36" s="628">
        <v>0</v>
      </c>
      <c r="E36" s="625">
        <v>0</v>
      </c>
      <c r="F36" s="627" t="s">
        <v>708</v>
      </c>
    </row>
    <row r="37" spans="1:7" ht="13.5" thickBot="1">
      <c r="A37" s="590">
        <f t="shared" si="0"/>
        <v>29</v>
      </c>
      <c r="B37" s="651" t="s">
        <v>564</v>
      </c>
      <c r="C37" s="615" t="s">
        <v>707</v>
      </c>
      <c r="D37" s="652">
        <f>6150-513-2978+25883-7714-7800-7429-4122+19675-3092-7402+6300-2056+8912-13721-3086-4008-2700</f>
        <v>299</v>
      </c>
      <c r="E37" s="653">
        <f>21639-2955-2630-6213-821-4764+41412-12342-12480-11886-6578+31480-4947-11843+10080-3290+14260-21953-4938-6413-4379</f>
        <v>439</v>
      </c>
      <c r="F37" s="613" t="s">
        <v>705</v>
      </c>
    </row>
    <row r="38" spans="1:7">
      <c r="A38" s="590">
        <f t="shared" si="0"/>
        <v>30</v>
      </c>
      <c r="B38" s="651" t="s">
        <v>564</v>
      </c>
      <c r="C38" s="615" t="s">
        <v>707</v>
      </c>
      <c r="D38" s="652">
        <v>0</v>
      </c>
      <c r="E38" s="611">
        <v>0</v>
      </c>
      <c r="F38" s="634" t="s">
        <v>709</v>
      </c>
    </row>
    <row r="39" spans="1:7" ht="13.5" thickBot="1">
      <c r="A39" s="590">
        <f t="shared" si="0"/>
        <v>31</v>
      </c>
      <c r="B39" s="619" t="s">
        <v>564</v>
      </c>
      <c r="C39" s="597" t="s">
        <v>707</v>
      </c>
      <c r="D39" s="631">
        <f>1800+3600-2624+866-1025+4781-11-6-4474-1334</f>
        <v>1573</v>
      </c>
      <c r="E39" s="620">
        <f>2880+5760-4198+1385-1640+7649-15-10-7159-2134</f>
        <v>2518</v>
      </c>
      <c r="F39" s="622" t="s">
        <v>710</v>
      </c>
      <c r="G39" s="585">
        <f>+E36+E38+E39+E37</f>
        <v>2957</v>
      </c>
    </row>
    <row r="40" spans="1:7">
      <c r="A40" s="590">
        <f t="shared" si="0"/>
        <v>32</v>
      </c>
      <c r="B40" s="623" t="s">
        <v>564</v>
      </c>
      <c r="C40" s="624" t="s">
        <v>711</v>
      </c>
      <c r="D40" s="628">
        <v>0</v>
      </c>
      <c r="E40" s="625">
        <v>0</v>
      </c>
      <c r="F40" s="634" t="s">
        <v>693</v>
      </c>
    </row>
    <row r="41" spans="1:7">
      <c r="A41" s="590">
        <f t="shared" si="0"/>
        <v>33</v>
      </c>
      <c r="B41" s="610" t="s">
        <v>564</v>
      </c>
      <c r="C41" s="591" t="s">
        <v>711</v>
      </c>
      <c r="D41" s="629">
        <v>0</v>
      </c>
      <c r="E41" s="606">
        <v>0</v>
      </c>
      <c r="F41" s="654" t="s">
        <v>712</v>
      </c>
    </row>
    <row r="42" spans="1:7">
      <c r="A42" s="590">
        <f t="shared" si="0"/>
        <v>34</v>
      </c>
      <c r="B42" s="610" t="s">
        <v>564</v>
      </c>
      <c r="C42" s="591" t="s">
        <v>711</v>
      </c>
      <c r="D42" s="629">
        <v>0</v>
      </c>
      <c r="E42" s="655">
        <v>0</v>
      </c>
      <c r="F42" s="646" t="s">
        <v>680</v>
      </c>
    </row>
    <row r="43" spans="1:7" ht="13.5" thickBot="1">
      <c r="A43" s="590">
        <f t="shared" si="0"/>
        <v>35</v>
      </c>
      <c r="B43" s="619" t="s">
        <v>564</v>
      </c>
      <c r="C43" s="597" t="s">
        <v>711</v>
      </c>
      <c r="D43" s="631">
        <f>18092+6080-8224+15760-40+8101-11302-9501-314-6808-10091-412</f>
        <v>1341</v>
      </c>
      <c r="E43" s="620">
        <f>29346+9865-13339+25566-65+13140-18328-15411-509-11042-16334-668</f>
        <v>2221</v>
      </c>
      <c r="F43" s="648" t="s">
        <v>703</v>
      </c>
      <c r="G43" s="585">
        <f>+E43+E42+E41+E40</f>
        <v>2221</v>
      </c>
    </row>
    <row r="44" spans="1:7">
      <c r="A44" s="590">
        <f t="shared" si="0"/>
        <v>36</v>
      </c>
      <c r="B44" s="632" t="s">
        <v>564</v>
      </c>
      <c r="C44" s="624" t="s">
        <v>713</v>
      </c>
      <c r="D44" s="628">
        <v>0</v>
      </c>
      <c r="E44" s="625">
        <v>0</v>
      </c>
      <c r="F44" s="627" t="s">
        <v>686</v>
      </c>
    </row>
    <row r="45" spans="1:7">
      <c r="A45" s="590">
        <f t="shared" si="0"/>
        <v>37</v>
      </c>
      <c r="B45" s="651" t="s">
        <v>564</v>
      </c>
      <c r="C45" s="615" t="s">
        <v>713</v>
      </c>
      <c r="D45" s="652">
        <v>0</v>
      </c>
      <c r="E45" s="611">
        <v>0</v>
      </c>
      <c r="F45" s="613" t="s">
        <v>714</v>
      </c>
    </row>
    <row r="46" spans="1:7" ht="13.5" thickBot="1">
      <c r="A46" s="590">
        <f t="shared" si="0"/>
        <v>38</v>
      </c>
      <c r="B46" s="619" t="s">
        <v>564</v>
      </c>
      <c r="C46" s="597" t="s">
        <v>713</v>
      </c>
      <c r="D46" s="620">
        <v>93</v>
      </c>
      <c r="E46" s="620">
        <v>187</v>
      </c>
      <c r="F46" s="622" t="s">
        <v>715</v>
      </c>
      <c r="G46" s="585">
        <f>+E46+E45+E44</f>
        <v>187</v>
      </c>
    </row>
    <row r="47" spans="1:7">
      <c r="A47" s="590">
        <f t="shared" si="0"/>
        <v>39</v>
      </c>
      <c r="B47" s="623" t="s">
        <v>564</v>
      </c>
      <c r="C47" s="624" t="s">
        <v>716</v>
      </c>
      <c r="D47" s="628">
        <v>0</v>
      </c>
      <c r="E47" s="625">
        <v>0</v>
      </c>
      <c r="F47" s="627" t="s">
        <v>686</v>
      </c>
    </row>
    <row r="48" spans="1:7">
      <c r="A48" s="590">
        <f t="shared" si="0"/>
        <v>40</v>
      </c>
      <c r="B48" s="610" t="s">
        <v>564</v>
      </c>
      <c r="C48" s="591" t="s">
        <v>716</v>
      </c>
      <c r="D48" s="629">
        <f>2700-19</f>
        <v>2681</v>
      </c>
      <c r="E48" s="606">
        <f>4380-31</f>
        <v>4349</v>
      </c>
      <c r="F48" s="608" t="s">
        <v>714</v>
      </c>
    </row>
    <row r="49" spans="1:11" ht="13.5" thickBot="1">
      <c r="A49" s="590">
        <f t="shared" si="0"/>
        <v>41</v>
      </c>
      <c r="B49" s="619" t="s">
        <v>564</v>
      </c>
      <c r="C49" s="597" t="s">
        <v>716</v>
      </c>
      <c r="D49" s="631">
        <v>1500</v>
      </c>
      <c r="E49" s="620">
        <v>2433</v>
      </c>
      <c r="F49" s="622" t="s">
        <v>683</v>
      </c>
      <c r="G49" s="585">
        <f>+E49+E48+E47</f>
        <v>6782</v>
      </c>
    </row>
    <row r="50" spans="1:11">
      <c r="A50" s="590">
        <f t="shared" si="0"/>
        <v>42</v>
      </c>
      <c r="B50" s="623" t="s">
        <v>564</v>
      </c>
      <c r="C50" s="624" t="s">
        <v>717</v>
      </c>
      <c r="D50" s="625">
        <v>11075</v>
      </c>
      <c r="E50" s="625">
        <v>17952</v>
      </c>
      <c r="F50" s="627" t="s">
        <v>718</v>
      </c>
    </row>
    <row r="51" spans="1:11">
      <c r="A51" s="590">
        <f t="shared" si="0"/>
        <v>43</v>
      </c>
      <c r="B51" s="614" t="s">
        <v>564</v>
      </c>
      <c r="C51" s="615" t="s">
        <v>717</v>
      </c>
      <c r="D51" s="611">
        <v>0</v>
      </c>
      <c r="E51" s="611">
        <v>0</v>
      </c>
      <c r="F51" s="613" t="s">
        <v>719</v>
      </c>
    </row>
    <row r="52" spans="1:11" ht="13.5" thickBot="1">
      <c r="A52" s="590">
        <f t="shared" si="0"/>
        <v>44</v>
      </c>
      <c r="B52" s="619" t="s">
        <v>564</v>
      </c>
      <c r="C52" s="597" t="s">
        <v>717</v>
      </c>
      <c r="D52" s="620">
        <v>3303</v>
      </c>
      <c r="E52" s="620">
        <v>5355</v>
      </c>
      <c r="F52" s="622" t="s">
        <v>694</v>
      </c>
      <c r="G52" s="585">
        <f>+SUM(E50:E52)</f>
        <v>23307</v>
      </c>
      <c r="K52" s="585"/>
    </row>
    <row r="53" spans="1:11" ht="13.5" thickBot="1">
      <c r="A53" s="590">
        <f t="shared" si="0"/>
        <v>45</v>
      </c>
      <c r="B53" s="656" t="s">
        <v>564</v>
      </c>
      <c r="C53" s="657" t="s">
        <v>720</v>
      </c>
      <c r="D53" s="616">
        <f>220+9470-190+2134-1025-2818-2728-2468+9539-7388-1240+9271-3510-4565-2850-1540</f>
        <v>312</v>
      </c>
      <c r="E53" s="616">
        <f>298+12974-260+2923-1404-3861-3737-3381+13069-10122-1699+12701-4809-6254-3905-2310</f>
        <v>223</v>
      </c>
      <c r="F53" s="618" t="s">
        <v>721</v>
      </c>
      <c r="G53" s="585">
        <f>+E53</f>
        <v>223</v>
      </c>
    </row>
    <row r="54" spans="1:11" ht="13.5" thickBot="1">
      <c r="A54" s="590">
        <f t="shared" si="0"/>
        <v>46</v>
      </c>
      <c r="B54" s="658" t="s">
        <v>564</v>
      </c>
      <c r="C54" s="633" t="s">
        <v>722</v>
      </c>
      <c r="D54" s="659">
        <f>25837-20676</f>
        <v>5161</v>
      </c>
      <c r="E54" s="659">
        <f>40823-32669</f>
        <v>8154</v>
      </c>
      <c r="F54" s="627" t="s">
        <v>686</v>
      </c>
    </row>
    <row r="55" spans="1:11" ht="13.5" thickBot="1">
      <c r="A55" s="590">
        <f t="shared" si="0"/>
        <v>47</v>
      </c>
      <c r="B55" s="660" t="s">
        <v>564</v>
      </c>
      <c r="C55" s="661" t="s">
        <v>722</v>
      </c>
      <c r="D55" s="659">
        <v>0</v>
      </c>
      <c r="E55" s="659">
        <v>0</v>
      </c>
      <c r="F55" s="662" t="s">
        <v>723</v>
      </c>
    </row>
    <row r="56" spans="1:11" ht="13.5" thickBot="1">
      <c r="A56" s="590">
        <f t="shared" si="0"/>
        <v>48</v>
      </c>
      <c r="B56" s="660" t="s">
        <v>564</v>
      </c>
      <c r="C56" s="663" t="s">
        <v>722</v>
      </c>
      <c r="D56" s="650">
        <f>12607-2670-1028-2056-1748-2057-1028+6402-5141+20676-2667-1070-822-2057-2056-1440+1732-822-967-1028-617+5146-1541-411-1028-1028-452</f>
        <v>12829</v>
      </c>
      <c r="E56" s="620">
        <f>19922-4219-1624-3248-2762-3250-1624+10116-8122+32669-3898-1691-1299-3250-3248-2275+2737-1299-1528-1624-975+8132-2435-649-1624-1624-714</f>
        <v>20594</v>
      </c>
      <c r="F56" s="662" t="s">
        <v>721</v>
      </c>
      <c r="G56" s="585">
        <f>+E54+E55+E56</f>
        <v>28748</v>
      </c>
      <c r="K56" s="5"/>
    </row>
    <row r="57" spans="1:11" ht="16.5" thickBot="1">
      <c r="A57" s="761"/>
      <c r="B57" s="755"/>
      <c r="C57" s="756"/>
      <c r="D57" s="479">
        <f>SUM(D9:D56)</f>
        <v>83771</v>
      </c>
      <c r="E57" s="479">
        <f>SUM(E9:E56)</f>
        <v>133489</v>
      </c>
      <c r="F57" s="664"/>
      <c r="G57" s="480">
        <f>SUM(G9:G56)</f>
        <v>133489</v>
      </c>
      <c r="H57" s="209"/>
      <c r="K57" s="5"/>
    </row>
    <row r="58" spans="1:11" ht="13.5" thickBot="1">
      <c r="A58" s="665">
        <f>+A56+1</f>
        <v>49</v>
      </c>
      <c r="B58" s="666" t="s">
        <v>564</v>
      </c>
      <c r="C58" s="624" t="s">
        <v>724</v>
      </c>
      <c r="D58" s="667">
        <v>0</v>
      </c>
      <c r="E58" s="668">
        <v>0</v>
      </c>
      <c r="F58" s="627" t="s">
        <v>686</v>
      </c>
      <c r="K58" s="5"/>
    </row>
    <row r="59" spans="1:11" ht="13.5" thickBot="1">
      <c r="A59" s="669">
        <f>+A58+1</f>
        <v>50</v>
      </c>
      <c r="B59" s="670" t="s">
        <v>564</v>
      </c>
      <c r="C59" s="671" t="s">
        <v>724</v>
      </c>
      <c r="D59" s="672">
        <f>7547+9941-5070-3641-1012+5815+5953-405-4848-2428</f>
        <v>11852</v>
      </c>
      <c r="E59" s="672">
        <f>6846+7953-4056-2912-1-810+4652+4763-324-3879-1942</f>
        <v>10290</v>
      </c>
      <c r="F59" s="648" t="s">
        <v>725</v>
      </c>
      <c r="G59" s="585">
        <f>+E59+E58</f>
        <v>10290</v>
      </c>
      <c r="K59" s="5"/>
    </row>
    <row r="60" spans="1:11" ht="13.5" thickBot="1">
      <c r="A60" s="673">
        <f t="shared" ref="A60:A97" si="1">+A59+1</f>
        <v>51</v>
      </c>
      <c r="B60" s="674" t="s">
        <v>564</v>
      </c>
      <c r="C60" s="675" t="s">
        <v>726</v>
      </c>
      <c r="D60" s="676">
        <v>3385</v>
      </c>
      <c r="E60" s="676">
        <v>3173</v>
      </c>
      <c r="F60" s="654" t="s">
        <v>727</v>
      </c>
      <c r="K60" s="5"/>
    </row>
    <row r="61" spans="1:11" ht="13.5" thickBot="1">
      <c r="A61" s="677">
        <f t="shared" si="1"/>
        <v>52</v>
      </c>
      <c r="B61" s="678" t="s">
        <v>564</v>
      </c>
      <c r="C61" s="679" t="s">
        <v>726</v>
      </c>
      <c r="D61" s="680">
        <v>0</v>
      </c>
      <c r="E61" s="680">
        <v>0</v>
      </c>
      <c r="F61" s="681" t="s">
        <v>725</v>
      </c>
      <c r="K61" s="5"/>
    </row>
    <row r="62" spans="1:11" ht="13.5" thickBot="1">
      <c r="A62" s="677">
        <f t="shared" si="1"/>
        <v>53</v>
      </c>
      <c r="B62" s="682" t="s">
        <v>564</v>
      </c>
      <c r="C62" s="683" t="s">
        <v>726</v>
      </c>
      <c r="D62" s="684">
        <v>0</v>
      </c>
      <c r="E62" s="684">
        <v>0</v>
      </c>
      <c r="F62" s="648" t="s">
        <v>728</v>
      </c>
      <c r="G62" s="585">
        <f>+E60+E61+E62</f>
        <v>3173</v>
      </c>
      <c r="K62" s="5"/>
    </row>
    <row r="63" spans="1:11" ht="13.5" thickBot="1">
      <c r="A63" s="677">
        <f t="shared" si="1"/>
        <v>54</v>
      </c>
      <c r="B63" s="666" t="s">
        <v>564</v>
      </c>
      <c r="C63" s="624" t="s">
        <v>729</v>
      </c>
      <c r="D63" s="667">
        <v>0</v>
      </c>
      <c r="E63" s="668">
        <v>0</v>
      </c>
      <c r="F63" s="627" t="s">
        <v>730</v>
      </c>
      <c r="K63" s="5"/>
    </row>
    <row r="64" spans="1:11" ht="13.5" thickBot="1">
      <c r="A64" s="677">
        <f t="shared" si="1"/>
        <v>55</v>
      </c>
      <c r="B64" s="674" t="s">
        <v>564</v>
      </c>
      <c r="C64" s="615" t="s">
        <v>729</v>
      </c>
      <c r="D64" s="685">
        <f>7472-4321</f>
        <v>3151</v>
      </c>
      <c r="E64" s="685">
        <f>6243-3608</f>
        <v>2635</v>
      </c>
      <c r="F64" s="613" t="s">
        <v>686</v>
      </c>
      <c r="K64" s="5"/>
    </row>
    <row r="65" spans="1:7" ht="13.5" thickBot="1">
      <c r="A65" s="677">
        <f t="shared" si="1"/>
        <v>56</v>
      </c>
      <c r="B65" s="674" t="s">
        <v>564</v>
      </c>
      <c r="C65" s="615" t="s">
        <v>729</v>
      </c>
      <c r="D65" s="680">
        <f>60448-20697-7040+50-5585-12080-1197-510-688+4321-10065</f>
        <v>6957</v>
      </c>
      <c r="E65" s="680">
        <f>50748-17282-5878+42-4662-10087-999-426-574+3608-8405</f>
        <v>6085</v>
      </c>
      <c r="F65" s="608" t="s">
        <v>714</v>
      </c>
    </row>
    <row r="66" spans="1:7" ht="13.5" thickBot="1">
      <c r="A66" s="677">
        <f t="shared" si="1"/>
        <v>57</v>
      </c>
      <c r="B66" s="678" t="s">
        <v>564</v>
      </c>
      <c r="C66" s="615" t="s">
        <v>729</v>
      </c>
      <c r="D66" s="686">
        <v>0</v>
      </c>
      <c r="E66" s="680">
        <v>0</v>
      </c>
      <c r="F66" s="613" t="s">
        <v>731</v>
      </c>
    </row>
    <row r="67" spans="1:7" ht="13.5" thickBot="1">
      <c r="A67" s="677">
        <f t="shared" si="1"/>
        <v>58</v>
      </c>
      <c r="B67" s="678" t="s">
        <v>564</v>
      </c>
      <c r="C67" s="615" t="s">
        <v>729</v>
      </c>
      <c r="D67" s="680">
        <v>0</v>
      </c>
      <c r="E67" s="680">
        <v>0</v>
      </c>
      <c r="F67" s="613" t="s">
        <v>732</v>
      </c>
    </row>
    <row r="68" spans="1:7" ht="13.5" thickBot="1">
      <c r="A68" s="677">
        <f t="shared" si="1"/>
        <v>59</v>
      </c>
      <c r="B68" s="678" t="s">
        <v>564</v>
      </c>
      <c r="C68" s="615" t="s">
        <v>729</v>
      </c>
      <c r="D68" s="680">
        <f>20541-16220+2870+6460-9595</f>
        <v>4056</v>
      </c>
      <c r="E68" s="680">
        <f>17179-13544+2397+5399-8012</f>
        <v>3419</v>
      </c>
      <c r="F68" s="654" t="s">
        <v>733</v>
      </c>
    </row>
    <row r="69" spans="1:7" ht="13.5" thickBot="1">
      <c r="A69" s="677">
        <f t="shared" si="1"/>
        <v>60</v>
      </c>
      <c r="B69" s="682" t="s">
        <v>564</v>
      </c>
      <c r="C69" s="597" t="s">
        <v>729</v>
      </c>
      <c r="D69" s="684">
        <f>3024+16220-10515-4515</f>
        <v>4214</v>
      </c>
      <c r="E69" s="684">
        <f>2526+13544-8780-3770</f>
        <v>3520</v>
      </c>
      <c r="F69" s="648" t="s">
        <v>712</v>
      </c>
      <c r="G69" s="585">
        <f>+E69+E68+E67+E66+E65+E64+E63</f>
        <v>15659</v>
      </c>
    </row>
    <row r="70" spans="1:7" ht="13.5" thickBot="1">
      <c r="A70" s="677">
        <f t="shared" si="1"/>
        <v>61</v>
      </c>
      <c r="B70" s="666" t="s">
        <v>564</v>
      </c>
      <c r="C70" s="687" t="s">
        <v>734</v>
      </c>
      <c r="D70" s="668">
        <f>17260+15883-6070</f>
        <v>27073</v>
      </c>
      <c r="E70" s="628">
        <f>14418+13263-5068</f>
        <v>22613</v>
      </c>
      <c r="F70" s="627" t="s">
        <v>735</v>
      </c>
    </row>
    <row r="71" spans="1:7" ht="13.5" thickBot="1">
      <c r="A71" s="677">
        <f t="shared" si="1"/>
        <v>62</v>
      </c>
      <c r="B71" s="678" t="s">
        <v>564</v>
      </c>
      <c r="C71" s="679" t="s">
        <v>734</v>
      </c>
      <c r="D71" s="688">
        <v>0</v>
      </c>
      <c r="E71" s="688">
        <v>0</v>
      </c>
      <c r="F71" s="608" t="s">
        <v>677</v>
      </c>
    </row>
    <row r="72" spans="1:7" ht="13.5" thickBot="1">
      <c r="A72" s="677">
        <f t="shared" si="1"/>
        <v>63</v>
      </c>
      <c r="B72" s="678" t="s">
        <v>564</v>
      </c>
      <c r="C72" s="679" t="s">
        <v>734</v>
      </c>
      <c r="D72" s="689">
        <f>3710+1600-1600-1273</f>
        <v>2437</v>
      </c>
      <c r="E72" s="690">
        <f>3073+1323-1336-1063</f>
        <v>1997</v>
      </c>
      <c r="F72" s="608" t="s">
        <v>680</v>
      </c>
    </row>
    <row r="73" spans="1:7" ht="13.5" thickBot="1">
      <c r="A73" s="677">
        <f t="shared" si="1"/>
        <v>64</v>
      </c>
      <c r="B73" s="678" t="s">
        <v>564</v>
      </c>
      <c r="C73" s="679" t="s">
        <v>736</v>
      </c>
      <c r="D73" s="689">
        <f>7346-5050-1600+2600+1600</f>
        <v>4896</v>
      </c>
      <c r="E73" s="690">
        <f>6127-4191-1336+2171+1323</f>
        <v>4094</v>
      </c>
      <c r="F73" s="608" t="s">
        <v>737</v>
      </c>
    </row>
    <row r="74" spans="1:7" ht="13.5" thickBot="1">
      <c r="A74" s="677">
        <f t="shared" si="1"/>
        <v>65</v>
      </c>
      <c r="B74" s="678" t="s">
        <v>564</v>
      </c>
      <c r="C74" s="679" t="s">
        <v>736</v>
      </c>
      <c r="D74" s="689">
        <v>0</v>
      </c>
      <c r="E74" s="690">
        <v>0</v>
      </c>
      <c r="F74" s="608" t="s">
        <v>738</v>
      </c>
    </row>
    <row r="75" spans="1:7" ht="13.5" thickBot="1">
      <c r="A75" s="677">
        <f t="shared" si="1"/>
        <v>66</v>
      </c>
      <c r="B75" s="682" t="s">
        <v>564</v>
      </c>
      <c r="C75" s="683" t="s">
        <v>734</v>
      </c>
      <c r="D75" s="691">
        <v>0</v>
      </c>
      <c r="E75" s="692">
        <v>0</v>
      </c>
      <c r="F75" s="622" t="s">
        <v>739</v>
      </c>
      <c r="G75" s="585">
        <f>+E70+E71+E72+E73+E74+E75</f>
        <v>28704</v>
      </c>
    </row>
    <row r="76" spans="1:7" ht="13.5" thickBot="1">
      <c r="A76" s="677">
        <f t="shared" si="1"/>
        <v>67</v>
      </c>
      <c r="B76" s="693" t="s">
        <v>564</v>
      </c>
      <c r="C76" s="694" t="s">
        <v>740</v>
      </c>
      <c r="D76" s="695">
        <v>891</v>
      </c>
      <c r="E76" s="696">
        <v>713</v>
      </c>
      <c r="F76" s="697" t="s">
        <v>683</v>
      </c>
      <c r="G76" s="585">
        <f>+E76</f>
        <v>713</v>
      </c>
    </row>
    <row r="77" spans="1:7" ht="13.5" thickBot="1">
      <c r="A77" s="698">
        <f t="shared" si="1"/>
        <v>68</v>
      </c>
      <c r="B77" s="699" t="s">
        <v>564</v>
      </c>
      <c r="C77" s="700" t="s">
        <v>741</v>
      </c>
      <c r="D77" s="701">
        <v>332</v>
      </c>
      <c r="E77" s="702">
        <v>305</v>
      </c>
      <c r="F77" s="703" t="s">
        <v>737</v>
      </c>
      <c r="G77" s="585">
        <f>+E77</f>
        <v>305</v>
      </c>
    </row>
    <row r="78" spans="1:7">
      <c r="A78" s="677">
        <f t="shared" si="1"/>
        <v>69</v>
      </c>
      <c r="B78" s="666" t="s">
        <v>564</v>
      </c>
      <c r="C78" s="633" t="s">
        <v>742</v>
      </c>
      <c r="D78" s="668">
        <v>0</v>
      </c>
      <c r="E78" s="704">
        <v>0</v>
      </c>
      <c r="F78" s="627" t="s">
        <v>735</v>
      </c>
    </row>
    <row r="79" spans="1:7" ht="13.5" thickBot="1">
      <c r="A79" s="705">
        <f t="shared" si="1"/>
        <v>70</v>
      </c>
      <c r="B79" s="682" t="s">
        <v>564</v>
      </c>
      <c r="C79" s="636" t="s">
        <v>742</v>
      </c>
      <c r="D79" s="684">
        <v>0</v>
      </c>
      <c r="E79" s="620">
        <v>0</v>
      </c>
      <c r="F79" s="622" t="s">
        <v>677</v>
      </c>
      <c r="G79" s="585">
        <f>+E79+E78</f>
        <v>0</v>
      </c>
    </row>
    <row r="80" spans="1:7" ht="13.5" thickBot="1">
      <c r="A80" s="673">
        <f t="shared" si="1"/>
        <v>71</v>
      </c>
      <c r="B80" s="674" t="s">
        <v>564</v>
      </c>
      <c r="C80" s="675" t="s">
        <v>743</v>
      </c>
      <c r="D80" s="676">
        <v>0</v>
      </c>
      <c r="E80" s="706">
        <v>0</v>
      </c>
      <c r="F80" s="654" t="s">
        <v>690</v>
      </c>
    </row>
    <row r="81" spans="1:7" ht="13.5" thickBot="1">
      <c r="A81" s="669">
        <f t="shared" si="1"/>
        <v>72</v>
      </c>
      <c r="B81" s="682" t="s">
        <v>564</v>
      </c>
      <c r="C81" s="683" t="s">
        <v>743</v>
      </c>
      <c r="D81" s="684">
        <v>0</v>
      </c>
      <c r="E81" s="691">
        <v>0</v>
      </c>
      <c r="F81" s="648" t="s">
        <v>737</v>
      </c>
      <c r="G81" s="589">
        <f>+E81+E80</f>
        <v>0</v>
      </c>
    </row>
    <row r="82" spans="1:7" ht="13.5" thickBot="1">
      <c r="A82" s="677">
        <f t="shared" si="1"/>
        <v>73</v>
      </c>
      <c r="B82" s="666" t="s">
        <v>564</v>
      </c>
      <c r="C82" s="687" t="s">
        <v>744</v>
      </c>
      <c r="D82" s="668">
        <f>4800+29570-11200-6400</f>
        <v>16770</v>
      </c>
      <c r="E82" s="704">
        <f>4014+24728-9352-5344</f>
        <v>14046</v>
      </c>
      <c r="F82" s="627" t="s">
        <v>763</v>
      </c>
    </row>
    <row r="83" spans="1:7" ht="13.5" thickBot="1">
      <c r="A83" s="677">
        <f t="shared" si="1"/>
        <v>74</v>
      </c>
      <c r="B83" s="666" t="s">
        <v>564</v>
      </c>
      <c r="C83" s="687" t="s">
        <v>744</v>
      </c>
      <c r="D83" s="668">
        <f>26061+24605-11330-14530+19200-11936+8000-14158+6400-3439-9145-2545-1600+11200+6400-17341-505-20</f>
        <v>15317</v>
      </c>
      <c r="E83" s="704">
        <f>28226+15834-22301+20545-9461-12133+16086-9966+6680-11823+5362-2872-7637-2125-1336+9352+5344-14480-422-17</f>
        <v>12856</v>
      </c>
      <c r="F83" s="627" t="s">
        <v>745</v>
      </c>
    </row>
    <row r="84" spans="1:7" ht="13.5" thickBot="1">
      <c r="A84" s="698"/>
      <c r="B84" s="699"/>
      <c r="C84" s="707"/>
      <c r="D84" s="701"/>
      <c r="E84" s="702"/>
      <c r="F84" s="708"/>
    </row>
    <row r="85" spans="1:7" ht="13.5" thickBot="1">
      <c r="A85" s="698">
        <f>+A83+1</f>
        <v>75</v>
      </c>
      <c r="B85" s="699" t="s">
        <v>564</v>
      </c>
      <c r="C85" s="707" t="s">
        <v>744</v>
      </c>
      <c r="D85" s="701">
        <v>0</v>
      </c>
      <c r="E85" s="702">
        <v>0</v>
      </c>
      <c r="F85" s="708" t="s">
        <v>745</v>
      </c>
      <c r="G85" s="585">
        <f>+E85+E83+E82</f>
        <v>26902</v>
      </c>
    </row>
    <row r="86" spans="1:7" ht="13.5" thickBot="1">
      <c r="A86" s="677">
        <f>+A85+1</f>
        <v>76</v>
      </c>
      <c r="B86" s="666" t="s">
        <v>564</v>
      </c>
      <c r="C86" s="633" t="s">
        <v>746</v>
      </c>
      <c r="D86" s="668">
        <v>0</v>
      </c>
      <c r="E86" s="704">
        <v>0</v>
      </c>
      <c r="F86" s="648" t="s">
        <v>747</v>
      </c>
    </row>
    <row r="87" spans="1:7" ht="13.5" thickBot="1">
      <c r="A87" s="669">
        <f t="shared" si="1"/>
        <v>77</v>
      </c>
      <c r="B87" s="682" t="s">
        <v>564</v>
      </c>
      <c r="C87" s="636" t="s">
        <v>746</v>
      </c>
      <c r="D87" s="684">
        <f>15144+1730-16515</f>
        <v>359</v>
      </c>
      <c r="E87" s="691">
        <f>10551+1445-11742</f>
        <v>254</v>
      </c>
      <c r="F87" s="708" t="s">
        <v>745</v>
      </c>
      <c r="G87" s="585">
        <f>+E87+E86</f>
        <v>254</v>
      </c>
    </row>
    <row r="88" spans="1:7" ht="13.5" thickBot="1">
      <c r="A88" s="677">
        <f t="shared" si="1"/>
        <v>78</v>
      </c>
      <c r="B88" s="666" t="s">
        <v>564</v>
      </c>
      <c r="C88" s="633" t="s">
        <v>748</v>
      </c>
      <c r="D88" s="668">
        <f>324+7140-6780</f>
        <v>684</v>
      </c>
      <c r="E88" s="704">
        <f>263+6355-5661</f>
        <v>957</v>
      </c>
      <c r="F88" s="627" t="s">
        <v>701</v>
      </c>
    </row>
    <row r="89" spans="1:7" ht="13.5" thickBot="1">
      <c r="A89" s="677">
        <f t="shared" si="1"/>
        <v>79</v>
      </c>
      <c r="B89" s="678" t="s">
        <v>564</v>
      </c>
      <c r="C89" s="709" t="s">
        <v>748</v>
      </c>
      <c r="D89" s="688">
        <v>3353</v>
      </c>
      <c r="E89" s="689">
        <v>2800</v>
      </c>
      <c r="F89" s="608" t="s">
        <v>749</v>
      </c>
    </row>
    <row r="90" spans="1:7" ht="13.5" thickBot="1">
      <c r="A90" s="677">
        <f t="shared" si="1"/>
        <v>80</v>
      </c>
      <c r="B90" s="682" t="s">
        <v>564</v>
      </c>
      <c r="C90" s="636" t="s">
        <v>748</v>
      </c>
      <c r="D90" s="684">
        <v>0</v>
      </c>
      <c r="E90" s="691">
        <v>0</v>
      </c>
      <c r="F90" s="622" t="s">
        <v>745</v>
      </c>
      <c r="G90" s="585">
        <f>+E90+E89+E88</f>
        <v>3757</v>
      </c>
    </row>
    <row r="91" spans="1:7" ht="13.5" thickBot="1">
      <c r="A91" s="677">
        <f t="shared" si="1"/>
        <v>81</v>
      </c>
      <c r="B91" s="666" t="s">
        <v>564</v>
      </c>
      <c r="C91" s="687" t="s">
        <v>750</v>
      </c>
      <c r="D91" s="668">
        <f>1418+5672+14019-5600-1405</f>
        <v>14104</v>
      </c>
      <c r="E91" s="704">
        <f>1234+4935+12206-4872-1222</f>
        <v>12281</v>
      </c>
      <c r="F91" s="627" t="s">
        <v>751</v>
      </c>
    </row>
    <row r="92" spans="1:7" ht="13.5" thickBot="1">
      <c r="A92" s="677">
        <f t="shared" si="1"/>
        <v>82</v>
      </c>
      <c r="B92" s="710" t="s">
        <v>564</v>
      </c>
      <c r="C92" s="711" t="s">
        <v>750</v>
      </c>
      <c r="D92" s="686">
        <f>22147-3-610-4045-8094-5325+13982-4050+9886-8090-3440-405+16307-1293+1175-4045-2023-1012-4046-2428-1013-2023-7240-850+5600-3439+1405-1012-808</f>
        <v>5208</v>
      </c>
      <c r="E92" s="712">
        <f>19268-3-531-3519-7042-4633+12181-3524+8600-7040-2993-352+14204-1125+1023-3519-1760-880-3520-2112-881-1760-6299-740+4872-2992+1222-880-703</f>
        <v>4562</v>
      </c>
      <c r="F92" s="681" t="s">
        <v>752</v>
      </c>
    </row>
    <row r="93" spans="1:7" ht="13.5" thickBot="1">
      <c r="A93" s="677">
        <f t="shared" si="1"/>
        <v>83</v>
      </c>
      <c r="B93" s="678" t="s">
        <v>564</v>
      </c>
      <c r="C93" s="679" t="s">
        <v>750</v>
      </c>
      <c r="D93" s="629">
        <v>0</v>
      </c>
      <c r="E93" s="689">
        <v>0</v>
      </c>
      <c r="F93" s="646" t="s">
        <v>728</v>
      </c>
    </row>
    <row r="94" spans="1:7" ht="13.5" thickBot="1">
      <c r="A94" s="677">
        <f t="shared" si="1"/>
        <v>84</v>
      </c>
      <c r="B94" s="682" t="s">
        <v>564</v>
      </c>
      <c r="C94" s="597" t="s">
        <v>750</v>
      </c>
      <c r="D94" s="672"/>
      <c r="E94" s="713"/>
      <c r="F94" s="622" t="s">
        <v>684</v>
      </c>
      <c r="G94" s="585">
        <f>+E94+E93+E92+E91</f>
        <v>16843</v>
      </c>
    </row>
    <row r="95" spans="1:7" ht="13.5" thickBot="1">
      <c r="A95" s="677">
        <f t="shared" si="1"/>
        <v>85</v>
      </c>
      <c r="B95" s="666" t="s">
        <v>564</v>
      </c>
      <c r="C95" s="591" t="s">
        <v>753</v>
      </c>
      <c r="D95" s="668">
        <v>0</v>
      </c>
      <c r="E95" s="704">
        <v>0</v>
      </c>
      <c r="F95" s="634" t="s">
        <v>739</v>
      </c>
    </row>
    <row r="96" spans="1:7" ht="13.5" thickBot="1">
      <c r="A96" s="677">
        <f t="shared" si="1"/>
        <v>86</v>
      </c>
      <c r="B96" s="678" t="s">
        <v>564</v>
      </c>
      <c r="C96" s="591" t="s">
        <v>753</v>
      </c>
      <c r="D96" s="714">
        <v>0</v>
      </c>
      <c r="E96" s="689">
        <v>0</v>
      </c>
      <c r="F96" s="613" t="s">
        <v>754</v>
      </c>
    </row>
    <row r="97" spans="1:13" ht="13.5" thickBot="1">
      <c r="A97" s="677">
        <f t="shared" si="1"/>
        <v>87</v>
      </c>
      <c r="B97" s="682" t="s">
        <v>564</v>
      </c>
      <c r="C97" s="597" t="s">
        <v>753</v>
      </c>
      <c r="D97" s="631">
        <v>21699</v>
      </c>
      <c r="E97" s="691">
        <f>7948+26448-7559-7192+18063-20125-6463-18+5689-3395+2246-3999+12890-18238+16815-2876-4806</f>
        <v>15428</v>
      </c>
      <c r="F97" s="648" t="s">
        <v>677</v>
      </c>
      <c r="G97" s="715">
        <f>+E96+E97</f>
        <v>15428</v>
      </c>
      <c r="K97" s="585"/>
    </row>
    <row r="98" spans="1:13" ht="16.5" thickBot="1">
      <c r="A98" s="761"/>
      <c r="B98" s="762"/>
      <c r="C98" s="763"/>
      <c r="D98" s="716">
        <f>SUM(D58:D97)</f>
        <v>146738</v>
      </c>
      <c r="E98" s="717">
        <f>SUM(E58:E97)</f>
        <v>122028</v>
      </c>
      <c r="F98" s="718"/>
      <c r="G98" s="719">
        <f>+G97+G94+G90+G87+G81+G77+G75+G69+G62+G76+G85+G79+G59</f>
        <v>122028</v>
      </c>
      <c r="K98" s="753"/>
      <c r="L98" s="753"/>
    </row>
    <row r="99" spans="1:13" ht="16.5" thickBot="1">
      <c r="A99" s="754"/>
      <c r="B99" s="755"/>
      <c r="C99" s="756"/>
      <c r="D99" s="716">
        <f>+D98+D57</f>
        <v>230509</v>
      </c>
      <c r="E99" s="716">
        <f>+E98+E57</f>
        <v>255517</v>
      </c>
      <c r="F99" s="720"/>
      <c r="G99" s="346">
        <f>+G98+G57</f>
        <v>255517</v>
      </c>
      <c r="J99" s="585"/>
      <c r="K99" s="585"/>
    </row>
    <row r="100" spans="1:13">
      <c r="A100" s="721"/>
      <c r="K100" s="722"/>
      <c r="L100" s="723"/>
      <c r="M100" s="723"/>
    </row>
    <row r="101" spans="1:13">
      <c r="A101" s="721"/>
      <c r="K101" s="723"/>
    </row>
    <row r="102" spans="1:13">
      <c r="A102" s="721"/>
    </row>
    <row r="103" spans="1:13">
      <c r="A103" s="721"/>
      <c r="D103" s="588"/>
      <c r="E103" s="724"/>
      <c r="G103" s="725"/>
    </row>
    <row r="110" spans="1:13">
      <c r="F110" s="135"/>
    </row>
    <row r="113" spans="9:9">
      <c r="I113" s="135"/>
    </row>
  </sheetData>
  <mergeCells count="6">
    <mergeCell ref="K98:L98"/>
    <mergeCell ref="A99:C99"/>
    <mergeCell ref="A4:F4"/>
    <mergeCell ref="D6:E6"/>
    <mergeCell ref="A57:C57"/>
    <mergeCell ref="A98:C98"/>
  </mergeCells>
  <pageMargins left="0.17" right="0.16" top="0.19" bottom="0.18" header="0.17" footer="0.17"/>
  <pageSetup scale="60" orientation="portrait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11"/>
  </sheetPr>
  <dimension ref="A3:S78"/>
  <sheetViews>
    <sheetView view="pageBreakPreview" zoomScale="70" zoomScaleNormal="70" zoomScaleSheetLayoutView="70" workbookViewId="0">
      <pane ySplit="9" topLeftCell="A10" activePane="bottomLeft" state="frozen"/>
      <selection activeCell="B13" sqref="B13:C13"/>
      <selection pane="bottomLeft" activeCell="I13" sqref="I13"/>
    </sheetView>
  </sheetViews>
  <sheetFormatPr defaultRowHeight="12.75"/>
  <cols>
    <col min="1" max="1" width="6.7109375" style="221" customWidth="1"/>
    <col min="2" max="2" width="33.140625" style="221" bestFit="1" customWidth="1"/>
    <col min="3" max="3" width="48.5703125" style="222" hidden="1" customWidth="1"/>
    <col min="4" max="4" width="19" style="221" customWidth="1"/>
    <col min="5" max="5" width="19.85546875" style="221" customWidth="1"/>
    <col min="6" max="6" width="18.28515625" style="221" customWidth="1"/>
    <col min="7" max="7" width="22" style="221" customWidth="1"/>
    <col min="8" max="9" width="17.140625" style="221" bestFit="1" customWidth="1"/>
    <col min="10" max="10" width="15.7109375" style="221" bestFit="1" customWidth="1"/>
    <col min="11" max="11" width="19.5703125" style="221" customWidth="1"/>
    <col min="12" max="12" width="6.42578125" style="221" hidden="1" customWidth="1"/>
    <col min="13" max="13" width="14.7109375" style="221" hidden="1" customWidth="1"/>
    <col min="14" max="14" width="18.140625" style="221" hidden="1" customWidth="1"/>
    <col min="15" max="15" width="5.7109375" style="221" hidden="1" customWidth="1"/>
    <col min="16" max="17" width="0" style="221" hidden="1" customWidth="1"/>
    <col min="18" max="18" width="9.140625" style="221"/>
    <col min="19" max="19" width="15" style="221" customWidth="1"/>
    <col min="20" max="20" width="13" style="221" customWidth="1"/>
    <col min="21" max="256" width="9.140625" style="221"/>
    <col min="257" max="257" width="6.7109375" style="221" customWidth="1"/>
    <col min="258" max="258" width="33.140625" style="221" bestFit="1" customWidth="1"/>
    <col min="259" max="259" width="0" style="221" hidden="1" customWidth="1"/>
    <col min="260" max="260" width="19" style="221" customWidth="1"/>
    <col min="261" max="261" width="19.85546875" style="221" customWidth="1"/>
    <col min="262" max="262" width="18.28515625" style="221" customWidth="1"/>
    <col min="263" max="263" width="22" style="221" customWidth="1"/>
    <col min="264" max="265" width="16.42578125" style="221" bestFit="1" customWidth="1"/>
    <col min="266" max="266" width="15" style="221" bestFit="1" customWidth="1"/>
    <col min="267" max="267" width="19.5703125" style="221" customWidth="1"/>
    <col min="268" max="273" width="0" style="221" hidden="1" customWidth="1"/>
    <col min="274" max="274" width="9.140625" style="221"/>
    <col min="275" max="275" width="15" style="221" customWidth="1"/>
    <col min="276" max="276" width="13" style="221" customWidth="1"/>
    <col min="277" max="512" width="9.140625" style="221"/>
    <col min="513" max="513" width="6.7109375" style="221" customWidth="1"/>
    <col min="514" max="514" width="33.140625" style="221" bestFit="1" customWidth="1"/>
    <col min="515" max="515" width="0" style="221" hidden="1" customWidth="1"/>
    <col min="516" max="516" width="19" style="221" customWidth="1"/>
    <col min="517" max="517" width="19.85546875" style="221" customWidth="1"/>
    <col min="518" max="518" width="18.28515625" style="221" customWidth="1"/>
    <col min="519" max="519" width="22" style="221" customWidth="1"/>
    <col min="520" max="521" width="16.42578125" style="221" bestFit="1" customWidth="1"/>
    <col min="522" max="522" width="15" style="221" bestFit="1" customWidth="1"/>
    <col min="523" max="523" width="19.5703125" style="221" customWidth="1"/>
    <col min="524" max="529" width="0" style="221" hidden="1" customWidth="1"/>
    <col min="530" max="530" width="9.140625" style="221"/>
    <col min="531" max="531" width="15" style="221" customWidth="1"/>
    <col min="532" max="532" width="13" style="221" customWidth="1"/>
    <col min="533" max="768" width="9.140625" style="221"/>
    <col min="769" max="769" width="6.7109375" style="221" customWidth="1"/>
    <col min="770" max="770" width="33.140625" style="221" bestFit="1" customWidth="1"/>
    <col min="771" max="771" width="0" style="221" hidden="1" customWidth="1"/>
    <col min="772" max="772" width="19" style="221" customWidth="1"/>
    <col min="773" max="773" width="19.85546875" style="221" customWidth="1"/>
    <col min="774" max="774" width="18.28515625" style="221" customWidth="1"/>
    <col min="775" max="775" width="22" style="221" customWidth="1"/>
    <col min="776" max="777" width="16.42578125" style="221" bestFit="1" customWidth="1"/>
    <col min="778" max="778" width="15" style="221" bestFit="1" customWidth="1"/>
    <col min="779" max="779" width="19.5703125" style="221" customWidth="1"/>
    <col min="780" max="785" width="0" style="221" hidden="1" customWidth="1"/>
    <col min="786" max="786" width="9.140625" style="221"/>
    <col min="787" max="787" width="15" style="221" customWidth="1"/>
    <col min="788" max="788" width="13" style="221" customWidth="1"/>
    <col min="789" max="1024" width="9.140625" style="221"/>
    <col min="1025" max="1025" width="6.7109375" style="221" customWidth="1"/>
    <col min="1026" max="1026" width="33.140625" style="221" bestFit="1" customWidth="1"/>
    <col min="1027" max="1027" width="0" style="221" hidden="1" customWidth="1"/>
    <col min="1028" max="1028" width="19" style="221" customWidth="1"/>
    <col min="1029" max="1029" width="19.85546875" style="221" customWidth="1"/>
    <col min="1030" max="1030" width="18.28515625" style="221" customWidth="1"/>
    <col min="1031" max="1031" width="22" style="221" customWidth="1"/>
    <col min="1032" max="1033" width="16.42578125" style="221" bestFit="1" customWidth="1"/>
    <col min="1034" max="1034" width="15" style="221" bestFit="1" customWidth="1"/>
    <col min="1035" max="1035" width="19.5703125" style="221" customWidth="1"/>
    <col min="1036" max="1041" width="0" style="221" hidden="1" customWidth="1"/>
    <col min="1042" max="1042" width="9.140625" style="221"/>
    <col min="1043" max="1043" width="15" style="221" customWidth="1"/>
    <col min="1044" max="1044" width="13" style="221" customWidth="1"/>
    <col min="1045" max="1280" width="9.140625" style="221"/>
    <col min="1281" max="1281" width="6.7109375" style="221" customWidth="1"/>
    <col min="1282" max="1282" width="33.140625" style="221" bestFit="1" customWidth="1"/>
    <col min="1283" max="1283" width="0" style="221" hidden="1" customWidth="1"/>
    <col min="1284" max="1284" width="19" style="221" customWidth="1"/>
    <col min="1285" max="1285" width="19.85546875" style="221" customWidth="1"/>
    <col min="1286" max="1286" width="18.28515625" style="221" customWidth="1"/>
    <col min="1287" max="1287" width="22" style="221" customWidth="1"/>
    <col min="1288" max="1289" width="16.42578125" style="221" bestFit="1" customWidth="1"/>
    <col min="1290" max="1290" width="15" style="221" bestFit="1" customWidth="1"/>
    <col min="1291" max="1291" width="19.5703125" style="221" customWidth="1"/>
    <col min="1292" max="1297" width="0" style="221" hidden="1" customWidth="1"/>
    <col min="1298" max="1298" width="9.140625" style="221"/>
    <col min="1299" max="1299" width="15" style="221" customWidth="1"/>
    <col min="1300" max="1300" width="13" style="221" customWidth="1"/>
    <col min="1301" max="1536" width="9.140625" style="221"/>
    <col min="1537" max="1537" width="6.7109375" style="221" customWidth="1"/>
    <col min="1538" max="1538" width="33.140625" style="221" bestFit="1" customWidth="1"/>
    <col min="1539" max="1539" width="0" style="221" hidden="1" customWidth="1"/>
    <col min="1540" max="1540" width="19" style="221" customWidth="1"/>
    <col min="1541" max="1541" width="19.85546875" style="221" customWidth="1"/>
    <col min="1542" max="1542" width="18.28515625" style="221" customWidth="1"/>
    <col min="1543" max="1543" width="22" style="221" customWidth="1"/>
    <col min="1544" max="1545" width="16.42578125" style="221" bestFit="1" customWidth="1"/>
    <col min="1546" max="1546" width="15" style="221" bestFit="1" customWidth="1"/>
    <col min="1547" max="1547" width="19.5703125" style="221" customWidth="1"/>
    <col min="1548" max="1553" width="0" style="221" hidden="1" customWidth="1"/>
    <col min="1554" max="1554" width="9.140625" style="221"/>
    <col min="1555" max="1555" width="15" style="221" customWidth="1"/>
    <col min="1556" max="1556" width="13" style="221" customWidth="1"/>
    <col min="1557" max="1792" width="9.140625" style="221"/>
    <col min="1793" max="1793" width="6.7109375" style="221" customWidth="1"/>
    <col min="1794" max="1794" width="33.140625" style="221" bestFit="1" customWidth="1"/>
    <col min="1795" max="1795" width="0" style="221" hidden="1" customWidth="1"/>
    <col min="1796" max="1796" width="19" style="221" customWidth="1"/>
    <col min="1797" max="1797" width="19.85546875" style="221" customWidth="1"/>
    <col min="1798" max="1798" width="18.28515625" style="221" customWidth="1"/>
    <col min="1799" max="1799" width="22" style="221" customWidth="1"/>
    <col min="1800" max="1801" width="16.42578125" style="221" bestFit="1" customWidth="1"/>
    <col min="1802" max="1802" width="15" style="221" bestFit="1" customWidth="1"/>
    <col min="1803" max="1803" width="19.5703125" style="221" customWidth="1"/>
    <col min="1804" max="1809" width="0" style="221" hidden="1" customWidth="1"/>
    <col min="1810" max="1810" width="9.140625" style="221"/>
    <col min="1811" max="1811" width="15" style="221" customWidth="1"/>
    <col min="1812" max="1812" width="13" style="221" customWidth="1"/>
    <col min="1813" max="2048" width="9.140625" style="221"/>
    <col min="2049" max="2049" width="6.7109375" style="221" customWidth="1"/>
    <col min="2050" max="2050" width="33.140625" style="221" bestFit="1" customWidth="1"/>
    <col min="2051" max="2051" width="0" style="221" hidden="1" customWidth="1"/>
    <col min="2052" max="2052" width="19" style="221" customWidth="1"/>
    <col min="2053" max="2053" width="19.85546875" style="221" customWidth="1"/>
    <col min="2054" max="2054" width="18.28515625" style="221" customWidth="1"/>
    <col min="2055" max="2055" width="22" style="221" customWidth="1"/>
    <col min="2056" max="2057" width="16.42578125" style="221" bestFit="1" customWidth="1"/>
    <col min="2058" max="2058" width="15" style="221" bestFit="1" customWidth="1"/>
    <col min="2059" max="2059" width="19.5703125" style="221" customWidth="1"/>
    <col min="2060" max="2065" width="0" style="221" hidden="1" customWidth="1"/>
    <col min="2066" max="2066" width="9.140625" style="221"/>
    <col min="2067" max="2067" width="15" style="221" customWidth="1"/>
    <col min="2068" max="2068" width="13" style="221" customWidth="1"/>
    <col min="2069" max="2304" width="9.140625" style="221"/>
    <col min="2305" max="2305" width="6.7109375" style="221" customWidth="1"/>
    <col min="2306" max="2306" width="33.140625" style="221" bestFit="1" customWidth="1"/>
    <col min="2307" max="2307" width="0" style="221" hidden="1" customWidth="1"/>
    <col min="2308" max="2308" width="19" style="221" customWidth="1"/>
    <col min="2309" max="2309" width="19.85546875" style="221" customWidth="1"/>
    <col min="2310" max="2310" width="18.28515625" style="221" customWidth="1"/>
    <col min="2311" max="2311" width="22" style="221" customWidth="1"/>
    <col min="2312" max="2313" width="16.42578125" style="221" bestFit="1" customWidth="1"/>
    <col min="2314" max="2314" width="15" style="221" bestFit="1" customWidth="1"/>
    <col min="2315" max="2315" width="19.5703125" style="221" customWidth="1"/>
    <col min="2316" max="2321" width="0" style="221" hidden="1" customWidth="1"/>
    <col min="2322" max="2322" width="9.140625" style="221"/>
    <col min="2323" max="2323" width="15" style="221" customWidth="1"/>
    <col min="2324" max="2324" width="13" style="221" customWidth="1"/>
    <col min="2325" max="2560" width="9.140625" style="221"/>
    <col min="2561" max="2561" width="6.7109375" style="221" customWidth="1"/>
    <col min="2562" max="2562" width="33.140625" style="221" bestFit="1" customWidth="1"/>
    <col min="2563" max="2563" width="0" style="221" hidden="1" customWidth="1"/>
    <col min="2564" max="2564" width="19" style="221" customWidth="1"/>
    <col min="2565" max="2565" width="19.85546875" style="221" customWidth="1"/>
    <col min="2566" max="2566" width="18.28515625" style="221" customWidth="1"/>
    <col min="2567" max="2567" width="22" style="221" customWidth="1"/>
    <col min="2568" max="2569" width="16.42578125" style="221" bestFit="1" customWidth="1"/>
    <col min="2570" max="2570" width="15" style="221" bestFit="1" customWidth="1"/>
    <col min="2571" max="2571" width="19.5703125" style="221" customWidth="1"/>
    <col min="2572" max="2577" width="0" style="221" hidden="1" customWidth="1"/>
    <col min="2578" max="2578" width="9.140625" style="221"/>
    <col min="2579" max="2579" width="15" style="221" customWidth="1"/>
    <col min="2580" max="2580" width="13" style="221" customWidth="1"/>
    <col min="2581" max="2816" width="9.140625" style="221"/>
    <col min="2817" max="2817" width="6.7109375" style="221" customWidth="1"/>
    <col min="2818" max="2818" width="33.140625" style="221" bestFit="1" customWidth="1"/>
    <col min="2819" max="2819" width="0" style="221" hidden="1" customWidth="1"/>
    <col min="2820" max="2820" width="19" style="221" customWidth="1"/>
    <col min="2821" max="2821" width="19.85546875" style="221" customWidth="1"/>
    <col min="2822" max="2822" width="18.28515625" style="221" customWidth="1"/>
    <col min="2823" max="2823" width="22" style="221" customWidth="1"/>
    <col min="2824" max="2825" width="16.42578125" style="221" bestFit="1" customWidth="1"/>
    <col min="2826" max="2826" width="15" style="221" bestFit="1" customWidth="1"/>
    <col min="2827" max="2827" width="19.5703125" style="221" customWidth="1"/>
    <col min="2828" max="2833" width="0" style="221" hidden="1" customWidth="1"/>
    <col min="2834" max="2834" width="9.140625" style="221"/>
    <col min="2835" max="2835" width="15" style="221" customWidth="1"/>
    <col min="2836" max="2836" width="13" style="221" customWidth="1"/>
    <col min="2837" max="3072" width="9.140625" style="221"/>
    <col min="3073" max="3073" width="6.7109375" style="221" customWidth="1"/>
    <col min="3074" max="3074" width="33.140625" style="221" bestFit="1" customWidth="1"/>
    <col min="3075" max="3075" width="0" style="221" hidden="1" customWidth="1"/>
    <col min="3076" max="3076" width="19" style="221" customWidth="1"/>
    <col min="3077" max="3077" width="19.85546875" style="221" customWidth="1"/>
    <col min="3078" max="3078" width="18.28515625" style="221" customWidth="1"/>
    <col min="3079" max="3079" width="22" style="221" customWidth="1"/>
    <col min="3080" max="3081" width="16.42578125" style="221" bestFit="1" customWidth="1"/>
    <col min="3082" max="3082" width="15" style="221" bestFit="1" customWidth="1"/>
    <col min="3083" max="3083" width="19.5703125" style="221" customWidth="1"/>
    <col min="3084" max="3089" width="0" style="221" hidden="1" customWidth="1"/>
    <col min="3090" max="3090" width="9.140625" style="221"/>
    <col min="3091" max="3091" width="15" style="221" customWidth="1"/>
    <col min="3092" max="3092" width="13" style="221" customWidth="1"/>
    <col min="3093" max="3328" width="9.140625" style="221"/>
    <col min="3329" max="3329" width="6.7109375" style="221" customWidth="1"/>
    <col min="3330" max="3330" width="33.140625" style="221" bestFit="1" customWidth="1"/>
    <col min="3331" max="3331" width="0" style="221" hidden="1" customWidth="1"/>
    <col min="3332" max="3332" width="19" style="221" customWidth="1"/>
    <col min="3333" max="3333" width="19.85546875" style="221" customWidth="1"/>
    <col min="3334" max="3334" width="18.28515625" style="221" customWidth="1"/>
    <col min="3335" max="3335" width="22" style="221" customWidth="1"/>
    <col min="3336" max="3337" width="16.42578125" style="221" bestFit="1" customWidth="1"/>
    <col min="3338" max="3338" width="15" style="221" bestFit="1" customWidth="1"/>
    <col min="3339" max="3339" width="19.5703125" style="221" customWidth="1"/>
    <col min="3340" max="3345" width="0" style="221" hidden="1" customWidth="1"/>
    <col min="3346" max="3346" width="9.140625" style="221"/>
    <col min="3347" max="3347" width="15" style="221" customWidth="1"/>
    <col min="3348" max="3348" width="13" style="221" customWidth="1"/>
    <col min="3349" max="3584" width="9.140625" style="221"/>
    <col min="3585" max="3585" width="6.7109375" style="221" customWidth="1"/>
    <col min="3586" max="3586" width="33.140625" style="221" bestFit="1" customWidth="1"/>
    <col min="3587" max="3587" width="0" style="221" hidden="1" customWidth="1"/>
    <col min="3588" max="3588" width="19" style="221" customWidth="1"/>
    <col min="3589" max="3589" width="19.85546875" style="221" customWidth="1"/>
    <col min="3590" max="3590" width="18.28515625" style="221" customWidth="1"/>
    <col min="3591" max="3591" width="22" style="221" customWidth="1"/>
    <col min="3592" max="3593" width="16.42578125" style="221" bestFit="1" customWidth="1"/>
    <col min="3594" max="3594" width="15" style="221" bestFit="1" customWidth="1"/>
    <col min="3595" max="3595" width="19.5703125" style="221" customWidth="1"/>
    <col min="3596" max="3601" width="0" style="221" hidden="1" customWidth="1"/>
    <col min="3602" max="3602" width="9.140625" style="221"/>
    <col min="3603" max="3603" width="15" style="221" customWidth="1"/>
    <col min="3604" max="3604" width="13" style="221" customWidth="1"/>
    <col min="3605" max="3840" width="9.140625" style="221"/>
    <col min="3841" max="3841" width="6.7109375" style="221" customWidth="1"/>
    <col min="3842" max="3842" width="33.140625" style="221" bestFit="1" customWidth="1"/>
    <col min="3843" max="3843" width="0" style="221" hidden="1" customWidth="1"/>
    <col min="3844" max="3844" width="19" style="221" customWidth="1"/>
    <col min="3845" max="3845" width="19.85546875" style="221" customWidth="1"/>
    <col min="3846" max="3846" width="18.28515625" style="221" customWidth="1"/>
    <col min="3847" max="3847" width="22" style="221" customWidth="1"/>
    <col min="3848" max="3849" width="16.42578125" style="221" bestFit="1" customWidth="1"/>
    <col min="3850" max="3850" width="15" style="221" bestFit="1" customWidth="1"/>
    <col min="3851" max="3851" width="19.5703125" style="221" customWidth="1"/>
    <col min="3852" max="3857" width="0" style="221" hidden="1" customWidth="1"/>
    <col min="3858" max="3858" width="9.140625" style="221"/>
    <col min="3859" max="3859" width="15" style="221" customWidth="1"/>
    <col min="3860" max="3860" width="13" style="221" customWidth="1"/>
    <col min="3861" max="4096" width="9.140625" style="221"/>
    <col min="4097" max="4097" width="6.7109375" style="221" customWidth="1"/>
    <col min="4098" max="4098" width="33.140625" style="221" bestFit="1" customWidth="1"/>
    <col min="4099" max="4099" width="0" style="221" hidden="1" customWidth="1"/>
    <col min="4100" max="4100" width="19" style="221" customWidth="1"/>
    <col min="4101" max="4101" width="19.85546875" style="221" customWidth="1"/>
    <col min="4102" max="4102" width="18.28515625" style="221" customWidth="1"/>
    <col min="4103" max="4103" width="22" style="221" customWidth="1"/>
    <col min="4104" max="4105" width="16.42578125" style="221" bestFit="1" customWidth="1"/>
    <col min="4106" max="4106" width="15" style="221" bestFit="1" customWidth="1"/>
    <col min="4107" max="4107" width="19.5703125" style="221" customWidth="1"/>
    <col min="4108" max="4113" width="0" style="221" hidden="1" customWidth="1"/>
    <col min="4114" max="4114" width="9.140625" style="221"/>
    <col min="4115" max="4115" width="15" style="221" customWidth="1"/>
    <col min="4116" max="4116" width="13" style="221" customWidth="1"/>
    <col min="4117" max="4352" width="9.140625" style="221"/>
    <col min="4353" max="4353" width="6.7109375" style="221" customWidth="1"/>
    <col min="4354" max="4354" width="33.140625" style="221" bestFit="1" customWidth="1"/>
    <col min="4355" max="4355" width="0" style="221" hidden="1" customWidth="1"/>
    <col min="4356" max="4356" width="19" style="221" customWidth="1"/>
    <col min="4357" max="4357" width="19.85546875" style="221" customWidth="1"/>
    <col min="4358" max="4358" width="18.28515625" style="221" customWidth="1"/>
    <col min="4359" max="4359" width="22" style="221" customWidth="1"/>
    <col min="4360" max="4361" width="16.42578125" style="221" bestFit="1" customWidth="1"/>
    <col min="4362" max="4362" width="15" style="221" bestFit="1" customWidth="1"/>
    <col min="4363" max="4363" width="19.5703125" style="221" customWidth="1"/>
    <col min="4364" max="4369" width="0" style="221" hidden="1" customWidth="1"/>
    <col min="4370" max="4370" width="9.140625" style="221"/>
    <col min="4371" max="4371" width="15" style="221" customWidth="1"/>
    <col min="4372" max="4372" width="13" style="221" customWidth="1"/>
    <col min="4373" max="4608" width="9.140625" style="221"/>
    <col min="4609" max="4609" width="6.7109375" style="221" customWidth="1"/>
    <col min="4610" max="4610" width="33.140625" style="221" bestFit="1" customWidth="1"/>
    <col min="4611" max="4611" width="0" style="221" hidden="1" customWidth="1"/>
    <col min="4612" max="4612" width="19" style="221" customWidth="1"/>
    <col min="4613" max="4613" width="19.85546875" style="221" customWidth="1"/>
    <col min="4614" max="4614" width="18.28515625" style="221" customWidth="1"/>
    <col min="4615" max="4615" width="22" style="221" customWidth="1"/>
    <col min="4616" max="4617" width="16.42578125" style="221" bestFit="1" customWidth="1"/>
    <col min="4618" max="4618" width="15" style="221" bestFit="1" customWidth="1"/>
    <col min="4619" max="4619" width="19.5703125" style="221" customWidth="1"/>
    <col min="4620" max="4625" width="0" style="221" hidden="1" customWidth="1"/>
    <col min="4626" max="4626" width="9.140625" style="221"/>
    <col min="4627" max="4627" width="15" style="221" customWidth="1"/>
    <col min="4628" max="4628" width="13" style="221" customWidth="1"/>
    <col min="4629" max="4864" width="9.140625" style="221"/>
    <col min="4865" max="4865" width="6.7109375" style="221" customWidth="1"/>
    <col min="4866" max="4866" width="33.140625" style="221" bestFit="1" customWidth="1"/>
    <col min="4867" max="4867" width="0" style="221" hidden="1" customWidth="1"/>
    <col min="4868" max="4868" width="19" style="221" customWidth="1"/>
    <col min="4869" max="4869" width="19.85546875" style="221" customWidth="1"/>
    <col min="4870" max="4870" width="18.28515625" style="221" customWidth="1"/>
    <col min="4871" max="4871" width="22" style="221" customWidth="1"/>
    <col min="4872" max="4873" width="16.42578125" style="221" bestFit="1" customWidth="1"/>
    <col min="4874" max="4874" width="15" style="221" bestFit="1" customWidth="1"/>
    <col min="4875" max="4875" width="19.5703125" style="221" customWidth="1"/>
    <col min="4876" max="4881" width="0" style="221" hidden="1" customWidth="1"/>
    <col min="4882" max="4882" width="9.140625" style="221"/>
    <col min="4883" max="4883" width="15" style="221" customWidth="1"/>
    <col min="4884" max="4884" width="13" style="221" customWidth="1"/>
    <col min="4885" max="5120" width="9.140625" style="221"/>
    <col min="5121" max="5121" width="6.7109375" style="221" customWidth="1"/>
    <col min="5122" max="5122" width="33.140625" style="221" bestFit="1" customWidth="1"/>
    <col min="5123" max="5123" width="0" style="221" hidden="1" customWidth="1"/>
    <col min="5124" max="5124" width="19" style="221" customWidth="1"/>
    <col min="5125" max="5125" width="19.85546875" style="221" customWidth="1"/>
    <col min="5126" max="5126" width="18.28515625" style="221" customWidth="1"/>
    <col min="5127" max="5127" width="22" style="221" customWidth="1"/>
    <col min="5128" max="5129" width="16.42578125" style="221" bestFit="1" customWidth="1"/>
    <col min="5130" max="5130" width="15" style="221" bestFit="1" customWidth="1"/>
    <col min="5131" max="5131" width="19.5703125" style="221" customWidth="1"/>
    <col min="5132" max="5137" width="0" style="221" hidden="1" customWidth="1"/>
    <col min="5138" max="5138" width="9.140625" style="221"/>
    <col min="5139" max="5139" width="15" style="221" customWidth="1"/>
    <col min="5140" max="5140" width="13" style="221" customWidth="1"/>
    <col min="5141" max="5376" width="9.140625" style="221"/>
    <col min="5377" max="5377" width="6.7109375" style="221" customWidth="1"/>
    <col min="5378" max="5378" width="33.140625" style="221" bestFit="1" customWidth="1"/>
    <col min="5379" max="5379" width="0" style="221" hidden="1" customWidth="1"/>
    <col min="5380" max="5380" width="19" style="221" customWidth="1"/>
    <col min="5381" max="5381" width="19.85546875" style="221" customWidth="1"/>
    <col min="5382" max="5382" width="18.28515625" style="221" customWidth="1"/>
    <col min="5383" max="5383" width="22" style="221" customWidth="1"/>
    <col min="5384" max="5385" width="16.42578125" style="221" bestFit="1" customWidth="1"/>
    <col min="5386" max="5386" width="15" style="221" bestFit="1" customWidth="1"/>
    <col min="5387" max="5387" width="19.5703125" style="221" customWidth="1"/>
    <col min="5388" max="5393" width="0" style="221" hidden="1" customWidth="1"/>
    <col min="5394" max="5394" width="9.140625" style="221"/>
    <col min="5395" max="5395" width="15" style="221" customWidth="1"/>
    <col min="5396" max="5396" width="13" style="221" customWidth="1"/>
    <col min="5397" max="5632" width="9.140625" style="221"/>
    <col min="5633" max="5633" width="6.7109375" style="221" customWidth="1"/>
    <col min="5634" max="5634" width="33.140625" style="221" bestFit="1" customWidth="1"/>
    <col min="5635" max="5635" width="0" style="221" hidden="1" customWidth="1"/>
    <col min="5636" max="5636" width="19" style="221" customWidth="1"/>
    <col min="5637" max="5637" width="19.85546875" style="221" customWidth="1"/>
    <col min="5638" max="5638" width="18.28515625" style="221" customWidth="1"/>
    <col min="5639" max="5639" width="22" style="221" customWidth="1"/>
    <col min="5640" max="5641" width="16.42578125" style="221" bestFit="1" customWidth="1"/>
    <col min="5642" max="5642" width="15" style="221" bestFit="1" customWidth="1"/>
    <col min="5643" max="5643" width="19.5703125" style="221" customWidth="1"/>
    <col min="5644" max="5649" width="0" style="221" hidden="1" customWidth="1"/>
    <col min="5650" max="5650" width="9.140625" style="221"/>
    <col min="5651" max="5651" width="15" style="221" customWidth="1"/>
    <col min="5652" max="5652" width="13" style="221" customWidth="1"/>
    <col min="5653" max="5888" width="9.140625" style="221"/>
    <col min="5889" max="5889" width="6.7109375" style="221" customWidth="1"/>
    <col min="5890" max="5890" width="33.140625" style="221" bestFit="1" customWidth="1"/>
    <col min="5891" max="5891" width="0" style="221" hidden="1" customWidth="1"/>
    <col min="5892" max="5892" width="19" style="221" customWidth="1"/>
    <col min="5893" max="5893" width="19.85546875" style="221" customWidth="1"/>
    <col min="5894" max="5894" width="18.28515625" style="221" customWidth="1"/>
    <col min="5895" max="5895" width="22" style="221" customWidth="1"/>
    <col min="5896" max="5897" width="16.42578125" style="221" bestFit="1" customWidth="1"/>
    <col min="5898" max="5898" width="15" style="221" bestFit="1" customWidth="1"/>
    <col min="5899" max="5899" width="19.5703125" style="221" customWidth="1"/>
    <col min="5900" max="5905" width="0" style="221" hidden="1" customWidth="1"/>
    <col min="5906" max="5906" width="9.140625" style="221"/>
    <col min="5907" max="5907" width="15" style="221" customWidth="1"/>
    <col min="5908" max="5908" width="13" style="221" customWidth="1"/>
    <col min="5909" max="6144" width="9.140625" style="221"/>
    <col min="6145" max="6145" width="6.7109375" style="221" customWidth="1"/>
    <col min="6146" max="6146" width="33.140625" style="221" bestFit="1" customWidth="1"/>
    <col min="6147" max="6147" width="0" style="221" hidden="1" customWidth="1"/>
    <col min="6148" max="6148" width="19" style="221" customWidth="1"/>
    <col min="6149" max="6149" width="19.85546875" style="221" customWidth="1"/>
    <col min="6150" max="6150" width="18.28515625" style="221" customWidth="1"/>
    <col min="6151" max="6151" width="22" style="221" customWidth="1"/>
    <col min="6152" max="6153" width="16.42578125" style="221" bestFit="1" customWidth="1"/>
    <col min="6154" max="6154" width="15" style="221" bestFit="1" customWidth="1"/>
    <col min="6155" max="6155" width="19.5703125" style="221" customWidth="1"/>
    <col min="6156" max="6161" width="0" style="221" hidden="1" customWidth="1"/>
    <col min="6162" max="6162" width="9.140625" style="221"/>
    <col min="6163" max="6163" width="15" style="221" customWidth="1"/>
    <col min="6164" max="6164" width="13" style="221" customWidth="1"/>
    <col min="6165" max="6400" width="9.140625" style="221"/>
    <col min="6401" max="6401" width="6.7109375" style="221" customWidth="1"/>
    <col min="6402" max="6402" width="33.140625" style="221" bestFit="1" customWidth="1"/>
    <col min="6403" max="6403" width="0" style="221" hidden="1" customWidth="1"/>
    <col min="6404" max="6404" width="19" style="221" customWidth="1"/>
    <col min="6405" max="6405" width="19.85546875" style="221" customWidth="1"/>
    <col min="6406" max="6406" width="18.28515625" style="221" customWidth="1"/>
    <col min="6407" max="6407" width="22" style="221" customWidth="1"/>
    <col min="6408" max="6409" width="16.42578125" style="221" bestFit="1" customWidth="1"/>
    <col min="6410" max="6410" width="15" style="221" bestFit="1" customWidth="1"/>
    <col min="6411" max="6411" width="19.5703125" style="221" customWidth="1"/>
    <col min="6412" max="6417" width="0" style="221" hidden="1" customWidth="1"/>
    <col min="6418" max="6418" width="9.140625" style="221"/>
    <col min="6419" max="6419" width="15" style="221" customWidth="1"/>
    <col min="6420" max="6420" width="13" style="221" customWidth="1"/>
    <col min="6421" max="6656" width="9.140625" style="221"/>
    <col min="6657" max="6657" width="6.7109375" style="221" customWidth="1"/>
    <col min="6658" max="6658" width="33.140625" style="221" bestFit="1" customWidth="1"/>
    <col min="6659" max="6659" width="0" style="221" hidden="1" customWidth="1"/>
    <col min="6660" max="6660" width="19" style="221" customWidth="1"/>
    <col min="6661" max="6661" width="19.85546875" style="221" customWidth="1"/>
    <col min="6662" max="6662" width="18.28515625" style="221" customWidth="1"/>
    <col min="6663" max="6663" width="22" style="221" customWidth="1"/>
    <col min="6664" max="6665" width="16.42578125" style="221" bestFit="1" customWidth="1"/>
    <col min="6666" max="6666" width="15" style="221" bestFit="1" customWidth="1"/>
    <col min="6667" max="6667" width="19.5703125" style="221" customWidth="1"/>
    <col min="6668" max="6673" width="0" style="221" hidden="1" customWidth="1"/>
    <col min="6674" max="6674" width="9.140625" style="221"/>
    <col min="6675" max="6675" width="15" style="221" customWidth="1"/>
    <col min="6676" max="6676" width="13" style="221" customWidth="1"/>
    <col min="6677" max="6912" width="9.140625" style="221"/>
    <col min="6913" max="6913" width="6.7109375" style="221" customWidth="1"/>
    <col min="6914" max="6914" width="33.140625" style="221" bestFit="1" customWidth="1"/>
    <col min="6915" max="6915" width="0" style="221" hidden="1" customWidth="1"/>
    <col min="6916" max="6916" width="19" style="221" customWidth="1"/>
    <col min="6917" max="6917" width="19.85546875" style="221" customWidth="1"/>
    <col min="6918" max="6918" width="18.28515625" style="221" customWidth="1"/>
    <col min="6919" max="6919" width="22" style="221" customWidth="1"/>
    <col min="6920" max="6921" width="16.42578125" style="221" bestFit="1" customWidth="1"/>
    <col min="6922" max="6922" width="15" style="221" bestFit="1" customWidth="1"/>
    <col min="6923" max="6923" width="19.5703125" style="221" customWidth="1"/>
    <col min="6924" max="6929" width="0" style="221" hidden="1" customWidth="1"/>
    <col min="6930" max="6930" width="9.140625" style="221"/>
    <col min="6931" max="6931" width="15" style="221" customWidth="1"/>
    <col min="6932" max="6932" width="13" style="221" customWidth="1"/>
    <col min="6933" max="7168" width="9.140625" style="221"/>
    <col min="7169" max="7169" width="6.7109375" style="221" customWidth="1"/>
    <col min="7170" max="7170" width="33.140625" style="221" bestFit="1" customWidth="1"/>
    <col min="7171" max="7171" width="0" style="221" hidden="1" customWidth="1"/>
    <col min="7172" max="7172" width="19" style="221" customWidth="1"/>
    <col min="7173" max="7173" width="19.85546875" style="221" customWidth="1"/>
    <col min="7174" max="7174" width="18.28515625" style="221" customWidth="1"/>
    <col min="7175" max="7175" width="22" style="221" customWidth="1"/>
    <col min="7176" max="7177" width="16.42578125" style="221" bestFit="1" customWidth="1"/>
    <col min="7178" max="7178" width="15" style="221" bestFit="1" customWidth="1"/>
    <col min="7179" max="7179" width="19.5703125" style="221" customWidth="1"/>
    <col min="7180" max="7185" width="0" style="221" hidden="1" customWidth="1"/>
    <col min="7186" max="7186" width="9.140625" style="221"/>
    <col min="7187" max="7187" width="15" style="221" customWidth="1"/>
    <col min="7188" max="7188" width="13" style="221" customWidth="1"/>
    <col min="7189" max="7424" width="9.140625" style="221"/>
    <col min="7425" max="7425" width="6.7109375" style="221" customWidth="1"/>
    <col min="7426" max="7426" width="33.140625" style="221" bestFit="1" customWidth="1"/>
    <col min="7427" max="7427" width="0" style="221" hidden="1" customWidth="1"/>
    <col min="7428" max="7428" width="19" style="221" customWidth="1"/>
    <col min="7429" max="7429" width="19.85546875" style="221" customWidth="1"/>
    <col min="7430" max="7430" width="18.28515625" style="221" customWidth="1"/>
    <col min="7431" max="7431" width="22" style="221" customWidth="1"/>
    <col min="7432" max="7433" width="16.42578125" style="221" bestFit="1" customWidth="1"/>
    <col min="7434" max="7434" width="15" style="221" bestFit="1" customWidth="1"/>
    <col min="7435" max="7435" width="19.5703125" style="221" customWidth="1"/>
    <col min="7436" max="7441" width="0" style="221" hidden="1" customWidth="1"/>
    <col min="7442" max="7442" width="9.140625" style="221"/>
    <col min="7443" max="7443" width="15" style="221" customWidth="1"/>
    <col min="7444" max="7444" width="13" style="221" customWidth="1"/>
    <col min="7445" max="7680" width="9.140625" style="221"/>
    <col min="7681" max="7681" width="6.7109375" style="221" customWidth="1"/>
    <col min="7682" max="7682" width="33.140625" style="221" bestFit="1" customWidth="1"/>
    <col min="7683" max="7683" width="0" style="221" hidden="1" customWidth="1"/>
    <col min="7684" max="7684" width="19" style="221" customWidth="1"/>
    <col min="7685" max="7685" width="19.85546875" style="221" customWidth="1"/>
    <col min="7686" max="7686" width="18.28515625" style="221" customWidth="1"/>
    <col min="7687" max="7687" width="22" style="221" customWidth="1"/>
    <col min="7688" max="7689" width="16.42578125" style="221" bestFit="1" customWidth="1"/>
    <col min="7690" max="7690" width="15" style="221" bestFit="1" customWidth="1"/>
    <col min="7691" max="7691" width="19.5703125" style="221" customWidth="1"/>
    <col min="7692" max="7697" width="0" style="221" hidden="1" customWidth="1"/>
    <col min="7698" max="7698" width="9.140625" style="221"/>
    <col min="7699" max="7699" width="15" style="221" customWidth="1"/>
    <col min="7700" max="7700" width="13" style="221" customWidth="1"/>
    <col min="7701" max="7936" width="9.140625" style="221"/>
    <col min="7937" max="7937" width="6.7109375" style="221" customWidth="1"/>
    <col min="7938" max="7938" width="33.140625" style="221" bestFit="1" customWidth="1"/>
    <col min="7939" max="7939" width="0" style="221" hidden="1" customWidth="1"/>
    <col min="7940" max="7940" width="19" style="221" customWidth="1"/>
    <col min="7941" max="7941" width="19.85546875" style="221" customWidth="1"/>
    <col min="7942" max="7942" width="18.28515625" style="221" customWidth="1"/>
    <col min="7943" max="7943" width="22" style="221" customWidth="1"/>
    <col min="7944" max="7945" width="16.42578125" style="221" bestFit="1" customWidth="1"/>
    <col min="7946" max="7946" width="15" style="221" bestFit="1" customWidth="1"/>
    <col min="7947" max="7947" width="19.5703125" style="221" customWidth="1"/>
    <col min="7948" max="7953" width="0" style="221" hidden="1" customWidth="1"/>
    <col min="7954" max="7954" width="9.140625" style="221"/>
    <col min="7955" max="7955" width="15" style="221" customWidth="1"/>
    <col min="7956" max="7956" width="13" style="221" customWidth="1"/>
    <col min="7957" max="8192" width="9.140625" style="221"/>
    <col min="8193" max="8193" width="6.7109375" style="221" customWidth="1"/>
    <col min="8194" max="8194" width="33.140625" style="221" bestFit="1" customWidth="1"/>
    <col min="8195" max="8195" width="0" style="221" hidden="1" customWidth="1"/>
    <col min="8196" max="8196" width="19" style="221" customWidth="1"/>
    <col min="8197" max="8197" width="19.85546875" style="221" customWidth="1"/>
    <col min="8198" max="8198" width="18.28515625" style="221" customWidth="1"/>
    <col min="8199" max="8199" width="22" style="221" customWidth="1"/>
    <col min="8200" max="8201" width="16.42578125" style="221" bestFit="1" customWidth="1"/>
    <col min="8202" max="8202" width="15" style="221" bestFit="1" customWidth="1"/>
    <col min="8203" max="8203" width="19.5703125" style="221" customWidth="1"/>
    <col min="8204" max="8209" width="0" style="221" hidden="1" customWidth="1"/>
    <col min="8210" max="8210" width="9.140625" style="221"/>
    <col min="8211" max="8211" width="15" style="221" customWidth="1"/>
    <col min="8212" max="8212" width="13" style="221" customWidth="1"/>
    <col min="8213" max="8448" width="9.140625" style="221"/>
    <col min="8449" max="8449" width="6.7109375" style="221" customWidth="1"/>
    <col min="8450" max="8450" width="33.140625" style="221" bestFit="1" customWidth="1"/>
    <col min="8451" max="8451" width="0" style="221" hidden="1" customWidth="1"/>
    <col min="8452" max="8452" width="19" style="221" customWidth="1"/>
    <col min="8453" max="8453" width="19.85546875" style="221" customWidth="1"/>
    <col min="8454" max="8454" width="18.28515625" style="221" customWidth="1"/>
    <col min="8455" max="8455" width="22" style="221" customWidth="1"/>
    <col min="8456" max="8457" width="16.42578125" style="221" bestFit="1" customWidth="1"/>
    <col min="8458" max="8458" width="15" style="221" bestFit="1" customWidth="1"/>
    <col min="8459" max="8459" width="19.5703125" style="221" customWidth="1"/>
    <col min="8460" max="8465" width="0" style="221" hidden="1" customWidth="1"/>
    <col min="8466" max="8466" width="9.140625" style="221"/>
    <col min="8467" max="8467" width="15" style="221" customWidth="1"/>
    <col min="8468" max="8468" width="13" style="221" customWidth="1"/>
    <col min="8469" max="8704" width="9.140625" style="221"/>
    <col min="8705" max="8705" width="6.7109375" style="221" customWidth="1"/>
    <col min="8706" max="8706" width="33.140625" style="221" bestFit="1" customWidth="1"/>
    <col min="8707" max="8707" width="0" style="221" hidden="1" customWidth="1"/>
    <col min="8708" max="8708" width="19" style="221" customWidth="1"/>
    <col min="8709" max="8709" width="19.85546875" style="221" customWidth="1"/>
    <col min="8710" max="8710" width="18.28515625" style="221" customWidth="1"/>
    <col min="8711" max="8711" width="22" style="221" customWidth="1"/>
    <col min="8712" max="8713" width="16.42578125" style="221" bestFit="1" customWidth="1"/>
    <col min="8714" max="8714" width="15" style="221" bestFit="1" customWidth="1"/>
    <col min="8715" max="8715" width="19.5703125" style="221" customWidth="1"/>
    <col min="8716" max="8721" width="0" style="221" hidden="1" customWidth="1"/>
    <col min="8722" max="8722" width="9.140625" style="221"/>
    <col min="8723" max="8723" width="15" style="221" customWidth="1"/>
    <col min="8724" max="8724" width="13" style="221" customWidth="1"/>
    <col min="8725" max="8960" width="9.140625" style="221"/>
    <col min="8961" max="8961" width="6.7109375" style="221" customWidth="1"/>
    <col min="8962" max="8962" width="33.140625" style="221" bestFit="1" customWidth="1"/>
    <col min="8963" max="8963" width="0" style="221" hidden="1" customWidth="1"/>
    <col min="8964" max="8964" width="19" style="221" customWidth="1"/>
    <col min="8965" max="8965" width="19.85546875" style="221" customWidth="1"/>
    <col min="8966" max="8966" width="18.28515625" style="221" customWidth="1"/>
    <col min="8967" max="8967" width="22" style="221" customWidth="1"/>
    <col min="8968" max="8969" width="16.42578125" style="221" bestFit="1" customWidth="1"/>
    <col min="8970" max="8970" width="15" style="221" bestFit="1" customWidth="1"/>
    <col min="8971" max="8971" width="19.5703125" style="221" customWidth="1"/>
    <col min="8972" max="8977" width="0" style="221" hidden="1" customWidth="1"/>
    <col min="8978" max="8978" width="9.140625" style="221"/>
    <col min="8979" max="8979" width="15" style="221" customWidth="1"/>
    <col min="8980" max="8980" width="13" style="221" customWidth="1"/>
    <col min="8981" max="9216" width="9.140625" style="221"/>
    <col min="9217" max="9217" width="6.7109375" style="221" customWidth="1"/>
    <col min="9218" max="9218" width="33.140625" style="221" bestFit="1" customWidth="1"/>
    <col min="9219" max="9219" width="0" style="221" hidden="1" customWidth="1"/>
    <col min="9220" max="9220" width="19" style="221" customWidth="1"/>
    <col min="9221" max="9221" width="19.85546875" style="221" customWidth="1"/>
    <col min="9222" max="9222" width="18.28515625" style="221" customWidth="1"/>
    <col min="9223" max="9223" width="22" style="221" customWidth="1"/>
    <col min="9224" max="9225" width="16.42578125" style="221" bestFit="1" customWidth="1"/>
    <col min="9226" max="9226" width="15" style="221" bestFit="1" customWidth="1"/>
    <col min="9227" max="9227" width="19.5703125" style="221" customWidth="1"/>
    <col min="9228" max="9233" width="0" style="221" hidden="1" customWidth="1"/>
    <col min="9234" max="9234" width="9.140625" style="221"/>
    <col min="9235" max="9235" width="15" style="221" customWidth="1"/>
    <col min="9236" max="9236" width="13" style="221" customWidth="1"/>
    <col min="9237" max="9472" width="9.140625" style="221"/>
    <col min="9473" max="9473" width="6.7109375" style="221" customWidth="1"/>
    <col min="9474" max="9474" width="33.140625" style="221" bestFit="1" customWidth="1"/>
    <col min="9475" max="9475" width="0" style="221" hidden="1" customWidth="1"/>
    <col min="9476" max="9476" width="19" style="221" customWidth="1"/>
    <col min="9477" max="9477" width="19.85546875" style="221" customWidth="1"/>
    <col min="9478" max="9478" width="18.28515625" style="221" customWidth="1"/>
    <col min="9479" max="9479" width="22" style="221" customWidth="1"/>
    <col min="9480" max="9481" width="16.42578125" style="221" bestFit="1" customWidth="1"/>
    <col min="9482" max="9482" width="15" style="221" bestFit="1" customWidth="1"/>
    <col min="9483" max="9483" width="19.5703125" style="221" customWidth="1"/>
    <col min="9484" max="9489" width="0" style="221" hidden="1" customWidth="1"/>
    <col min="9490" max="9490" width="9.140625" style="221"/>
    <col min="9491" max="9491" width="15" style="221" customWidth="1"/>
    <col min="9492" max="9492" width="13" style="221" customWidth="1"/>
    <col min="9493" max="9728" width="9.140625" style="221"/>
    <col min="9729" max="9729" width="6.7109375" style="221" customWidth="1"/>
    <col min="9730" max="9730" width="33.140625" style="221" bestFit="1" customWidth="1"/>
    <col min="9731" max="9731" width="0" style="221" hidden="1" customWidth="1"/>
    <col min="9732" max="9732" width="19" style="221" customWidth="1"/>
    <col min="9733" max="9733" width="19.85546875" style="221" customWidth="1"/>
    <col min="9734" max="9734" width="18.28515625" style="221" customWidth="1"/>
    <col min="9735" max="9735" width="22" style="221" customWidth="1"/>
    <col min="9736" max="9737" width="16.42578125" style="221" bestFit="1" customWidth="1"/>
    <col min="9738" max="9738" width="15" style="221" bestFit="1" customWidth="1"/>
    <col min="9739" max="9739" width="19.5703125" style="221" customWidth="1"/>
    <col min="9740" max="9745" width="0" style="221" hidden="1" customWidth="1"/>
    <col min="9746" max="9746" width="9.140625" style="221"/>
    <col min="9747" max="9747" width="15" style="221" customWidth="1"/>
    <col min="9748" max="9748" width="13" style="221" customWidth="1"/>
    <col min="9749" max="9984" width="9.140625" style="221"/>
    <col min="9985" max="9985" width="6.7109375" style="221" customWidth="1"/>
    <col min="9986" max="9986" width="33.140625" style="221" bestFit="1" customWidth="1"/>
    <col min="9987" max="9987" width="0" style="221" hidden="1" customWidth="1"/>
    <col min="9988" max="9988" width="19" style="221" customWidth="1"/>
    <col min="9989" max="9989" width="19.85546875" style="221" customWidth="1"/>
    <col min="9990" max="9990" width="18.28515625" style="221" customWidth="1"/>
    <col min="9991" max="9991" width="22" style="221" customWidth="1"/>
    <col min="9992" max="9993" width="16.42578125" style="221" bestFit="1" customWidth="1"/>
    <col min="9994" max="9994" width="15" style="221" bestFit="1" customWidth="1"/>
    <col min="9995" max="9995" width="19.5703125" style="221" customWidth="1"/>
    <col min="9996" max="10001" width="0" style="221" hidden="1" customWidth="1"/>
    <col min="10002" max="10002" width="9.140625" style="221"/>
    <col min="10003" max="10003" width="15" style="221" customWidth="1"/>
    <col min="10004" max="10004" width="13" style="221" customWidth="1"/>
    <col min="10005" max="10240" width="9.140625" style="221"/>
    <col min="10241" max="10241" width="6.7109375" style="221" customWidth="1"/>
    <col min="10242" max="10242" width="33.140625" style="221" bestFit="1" customWidth="1"/>
    <col min="10243" max="10243" width="0" style="221" hidden="1" customWidth="1"/>
    <col min="10244" max="10244" width="19" style="221" customWidth="1"/>
    <col min="10245" max="10245" width="19.85546875" style="221" customWidth="1"/>
    <col min="10246" max="10246" width="18.28515625" style="221" customWidth="1"/>
    <col min="10247" max="10247" width="22" style="221" customWidth="1"/>
    <col min="10248" max="10249" width="16.42578125" style="221" bestFit="1" customWidth="1"/>
    <col min="10250" max="10250" width="15" style="221" bestFit="1" customWidth="1"/>
    <col min="10251" max="10251" width="19.5703125" style="221" customWidth="1"/>
    <col min="10252" max="10257" width="0" style="221" hidden="1" customWidth="1"/>
    <col min="10258" max="10258" width="9.140625" style="221"/>
    <col min="10259" max="10259" width="15" style="221" customWidth="1"/>
    <col min="10260" max="10260" width="13" style="221" customWidth="1"/>
    <col min="10261" max="10496" width="9.140625" style="221"/>
    <col min="10497" max="10497" width="6.7109375" style="221" customWidth="1"/>
    <col min="10498" max="10498" width="33.140625" style="221" bestFit="1" customWidth="1"/>
    <col min="10499" max="10499" width="0" style="221" hidden="1" customWidth="1"/>
    <col min="10500" max="10500" width="19" style="221" customWidth="1"/>
    <col min="10501" max="10501" width="19.85546875" style="221" customWidth="1"/>
    <col min="10502" max="10502" width="18.28515625" style="221" customWidth="1"/>
    <col min="10503" max="10503" width="22" style="221" customWidth="1"/>
    <col min="10504" max="10505" width="16.42578125" style="221" bestFit="1" customWidth="1"/>
    <col min="10506" max="10506" width="15" style="221" bestFit="1" customWidth="1"/>
    <col min="10507" max="10507" width="19.5703125" style="221" customWidth="1"/>
    <col min="10508" max="10513" width="0" style="221" hidden="1" customWidth="1"/>
    <col min="10514" max="10514" width="9.140625" style="221"/>
    <col min="10515" max="10515" width="15" style="221" customWidth="1"/>
    <col min="10516" max="10516" width="13" style="221" customWidth="1"/>
    <col min="10517" max="10752" width="9.140625" style="221"/>
    <col min="10753" max="10753" width="6.7109375" style="221" customWidth="1"/>
    <col min="10754" max="10754" width="33.140625" style="221" bestFit="1" customWidth="1"/>
    <col min="10755" max="10755" width="0" style="221" hidden="1" customWidth="1"/>
    <col min="10756" max="10756" width="19" style="221" customWidth="1"/>
    <col min="10757" max="10757" width="19.85546875" style="221" customWidth="1"/>
    <col min="10758" max="10758" width="18.28515625" style="221" customWidth="1"/>
    <col min="10759" max="10759" width="22" style="221" customWidth="1"/>
    <col min="10760" max="10761" width="16.42578125" style="221" bestFit="1" customWidth="1"/>
    <col min="10762" max="10762" width="15" style="221" bestFit="1" customWidth="1"/>
    <col min="10763" max="10763" width="19.5703125" style="221" customWidth="1"/>
    <col min="10764" max="10769" width="0" style="221" hidden="1" customWidth="1"/>
    <col min="10770" max="10770" width="9.140625" style="221"/>
    <col min="10771" max="10771" width="15" style="221" customWidth="1"/>
    <col min="10772" max="10772" width="13" style="221" customWidth="1"/>
    <col min="10773" max="11008" width="9.140625" style="221"/>
    <col min="11009" max="11009" width="6.7109375" style="221" customWidth="1"/>
    <col min="11010" max="11010" width="33.140625" style="221" bestFit="1" customWidth="1"/>
    <col min="11011" max="11011" width="0" style="221" hidden="1" customWidth="1"/>
    <col min="11012" max="11012" width="19" style="221" customWidth="1"/>
    <col min="11013" max="11013" width="19.85546875" style="221" customWidth="1"/>
    <col min="11014" max="11014" width="18.28515625" style="221" customWidth="1"/>
    <col min="11015" max="11015" width="22" style="221" customWidth="1"/>
    <col min="11016" max="11017" width="16.42578125" style="221" bestFit="1" customWidth="1"/>
    <col min="11018" max="11018" width="15" style="221" bestFit="1" customWidth="1"/>
    <col min="11019" max="11019" width="19.5703125" style="221" customWidth="1"/>
    <col min="11020" max="11025" width="0" style="221" hidden="1" customWidth="1"/>
    <col min="11026" max="11026" width="9.140625" style="221"/>
    <col min="11027" max="11027" width="15" style="221" customWidth="1"/>
    <col min="11028" max="11028" width="13" style="221" customWidth="1"/>
    <col min="11029" max="11264" width="9.140625" style="221"/>
    <col min="11265" max="11265" width="6.7109375" style="221" customWidth="1"/>
    <col min="11266" max="11266" width="33.140625" style="221" bestFit="1" customWidth="1"/>
    <col min="11267" max="11267" width="0" style="221" hidden="1" customWidth="1"/>
    <col min="11268" max="11268" width="19" style="221" customWidth="1"/>
    <col min="11269" max="11269" width="19.85546875" style="221" customWidth="1"/>
    <col min="11270" max="11270" width="18.28515625" style="221" customWidth="1"/>
    <col min="11271" max="11271" width="22" style="221" customWidth="1"/>
    <col min="11272" max="11273" width="16.42578125" style="221" bestFit="1" customWidth="1"/>
    <col min="11274" max="11274" width="15" style="221" bestFit="1" customWidth="1"/>
    <col min="11275" max="11275" width="19.5703125" style="221" customWidth="1"/>
    <col min="11276" max="11281" width="0" style="221" hidden="1" customWidth="1"/>
    <col min="11282" max="11282" width="9.140625" style="221"/>
    <col min="11283" max="11283" width="15" style="221" customWidth="1"/>
    <col min="11284" max="11284" width="13" style="221" customWidth="1"/>
    <col min="11285" max="11520" width="9.140625" style="221"/>
    <col min="11521" max="11521" width="6.7109375" style="221" customWidth="1"/>
    <col min="11522" max="11522" width="33.140625" style="221" bestFit="1" customWidth="1"/>
    <col min="11523" max="11523" width="0" style="221" hidden="1" customWidth="1"/>
    <col min="11524" max="11524" width="19" style="221" customWidth="1"/>
    <col min="11525" max="11525" width="19.85546875" style="221" customWidth="1"/>
    <col min="11526" max="11526" width="18.28515625" style="221" customWidth="1"/>
    <col min="11527" max="11527" width="22" style="221" customWidth="1"/>
    <col min="11528" max="11529" width="16.42578125" style="221" bestFit="1" customWidth="1"/>
    <col min="11530" max="11530" width="15" style="221" bestFit="1" customWidth="1"/>
    <col min="11531" max="11531" width="19.5703125" style="221" customWidth="1"/>
    <col min="11532" max="11537" width="0" style="221" hidden="1" customWidth="1"/>
    <col min="11538" max="11538" width="9.140625" style="221"/>
    <col min="11539" max="11539" width="15" style="221" customWidth="1"/>
    <col min="11540" max="11540" width="13" style="221" customWidth="1"/>
    <col min="11541" max="11776" width="9.140625" style="221"/>
    <col min="11777" max="11777" width="6.7109375" style="221" customWidth="1"/>
    <col min="11778" max="11778" width="33.140625" style="221" bestFit="1" customWidth="1"/>
    <col min="11779" max="11779" width="0" style="221" hidden="1" customWidth="1"/>
    <col min="11780" max="11780" width="19" style="221" customWidth="1"/>
    <col min="11781" max="11781" width="19.85546875" style="221" customWidth="1"/>
    <col min="11782" max="11782" width="18.28515625" style="221" customWidth="1"/>
    <col min="11783" max="11783" width="22" style="221" customWidth="1"/>
    <col min="11784" max="11785" width="16.42578125" style="221" bestFit="1" customWidth="1"/>
    <col min="11786" max="11786" width="15" style="221" bestFit="1" customWidth="1"/>
    <col min="11787" max="11787" width="19.5703125" style="221" customWidth="1"/>
    <col min="11788" max="11793" width="0" style="221" hidden="1" customWidth="1"/>
    <col min="11794" max="11794" width="9.140625" style="221"/>
    <col min="11795" max="11795" width="15" style="221" customWidth="1"/>
    <col min="11796" max="11796" width="13" style="221" customWidth="1"/>
    <col min="11797" max="12032" width="9.140625" style="221"/>
    <col min="12033" max="12033" width="6.7109375" style="221" customWidth="1"/>
    <col min="12034" max="12034" width="33.140625" style="221" bestFit="1" customWidth="1"/>
    <col min="12035" max="12035" width="0" style="221" hidden="1" customWidth="1"/>
    <col min="12036" max="12036" width="19" style="221" customWidth="1"/>
    <col min="12037" max="12037" width="19.85546875" style="221" customWidth="1"/>
    <col min="12038" max="12038" width="18.28515625" style="221" customWidth="1"/>
    <col min="12039" max="12039" width="22" style="221" customWidth="1"/>
    <col min="12040" max="12041" width="16.42578125" style="221" bestFit="1" customWidth="1"/>
    <col min="12042" max="12042" width="15" style="221" bestFit="1" customWidth="1"/>
    <col min="12043" max="12043" width="19.5703125" style="221" customWidth="1"/>
    <col min="12044" max="12049" width="0" style="221" hidden="1" customWidth="1"/>
    <col min="12050" max="12050" width="9.140625" style="221"/>
    <col min="12051" max="12051" width="15" style="221" customWidth="1"/>
    <col min="12052" max="12052" width="13" style="221" customWidth="1"/>
    <col min="12053" max="12288" width="9.140625" style="221"/>
    <col min="12289" max="12289" width="6.7109375" style="221" customWidth="1"/>
    <col min="12290" max="12290" width="33.140625" style="221" bestFit="1" customWidth="1"/>
    <col min="12291" max="12291" width="0" style="221" hidden="1" customWidth="1"/>
    <col min="12292" max="12292" width="19" style="221" customWidth="1"/>
    <col min="12293" max="12293" width="19.85546875" style="221" customWidth="1"/>
    <col min="12294" max="12294" width="18.28515625" style="221" customWidth="1"/>
    <col min="12295" max="12295" width="22" style="221" customWidth="1"/>
    <col min="12296" max="12297" width="16.42578125" style="221" bestFit="1" customWidth="1"/>
    <col min="12298" max="12298" width="15" style="221" bestFit="1" customWidth="1"/>
    <col min="12299" max="12299" width="19.5703125" style="221" customWidth="1"/>
    <col min="12300" max="12305" width="0" style="221" hidden="1" customWidth="1"/>
    <col min="12306" max="12306" width="9.140625" style="221"/>
    <col min="12307" max="12307" width="15" style="221" customWidth="1"/>
    <col min="12308" max="12308" width="13" style="221" customWidth="1"/>
    <col min="12309" max="12544" width="9.140625" style="221"/>
    <col min="12545" max="12545" width="6.7109375" style="221" customWidth="1"/>
    <col min="12546" max="12546" width="33.140625" style="221" bestFit="1" customWidth="1"/>
    <col min="12547" max="12547" width="0" style="221" hidden="1" customWidth="1"/>
    <col min="12548" max="12548" width="19" style="221" customWidth="1"/>
    <col min="12549" max="12549" width="19.85546875" style="221" customWidth="1"/>
    <col min="12550" max="12550" width="18.28515625" style="221" customWidth="1"/>
    <col min="12551" max="12551" width="22" style="221" customWidth="1"/>
    <col min="12552" max="12553" width="16.42578125" style="221" bestFit="1" customWidth="1"/>
    <col min="12554" max="12554" width="15" style="221" bestFit="1" customWidth="1"/>
    <col min="12555" max="12555" width="19.5703125" style="221" customWidth="1"/>
    <col min="12556" max="12561" width="0" style="221" hidden="1" customWidth="1"/>
    <col min="12562" max="12562" width="9.140625" style="221"/>
    <col min="12563" max="12563" width="15" style="221" customWidth="1"/>
    <col min="12564" max="12564" width="13" style="221" customWidth="1"/>
    <col min="12565" max="12800" width="9.140625" style="221"/>
    <col min="12801" max="12801" width="6.7109375" style="221" customWidth="1"/>
    <col min="12802" max="12802" width="33.140625" style="221" bestFit="1" customWidth="1"/>
    <col min="12803" max="12803" width="0" style="221" hidden="1" customWidth="1"/>
    <col min="12804" max="12804" width="19" style="221" customWidth="1"/>
    <col min="12805" max="12805" width="19.85546875" style="221" customWidth="1"/>
    <col min="12806" max="12806" width="18.28515625" style="221" customWidth="1"/>
    <col min="12807" max="12807" width="22" style="221" customWidth="1"/>
    <col min="12808" max="12809" width="16.42578125" style="221" bestFit="1" customWidth="1"/>
    <col min="12810" max="12810" width="15" style="221" bestFit="1" customWidth="1"/>
    <col min="12811" max="12811" width="19.5703125" style="221" customWidth="1"/>
    <col min="12812" max="12817" width="0" style="221" hidden="1" customWidth="1"/>
    <col min="12818" max="12818" width="9.140625" style="221"/>
    <col min="12819" max="12819" width="15" style="221" customWidth="1"/>
    <col min="12820" max="12820" width="13" style="221" customWidth="1"/>
    <col min="12821" max="13056" width="9.140625" style="221"/>
    <col min="13057" max="13057" width="6.7109375" style="221" customWidth="1"/>
    <col min="13058" max="13058" width="33.140625" style="221" bestFit="1" customWidth="1"/>
    <col min="13059" max="13059" width="0" style="221" hidden="1" customWidth="1"/>
    <col min="13060" max="13060" width="19" style="221" customWidth="1"/>
    <col min="13061" max="13061" width="19.85546875" style="221" customWidth="1"/>
    <col min="13062" max="13062" width="18.28515625" style="221" customWidth="1"/>
    <col min="13063" max="13063" width="22" style="221" customWidth="1"/>
    <col min="13064" max="13065" width="16.42578125" style="221" bestFit="1" customWidth="1"/>
    <col min="13066" max="13066" width="15" style="221" bestFit="1" customWidth="1"/>
    <col min="13067" max="13067" width="19.5703125" style="221" customWidth="1"/>
    <col min="13068" max="13073" width="0" style="221" hidden="1" customWidth="1"/>
    <col min="13074" max="13074" width="9.140625" style="221"/>
    <col min="13075" max="13075" width="15" style="221" customWidth="1"/>
    <col min="13076" max="13076" width="13" style="221" customWidth="1"/>
    <col min="13077" max="13312" width="9.140625" style="221"/>
    <col min="13313" max="13313" width="6.7109375" style="221" customWidth="1"/>
    <col min="13314" max="13314" width="33.140625" style="221" bestFit="1" customWidth="1"/>
    <col min="13315" max="13315" width="0" style="221" hidden="1" customWidth="1"/>
    <col min="13316" max="13316" width="19" style="221" customWidth="1"/>
    <col min="13317" max="13317" width="19.85546875" style="221" customWidth="1"/>
    <col min="13318" max="13318" width="18.28515625" style="221" customWidth="1"/>
    <col min="13319" max="13319" width="22" style="221" customWidth="1"/>
    <col min="13320" max="13321" width="16.42578125" style="221" bestFit="1" customWidth="1"/>
    <col min="13322" max="13322" width="15" style="221" bestFit="1" customWidth="1"/>
    <col min="13323" max="13323" width="19.5703125" style="221" customWidth="1"/>
    <col min="13324" max="13329" width="0" style="221" hidden="1" customWidth="1"/>
    <col min="13330" max="13330" width="9.140625" style="221"/>
    <col min="13331" max="13331" width="15" style="221" customWidth="1"/>
    <col min="13332" max="13332" width="13" style="221" customWidth="1"/>
    <col min="13333" max="13568" width="9.140625" style="221"/>
    <col min="13569" max="13569" width="6.7109375" style="221" customWidth="1"/>
    <col min="13570" max="13570" width="33.140625" style="221" bestFit="1" customWidth="1"/>
    <col min="13571" max="13571" width="0" style="221" hidden="1" customWidth="1"/>
    <col min="13572" max="13572" width="19" style="221" customWidth="1"/>
    <col min="13573" max="13573" width="19.85546875" style="221" customWidth="1"/>
    <col min="13574" max="13574" width="18.28515625" style="221" customWidth="1"/>
    <col min="13575" max="13575" width="22" style="221" customWidth="1"/>
    <col min="13576" max="13577" width="16.42578125" style="221" bestFit="1" customWidth="1"/>
    <col min="13578" max="13578" width="15" style="221" bestFit="1" customWidth="1"/>
    <col min="13579" max="13579" width="19.5703125" style="221" customWidth="1"/>
    <col min="13580" max="13585" width="0" style="221" hidden="1" customWidth="1"/>
    <col min="13586" max="13586" width="9.140625" style="221"/>
    <col min="13587" max="13587" width="15" style="221" customWidth="1"/>
    <col min="13588" max="13588" width="13" style="221" customWidth="1"/>
    <col min="13589" max="13824" width="9.140625" style="221"/>
    <col min="13825" max="13825" width="6.7109375" style="221" customWidth="1"/>
    <col min="13826" max="13826" width="33.140625" style="221" bestFit="1" customWidth="1"/>
    <col min="13827" max="13827" width="0" style="221" hidden="1" customWidth="1"/>
    <col min="13828" max="13828" width="19" style="221" customWidth="1"/>
    <col min="13829" max="13829" width="19.85546875" style="221" customWidth="1"/>
    <col min="13830" max="13830" width="18.28515625" style="221" customWidth="1"/>
    <col min="13831" max="13831" width="22" style="221" customWidth="1"/>
    <col min="13832" max="13833" width="16.42578125" style="221" bestFit="1" customWidth="1"/>
    <col min="13834" max="13834" width="15" style="221" bestFit="1" customWidth="1"/>
    <col min="13835" max="13835" width="19.5703125" style="221" customWidth="1"/>
    <col min="13836" max="13841" width="0" style="221" hidden="1" customWidth="1"/>
    <col min="13842" max="13842" width="9.140625" style="221"/>
    <col min="13843" max="13843" width="15" style="221" customWidth="1"/>
    <col min="13844" max="13844" width="13" style="221" customWidth="1"/>
    <col min="13845" max="14080" width="9.140625" style="221"/>
    <col min="14081" max="14081" width="6.7109375" style="221" customWidth="1"/>
    <col min="14082" max="14082" width="33.140625" style="221" bestFit="1" customWidth="1"/>
    <col min="14083" max="14083" width="0" style="221" hidden="1" customWidth="1"/>
    <col min="14084" max="14084" width="19" style="221" customWidth="1"/>
    <col min="14085" max="14085" width="19.85546875" style="221" customWidth="1"/>
    <col min="14086" max="14086" width="18.28515625" style="221" customWidth="1"/>
    <col min="14087" max="14087" width="22" style="221" customWidth="1"/>
    <col min="14088" max="14089" width="16.42578125" style="221" bestFit="1" customWidth="1"/>
    <col min="14090" max="14090" width="15" style="221" bestFit="1" customWidth="1"/>
    <col min="14091" max="14091" width="19.5703125" style="221" customWidth="1"/>
    <col min="14092" max="14097" width="0" style="221" hidden="1" customWidth="1"/>
    <col min="14098" max="14098" width="9.140625" style="221"/>
    <col min="14099" max="14099" width="15" style="221" customWidth="1"/>
    <col min="14100" max="14100" width="13" style="221" customWidth="1"/>
    <col min="14101" max="14336" width="9.140625" style="221"/>
    <col min="14337" max="14337" width="6.7109375" style="221" customWidth="1"/>
    <col min="14338" max="14338" width="33.140625" style="221" bestFit="1" customWidth="1"/>
    <col min="14339" max="14339" width="0" style="221" hidden="1" customWidth="1"/>
    <col min="14340" max="14340" width="19" style="221" customWidth="1"/>
    <col min="14341" max="14341" width="19.85546875" style="221" customWidth="1"/>
    <col min="14342" max="14342" width="18.28515625" style="221" customWidth="1"/>
    <col min="14343" max="14343" width="22" style="221" customWidth="1"/>
    <col min="14344" max="14345" width="16.42578125" style="221" bestFit="1" customWidth="1"/>
    <col min="14346" max="14346" width="15" style="221" bestFit="1" customWidth="1"/>
    <col min="14347" max="14347" width="19.5703125" style="221" customWidth="1"/>
    <col min="14348" max="14353" width="0" style="221" hidden="1" customWidth="1"/>
    <col min="14354" max="14354" width="9.140625" style="221"/>
    <col min="14355" max="14355" width="15" style="221" customWidth="1"/>
    <col min="14356" max="14356" width="13" style="221" customWidth="1"/>
    <col min="14357" max="14592" width="9.140625" style="221"/>
    <col min="14593" max="14593" width="6.7109375" style="221" customWidth="1"/>
    <col min="14594" max="14594" width="33.140625" style="221" bestFit="1" customWidth="1"/>
    <col min="14595" max="14595" width="0" style="221" hidden="1" customWidth="1"/>
    <col min="14596" max="14596" width="19" style="221" customWidth="1"/>
    <col min="14597" max="14597" width="19.85546875" style="221" customWidth="1"/>
    <col min="14598" max="14598" width="18.28515625" style="221" customWidth="1"/>
    <col min="14599" max="14599" width="22" style="221" customWidth="1"/>
    <col min="14600" max="14601" width="16.42578125" style="221" bestFit="1" customWidth="1"/>
    <col min="14602" max="14602" width="15" style="221" bestFit="1" customWidth="1"/>
    <col min="14603" max="14603" width="19.5703125" style="221" customWidth="1"/>
    <col min="14604" max="14609" width="0" style="221" hidden="1" customWidth="1"/>
    <col min="14610" max="14610" width="9.140625" style="221"/>
    <col min="14611" max="14611" width="15" style="221" customWidth="1"/>
    <col min="14612" max="14612" width="13" style="221" customWidth="1"/>
    <col min="14613" max="14848" width="9.140625" style="221"/>
    <col min="14849" max="14849" width="6.7109375" style="221" customWidth="1"/>
    <col min="14850" max="14850" width="33.140625" style="221" bestFit="1" customWidth="1"/>
    <col min="14851" max="14851" width="0" style="221" hidden="1" customWidth="1"/>
    <col min="14852" max="14852" width="19" style="221" customWidth="1"/>
    <col min="14853" max="14853" width="19.85546875" style="221" customWidth="1"/>
    <col min="14854" max="14854" width="18.28515625" style="221" customWidth="1"/>
    <col min="14855" max="14855" width="22" style="221" customWidth="1"/>
    <col min="14856" max="14857" width="16.42578125" style="221" bestFit="1" customWidth="1"/>
    <col min="14858" max="14858" width="15" style="221" bestFit="1" customWidth="1"/>
    <col min="14859" max="14859" width="19.5703125" style="221" customWidth="1"/>
    <col min="14860" max="14865" width="0" style="221" hidden="1" customWidth="1"/>
    <col min="14866" max="14866" width="9.140625" style="221"/>
    <col min="14867" max="14867" width="15" style="221" customWidth="1"/>
    <col min="14868" max="14868" width="13" style="221" customWidth="1"/>
    <col min="14869" max="15104" width="9.140625" style="221"/>
    <col min="15105" max="15105" width="6.7109375" style="221" customWidth="1"/>
    <col min="15106" max="15106" width="33.140625" style="221" bestFit="1" customWidth="1"/>
    <col min="15107" max="15107" width="0" style="221" hidden="1" customWidth="1"/>
    <col min="15108" max="15108" width="19" style="221" customWidth="1"/>
    <col min="15109" max="15109" width="19.85546875" style="221" customWidth="1"/>
    <col min="15110" max="15110" width="18.28515625" style="221" customWidth="1"/>
    <col min="15111" max="15111" width="22" style="221" customWidth="1"/>
    <col min="15112" max="15113" width="16.42578125" style="221" bestFit="1" customWidth="1"/>
    <col min="15114" max="15114" width="15" style="221" bestFit="1" customWidth="1"/>
    <col min="15115" max="15115" width="19.5703125" style="221" customWidth="1"/>
    <col min="15116" max="15121" width="0" style="221" hidden="1" customWidth="1"/>
    <col min="15122" max="15122" width="9.140625" style="221"/>
    <col min="15123" max="15123" width="15" style="221" customWidth="1"/>
    <col min="15124" max="15124" width="13" style="221" customWidth="1"/>
    <col min="15125" max="15360" width="9.140625" style="221"/>
    <col min="15361" max="15361" width="6.7109375" style="221" customWidth="1"/>
    <col min="15362" max="15362" width="33.140625" style="221" bestFit="1" customWidth="1"/>
    <col min="15363" max="15363" width="0" style="221" hidden="1" customWidth="1"/>
    <col min="15364" max="15364" width="19" style="221" customWidth="1"/>
    <col min="15365" max="15365" width="19.85546875" style="221" customWidth="1"/>
    <col min="15366" max="15366" width="18.28515625" style="221" customWidth="1"/>
    <col min="15367" max="15367" width="22" style="221" customWidth="1"/>
    <col min="15368" max="15369" width="16.42578125" style="221" bestFit="1" customWidth="1"/>
    <col min="15370" max="15370" width="15" style="221" bestFit="1" customWidth="1"/>
    <col min="15371" max="15371" width="19.5703125" style="221" customWidth="1"/>
    <col min="15372" max="15377" width="0" style="221" hidden="1" customWidth="1"/>
    <col min="15378" max="15378" width="9.140625" style="221"/>
    <col min="15379" max="15379" width="15" style="221" customWidth="1"/>
    <col min="15380" max="15380" width="13" style="221" customWidth="1"/>
    <col min="15381" max="15616" width="9.140625" style="221"/>
    <col min="15617" max="15617" width="6.7109375" style="221" customWidth="1"/>
    <col min="15618" max="15618" width="33.140625" style="221" bestFit="1" customWidth="1"/>
    <col min="15619" max="15619" width="0" style="221" hidden="1" customWidth="1"/>
    <col min="15620" max="15620" width="19" style="221" customWidth="1"/>
    <col min="15621" max="15621" width="19.85546875" style="221" customWidth="1"/>
    <col min="15622" max="15622" width="18.28515625" style="221" customWidth="1"/>
    <col min="15623" max="15623" width="22" style="221" customWidth="1"/>
    <col min="15624" max="15625" width="16.42578125" style="221" bestFit="1" customWidth="1"/>
    <col min="15626" max="15626" width="15" style="221" bestFit="1" customWidth="1"/>
    <col min="15627" max="15627" width="19.5703125" style="221" customWidth="1"/>
    <col min="15628" max="15633" width="0" style="221" hidden="1" customWidth="1"/>
    <col min="15634" max="15634" width="9.140625" style="221"/>
    <col min="15635" max="15635" width="15" style="221" customWidth="1"/>
    <col min="15636" max="15636" width="13" style="221" customWidth="1"/>
    <col min="15637" max="15872" width="9.140625" style="221"/>
    <col min="15873" max="15873" width="6.7109375" style="221" customWidth="1"/>
    <col min="15874" max="15874" width="33.140625" style="221" bestFit="1" customWidth="1"/>
    <col min="15875" max="15875" width="0" style="221" hidden="1" customWidth="1"/>
    <col min="15876" max="15876" width="19" style="221" customWidth="1"/>
    <col min="15877" max="15877" width="19.85546875" style="221" customWidth="1"/>
    <col min="15878" max="15878" width="18.28515625" style="221" customWidth="1"/>
    <col min="15879" max="15879" width="22" style="221" customWidth="1"/>
    <col min="15880" max="15881" width="16.42578125" style="221" bestFit="1" customWidth="1"/>
    <col min="15882" max="15882" width="15" style="221" bestFit="1" customWidth="1"/>
    <col min="15883" max="15883" width="19.5703125" style="221" customWidth="1"/>
    <col min="15884" max="15889" width="0" style="221" hidden="1" customWidth="1"/>
    <col min="15890" max="15890" width="9.140625" style="221"/>
    <col min="15891" max="15891" width="15" style="221" customWidth="1"/>
    <col min="15892" max="15892" width="13" style="221" customWidth="1"/>
    <col min="15893" max="16128" width="9.140625" style="221"/>
    <col min="16129" max="16129" width="6.7109375" style="221" customWidth="1"/>
    <col min="16130" max="16130" width="33.140625" style="221" bestFit="1" customWidth="1"/>
    <col min="16131" max="16131" width="0" style="221" hidden="1" customWidth="1"/>
    <col min="16132" max="16132" width="19" style="221" customWidth="1"/>
    <col min="16133" max="16133" width="19.85546875" style="221" customWidth="1"/>
    <col min="16134" max="16134" width="18.28515625" style="221" customWidth="1"/>
    <col min="16135" max="16135" width="22" style="221" customWidth="1"/>
    <col min="16136" max="16137" width="16.42578125" style="221" bestFit="1" customWidth="1"/>
    <col min="16138" max="16138" width="15" style="221" bestFit="1" customWidth="1"/>
    <col min="16139" max="16139" width="19.5703125" style="221" customWidth="1"/>
    <col min="16140" max="16145" width="0" style="221" hidden="1" customWidth="1"/>
    <col min="16146" max="16146" width="9.140625" style="221"/>
    <col min="16147" max="16147" width="15" style="221" customWidth="1"/>
    <col min="16148" max="16148" width="13" style="221" customWidth="1"/>
    <col min="16149" max="16384" width="9.140625" style="221"/>
  </cols>
  <sheetData>
    <row r="3" spans="1:19" ht="13.5" thickBot="1"/>
    <row r="4" spans="1:19" ht="30" customHeight="1">
      <c r="A4" s="767" t="s">
        <v>0</v>
      </c>
      <c r="B4" s="768"/>
      <c r="C4" s="768"/>
      <c r="D4" s="768"/>
      <c r="E4" s="768"/>
      <c r="F4" s="768"/>
      <c r="G4" s="768"/>
      <c r="H4" s="768"/>
      <c r="I4" s="768"/>
      <c r="J4" s="768"/>
      <c r="K4" s="769"/>
    </row>
    <row r="5" spans="1:19" ht="30" customHeight="1" thickBot="1">
      <c r="A5" s="770" t="s">
        <v>430</v>
      </c>
      <c r="B5" s="771"/>
      <c r="C5" s="771"/>
      <c r="D5" s="771"/>
      <c r="E5" s="771"/>
      <c r="F5" s="771"/>
      <c r="G5" s="771"/>
      <c r="H5" s="771"/>
      <c r="I5" s="771"/>
      <c r="J5" s="771"/>
      <c r="K5" s="772"/>
    </row>
    <row r="6" spans="1:19" ht="30" customHeight="1" thickTop="1">
      <c r="A6" s="773" t="s">
        <v>776</v>
      </c>
      <c r="B6" s="774"/>
      <c r="C6" s="774"/>
      <c r="D6" s="774"/>
      <c r="E6" s="774"/>
      <c r="F6" s="774"/>
      <c r="G6" s="774"/>
      <c r="H6" s="774"/>
      <c r="I6" s="774"/>
      <c r="J6" s="774"/>
      <c r="K6" s="775"/>
    </row>
    <row r="7" spans="1:19" ht="30" customHeight="1">
      <c r="A7" s="377" t="s">
        <v>1</v>
      </c>
      <c r="B7" s="377" t="s">
        <v>2</v>
      </c>
      <c r="C7" s="223" t="s">
        <v>329</v>
      </c>
      <c r="D7" s="776" t="s">
        <v>3</v>
      </c>
      <c r="E7" s="776"/>
      <c r="F7" s="377" t="s">
        <v>4</v>
      </c>
      <c r="G7" s="377" t="s">
        <v>5</v>
      </c>
      <c r="H7" s="377" t="s">
        <v>431</v>
      </c>
      <c r="I7" s="776" t="s">
        <v>7</v>
      </c>
      <c r="J7" s="776"/>
      <c r="K7" s="377" t="s">
        <v>5</v>
      </c>
    </row>
    <row r="8" spans="1:19" ht="30" customHeight="1">
      <c r="A8" s="224"/>
      <c r="B8" s="225"/>
      <c r="C8" s="226"/>
      <c r="D8" s="377" t="s">
        <v>8</v>
      </c>
      <c r="E8" s="377" t="s">
        <v>9</v>
      </c>
      <c r="F8" s="377"/>
      <c r="G8" s="377"/>
      <c r="H8" s="377" t="s">
        <v>432</v>
      </c>
      <c r="I8" s="377" t="s">
        <v>8</v>
      </c>
      <c r="J8" s="377" t="s">
        <v>9</v>
      </c>
      <c r="K8" s="377" t="s">
        <v>433</v>
      </c>
    </row>
    <row r="9" spans="1:19" ht="30" customHeight="1">
      <c r="A9" s="224"/>
      <c r="B9" s="225"/>
      <c r="C9" s="226"/>
      <c r="D9" s="377" t="s">
        <v>10</v>
      </c>
      <c r="E9" s="377" t="s">
        <v>10</v>
      </c>
      <c r="F9" s="377" t="s">
        <v>10</v>
      </c>
      <c r="G9" s="377" t="s">
        <v>10</v>
      </c>
      <c r="H9" s="377" t="s">
        <v>10</v>
      </c>
      <c r="I9" s="377" t="s">
        <v>10</v>
      </c>
      <c r="J9" s="377" t="s">
        <v>10</v>
      </c>
      <c r="K9" s="377" t="s">
        <v>10</v>
      </c>
      <c r="N9" s="227"/>
      <c r="O9" s="227"/>
    </row>
    <row r="10" spans="1:19" ht="30" customHeight="1">
      <c r="A10" s="228" t="s">
        <v>434</v>
      </c>
      <c r="B10" s="229" t="s">
        <v>435</v>
      </c>
      <c r="C10" s="229"/>
      <c r="D10" s="224"/>
      <c r="E10" s="224"/>
      <c r="F10" s="224"/>
      <c r="G10" s="224"/>
      <c r="H10" s="224"/>
      <c r="I10" s="224"/>
      <c r="J10" s="224"/>
      <c r="K10" s="224"/>
      <c r="L10" s="777" t="s">
        <v>436</v>
      </c>
      <c r="M10" s="778"/>
      <c r="N10" s="230">
        <f>+D66+E66+F66+64884</f>
        <v>2167713</v>
      </c>
    </row>
    <row r="11" spans="1:19" ht="30" customHeight="1" thickBot="1">
      <c r="A11" s="228">
        <v>1</v>
      </c>
      <c r="B11" s="229" t="s">
        <v>437</v>
      </c>
      <c r="C11" s="229"/>
      <c r="D11" s="475"/>
      <c r="E11" s="475"/>
      <c r="F11" s="377"/>
      <c r="G11" s="377"/>
      <c r="H11" s="377"/>
      <c r="I11" s="377"/>
      <c r="J11" s="377"/>
      <c r="K11" s="377"/>
      <c r="L11" s="231" t="s">
        <v>438</v>
      </c>
      <c r="M11" s="232">
        <f>SUM(H42:H63)</f>
        <v>173876</v>
      </c>
      <c r="N11" s="230">
        <f>+(I66+J66)+55080</f>
        <v>1916640</v>
      </c>
    </row>
    <row r="12" spans="1:19" ht="30" customHeight="1" thickBot="1">
      <c r="A12" s="228"/>
      <c r="B12" s="226" t="s">
        <v>439</v>
      </c>
      <c r="C12" s="226"/>
      <c r="D12" s="136">
        <v>0</v>
      </c>
      <c r="E12" s="136">
        <v>1582</v>
      </c>
      <c r="F12" s="233"/>
      <c r="G12" s="136">
        <f t="shared" ref="G12:G65" si="0">SUM(D12:F12)</f>
        <v>1582</v>
      </c>
      <c r="H12" s="136">
        <f t="shared" ref="H12:H65" si="1">+G12-K12</f>
        <v>0</v>
      </c>
      <c r="I12" s="136">
        <v>0</v>
      </c>
      <c r="J12" s="136">
        <v>1582</v>
      </c>
      <c r="K12" s="234">
        <f t="shared" ref="K12:K65" si="2">SUM(I12:J12)</f>
        <v>1582</v>
      </c>
      <c r="L12" s="231" t="s">
        <v>440</v>
      </c>
      <c r="M12" s="232">
        <f>+H12+H13+H14+H15+H16+H17+H18+H19+H20+H21+H22+H23+H25+H27+H28+H31+H32+H34+H36+H30+H39</f>
        <v>65055</v>
      </c>
      <c r="N12" s="235">
        <f>+N10-N11</f>
        <v>251073</v>
      </c>
      <c r="O12" s="221" t="s">
        <v>290</v>
      </c>
      <c r="S12" s="230"/>
    </row>
    <row r="13" spans="1:19" ht="30" customHeight="1">
      <c r="A13" s="228"/>
      <c r="B13" s="226" t="s">
        <v>441</v>
      </c>
      <c r="C13" s="226" t="s">
        <v>442</v>
      </c>
      <c r="D13" s="136">
        <v>79683</v>
      </c>
      <c r="E13" s="136">
        <v>24024</v>
      </c>
      <c r="F13" s="233"/>
      <c r="G13" s="136">
        <f t="shared" si="0"/>
        <v>103707</v>
      </c>
      <c r="H13" s="136">
        <f t="shared" si="1"/>
        <v>426</v>
      </c>
      <c r="I13" s="136">
        <v>79683</v>
      </c>
      <c r="J13" s="136">
        <v>23598</v>
      </c>
      <c r="K13" s="234">
        <f t="shared" si="2"/>
        <v>103281</v>
      </c>
      <c r="L13" s="231"/>
      <c r="M13" s="236">
        <f>+M11+M12</f>
        <v>238931</v>
      </c>
      <c r="N13" s="230"/>
      <c r="S13" s="230"/>
    </row>
    <row r="14" spans="1:19" ht="30" customHeight="1">
      <c r="A14" s="228">
        <v>2</v>
      </c>
      <c r="B14" s="229" t="s">
        <v>443</v>
      </c>
      <c r="C14" s="226"/>
      <c r="D14" s="136"/>
      <c r="E14" s="136"/>
      <c r="F14" s="237"/>
      <c r="G14" s="136">
        <f t="shared" si="0"/>
        <v>0</v>
      </c>
      <c r="H14" s="136">
        <f t="shared" si="1"/>
        <v>0</v>
      </c>
      <c r="I14" s="136"/>
      <c r="J14" s="136"/>
      <c r="K14" s="234">
        <f t="shared" si="2"/>
        <v>0</v>
      </c>
      <c r="S14" s="230"/>
    </row>
    <row r="15" spans="1:19" ht="30" customHeight="1">
      <c r="A15" s="228"/>
      <c r="B15" s="226" t="s">
        <v>444</v>
      </c>
      <c r="C15" s="226"/>
      <c r="D15" s="136">
        <v>0</v>
      </c>
      <c r="E15" s="136">
        <v>23307</v>
      </c>
      <c r="F15" s="233"/>
      <c r="G15" s="136">
        <f t="shared" si="0"/>
        <v>23307</v>
      </c>
      <c r="H15" s="136">
        <f t="shared" si="1"/>
        <v>0</v>
      </c>
      <c r="I15" s="136">
        <v>0</v>
      </c>
      <c r="J15" s="136">
        <v>23307</v>
      </c>
      <c r="K15" s="234">
        <f t="shared" si="2"/>
        <v>23307</v>
      </c>
      <c r="S15" s="230"/>
    </row>
    <row r="16" spans="1:19" ht="30" customHeight="1">
      <c r="A16" s="228">
        <v>3</v>
      </c>
      <c r="B16" s="229" t="s">
        <v>445</v>
      </c>
      <c r="C16" s="229"/>
      <c r="D16" s="136"/>
      <c r="E16" s="136"/>
      <c r="F16" s="233"/>
      <c r="G16" s="136">
        <f t="shared" si="0"/>
        <v>0</v>
      </c>
      <c r="H16" s="136">
        <f t="shared" si="1"/>
        <v>0</v>
      </c>
      <c r="I16" s="136"/>
      <c r="J16" s="136"/>
      <c r="K16" s="234">
        <f t="shared" si="2"/>
        <v>0</v>
      </c>
      <c r="S16" s="230"/>
    </row>
    <row r="17" spans="1:19" ht="30" customHeight="1">
      <c r="A17" s="228"/>
      <c r="B17" s="226" t="s">
        <v>446</v>
      </c>
      <c r="C17" s="226"/>
      <c r="D17" s="136">
        <v>1398</v>
      </c>
      <c r="E17" s="136">
        <v>474</v>
      </c>
      <c r="F17" s="233"/>
      <c r="G17" s="136">
        <f t="shared" si="0"/>
        <v>1872</v>
      </c>
      <c r="H17" s="136">
        <f t="shared" si="1"/>
        <v>0</v>
      </c>
      <c r="I17" s="136">
        <v>1398</v>
      </c>
      <c r="J17" s="136">
        <v>474</v>
      </c>
      <c r="K17" s="234">
        <f t="shared" si="2"/>
        <v>1872</v>
      </c>
      <c r="P17" s="227"/>
      <c r="S17" s="230"/>
    </row>
    <row r="18" spans="1:19" ht="30" customHeight="1">
      <c r="A18" s="228"/>
      <c r="B18" s="226" t="s">
        <v>447</v>
      </c>
      <c r="C18" s="226" t="s">
        <v>442</v>
      </c>
      <c r="D18" s="136">
        <v>0</v>
      </c>
      <c r="E18" s="136">
        <v>1123</v>
      </c>
      <c r="F18" s="233"/>
      <c r="G18" s="136">
        <f t="shared" si="0"/>
        <v>1123</v>
      </c>
      <c r="H18" s="136">
        <f t="shared" si="1"/>
        <v>0</v>
      </c>
      <c r="I18" s="136">
        <v>0</v>
      </c>
      <c r="J18" s="136">
        <v>1123</v>
      </c>
      <c r="K18" s="234">
        <f t="shared" si="2"/>
        <v>1123</v>
      </c>
      <c r="M18" s="764" t="s">
        <v>448</v>
      </c>
      <c r="N18" s="764"/>
      <c r="S18" s="230"/>
    </row>
    <row r="19" spans="1:19" ht="30" customHeight="1">
      <c r="A19" s="228">
        <v>4</v>
      </c>
      <c r="B19" s="229" t="s">
        <v>449</v>
      </c>
      <c r="C19" s="229"/>
      <c r="D19" s="136"/>
      <c r="E19" s="136"/>
      <c r="F19" s="233"/>
      <c r="G19" s="136"/>
      <c r="H19" s="136">
        <f t="shared" si="1"/>
        <v>0</v>
      </c>
      <c r="I19" s="136"/>
      <c r="J19" s="136"/>
      <c r="K19" s="234"/>
      <c r="N19" s="230">
        <f>+D66+F66</f>
        <v>1818764</v>
      </c>
      <c r="S19" s="230"/>
    </row>
    <row r="20" spans="1:19" ht="30" customHeight="1" thickBot="1">
      <c r="A20" s="228"/>
      <c r="B20" s="226" t="s">
        <v>450</v>
      </c>
      <c r="C20" s="226" t="s">
        <v>451</v>
      </c>
      <c r="D20" s="136">
        <v>18376</v>
      </c>
      <c r="E20" s="136">
        <v>10770</v>
      </c>
      <c r="F20" s="233">
        <v>23945</v>
      </c>
      <c r="G20" s="136">
        <f t="shared" si="0"/>
        <v>53091</v>
      </c>
      <c r="H20" s="136">
        <f t="shared" si="1"/>
        <v>20194</v>
      </c>
      <c r="I20" s="136">
        <v>25337</v>
      </c>
      <c r="J20" s="136">
        <v>7560</v>
      </c>
      <c r="K20" s="234">
        <f t="shared" si="2"/>
        <v>32897</v>
      </c>
      <c r="N20" s="230">
        <f>+I66</f>
        <v>1606043</v>
      </c>
      <c r="S20" s="230"/>
    </row>
    <row r="21" spans="1:19" ht="30" customHeight="1" thickBot="1">
      <c r="A21" s="228"/>
      <c r="B21" s="226" t="s">
        <v>452</v>
      </c>
      <c r="C21" s="226" t="s">
        <v>453</v>
      </c>
      <c r="D21" s="136">
        <v>481426</v>
      </c>
      <c r="E21" s="136">
        <v>38535</v>
      </c>
      <c r="F21" s="233"/>
      <c r="G21" s="136">
        <f t="shared" si="0"/>
        <v>519961</v>
      </c>
      <c r="H21" s="136">
        <f t="shared" si="1"/>
        <v>39617</v>
      </c>
      <c r="I21" s="136">
        <v>454099</v>
      </c>
      <c r="J21" s="136">
        <v>26245</v>
      </c>
      <c r="K21" s="234">
        <f t="shared" si="2"/>
        <v>480344</v>
      </c>
      <c r="N21" s="238">
        <f>+N19-N20</f>
        <v>212721</v>
      </c>
      <c r="S21" s="230"/>
    </row>
    <row r="22" spans="1:19" ht="30" customHeight="1">
      <c r="A22" s="228"/>
      <c r="B22" s="226" t="s">
        <v>454</v>
      </c>
      <c r="C22" s="226" t="s">
        <v>455</v>
      </c>
      <c r="D22" s="136">
        <v>3600</v>
      </c>
      <c r="E22" s="136">
        <v>4215</v>
      </c>
      <c r="F22" s="233"/>
      <c r="G22" s="136">
        <f t="shared" si="0"/>
        <v>7815</v>
      </c>
      <c r="H22" s="136">
        <f t="shared" si="1"/>
        <v>2508</v>
      </c>
      <c r="I22" s="136">
        <v>0</v>
      </c>
      <c r="J22" s="136">
        <v>5307</v>
      </c>
      <c r="K22" s="234">
        <f t="shared" si="2"/>
        <v>5307</v>
      </c>
      <c r="S22" s="230"/>
    </row>
    <row r="23" spans="1:19" ht="30" customHeight="1">
      <c r="A23" s="228"/>
      <c r="B23" s="226" t="s">
        <v>456</v>
      </c>
      <c r="C23" s="226" t="s">
        <v>457</v>
      </c>
      <c r="D23" s="136">
        <v>53409</v>
      </c>
      <c r="E23" s="136">
        <v>3175</v>
      </c>
      <c r="F23" s="233"/>
      <c r="G23" s="136">
        <f t="shared" si="0"/>
        <v>56584</v>
      </c>
      <c r="H23" s="136">
        <f t="shared" si="1"/>
        <v>0</v>
      </c>
      <c r="I23" s="136">
        <v>53409</v>
      </c>
      <c r="J23" s="136">
        <v>3175</v>
      </c>
      <c r="K23" s="234">
        <f t="shared" si="2"/>
        <v>56584</v>
      </c>
      <c r="S23" s="230"/>
    </row>
    <row r="24" spans="1:19" ht="30" customHeight="1">
      <c r="A24" s="228"/>
      <c r="B24" s="226" t="s">
        <v>458</v>
      </c>
      <c r="C24" s="226" t="s">
        <v>459</v>
      </c>
      <c r="D24" s="136">
        <v>1211</v>
      </c>
      <c r="E24" s="136">
        <v>31086</v>
      </c>
      <c r="F24" s="233"/>
      <c r="G24" s="136">
        <f t="shared" si="0"/>
        <v>32297</v>
      </c>
      <c r="H24" s="136">
        <f t="shared" si="1"/>
        <v>2338</v>
      </c>
      <c r="I24" s="136">
        <v>1211</v>
      </c>
      <c r="J24" s="136">
        <v>28748</v>
      </c>
      <c r="K24" s="234">
        <f t="shared" si="2"/>
        <v>29959</v>
      </c>
      <c r="S24" s="230"/>
    </row>
    <row r="25" spans="1:19" ht="30" customHeight="1">
      <c r="A25" s="228"/>
      <c r="B25" s="226" t="s">
        <v>538</v>
      </c>
      <c r="C25" s="226"/>
      <c r="D25" s="136">
        <v>86402</v>
      </c>
      <c r="E25" s="136"/>
      <c r="F25" s="233"/>
      <c r="G25" s="136">
        <f t="shared" si="0"/>
        <v>86402</v>
      </c>
      <c r="H25" s="136">
        <f t="shared" si="1"/>
        <v>0</v>
      </c>
      <c r="I25" s="136">
        <v>86402</v>
      </c>
      <c r="J25" s="136">
        <v>0</v>
      </c>
      <c r="K25" s="234">
        <f t="shared" si="2"/>
        <v>86402</v>
      </c>
      <c r="S25" s="230"/>
    </row>
    <row r="26" spans="1:19" ht="30" customHeight="1">
      <c r="A26" s="228"/>
      <c r="B26" s="226" t="s">
        <v>461</v>
      </c>
      <c r="C26" s="226" t="s">
        <v>462</v>
      </c>
      <c r="D26" s="136">
        <v>1496</v>
      </c>
      <c r="E26" s="136"/>
      <c r="F26" s="233"/>
      <c r="G26" s="136">
        <f t="shared" si="0"/>
        <v>1496</v>
      </c>
      <c r="H26" s="136">
        <f t="shared" si="1"/>
        <v>0</v>
      </c>
      <c r="I26" s="136">
        <v>1496</v>
      </c>
      <c r="J26" s="136"/>
      <c r="K26" s="234">
        <f t="shared" si="2"/>
        <v>1496</v>
      </c>
      <c r="S26" s="230"/>
    </row>
    <row r="27" spans="1:19" ht="30" customHeight="1">
      <c r="A27" s="228">
        <v>5</v>
      </c>
      <c r="B27" s="229" t="s">
        <v>463</v>
      </c>
      <c r="C27" s="229"/>
      <c r="D27" s="136"/>
      <c r="E27" s="136"/>
      <c r="F27" s="233"/>
      <c r="G27" s="136">
        <f t="shared" si="0"/>
        <v>0</v>
      </c>
      <c r="H27" s="136">
        <f t="shared" si="1"/>
        <v>0</v>
      </c>
      <c r="I27" s="136"/>
      <c r="J27" s="136"/>
      <c r="K27" s="234">
        <f t="shared" si="2"/>
        <v>0</v>
      </c>
      <c r="S27" s="230"/>
    </row>
    <row r="28" spans="1:19" ht="30" customHeight="1">
      <c r="A28" s="228"/>
      <c r="B28" s="226" t="s">
        <v>464</v>
      </c>
      <c r="C28" s="226" t="s">
        <v>465</v>
      </c>
      <c r="D28" s="136">
        <v>1460</v>
      </c>
      <c r="E28" s="136">
        <v>187</v>
      </c>
      <c r="F28" s="233"/>
      <c r="G28" s="136">
        <f t="shared" si="0"/>
        <v>1647</v>
      </c>
      <c r="H28" s="136">
        <f t="shared" si="1"/>
        <v>0</v>
      </c>
      <c r="I28" s="136">
        <v>1460</v>
      </c>
      <c r="J28" s="136">
        <v>187</v>
      </c>
      <c r="K28" s="234">
        <f t="shared" si="2"/>
        <v>1647</v>
      </c>
      <c r="S28" s="230"/>
    </row>
    <row r="29" spans="1:19" ht="30" customHeight="1">
      <c r="A29" s="228">
        <v>6</v>
      </c>
      <c r="B29" s="223" t="s">
        <v>466</v>
      </c>
      <c r="C29" s="223"/>
      <c r="D29" s="136"/>
      <c r="E29" s="136"/>
      <c r="F29" s="233"/>
      <c r="G29" s="136">
        <f t="shared" si="0"/>
        <v>0</v>
      </c>
      <c r="H29" s="136">
        <f t="shared" si="1"/>
        <v>0</v>
      </c>
      <c r="I29" s="136"/>
      <c r="J29" s="136"/>
      <c r="K29" s="234">
        <f t="shared" si="2"/>
        <v>0</v>
      </c>
      <c r="S29" s="230"/>
    </row>
    <row r="30" spans="1:19" ht="30" customHeight="1">
      <c r="A30" s="228"/>
      <c r="B30" s="226" t="s">
        <v>467</v>
      </c>
      <c r="C30" s="226" t="s">
        <v>465</v>
      </c>
      <c r="D30" s="136">
        <v>13140</v>
      </c>
      <c r="E30" s="136">
        <v>0</v>
      </c>
      <c r="F30" s="233"/>
      <c r="G30" s="136">
        <f t="shared" si="0"/>
        <v>13140</v>
      </c>
      <c r="H30" s="136">
        <f t="shared" si="1"/>
        <v>0</v>
      </c>
      <c r="I30" s="136">
        <v>13140</v>
      </c>
      <c r="J30" s="136">
        <v>0</v>
      </c>
      <c r="K30" s="234">
        <f t="shared" si="2"/>
        <v>13140</v>
      </c>
      <c r="S30" s="230"/>
    </row>
    <row r="31" spans="1:19" ht="30" customHeight="1">
      <c r="A31" s="228">
        <v>7</v>
      </c>
      <c r="B31" s="223" t="s">
        <v>468</v>
      </c>
      <c r="C31" s="226"/>
      <c r="D31" s="136"/>
      <c r="E31" s="136"/>
      <c r="F31" s="233"/>
      <c r="G31" s="136">
        <f t="shared" si="0"/>
        <v>0</v>
      </c>
      <c r="H31" s="136">
        <f t="shared" si="1"/>
        <v>0</v>
      </c>
      <c r="I31" s="136"/>
      <c r="J31" s="136"/>
      <c r="K31" s="234">
        <f t="shared" si="2"/>
        <v>0</v>
      </c>
      <c r="S31" s="230"/>
    </row>
    <row r="32" spans="1:19" ht="30" customHeight="1">
      <c r="A32" s="228"/>
      <c r="B32" s="226" t="s">
        <v>469</v>
      </c>
      <c r="C32" s="226" t="s">
        <v>470</v>
      </c>
      <c r="D32" s="136"/>
      <c r="E32" s="136">
        <v>2221</v>
      </c>
      <c r="F32" s="233"/>
      <c r="G32" s="136">
        <f t="shared" si="0"/>
        <v>2221</v>
      </c>
      <c r="H32" s="136">
        <f t="shared" si="1"/>
        <v>0</v>
      </c>
      <c r="I32" s="136">
        <v>0</v>
      </c>
      <c r="J32" s="136">
        <v>2221</v>
      </c>
      <c r="K32" s="234">
        <f t="shared" si="2"/>
        <v>2221</v>
      </c>
      <c r="N32" s="230"/>
      <c r="S32" s="230"/>
    </row>
    <row r="33" spans="1:19" ht="30" customHeight="1">
      <c r="A33" s="228">
        <v>8</v>
      </c>
      <c r="B33" s="223" t="s">
        <v>471</v>
      </c>
      <c r="C33" s="223"/>
      <c r="D33" s="136"/>
      <c r="E33" s="136"/>
      <c r="F33" s="233"/>
      <c r="G33" s="136">
        <f t="shared" si="0"/>
        <v>0</v>
      </c>
      <c r="H33" s="136">
        <f t="shared" si="1"/>
        <v>0</v>
      </c>
      <c r="I33" s="136"/>
      <c r="J33" s="136"/>
      <c r="K33" s="234">
        <f t="shared" si="2"/>
        <v>0</v>
      </c>
      <c r="N33" s="230"/>
      <c r="S33" s="230"/>
    </row>
    <row r="34" spans="1:19" ht="30" customHeight="1">
      <c r="A34" s="228"/>
      <c r="B34" s="226" t="s">
        <v>472</v>
      </c>
      <c r="C34" s="226" t="s">
        <v>473</v>
      </c>
      <c r="D34" s="136"/>
      <c r="E34" s="136">
        <v>2957</v>
      </c>
      <c r="F34" s="233"/>
      <c r="G34" s="136">
        <f t="shared" si="0"/>
        <v>2957</v>
      </c>
      <c r="H34" s="136">
        <f t="shared" si="1"/>
        <v>0</v>
      </c>
      <c r="I34" s="136"/>
      <c r="J34" s="136">
        <v>2957</v>
      </c>
      <c r="K34" s="234">
        <f t="shared" si="2"/>
        <v>2957</v>
      </c>
      <c r="N34" s="230"/>
      <c r="S34" s="230"/>
    </row>
    <row r="35" spans="1:19" ht="30" customHeight="1">
      <c r="A35" s="228">
        <v>9</v>
      </c>
      <c r="B35" s="223" t="s">
        <v>474</v>
      </c>
      <c r="C35" s="223"/>
      <c r="D35" s="136"/>
      <c r="E35" s="136"/>
      <c r="F35" s="233"/>
      <c r="G35" s="136">
        <f t="shared" si="0"/>
        <v>0</v>
      </c>
      <c r="H35" s="136">
        <f t="shared" si="1"/>
        <v>0</v>
      </c>
      <c r="I35" s="136"/>
      <c r="J35" s="136"/>
      <c r="K35" s="234">
        <f t="shared" si="2"/>
        <v>0</v>
      </c>
      <c r="N35" s="230"/>
      <c r="S35" s="230"/>
    </row>
    <row r="36" spans="1:19" ht="30" customHeight="1">
      <c r="A36" s="228"/>
      <c r="B36" s="226" t="s">
        <v>475</v>
      </c>
      <c r="C36" s="226" t="s">
        <v>476</v>
      </c>
      <c r="D36" s="136"/>
      <c r="E36" s="136">
        <v>6782</v>
      </c>
      <c r="F36" s="233"/>
      <c r="G36" s="136">
        <f t="shared" si="0"/>
        <v>6782</v>
      </c>
      <c r="H36" s="136">
        <f t="shared" si="1"/>
        <v>0</v>
      </c>
      <c r="I36" s="136"/>
      <c r="J36" s="136">
        <v>6782</v>
      </c>
      <c r="K36" s="234">
        <f t="shared" si="2"/>
        <v>6782</v>
      </c>
      <c r="N36" s="230"/>
      <c r="S36" s="230"/>
    </row>
    <row r="37" spans="1:19" ht="30" customHeight="1">
      <c r="A37" s="228">
        <v>10</v>
      </c>
      <c r="B37" s="229" t="s">
        <v>477</v>
      </c>
      <c r="C37" s="229"/>
      <c r="D37" s="136"/>
      <c r="E37" s="136"/>
      <c r="F37" s="233"/>
      <c r="G37" s="136">
        <f t="shared" si="0"/>
        <v>0</v>
      </c>
      <c r="H37" s="136">
        <f t="shared" si="1"/>
        <v>0</v>
      </c>
      <c r="I37" s="136"/>
      <c r="J37" s="136"/>
      <c r="K37" s="234">
        <f t="shared" si="2"/>
        <v>0</v>
      </c>
      <c r="N37" s="230"/>
      <c r="S37" s="230"/>
    </row>
    <row r="38" spans="1:19" ht="30" customHeight="1">
      <c r="A38" s="228"/>
      <c r="B38" s="229" t="s">
        <v>478</v>
      </c>
      <c r="C38" s="229"/>
      <c r="D38" s="136"/>
      <c r="E38" s="136"/>
      <c r="F38" s="233"/>
      <c r="G38" s="136">
        <f t="shared" si="0"/>
        <v>0</v>
      </c>
      <c r="H38" s="136">
        <f t="shared" si="1"/>
        <v>0</v>
      </c>
      <c r="I38" s="136"/>
      <c r="J38" s="136"/>
      <c r="K38" s="234"/>
      <c r="N38" s="230"/>
      <c r="S38" s="230"/>
    </row>
    <row r="39" spans="1:19" ht="30" customHeight="1">
      <c r="A39" s="228"/>
      <c r="B39" s="226" t="s">
        <v>479</v>
      </c>
      <c r="C39" s="226"/>
      <c r="D39" s="136"/>
      <c r="E39" s="136">
        <v>2533</v>
      </c>
      <c r="F39" s="233"/>
      <c r="G39" s="136">
        <f t="shared" si="0"/>
        <v>2533</v>
      </c>
      <c r="H39" s="136">
        <f t="shared" si="1"/>
        <v>2310</v>
      </c>
      <c r="I39" s="136"/>
      <c r="J39" s="136">
        <v>223</v>
      </c>
      <c r="K39" s="234">
        <f t="shared" si="2"/>
        <v>223</v>
      </c>
      <c r="N39" s="230"/>
      <c r="S39" s="230"/>
    </row>
    <row r="40" spans="1:19" ht="30" customHeight="1">
      <c r="A40" s="228" t="s">
        <v>480</v>
      </c>
      <c r="B40" s="229" t="s">
        <v>481</v>
      </c>
      <c r="C40" s="226"/>
      <c r="D40" s="136"/>
      <c r="E40" s="136"/>
      <c r="F40" s="233"/>
      <c r="G40" s="136">
        <f t="shared" si="0"/>
        <v>0</v>
      </c>
      <c r="H40" s="136">
        <f t="shared" si="1"/>
        <v>0</v>
      </c>
      <c r="I40" s="136"/>
      <c r="J40" s="136"/>
      <c r="K40" s="234">
        <f t="shared" si="2"/>
        <v>0</v>
      </c>
      <c r="S40" s="230"/>
    </row>
    <row r="41" spans="1:19" ht="30" customHeight="1">
      <c r="A41" s="228">
        <v>1</v>
      </c>
      <c r="B41" s="229" t="s">
        <v>437</v>
      </c>
      <c r="C41" s="226"/>
      <c r="D41" s="136"/>
      <c r="E41" s="136"/>
      <c r="F41" s="233"/>
      <c r="G41" s="136">
        <f t="shared" si="0"/>
        <v>0</v>
      </c>
      <c r="H41" s="136">
        <f t="shared" si="1"/>
        <v>0</v>
      </c>
      <c r="I41" s="136"/>
      <c r="J41" s="136"/>
      <c r="K41" s="234">
        <f t="shared" si="2"/>
        <v>0</v>
      </c>
      <c r="S41" s="230"/>
    </row>
    <row r="42" spans="1:19" ht="30" customHeight="1">
      <c r="A42" s="228"/>
      <c r="B42" s="226" t="s">
        <v>482</v>
      </c>
      <c r="C42" s="226"/>
      <c r="D42" s="136"/>
      <c r="E42" s="136">
        <v>713</v>
      </c>
      <c r="F42" s="233"/>
      <c r="G42" s="136">
        <f t="shared" si="0"/>
        <v>713</v>
      </c>
      <c r="H42" s="136">
        <f t="shared" si="1"/>
        <v>0</v>
      </c>
      <c r="I42" s="136"/>
      <c r="J42" s="136">
        <v>713</v>
      </c>
      <c r="K42" s="234">
        <f t="shared" si="2"/>
        <v>713</v>
      </c>
      <c r="S42" s="230"/>
    </row>
    <row r="43" spans="1:19" ht="30" customHeight="1">
      <c r="A43" s="228"/>
      <c r="B43" s="226" t="s">
        <v>483</v>
      </c>
      <c r="C43" s="226" t="s">
        <v>484</v>
      </c>
      <c r="D43" s="136"/>
      <c r="E43" s="136"/>
      <c r="F43" s="233"/>
      <c r="G43" s="136">
        <f t="shared" si="0"/>
        <v>0</v>
      </c>
      <c r="H43" s="136">
        <f t="shared" si="1"/>
        <v>0</v>
      </c>
      <c r="I43" s="136"/>
      <c r="J43" s="136"/>
      <c r="K43" s="234">
        <f t="shared" si="2"/>
        <v>0</v>
      </c>
      <c r="S43" s="230"/>
    </row>
    <row r="44" spans="1:19" ht="30" customHeight="1">
      <c r="A44" s="228">
        <v>2</v>
      </c>
      <c r="B44" s="229" t="s">
        <v>485</v>
      </c>
      <c r="C44" s="229"/>
      <c r="D44" s="136"/>
      <c r="E44" s="136"/>
      <c r="F44" s="233"/>
      <c r="G44" s="136">
        <f t="shared" si="0"/>
        <v>0</v>
      </c>
      <c r="H44" s="136">
        <f t="shared" si="1"/>
        <v>0</v>
      </c>
      <c r="I44" s="136"/>
      <c r="J44" s="136"/>
      <c r="K44" s="234">
        <f t="shared" si="2"/>
        <v>0</v>
      </c>
      <c r="S44" s="230"/>
    </row>
    <row r="45" spans="1:19" ht="30" customHeight="1">
      <c r="A45" s="228"/>
      <c r="B45" s="226" t="s">
        <v>486</v>
      </c>
      <c r="C45" s="226" t="s">
        <v>487</v>
      </c>
      <c r="D45" s="136"/>
      <c r="E45" s="136">
        <v>3173</v>
      </c>
      <c r="F45" s="233"/>
      <c r="G45" s="136">
        <f t="shared" si="0"/>
        <v>3173</v>
      </c>
      <c r="H45" s="136">
        <f t="shared" si="1"/>
        <v>0</v>
      </c>
      <c r="I45" s="136"/>
      <c r="J45" s="136">
        <v>3173</v>
      </c>
      <c r="K45" s="234">
        <f t="shared" si="2"/>
        <v>3173</v>
      </c>
      <c r="S45" s="230"/>
    </row>
    <row r="46" spans="1:19" ht="30" customHeight="1">
      <c r="A46" s="228">
        <v>3</v>
      </c>
      <c r="B46" s="229" t="s">
        <v>449</v>
      </c>
      <c r="C46" s="229"/>
      <c r="D46" s="136"/>
      <c r="E46" s="136"/>
      <c r="F46" s="233"/>
      <c r="G46" s="136">
        <f t="shared" si="0"/>
        <v>0</v>
      </c>
      <c r="H46" s="136">
        <f t="shared" si="1"/>
        <v>0</v>
      </c>
      <c r="I46" s="136"/>
      <c r="J46" s="136"/>
      <c r="K46" s="234">
        <f t="shared" si="2"/>
        <v>0</v>
      </c>
      <c r="S46" s="230"/>
    </row>
    <row r="47" spans="1:19" ht="30" customHeight="1">
      <c r="A47" s="228"/>
      <c r="B47" s="226" t="s">
        <v>488</v>
      </c>
      <c r="C47" s="226" t="s">
        <v>489</v>
      </c>
      <c r="D47" s="136">
        <v>48349</v>
      </c>
      <c r="E47" s="136">
        <v>16440</v>
      </c>
      <c r="F47" s="233"/>
      <c r="G47" s="136">
        <f t="shared" si="0"/>
        <v>64789</v>
      </c>
      <c r="H47" s="136">
        <f t="shared" si="1"/>
        <v>49130</v>
      </c>
      <c r="I47" s="136"/>
      <c r="J47" s="136">
        <v>15659</v>
      </c>
      <c r="K47" s="234">
        <f t="shared" si="2"/>
        <v>15659</v>
      </c>
      <c r="S47" s="230"/>
    </row>
    <row r="48" spans="1:19" ht="30" customHeight="1">
      <c r="A48" s="228"/>
      <c r="B48" s="226" t="s">
        <v>490</v>
      </c>
      <c r="C48" s="226" t="s">
        <v>491</v>
      </c>
      <c r="D48" s="136">
        <v>140597</v>
      </c>
      <c r="E48" s="136">
        <v>22945</v>
      </c>
      <c r="F48" s="233">
        <v>13961</v>
      </c>
      <c r="G48" s="136">
        <f t="shared" si="0"/>
        <v>177503</v>
      </c>
      <c r="H48" s="136">
        <f t="shared" si="1"/>
        <v>33314</v>
      </c>
      <c r="I48" s="136">
        <v>128761</v>
      </c>
      <c r="J48" s="136">
        <v>15428</v>
      </c>
      <c r="K48" s="234">
        <f t="shared" si="2"/>
        <v>144189</v>
      </c>
      <c r="S48" s="230"/>
    </row>
    <row r="49" spans="1:19" ht="30" customHeight="1">
      <c r="A49" s="228"/>
      <c r="B49" s="226" t="s">
        <v>492</v>
      </c>
      <c r="C49" s="226"/>
      <c r="D49" s="136">
        <v>0</v>
      </c>
      <c r="E49" s="136">
        <v>305</v>
      </c>
      <c r="F49" s="233"/>
      <c r="G49" s="136">
        <f t="shared" si="0"/>
        <v>305</v>
      </c>
      <c r="H49" s="136">
        <f t="shared" si="1"/>
        <v>0</v>
      </c>
      <c r="I49" s="136">
        <v>0</v>
      </c>
      <c r="J49" s="136">
        <v>305</v>
      </c>
      <c r="K49" s="234">
        <f t="shared" si="2"/>
        <v>305</v>
      </c>
      <c r="S49" s="230"/>
    </row>
    <row r="50" spans="1:19" ht="30" customHeight="1">
      <c r="A50" s="228"/>
      <c r="B50" s="226" t="s">
        <v>493</v>
      </c>
      <c r="C50" s="226" t="s">
        <v>494</v>
      </c>
      <c r="D50" s="136">
        <v>5080</v>
      </c>
      <c r="E50" s="136">
        <v>0</v>
      </c>
      <c r="F50" s="233"/>
      <c r="G50" s="136">
        <f t="shared" si="0"/>
        <v>5080</v>
      </c>
      <c r="H50" s="136">
        <f t="shared" si="1"/>
        <v>0</v>
      </c>
      <c r="I50" s="136">
        <v>5080</v>
      </c>
      <c r="J50" s="136">
        <v>0</v>
      </c>
      <c r="K50" s="234">
        <f t="shared" si="2"/>
        <v>5080</v>
      </c>
      <c r="S50" s="230"/>
    </row>
    <row r="51" spans="1:19" ht="30" customHeight="1">
      <c r="A51" s="228"/>
      <c r="B51" s="226" t="s">
        <v>495</v>
      </c>
      <c r="C51" s="226" t="s">
        <v>496</v>
      </c>
      <c r="D51" s="136">
        <v>6355</v>
      </c>
      <c r="E51" s="136">
        <v>3063</v>
      </c>
      <c r="F51" s="233"/>
      <c r="G51" s="136">
        <f>SUM(D51:F51)</f>
        <v>9418</v>
      </c>
      <c r="H51" s="136">
        <f t="shared" si="1"/>
        <v>5661</v>
      </c>
      <c r="I51" s="136">
        <v>0</v>
      </c>
      <c r="J51" s="136">
        <v>3757</v>
      </c>
      <c r="K51" s="234">
        <f>SUM(I51:J51)</f>
        <v>3757</v>
      </c>
      <c r="S51" s="230"/>
    </row>
    <row r="52" spans="1:19" ht="30" customHeight="1">
      <c r="A52" s="228"/>
      <c r="B52" s="226" t="s">
        <v>497</v>
      </c>
      <c r="C52" s="226" t="s">
        <v>498</v>
      </c>
      <c r="D52" s="136">
        <v>112831</v>
      </c>
      <c r="E52" s="136">
        <v>9212</v>
      </c>
      <c r="F52" s="233"/>
      <c r="G52" s="136">
        <f>SUM(D52:F52)</f>
        <v>122043</v>
      </c>
      <c r="H52" s="136">
        <f>+G52-K52</f>
        <v>4575</v>
      </c>
      <c r="I52" s="136">
        <v>100625</v>
      </c>
      <c r="J52" s="136">
        <v>16843</v>
      </c>
      <c r="K52" s="234">
        <f>SUM(I52:J52)</f>
        <v>117468</v>
      </c>
      <c r="S52" s="230"/>
    </row>
    <row r="53" spans="1:19" ht="30" customHeight="1">
      <c r="A53" s="228"/>
      <c r="B53" s="226" t="s">
        <v>499</v>
      </c>
      <c r="C53" s="226" t="s">
        <v>500</v>
      </c>
      <c r="D53" s="136">
        <v>53091</v>
      </c>
      <c r="E53" s="136">
        <v>10290</v>
      </c>
      <c r="F53" s="233">
        <v>1023</v>
      </c>
      <c r="G53" s="136">
        <f t="shared" ref="G53" si="3">SUM(D53:F53)</f>
        <v>64404</v>
      </c>
      <c r="H53" s="136">
        <f t="shared" ref="H53" si="4">+G53-K53</f>
        <v>0</v>
      </c>
      <c r="I53" s="136">
        <v>54114</v>
      </c>
      <c r="J53" s="136">
        <v>10290</v>
      </c>
      <c r="K53" s="234">
        <f t="shared" ref="K53" si="5">SUM(I53:J53)</f>
        <v>64404</v>
      </c>
      <c r="S53" s="230"/>
    </row>
    <row r="54" spans="1:19" ht="30" customHeight="1">
      <c r="A54" s="228"/>
      <c r="B54" s="226" t="s">
        <v>755</v>
      </c>
      <c r="C54" s="226" t="s">
        <v>500</v>
      </c>
      <c r="D54" s="136">
        <v>11639</v>
      </c>
      <c r="E54" s="136">
        <v>0</v>
      </c>
      <c r="F54" s="233"/>
      <c r="G54" s="136">
        <f t="shared" si="0"/>
        <v>11639</v>
      </c>
      <c r="H54" s="136">
        <f t="shared" si="1"/>
        <v>0</v>
      </c>
      <c r="I54" s="136">
        <v>11639</v>
      </c>
      <c r="J54" s="136"/>
      <c r="K54" s="234">
        <f t="shared" si="2"/>
        <v>11639</v>
      </c>
      <c r="S54" s="230"/>
    </row>
    <row r="55" spans="1:19" ht="30" customHeight="1">
      <c r="A55" s="228">
        <v>4</v>
      </c>
      <c r="B55" s="229" t="s">
        <v>445</v>
      </c>
      <c r="C55" s="229"/>
      <c r="D55" s="136"/>
      <c r="E55" s="136"/>
      <c r="F55" s="233"/>
      <c r="G55" s="136">
        <f t="shared" si="0"/>
        <v>0</v>
      </c>
      <c r="H55" s="136">
        <f t="shared" si="1"/>
        <v>0</v>
      </c>
      <c r="I55" s="136"/>
      <c r="J55" s="136"/>
      <c r="K55" s="234">
        <f t="shared" si="2"/>
        <v>0</v>
      </c>
      <c r="S55" s="230"/>
    </row>
    <row r="56" spans="1:19" ht="30" customHeight="1">
      <c r="A56" s="228"/>
      <c r="B56" s="226" t="s">
        <v>501</v>
      </c>
      <c r="C56" s="226" t="s">
        <v>502</v>
      </c>
      <c r="D56" s="136">
        <v>619508</v>
      </c>
      <c r="E56" s="136">
        <v>6309</v>
      </c>
      <c r="F56" s="233"/>
      <c r="G56" s="136">
        <f t="shared" si="0"/>
        <v>625817</v>
      </c>
      <c r="H56" s="136">
        <f t="shared" si="1"/>
        <v>8924</v>
      </c>
      <c r="I56" s="136">
        <v>588189</v>
      </c>
      <c r="J56" s="136">
        <v>28704</v>
      </c>
      <c r="K56" s="234">
        <f t="shared" si="2"/>
        <v>616893</v>
      </c>
      <c r="S56" s="230"/>
    </row>
    <row r="57" spans="1:19" ht="30" customHeight="1">
      <c r="A57" s="228">
        <v>5</v>
      </c>
      <c r="B57" s="223" t="s">
        <v>468</v>
      </c>
      <c r="C57" s="226"/>
      <c r="D57" s="136"/>
      <c r="E57" s="136"/>
      <c r="F57" s="233"/>
      <c r="G57" s="136">
        <f t="shared" si="0"/>
        <v>0</v>
      </c>
      <c r="H57" s="136">
        <f t="shared" si="1"/>
        <v>0</v>
      </c>
      <c r="I57" s="136"/>
      <c r="J57" s="136"/>
      <c r="K57" s="234">
        <f t="shared" si="2"/>
        <v>0</v>
      </c>
      <c r="S57" s="230"/>
    </row>
    <row r="58" spans="1:19" ht="30" customHeight="1">
      <c r="A58" s="228"/>
      <c r="B58" s="226" t="s">
        <v>503</v>
      </c>
      <c r="C58" s="226" t="s">
        <v>504</v>
      </c>
      <c r="D58" s="136">
        <v>40784</v>
      </c>
      <c r="E58" s="136">
        <v>58390</v>
      </c>
      <c r="F58" s="233"/>
      <c r="G58" s="136">
        <f>SUM(D58:F58)</f>
        <v>99174</v>
      </c>
      <c r="H58" s="136">
        <f>+G58-K58</f>
        <v>72272</v>
      </c>
      <c r="I58" s="136"/>
      <c r="J58" s="136">
        <v>26902</v>
      </c>
      <c r="K58" s="234">
        <f>SUM(I58:J58)</f>
        <v>26902</v>
      </c>
      <c r="M58" s="227"/>
      <c r="S58" s="230"/>
    </row>
    <row r="59" spans="1:19" ht="30" customHeight="1">
      <c r="A59" s="228"/>
      <c r="B59" s="226" t="s">
        <v>505</v>
      </c>
      <c r="C59" s="226" t="s">
        <v>506</v>
      </c>
      <c r="D59" s="136"/>
      <c r="E59" s="136">
        <v>254</v>
      </c>
      <c r="F59" s="233"/>
      <c r="G59" s="136">
        <f t="shared" si="0"/>
        <v>254</v>
      </c>
      <c r="H59" s="136">
        <f t="shared" si="1"/>
        <v>0</v>
      </c>
      <c r="I59" s="136"/>
      <c r="J59" s="136">
        <v>254</v>
      </c>
      <c r="K59" s="234">
        <f t="shared" si="2"/>
        <v>254</v>
      </c>
      <c r="M59" s="227"/>
      <c r="S59" s="230"/>
    </row>
    <row r="60" spans="1:19" ht="30" customHeight="1">
      <c r="A60" s="228">
        <v>6</v>
      </c>
      <c r="B60" s="229" t="s">
        <v>507</v>
      </c>
      <c r="C60" s="229"/>
      <c r="D60" s="136"/>
      <c r="E60" s="136"/>
      <c r="F60" s="233"/>
      <c r="G60" s="136">
        <f t="shared" si="0"/>
        <v>0</v>
      </c>
      <c r="H60" s="136">
        <v>0</v>
      </c>
      <c r="I60" s="136"/>
      <c r="J60" s="136"/>
      <c r="K60" s="234">
        <f t="shared" si="2"/>
        <v>0</v>
      </c>
      <c r="S60" s="230"/>
    </row>
    <row r="61" spans="1:19" ht="30" customHeight="1">
      <c r="A61" s="228"/>
      <c r="B61" s="226" t="s">
        <v>508</v>
      </c>
      <c r="C61" s="226"/>
      <c r="D61" s="136"/>
      <c r="E61" s="136"/>
      <c r="F61" s="233"/>
      <c r="G61" s="136">
        <f t="shared" si="0"/>
        <v>0</v>
      </c>
      <c r="H61" s="136">
        <f t="shared" si="1"/>
        <v>0</v>
      </c>
      <c r="I61" s="136"/>
      <c r="J61" s="136"/>
      <c r="K61" s="234">
        <f t="shared" si="2"/>
        <v>0</v>
      </c>
      <c r="S61" s="230"/>
    </row>
    <row r="62" spans="1:19" ht="30" customHeight="1">
      <c r="A62" s="228">
        <v>7</v>
      </c>
      <c r="B62" s="223" t="s">
        <v>509</v>
      </c>
      <c r="C62" s="226"/>
      <c r="D62" s="136"/>
      <c r="E62" s="136"/>
      <c r="F62" s="233"/>
      <c r="G62" s="136">
        <f t="shared" si="0"/>
        <v>0</v>
      </c>
      <c r="H62" s="136">
        <f t="shared" si="1"/>
        <v>0</v>
      </c>
      <c r="I62" s="136"/>
      <c r="J62" s="136"/>
      <c r="K62" s="234">
        <f t="shared" si="2"/>
        <v>0</v>
      </c>
      <c r="S62" s="230"/>
    </row>
    <row r="63" spans="1:19" ht="30" customHeight="1">
      <c r="A63" s="228"/>
      <c r="B63" s="226" t="s">
        <v>510</v>
      </c>
      <c r="C63" s="226"/>
      <c r="D63" s="136"/>
      <c r="E63" s="136"/>
      <c r="F63" s="239"/>
      <c r="G63" s="136">
        <f t="shared" si="0"/>
        <v>0</v>
      </c>
      <c r="H63" s="136">
        <f t="shared" si="1"/>
        <v>0</v>
      </c>
      <c r="I63" s="136"/>
      <c r="J63" s="136"/>
      <c r="K63" s="234">
        <f t="shared" si="2"/>
        <v>0</v>
      </c>
      <c r="S63" s="230"/>
    </row>
    <row r="64" spans="1:19" ht="30" customHeight="1">
      <c r="A64" s="228">
        <v>8</v>
      </c>
      <c r="B64" s="229" t="s">
        <v>511</v>
      </c>
      <c r="C64" s="226"/>
      <c r="D64" s="136"/>
      <c r="E64" s="136"/>
      <c r="F64" s="239"/>
      <c r="G64" s="136">
        <f t="shared" si="0"/>
        <v>0</v>
      </c>
      <c r="H64" s="136">
        <f t="shared" si="1"/>
        <v>0</v>
      </c>
      <c r="I64" s="136"/>
      <c r="J64" s="136"/>
      <c r="K64" s="234">
        <f t="shared" si="2"/>
        <v>0</v>
      </c>
      <c r="S64" s="230"/>
    </row>
    <row r="65" spans="1:19" ht="30" customHeight="1">
      <c r="A65" s="228"/>
      <c r="B65" s="226" t="s">
        <v>512</v>
      </c>
      <c r="C65" s="226" t="s">
        <v>513</v>
      </c>
      <c r="D65" s="136"/>
      <c r="E65" s="136"/>
      <c r="F65" s="233"/>
      <c r="G65" s="136">
        <f t="shared" si="0"/>
        <v>0</v>
      </c>
      <c r="H65" s="136">
        <f t="shared" si="1"/>
        <v>0</v>
      </c>
      <c r="I65" s="136"/>
      <c r="J65" s="136"/>
      <c r="K65" s="234">
        <f t="shared" si="2"/>
        <v>0</v>
      </c>
      <c r="S65" s="230"/>
    </row>
    <row r="66" spans="1:19" ht="30" customHeight="1">
      <c r="A66" s="228"/>
      <c r="B66" s="377" t="s">
        <v>514</v>
      </c>
      <c r="C66" s="223"/>
      <c r="D66" s="234">
        <f t="shared" ref="D66:K66" si="6">SUM(D11:D65)</f>
        <v>1779835</v>
      </c>
      <c r="E66" s="234">
        <f t="shared" si="6"/>
        <v>284065</v>
      </c>
      <c r="F66" s="234">
        <f t="shared" si="6"/>
        <v>38929</v>
      </c>
      <c r="G66" s="234">
        <f t="shared" si="6"/>
        <v>2102829</v>
      </c>
      <c r="H66" s="234">
        <f t="shared" si="6"/>
        <v>241269</v>
      </c>
      <c r="I66" s="234">
        <f t="shared" si="6"/>
        <v>1606043</v>
      </c>
      <c r="J66" s="234">
        <f t="shared" si="6"/>
        <v>255517</v>
      </c>
      <c r="K66" s="234">
        <f t="shared" si="6"/>
        <v>1861560</v>
      </c>
      <c r="S66" s="230"/>
    </row>
    <row r="67" spans="1:19" s="241" customFormat="1" ht="30" customHeight="1">
      <c r="A67" s="228"/>
      <c r="B67" s="226" t="s">
        <v>515</v>
      </c>
      <c r="C67" s="226"/>
      <c r="D67" s="136">
        <v>4464</v>
      </c>
      <c r="E67" s="136"/>
      <c r="F67" s="136">
        <v>41</v>
      </c>
      <c r="G67" s="136">
        <f>D67+F67</f>
        <v>4505</v>
      </c>
      <c r="H67" s="136"/>
      <c r="I67" s="136"/>
      <c r="J67" s="136"/>
      <c r="K67" s="234">
        <f>+G67</f>
        <v>4505</v>
      </c>
      <c r="L67" s="221"/>
      <c r="M67" s="221"/>
      <c r="N67" s="221"/>
      <c r="O67" s="221"/>
      <c r="P67" s="221"/>
      <c r="Q67" s="221"/>
      <c r="R67" s="221"/>
      <c r="S67" s="230"/>
    </row>
    <row r="68" spans="1:19" ht="30" customHeight="1">
      <c r="A68" s="228"/>
      <c r="B68" s="226" t="s">
        <v>516</v>
      </c>
      <c r="C68" s="226"/>
      <c r="D68" s="136">
        <v>70568</v>
      </c>
      <c r="E68" s="136"/>
      <c r="F68" s="240">
        <v>241269</v>
      </c>
      <c r="G68" s="136">
        <f>+D68+F68</f>
        <v>311837</v>
      </c>
      <c r="H68" s="234">
        <v>241715</v>
      </c>
      <c r="I68" s="136"/>
      <c r="J68" s="136"/>
      <c r="K68" s="234">
        <f>+G68-H68</f>
        <v>70122</v>
      </c>
      <c r="L68" s="241"/>
      <c r="M68" s="241"/>
      <c r="N68" s="241"/>
      <c r="O68" s="241"/>
      <c r="P68" s="241"/>
      <c r="Q68" s="241"/>
      <c r="S68" s="230"/>
    </row>
    <row r="69" spans="1:19" ht="30" customHeight="1" thickBot="1">
      <c r="A69" s="242"/>
      <c r="B69" s="765" t="s">
        <v>517</v>
      </c>
      <c r="C69" s="765"/>
      <c r="D69" s="765"/>
      <c r="E69" s="765"/>
      <c r="F69" s="243"/>
      <c r="G69" s="244"/>
      <c r="H69" s="245"/>
      <c r="I69" s="243"/>
      <c r="J69" s="246"/>
      <c r="K69" s="247"/>
    </row>
    <row r="70" spans="1:19" ht="15.75">
      <c r="A70" s="766" t="s">
        <v>243</v>
      </c>
      <c r="B70" s="766"/>
      <c r="C70" s="766"/>
      <c r="D70" s="766"/>
      <c r="E70" s="766"/>
      <c r="F70" s="766"/>
      <c r="G70" s="766"/>
      <c r="H70" s="766"/>
      <c r="I70" s="766"/>
      <c r="J70" s="766"/>
      <c r="K70" s="766"/>
    </row>
    <row r="73" spans="1:19">
      <c r="D73" s="248"/>
    </row>
    <row r="76" spans="1:19">
      <c r="I76" s="249"/>
    </row>
    <row r="78" spans="1:19">
      <c r="I78" s="230"/>
    </row>
  </sheetData>
  <mergeCells count="9">
    <mergeCell ref="M18:N18"/>
    <mergeCell ref="B69:E69"/>
    <mergeCell ref="A70:K70"/>
    <mergeCell ref="A4:K4"/>
    <mergeCell ref="A5:K5"/>
    <mergeCell ref="A6:K6"/>
    <mergeCell ref="D7:E7"/>
    <mergeCell ref="I7:J7"/>
    <mergeCell ref="L10:M10"/>
  </mergeCells>
  <printOptions gridLines="1"/>
  <pageMargins left="0.17" right="0.16" top="0.2" bottom="0.23" header="0.17" footer="0.2"/>
  <pageSetup paperSize="9" scale="42" orientation="portrait" r:id="rId1"/>
  <headerFooter alignWithMargins="0">
    <oddFooter>&amp;RPAGE NO - 4 of 17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indexed="11"/>
  </sheetPr>
  <dimension ref="A1:P67"/>
  <sheetViews>
    <sheetView view="pageBreakPreview" zoomScale="70" zoomScaleNormal="85" zoomScaleSheetLayoutView="85" workbookViewId="0">
      <pane ySplit="3" topLeftCell="A13" activePane="bottomLeft" state="frozen"/>
      <selection pane="bottomLeft" activeCell="G21" sqref="G21"/>
    </sheetView>
  </sheetViews>
  <sheetFormatPr defaultRowHeight="12.75"/>
  <cols>
    <col min="1" max="1" width="6.7109375" style="145" customWidth="1"/>
    <col min="2" max="2" width="14.5703125" style="145" customWidth="1"/>
    <col min="3" max="3" width="15.85546875" style="145" customWidth="1"/>
    <col min="4" max="4" width="18.28515625" style="145" customWidth="1"/>
    <col min="5" max="5" width="17.42578125" style="145" customWidth="1"/>
    <col min="6" max="6" width="14.42578125" style="145" customWidth="1"/>
    <col min="7" max="7" width="16.140625" style="145" customWidth="1"/>
    <col min="8" max="8" width="18.140625" style="145" customWidth="1"/>
    <col min="9" max="9" width="17" style="145" customWidth="1"/>
    <col min="10" max="10" width="18.7109375" style="145" customWidth="1"/>
    <col min="11" max="11" width="15.85546875" style="145" customWidth="1"/>
    <col min="12" max="12" width="14.7109375" style="145" customWidth="1"/>
    <col min="13" max="13" width="18" style="145" customWidth="1"/>
    <col min="14" max="14" width="6.5703125" style="145" customWidth="1"/>
    <col min="15" max="15" width="17.140625" style="145" customWidth="1"/>
    <col min="16" max="256" width="9.140625" style="145"/>
    <col min="257" max="257" width="6.7109375" style="145" customWidth="1"/>
    <col min="258" max="258" width="14.5703125" style="145" customWidth="1"/>
    <col min="259" max="259" width="15.85546875" style="145" customWidth="1"/>
    <col min="260" max="260" width="18.28515625" style="145" customWidth="1"/>
    <col min="261" max="261" width="17.42578125" style="145" customWidth="1"/>
    <col min="262" max="262" width="14.42578125" style="145" customWidth="1"/>
    <col min="263" max="263" width="16.140625" style="145" customWidth="1"/>
    <col min="264" max="264" width="18.140625" style="145" customWidth="1"/>
    <col min="265" max="265" width="17" style="145" customWidth="1"/>
    <col min="266" max="266" width="18.7109375" style="145" customWidth="1"/>
    <col min="267" max="267" width="15.85546875" style="145" customWidth="1"/>
    <col min="268" max="268" width="14.7109375" style="145" customWidth="1"/>
    <col min="269" max="269" width="18" style="145" customWidth="1"/>
    <col min="270" max="270" width="6.5703125" style="145" customWidth="1"/>
    <col min="271" max="271" width="17.140625" style="145" customWidth="1"/>
    <col min="272" max="512" width="9.140625" style="145"/>
    <col min="513" max="513" width="6.7109375" style="145" customWidth="1"/>
    <col min="514" max="514" width="14.5703125" style="145" customWidth="1"/>
    <col min="515" max="515" width="15.85546875" style="145" customWidth="1"/>
    <col min="516" max="516" width="18.28515625" style="145" customWidth="1"/>
    <col min="517" max="517" width="17.42578125" style="145" customWidth="1"/>
    <col min="518" max="518" width="14.42578125" style="145" customWidth="1"/>
    <col min="519" max="519" width="16.140625" style="145" customWidth="1"/>
    <col min="520" max="520" width="18.140625" style="145" customWidth="1"/>
    <col min="521" max="521" width="17" style="145" customWidth="1"/>
    <col min="522" max="522" width="18.7109375" style="145" customWidth="1"/>
    <col min="523" max="523" width="15.85546875" style="145" customWidth="1"/>
    <col min="524" max="524" width="14.7109375" style="145" customWidth="1"/>
    <col min="525" max="525" width="18" style="145" customWidth="1"/>
    <col min="526" max="526" width="6.5703125" style="145" customWidth="1"/>
    <col min="527" max="527" width="17.140625" style="145" customWidth="1"/>
    <col min="528" max="768" width="9.140625" style="145"/>
    <col min="769" max="769" width="6.7109375" style="145" customWidth="1"/>
    <col min="770" max="770" width="14.5703125" style="145" customWidth="1"/>
    <col min="771" max="771" width="15.85546875" style="145" customWidth="1"/>
    <col min="772" max="772" width="18.28515625" style="145" customWidth="1"/>
    <col min="773" max="773" width="17.42578125" style="145" customWidth="1"/>
    <col min="774" max="774" width="14.42578125" style="145" customWidth="1"/>
    <col min="775" max="775" width="16.140625" style="145" customWidth="1"/>
    <col min="776" max="776" width="18.140625" style="145" customWidth="1"/>
    <col min="777" max="777" width="17" style="145" customWidth="1"/>
    <col min="778" max="778" width="18.7109375" style="145" customWidth="1"/>
    <col min="779" max="779" width="15.85546875" style="145" customWidth="1"/>
    <col min="780" max="780" width="14.7109375" style="145" customWidth="1"/>
    <col min="781" max="781" width="18" style="145" customWidth="1"/>
    <col min="782" max="782" width="6.5703125" style="145" customWidth="1"/>
    <col min="783" max="783" width="17.140625" style="145" customWidth="1"/>
    <col min="784" max="1024" width="9.140625" style="145"/>
    <col min="1025" max="1025" width="6.7109375" style="145" customWidth="1"/>
    <col min="1026" max="1026" width="14.5703125" style="145" customWidth="1"/>
    <col min="1027" max="1027" width="15.85546875" style="145" customWidth="1"/>
    <col min="1028" max="1028" width="18.28515625" style="145" customWidth="1"/>
    <col min="1029" max="1029" width="17.42578125" style="145" customWidth="1"/>
    <col min="1030" max="1030" width="14.42578125" style="145" customWidth="1"/>
    <col min="1031" max="1031" width="16.140625" style="145" customWidth="1"/>
    <col min="1032" max="1032" width="18.140625" style="145" customWidth="1"/>
    <col min="1033" max="1033" width="17" style="145" customWidth="1"/>
    <col min="1034" max="1034" width="18.7109375" style="145" customWidth="1"/>
    <col min="1035" max="1035" width="15.85546875" style="145" customWidth="1"/>
    <col min="1036" max="1036" width="14.7109375" style="145" customWidth="1"/>
    <col min="1037" max="1037" width="18" style="145" customWidth="1"/>
    <col min="1038" max="1038" width="6.5703125" style="145" customWidth="1"/>
    <col min="1039" max="1039" width="17.140625" style="145" customWidth="1"/>
    <col min="1040" max="1280" width="9.140625" style="145"/>
    <col min="1281" max="1281" width="6.7109375" style="145" customWidth="1"/>
    <col min="1282" max="1282" width="14.5703125" style="145" customWidth="1"/>
    <col min="1283" max="1283" width="15.85546875" style="145" customWidth="1"/>
    <col min="1284" max="1284" width="18.28515625" style="145" customWidth="1"/>
    <col min="1285" max="1285" width="17.42578125" style="145" customWidth="1"/>
    <col min="1286" max="1286" width="14.42578125" style="145" customWidth="1"/>
    <col min="1287" max="1287" width="16.140625" style="145" customWidth="1"/>
    <col min="1288" max="1288" width="18.140625" style="145" customWidth="1"/>
    <col min="1289" max="1289" width="17" style="145" customWidth="1"/>
    <col min="1290" max="1290" width="18.7109375" style="145" customWidth="1"/>
    <col min="1291" max="1291" width="15.85546875" style="145" customWidth="1"/>
    <col min="1292" max="1292" width="14.7109375" style="145" customWidth="1"/>
    <col min="1293" max="1293" width="18" style="145" customWidth="1"/>
    <col min="1294" max="1294" width="6.5703125" style="145" customWidth="1"/>
    <col min="1295" max="1295" width="17.140625" style="145" customWidth="1"/>
    <col min="1296" max="1536" width="9.140625" style="145"/>
    <col min="1537" max="1537" width="6.7109375" style="145" customWidth="1"/>
    <col min="1538" max="1538" width="14.5703125" style="145" customWidth="1"/>
    <col min="1539" max="1539" width="15.85546875" style="145" customWidth="1"/>
    <col min="1540" max="1540" width="18.28515625" style="145" customWidth="1"/>
    <col min="1541" max="1541" width="17.42578125" style="145" customWidth="1"/>
    <col min="1542" max="1542" width="14.42578125" style="145" customWidth="1"/>
    <col min="1543" max="1543" width="16.140625" style="145" customWidth="1"/>
    <col min="1544" max="1544" width="18.140625" style="145" customWidth="1"/>
    <col min="1545" max="1545" width="17" style="145" customWidth="1"/>
    <col min="1546" max="1546" width="18.7109375" style="145" customWidth="1"/>
    <col min="1547" max="1547" width="15.85546875" style="145" customWidth="1"/>
    <col min="1548" max="1548" width="14.7109375" style="145" customWidth="1"/>
    <col min="1549" max="1549" width="18" style="145" customWidth="1"/>
    <col min="1550" max="1550" width="6.5703125" style="145" customWidth="1"/>
    <col min="1551" max="1551" width="17.140625" style="145" customWidth="1"/>
    <col min="1552" max="1792" width="9.140625" style="145"/>
    <col min="1793" max="1793" width="6.7109375" style="145" customWidth="1"/>
    <col min="1794" max="1794" width="14.5703125" style="145" customWidth="1"/>
    <col min="1795" max="1795" width="15.85546875" style="145" customWidth="1"/>
    <col min="1796" max="1796" width="18.28515625" style="145" customWidth="1"/>
    <col min="1797" max="1797" width="17.42578125" style="145" customWidth="1"/>
    <col min="1798" max="1798" width="14.42578125" style="145" customWidth="1"/>
    <col min="1799" max="1799" width="16.140625" style="145" customWidth="1"/>
    <col min="1800" max="1800" width="18.140625" style="145" customWidth="1"/>
    <col min="1801" max="1801" width="17" style="145" customWidth="1"/>
    <col min="1802" max="1802" width="18.7109375" style="145" customWidth="1"/>
    <col min="1803" max="1803" width="15.85546875" style="145" customWidth="1"/>
    <col min="1804" max="1804" width="14.7109375" style="145" customWidth="1"/>
    <col min="1805" max="1805" width="18" style="145" customWidth="1"/>
    <col min="1806" max="1806" width="6.5703125" style="145" customWidth="1"/>
    <col min="1807" max="1807" width="17.140625" style="145" customWidth="1"/>
    <col min="1808" max="2048" width="9.140625" style="145"/>
    <col min="2049" max="2049" width="6.7109375" style="145" customWidth="1"/>
    <col min="2050" max="2050" width="14.5703125" style="145" customWidth="1"/>
    <col min="2051" max="2051" width="15.85546875" style="145" customWidth="1"/>
    <col min="2052" max="2052" width="18.28515625" style="145" customWidth="1"/>
    <col min="2053" max="2053" width="17.42578125" style="145" customWidth="1"/>
    <col min="2054" max="2054" width="14.42578125" style="145" customWidth="1"/>
    <col min="2055" max="2055" width="16.140625" style="145" customWidth="1"/>
    <col min="2056" max="2056" width="18.140625" style="145" customWidth="1"/>
    <col min="2057" max="2057" width="17" style="145" customWidth="1"/>
    <col min="2058" max="2058" width="18.7109375" style="145" customWidth="1"/>
    <col min="2059" max="2059" width="15.85546875" style="145" customWidth="1"/>
    <col min="2060" max="2060" width="14.7109375" style="145" customWidth="1"/>
    <col min="2061" max="2061" width="18" style="145" customWidth="1"/>
    <col min="2062" max="2062" width="6.5703125" style="145" customWidth="1"/>
    <col min="2063" max="2063" width="17.140625" style="145" customWidth="1"/>
    <col min="2064" max="2304" width="9.140625" style="145"/>
    <col min="2305" max="2305" width="6.7109375" style="145" customWidth="1"/>
    <col min="2306" max="2306" width="14.5703125" style="145" customWidth="1"/>
    <col min="2307" max="2307" width="15.85546875" style="145" customWidth="1"/>
    <col min="2308" max="2308" width="18.28515625" style="145" customWidth="1"/>
    <col min="2309" max="2309" width="17.42578125" style="145" customWidth="1"/>
    <col min="2310" max="2310" width="14.42578125" style="145" customWidth="1"/>
    <col min="2311" max="2311" width="16.140625" style="145" customWidth="1"/>
    <col min="2312" max="2312" width="18.140625" style="145" customWidth="1"/>
    <col min="2313" max="2313" width="17" style="145" customWidth="1"/>
    <col min="2314" max="2314" width="18.7109375" style="145" customWidth="1"/>
    <col min="2315" max="2315" width="15.85546875" style="145" customWidth="1"/>
    <col min="2316" max="2316" width="14.7109375" style="145" customWidth="1"/>
    <col min="2317" max="2317" width="18" style="145" customWidth="1"/>
    <col min="2318" max="2318" width="6.5703125" style="145" customWidth="1"/>
    <col min="2319" max="2319" width="17.140625" style="145" customWidth="1"/>
    <col min="2320" max="2560" width="9.140625" style="145"/>
    <col min="2561" max="2561" width="6.7109375" style="145" customWidth="1"/>
    <col min="2562" max="2562" width="14.5703125" style="145" customWidth="1"/>
    <col min="2563" max="2563" width="15.85546875" style="145" customWidth="1"/>
    <col min="2564" max="2564" width="18.28515625" style="145" customWidth="1"/>
    <col min="2565" max="2565" width="17.42578125" style="145" customWidth="1"/>
    <col min="2566" max="2566" width="14.42578125" style="145" customWidth="1"/>
    <col min="2567" max="2567" width="16.140625" style="145" customWidth="1"/>
    <col min="2568" max="2568" width="18.140625" style="145" customWidth="1"/>
    <col min="2569" max="2569" width="17" style="145" customWidth="1"/>
    <col min="2570" max="2570" width="18.7109375" style="145" customWidth="1"/>
    <col min="2571" max="2571" width="15.85546875" style="145" customWidth="1"/>
    <col min="2572" max="2572" width="14.7109375" style="145" customWidth="1"/>
    <col min="2573" max="2573" width="18" style="145" customWidth="1"/>
    <col min="2574" max="2574" width="6.5703125" style="145" customWidth="1"/>
    <col min="2575" max="2575" width="17.140625" style="145" customWidth="1"/>
    <col min="2576" max="2816" width="9.140625" style="145"/>
    <col min="2817" max="2817" width="6.7109375" style="145" customWidth="1"/>
    <col min="2818" max="2818" width="14.5703125" style="145" customWidth="1"/>
    <col min="2819" max="2819" width="15.85546875" style="145" customWidth="1"/>
    <col min="2820" max="2820" width="18.28515625" style="145" customWidth="1"/>
    <col min="2821" max="2821" width="17.42578125" style="145" customWidth="1"/>
    <col min="2822" max="2822" width="14.42578125" style="145" customWidth="1"/>
    <col min="2823" max="2823" width="16.140625" style="145" customWidth="1"/>
    <col min="2824" max="2824" width="18.140625" style="145" customWidth="1"/>
    <col min="2825" max="2825" width="17" style="145" customWidth="1"/>
    <col min="2826" max="2826" width="18.7109375" style="145" customWidth="1"/>
    <col min="2827" max="2827" width="15.85546875" style="145" customWidth="1"/>
    <col min="2828" max="2828" width="14.7109375" style="145" customWidth="1"/>
    <col min="2829" max="2829" width="18" style="145" customWidth="1"/>
    <col min="2830" max="2830" width="6.5703125" style="145" customWidth="1"/>
    <col min="2831" max="2831" width="17.140625" style="145" customWidth="1"/>
    <col min="2832" max="3072" width="9.140625" style="145"/>
    <col min="3073" max="3073" width="6.7109375" style="145" customWidth="1"/>
    <col min="3074" max="3074" width="14.5703125" style="145" customWidth="1"/>
    <col min="3075" max="3075" width="15.85546875" style="145" customWidth="1"/>
    <col min="3076" max="3076" width="18.28515625" style="145" customWidth="1"/>
    <col min="3077" max="3077" width="17.42578125" style="145" customWidth="1"/>
    <col min="3078" max="3078" width="14.42578125" style="145" customWidth="1"/>
    <col min="3079" max="3079" width="16.140625" style="145" customWidth="1"/>
    <col min="3080" max="3080" width="18.140625" style="145" customWidth="1"/>
    <col min="3081" max="3081" width="17" style="145" customWidth="1"/>
    <col min="3082" max="3082" width="18.7109375" style="145" customWidth="1"/>
    <col min="3083" max="3083" width="15.85546875" style="145" customWidth="1"/>
    <col min="3084" max="3084" width="14.7109375" style="145" customWidth="1"/>
    <col min="3085" max="3085" width="18" style="145" customWidth="1"/>
    <col min="3086" max="3086" width="6.5703125" style="145" customWidth="1"/>
    <col min="3087" max="3087" width="17.140625" style="145" customWidth="1"/>
    <col min="3088" max="3328" width="9.140625" style="145"/>
    <col min="3329" max="3329" width="6.7109375" style="145" customWidth="1"/>
    <col min="3330" max="3330" width="14.5703125" style="145" customWidth="1"/>
    <col min="3331" max="3331" width="15.85546875" style="145" customWidth="1"/>
    <col min="3332" max="3332" width="18.28515625" style="145" customWidth="1"/>
    <col min="3333" max="3333" width="17.42578125" style="145" customWidth="1"/>
    <col min="3334" max="3334" width="14.42578125" style="145" customWidth="1"/>
    <col min="3335" max="3335" width="16.140625" style="145" customWidth="1"/>
    <col min="3336" max="3336" width="18.140625" style="145" customWidth="1"/>
    <col min="3337" max="3337" width="17" style="145" customWidth="1"/>
    <col min="3338" max="3338" width="18.7109375" style="145" customWidth="1"/>
    <col min="3339" max="3339" width="15.85546875" style="145" customWidth="1"/>
    <col min="3340" max="3340" width="14.7109375" style="145" customWidth="1"/>
    <col min="3341" max="3341" width="18" style="145" customWidth="1"/>
    <col min="3342" max="3342" width="6.5703125" style="145" customWidth="1"/>
    <col min="3343" max="3343" width="17.140625" style="145" customWidth="1"/>
    <col min="3344" max="3584" width="9.140625" style="145"/>
    <col min="3585" max="3585" width="6.7109375" style="145" customWidth="1"/>
    <col min="3586" max="3586" width="14.5703125" style="145" customWidth="1"/>
    <col min="3587" max="3587" width="15.85546875" style="145" customWidth="1"/>
    <col min="3588" max="3588" width="18.28515625" style="145" customWidth="1"/>
    <col min="3589" max="3589" width="17.42578125" style="145" customWidth="1"/>
    <col min="3590" max="3590" width="14.42578125" style="145" customWidth="1"/>
    <col min="3591" max="3591" width="16.140625" style="145" customWidth="1"/>
    <col min="3592" max="3592" width="18.140625" style="145" customWidth="1"/>
    <col min="3593" max="3593" width="17" style="145" customWidth="1"/>
    <col min="3594" max="3594" width="18.7109375" style="145" customWidth="1"/>
    <col min="3595" max="3595" width="15.85546875" style="145" customWidth="1"/>
    <col min="3596" max="3596" width="14.7109375" style="145" customWidth="1"/>
    <col min="3597" max="3597" width="18" style="145" customWidth="1"/>
    <col min="3598" max="3598" width="6.5703125" style="145" customWidth="1"/>
    <col min="3599" max="3599" width="17.140625" style="145" customWidth="1"/>
    <col min="3600" max="3840" width="9.140625" style="145"/>
    <col min="3841" max="3841" width="6.7109375" style="145" customWidth="1"/>
    <col min="3842" max="3842" width="14.5703125" style="145" customWidth="1"/>
    <col min="3843" max="3843" width="15.85546875" style="145" customWidth="1"/>
    <col min="3844" max="3844" width="18.28515625" style="145" customWidth="1"/>
    <col min="3845" max="3845" width="17.42578125" style="145" customWidth="1"/>
    <col min="3846" max="3846" width="14.42578125" style="145" customWidth="1"/>
    <col min="3847" max="3847" width="16.140625" style="145" customWidth="1"/>
    <col min="3848" max="3848" width="18.140625" style="145" customWidth="1"/>
    <col min="3849" max="3849" width="17" style="145" customWidth="1"/>
    <col min="3850" max="3850" width="18.7109375" style="145" customWidth="1"/>
    <col min="3851" max="3851" width="15.85546875" style="145" customWidth="1"/>
    <col min="3852" max="3852" width="14.7109375" style="145" customWidth="1"/>
    <col min="3853" max="3853" width="18" style="145" customWidth="1"/>
    <col min="3854" max="3854" width="6.5703125" style="145" customWidth="1"/>
    <col min="3855" max="3855" width="17.140625" style="145" customWidth="1"/>
    <col min="3856" max="4096" width="9.140625" style="145"/>
    <col min="4097" max="4097" width="6.7109375" style="145" customWidth="1"/>
    <col min="4098" max="4098" width="14.5703125" style="145" customWidth="1"/>
    <col min="4099" max="4099" width="15.85546875" style="145" customWidth="1"/>
    <col min="4100" max="4100" width="18.28515625" style="145" customWidth="1"/>
    <col min="4101" max="4101" width="17.42578125" style="145" customWidth="1"/>
    <col min="4102" max="4102" width="14.42578125" style="145" customWidth="1"/>
    <col min="4103" max="4103" width="16.140625" style="145" customWidth="1"/>
    <col min="4104" max="4104" width="18.140625" style="145" customWidth="1"/>
    <col min="4105" max="4105" width="17" style="145" customWidth="1"/>
    <col min="4106" max="4106" width="18.7109375" style="145" customWidth="1"/>
    <col min="4107" max="4107" width="15.85546875" style="145" customWidth="1"/>
    <col min="4108" max="4108" width="14.7109375" style="145" customWidth="1"/>
    <col min="4109" max="4109" width="18" style="145" customWidth="1"/>
    <col min="4110" max="4110" width="6.5703125" style="145" customWidth="1"/>
    <col min="4111" max="4111" width="17.140625" style="145" customWidth="1"/>
    <col min="4112" max="4352" width="9.140625" style="145"/>
    <col min="4353" max="4353" width="6.7109375" style="145" customWidth="1"/>
    <col min="4354" max="4354" width="14.5703125" style="145" customWidth="1"/>
    <col min="4355" max="4355" width="15.85546875" style="145" customWidth="1"/>
    <col min="4356" max="4356" width="18.28515625" style="145" customWidth="1"/>
    <col min="4357" max="4357" width="17.42578125" style="145" customWidth="1"/>
    <col min="4358" max="4358" width="14.42578125" style="145" customWidth="1"/>
    <col min="4359" max="4359" width="16.140625" style="145" customWidth="1"/>
    <col min="4360" max="4360" width="18.140625" style="145" customWidth="1"/>
    <col min="4361" max="4361" width="17" style="145" customWidth="1"/>
    <col min="4362" max="4362" width="18.7109375" style="145" customWidth="1"/>
    <col min="4363" max="4363" width="15.85546875" style="145" customWidth="1"/>
    <col min="4364" max="4364" width="14.7109375" style="145" customWidth="1"/>
    <col min="4365" max="4365" width="18" style="145" customWidth="1"/>
    <col min="4366" max="4366" width="6.5703125" style="145" customWidth="1"/>
    <col min="4367" max="4367" width="17.140625" style="145" customWidth="1"/>
    <col min="4368" max="4608" width="9.140625" style="145"/>
    <col min="4609" max="4609" width="6.7109375" style="145" customWidth="1"/>
    <col min="4610" max="4610" width="14.5703125" style="145" customWidth="1"/>
    <col min="4611" max="4611" width="15.85546875" style="145" customWidth="1"/>
    <col min="4612" max="4612" width="18.28515625" style="145" customWidth="1"/>
    <col min="4613" max="4613" width="17.42578125" style="145" customWidth="1"/>
    <col min="4614" max="4614" width="14.42578125" style="145" customWidth="1"/>
    <col min="4615" max="4615" width="16.140625" style="145" customWidth="1"/>
    <col min="4616" max="4616" width="18.140625" style="145" customWidth="1"/>
    <col min="4617" max="4617" width="17" style="145" customWidth="1"/>
    <col min="4618" max="4618" width="18.7109375" style="145" customWidth="1"/>
    <col min="4619" max="4619" width="15.85546875" style="145" customWidth="1"/>
    <col min="4620" max="4620" width="14.7109375" style="145" customWidth="1"/>
    <col min="4621" max="4621" width="18" style="145" customWidth="1"/>
    <col min="4622" max="4622" width="6.5703125" style="145" customWidth="1"/>
    <col min="4623" max="4623" width="17.140625" style="145" customWidth="1"/>
    <col min="4624" max="4864" width="9.140625" style="145"/>
    <col min="4865" max="4865" width="6.7109375" style="145" customWidth="1"/>
    <col min="4866" max="4866" width="14.5703125" style="145" customWidth="1"/>
    <col min="4867" max="4867" width="15.85546875" style="145" customWidth="1"/>
    <col min="4868" max="4868" width="18.28515625" style="145" customWidth="1"/>
    <col min="4869" max="4869" width="17.42578125" style="145" customWidth="1"/>
    <col min="4870" max="4870" width="14.42578125" style="145" customWidth="1"/>
    <col min="4871" max="4871" width="16.140625" style="145" customWidth="1"/>
    <col min="4872" max="4872" width="18.140625" style="145" customWidth="1"/>
    <col min="4873" max="4873" width="17" style="145" customWidth="1"/>
    <col min="4874" max="4874" width="18.7109375" style="145" customWidth="1"/>
    <col min="4875" max="4875" width="15.85546875" style="145" customWidth="1"/>
    <col min="4876" max="4876" width="14.7109375" style="145" customWidth="1"/>
    <col min="4877" max="4877" width="18" style="145" customWidth="1"/>
    <col min="4878" max="4878" width="6.5703125" style="145" customWidth="1"/>
    <col min="4879" max="4879" width="17.140625" style="145" customWidth="1"/>
    <col min="4880" max="5120" width="9.140625" style="145"/>
    <col min="5121" max="5121" width="6.7109375" style="145" customWidth="1"/>
    <col min="5122" max="5122" width="14.5703125" style="145" customWidth="1"/>
    <col min="5123" max="5123" width="15.85546875" style="145" customWidth="1"/>
    <col min="5124" max="5124" width="18.28515625" style="145" customWidth="1"/>
    <col min="5125" max="5125" width="17.42578125" style="145" customWidth="1"/>
    <col min="5126" max="5126" width="14.42578125" style="145" customWidth="1"/>
    <col min="5127" max="5127" width="16.140625" style="145" customWidth="1"/>
    <col min="5128" max="5128" width="18.140625" style="145" customWidth="1"/>
    <col min="5129" max="5129" width="17" style="145" customWidth="1"/>
    <col min="5130" max="5130" width="18.7109375" style="145" customWidth="1"/>
    <col min="5131" max="5131" width="15.85546875" style="145" customWidth="1"/>
    <col min="5132" max="5132" width="14.7109375" style="145" customWidth="1"/>
    <col min="5133" max="5133" width="18" style="145" customWidth="1"/>
    <col min="5134" max="5134" width="6.5703125" style="145" customWidth="1"/>
    <col min="5135" max="5135" width="17.140625" style="145" customWidth="1"/>
    <col min="5136" max="5376" width="9.140625" style="145"/>
    <col min="5377" max="5377" width="6.7109375" style="145" customWidth="1"/>
    <col min="5378" max="5378" width="14.5703125" style="145" customWidth="1"/>
    <col min="5379" max="5379" width="15.85546875" style="145" customWidth="1"/>
    <col min="5380" max="5380" width="18.28515625" style="145" customWidth="1"/>
    <col min="5381" max="5381" width="17.42578125" style="145" customWidth="1"/>
    <col min="5382" max="5382" width="14.42578125" style="145" customWidth="1"/>
    <col min="5383" max="5383" width="16.140625" style="145" customWidth="1"/>
    <col min="5384" max="5384" width="18.140625" style="145" customWidth="1"/>
    <col min="5385" max="5385" width="17" style="145" customWidth="1"/>
    <col min="5386" max="5386" width="18.7109375" style="145" customWidth="1"/>
    <col min="5387" max="5387" width="15.85546875" style="145" customWidth="1"/>
    <col min="5388" max="5388" width="14.7109375" style="145" customWidth="1"/>
    <col min="5389" max="5389" width="18" style="145" customWidth="1"/>
    <col min="5390" max="5390" width="6.5703125" style="145" customWidth="1"/>
    <col min="5391" max="5391" width="17.140625" style="145" customWidth="1"/>
    <col min="5392" max="5632" width="9.140625" style="145"/>
    <col min="5633" max="5633" width="6.7109375" style="145" customWidth="1"/>
    <col min="5634" max="5634" width="14.5703125" style="145" customWidth="1"/>
    <col min="5635" max="5635" width="15.85546875" style="145" customWidth="1"/>
    <col min="5636" max="5636" width="18.28515625" style="145" customWidth="1"/>
    <col min="5637" max="5637" width="17.42578125" style="145" customWidth="1"/>
    <col min="5638" max="5638" width="14.42578125" style="145" customWidth="1"/>
    <col min="5639" max="5639" width="16.140625" style="145" customWidth="1"/>
    <col min="5640" max="5640" width="18.140625" style="145" customWidth="1"/>
    <col min="5641" max="5641" width="17" style="145" customWidth="1"/>
    <col min="5642" max="5642" width="18.7109375" style="145" customWidth="1"/>
    <col min="5643" max="5643" width="15.85546875" style="145" customWidth="1"/>
    <col min="5644" max="5644" width="14.7109375" style="145" customWidth="1"/>
    <col min="5645" max="5645" width="18" style="145" customWidth="1"/>
    <col min="5646" max="5646" width="6.5703125" style="145" customWidth="1"/>
    <col min="5647" max="5647" width="17.140625" style="145" customWidth="1"/>
    <col min="5648" max="5888" width="9.140625" style="145"/>
    <col min="5889" max="5889" width="6.7109375" style="145" customWidth="1"/>
    <col min="5890" max="5890" width="14.5703125" style="145" customWidth="1"/>
    <col min="5891" max="5891" width="15.85546875" style="145" customWidth="1"/>
    <col min="5892" max="5892" width="18.28515625" style="145" customWidth="1"/>
    <col min="5893" max="5893" width="17.42578125" style="145" customWidth="1"/>
    <col min="5894" max="5894" width="14.42578125" style="145" customWidth="1"/>
    <col min="5895" max="5895" width="16.140625" style="145" customWidth="1"/>
    <col min="5896" max="5896" width="18.140625" style="145" customWidth="1"/>
    <col min="5897" max="5897" width="17" style="145" customWidth="1"/>
    <col min="5898" max="5898" width="18.7109375" style="145" customWidth="1"/>
    <col min="5899" max="5899" width="15.85546875" style="145" customWidth="1"/>
    <col min="5900" max="5900" width="14.7109375" style="145" customWidth="1"/>
    <col min="5901" max="5901" width="18" style="145" customWidth="1"/>
    <col min="5902" max="5902" width="6.5703125" style="145" customWidth="1"/>
    <col min="5903" max="5903" width="17.140625" style="145" customWidth="1"/>
    <col min="5904" max="6144" width="9.140625" style="145"/>
    <col min="6145" max="6145" width="6.7109375" style="145" customWidth="1"/>
    <col min="6146" max="6146" width="14.5703125" style="145" customWidth="1"/>
    <col min="6147" max="6147" width="15.85546875" style="145" customWidth="1"/>
    <col min="6148" max="6148" width="18.28515625" style="145" customWidth="1"/>
    <col min="6149" max="6149" width="17.42578125" style="145" customWidth="1"/>
    <col min="6150" max="6150" width="14.42578125" style="145" customWidth="1"/>
    <col min="6151" max="6151" width="16.140625" style="145" customWidth="1"/>
    <col min="6152" max="6152" width="18.140625" style="145" customWidth="1"/>
    <col min="6153" max="6153" width="17" style="145" customWidth="1"/>
    <col min="6154" max="6154" width="18.7109375" style="145" customWidth="1"/>
    <col min="6155" max="6155" width="15.85546875" style="145" customWidth="1"/>
    <col min="6156" max="6156" width="14.7109375" style="145" customWidth="1"/>
    <col min="6157" max="6157" width="18" style="145" customWidth="1"/>
    <col min="6158" max="6158" width="6.5703125" style="145" customWidth="1"/>
    <col min="6159" max="6159" width="17.140625" style="145" customWidth="1"/>
    <col min="6160" max="6400" width="9.140625" style="145"/>
    <col min="6401" max="6401" width="6.7109375" style="145" customWidth="1"/>
    <col min="6402" max="6402" width="14.5703125" style="145" customWidth="1"/>
    <col min="6403" max="6403" width="15.85546875" style="145" customWidth="1"/>
    <col min="6404" max="6404" width="18.28515625" style="145" customWidth="1"/>
    <col min="6405" max="6405" width="17.42578125" style="145" customWidth="1"/>
    <col min="6406" max="6406" width="14.42578125" style="145" customWidth="1"/>
    <col min="6407" max="6407" width="16.140625" style="145" customWidth="1"/>
    <col min="6408" max="6408" width="18.140625" style="145" customWidth="1"/>
    <col min="6409" max="6409" width="17" style="145" customWidth="1"/>
    <col min="6410" max="6410" width="18.7109375" style="145" customWidth="1"/>
    <col min="6411" max="6411" width="15.85546875" style="145" customWidth="1"/>
    <col min="6412" max="6412" width="14.7109375" style="145" customWidth="1"/>
    <col min="6413" max="6413" width="18" style="145" customWidth="1"/>
    <col min="6414" max="6414" width="6.5703125" style="145" customWidth="1"/>
    <col min="6415" max="6415" width="17.140625" style="145" customWidth="1"/>
    <col min="6416" max="6656" width="9.140625" style="145"/>
    <col min="6657" max="6657" width="6.7109375" style="145" customWidth="1"/>
    <col min="6658" max="6658" width="14.5703125" style="145" customWidth="1"/>
    <col min="6659" max="6659" width="15.85546875" style="145" customWidth="1"/>
    <col min="6660" max="6660" width="18.28515625" style="145" customWidth="1"/>
    <col min="6661" max="6661" width="17.42578125" style="145" customWidth="1"/>
    <col min="6662" max="6662" width="14.42578125" style="145" customWidth="1"/>
    <col min="6663" max="6663" width="16.140625" style="145" customWidth="1"/>
    <col min="6664" max="6664" width="18.140625" style="145" customWidth="1"/>
    <col min="6665" max="6665" width="17" style="145" customWidth="1"/>
    <col min="6666" max="6666" width="18.7109375" style="145" customWidth="1"/>
    <col min="6667" max="6667" width="15.85546875" style="145" customWidth="1"/>
    <col min="6668" max="6668" width="14.7109375" style="145" customWidth="1"/>
    <col min="6669" max="6669" width="18" style="145" customWidth="1"/>
    <col min="6670" max="6670" width="6.5703125" style="145" customWidth="1"/>
    <col min="6671" max="6671" width="17.140625" style="145" customWidth="1"/>
    <col min="6672" max="6912" width="9.140625" style="145"/>
    <col min="6913" max="6913" width="6.7109375" style="145" customWidth="1"/>
    <col min="6914" max="6914" width="14.5703125" style="145" customWidth="1"/>
    <col min="6915" max="6915" width="15.85546875" style="145" customWidth="1"/>
    <col min="6916" max="6916" width="18.28515625" style="145" customWidth="1"/>
    <col min="6917" max="6917" width="17.42578125" style="145" customWidth="1"/>
    <col min="6918" max="6918" width="14.42578125" style="145" customWidth="1"/>
    <col min="6919" max="6919" width="16.140625" style="145" customWidth="1"/>
    <col min="6920" max="6920" width="18.140625" style="145" customWidth="1"/>
    <col min="6921" max="6921" width="17" style="145" customWidth="1"/>
    <col min="6922" max="6922" width="18.7109375" style="145" customWidth="1"/>
    <col min="6923" max="6923" width="15.85546875" style="145" customWidth="1"/>
    <col min="6924" max="6924" width="14.7109375" style="145" customWidth="1"/>
    <col min="6925" max="6925" width="18" style="145" customWidth="1"/>
    <col min="6926" max="6926" width="6.5703125" style="145" customWidth="1"/>
    <col min="6927" max="6927" width="17.140625" style="145" customWidth="1"/>
    <col min="6928" max="7168" width="9.140625" style="145"/>
    <col min="7169" max="7169" width="6.7109375" style="145" customWidth="1"/>
    <col min="7170" max="7170" width="14.5703125" style="145" customWidth="1"/>
    <col min="7171" max="7171" width="15.85546875" style="145" customWidth="1"/>
    <col min="7172" max="7172" width="18.28515625" style="145" customWidth="1"/>
    <col min="7173" max="7173" width="17.42578125" style="145" customWidth="1"/>
    <col min="7174" max="7174" width="14.42578125" style="145" customWidth="1"/>
    <col min="7175" max="7175" width="16.140625" style="145" customWidth="1"/>
    <col min="7176" max="7176" width="18.140625" style="145" customWidth="1"/>
    <col min="7177" max="7177" width="17" style="145" customWidth="1"/>
    <col min="7178" max="7178" width="18.7109375" style="145" customWidth="1"/>
    <col min="7179" max="7179" width="15.85546875" style="145" customWidth="1"/>
    <col min="7180" max="7180" width="14.7109375" style="145" customWidth="1"/>
    <col min="7181" max="7181" width="18" style="145" customWidth="1"/>
    <col min="7182" max="7182" width="6.5703125" style="145" customWidth="1"/>
    <col min="7183" max="7183" width="17.140625" style="145" customWidth="1"/>
    <col min="7184" max="7424" width="9.140625" style="145"/>
    <col min="7425" max="7425" width="6.7109375" style="145" customWidth="1"/>
    <col min="7426" max="7426" width="14.5703125" style="145" customWidth="1"/>
    <col min="7427" max="7427" width="15.85546875" style="145" customWidth="1"/>
    <col min="7428" max="7428" width="18.28515625" style="145" customWidth="1"/>
    <col min="7429" max="7429" width="17.42578125" style="145" customWidth="1"/>
    <col min="7430" max="7430" width="14.42578125" style="145" customWidth="1"/>
    <col min="7431" max="7431" width="16.140625" style="145" customWidth="1"/>
    <col min="7432" max="7432" width="18.140625" style="145" customWidth="1"/>
    <col min="7433" max="7433" width="17" style="145" customWidth="1"/>
    <col min="7434" max="7434" width="18.7109375" style="145" customWidth="1"/>
    <col min="7435" max="7435" width="15.85546875" style="145" customWidth="1"/>
    <col min="7436" max="7436" width="14.7109375" style="145" customWidth="1"/>
    <col min="7437" max="7437" width="18" style="145" customWidth="1"/>
    <col min="7438" max="7438" width="6.5703125" style="145" customWidth="1"/>
    <col min="7439" max="7439" width="17.140625" style="145" customWidth="1"/>
    <col min="7440" max="7680" width="9.140625" style="145"/>
    <col min="7681" max="7681" width="6.7109375" style="145" customWidth="1"/>
    <col min="7682" max="7682" width="14.5703125" style="145" customWidth="1"/>
    <col min="7683" max="7683" width="15.85546875" style="145" customWidth="1"/>
    <col min="7684" max="7684" width="18.28515625" style="145" customWidth="1"/>
    <col min="7685" max="7685" width="17.42578125" style="145" customWidth="1"/>
    <col min="7686" max="7686" width="14.42578125" style="145" customWidth="1"/>
    <col min="7687" max="7687" width="16.140625" style="145" customWidth="1"/>
    <col min="7688" max="7688" width="18.140625" style="145" customWidth="1"/>
    <col min="7689" max="7689" width="17" style="145" customWidth="1"/>
    <col min="7690" max="7690" width="18.7109375" style="145" customWidth="1"/>
    <col min="7691" max="7691" width="15.85546875" style="145" customWidth="1"/>
    <col min="7692" max="7692" width="14.7109375" style="145" customWidth="1"/>
    <col min="7693" max="7693" width="18" style="145" customWidth="1"/>
    <col min="7694" max="7694" width="6.5703125" style="145" customWidth="1"/>
    <col min="7695" max="7695" width="17.140625" style="145" customWidth="1"/>
    <col min="7696" max="7936" width="9.140625" style="145"/>
    <col min="7937" max="7937" width="6.7109375" style="145" customWidth="1"/>
    <col min="7938" max="7938" width="14.5703125" style="145" customWidth="1"/>
    <col min="7939" max="7939" width="15.85546875" style="145" customWidth="1"/>
    <col min="7940" max="7940" width="18.28515625" style="145" customWidth="1"/>
    <col min="7941" max="7941" width="17.42578125" style="145" customWidth="1"/>
    <col min="7942" max="7942" width="14.42578125" style="145" customWidth="1"/>
    <col min="7943" max="7943" width="16.140625" style="145" customWidth="1"/>
    <col min="7944" max="7944" width="18.140625" style="145" customWidth="1"/>
    <col min="7945" max="7945" width="17" style="145" customWidth="1"/>
    <col min="7946" max="7946" width="18.7109375" style="145" customWidth="1"/>
    <col min="7947" max="7947" width="15.85546875" style="145" customWidth="1"/>
    <col min="7948" max="7948" width="14.7109375" style="145" customWidth="1"/>
    <col min="7949" max="7949" width="18" style="145" customWidth="1"/>
    <col min="7950" max="7950" width="6.5703125" style="145" customWidth="1"/>
    <col min="7951" max="7951" width="17.140625" style="145" customWidth="1"/>
    <col min="7952" max="8192" width="9.140625" style="145"/>
    <col min="8193" max="8193" width="6.7109375" style="145" customWidth="1"/>
    <col min="8194" max="8194" width="14.5703125" style="145" customWidth="1"/>
    <col min="8195" max="8195" width="15.85546875" style="145" customWidth="1"/>
    <col min="8196" max="8196" width="18.28515625" style="145" customWidth="1"/>
    <col min="8197" max="8197" width="17.42578125" style="145" customWidth="1"/>
    <col min="8198" max="8198" width="14.42578125" style="145" customWidth="1"/>
    <col min="8199" max="8199" width="16.140625" style="145" customWidth="1"/>
    <col min="8200" max="8200" width="18.140625" style="145" customWidth="1"/>
    <col min="8201" max="8201" width="17" style="145" customWidth="1"/>
    <col min="8202" max="8202" width="18.7109375" style="145" customWidth="1"/>
    <col min="8203" max="8203" width="15.85546875" style="145" customWidth="1"/>
    <col min="8204" max="8204" width="14.7109375" style="145" customWidth="1"/>
    <col min="8205" max="8205" width="18" style="145" customWidth="1"/>
    <col min="8206" max="8206" width="6.5703125" style="145" customWidth="1"/>
    <col min="8207" max="8207" width="17.140625" style="145" customWidth="1"/>
    <col min="8208" max="8448" width="9.140625" style="145"/>
    <col min="8449" max="8449" width="6.7109375" style="145" customWidth="1"/>
    <col min="8450" max="8450" width="14.5703125" style="145" customWidth="1"/>
    <col min="8451" max="8451" width="15.85546875" style="145" customWidth="1"/>
    <col min="8452" max="8452" width="18.28515625" style="145" customWidth="1"/>
    <col min="8453" max="8453" width="17.42578125" style="145" customWidth="1"/>
    <col min="8454" max="8454" width="14.42578125" style="145" customWidth="1"/>
    <col min="8455" max="8455" width="16.140625" style="145" customWidth="1"/>
    <col min="8456" max="8456" width="18.140625" style="145" customWidth="1"/>
    <col min="8457" max="8457" width="17" style="145" customWidth="1"/>
    <col min="8458" max="8458" width="18.7109375" style="145" customWidth="1"/>
    <col min="8459" max="8459" width="15.85546875" style="145" customWidth="1"/>
    <col min="8460" max="8460" width="14.7109375" style="145" customWidth="1"/>
    <col min="8461" max="8461" width="18" style="145" customWidth="1"/>
    <col min="8462" max="8462" width="6.5703125" style="145" customWidth="1"/>
    <col min="8463" max="8463" width="17.140625" style="145" customWidth="1"/>
    <col min="8464" max="8704" width="9.140625" style="145"/>
    <col min="8705" max="8705" width="6.7109375" style="145" customWidth="1"/>
    <col min="8706" max="8706" width="14.5703125" style="145" customWidth="1"/>
    <col min="8707" max="8707" width="15.85546875" style="145" customWidth="1"/>
    <col min="8708" max="8708" width="18.28515625" style="145" customWidth="1"/>
    <col min="8709" max="8709" width="17.42578125" style="145" customWidth="1"/>
    <col min="8710" max="8710" width="14.42578125" style="145" customWidth="1"/>
    <col min="8711" max="8711" width="16.140625" style="145" customWidth="1"/>
    <col min="8712" max="8712" width="18.140625" style="145" customWidth="1"/>
    <col min="8713" max="8713" width="17" style="145" customWidth="1"/>
    <col min="8714" max="8714" width="18.7109375" style="145" customWidth="1"/>
    <col min="8715" max="8715" width="15.85546875" style="145" customWidth="1"/>
    <col min="8716" max="8716" width="14.7109375" style="145" customWidth="1"/>
    <col min="8717" max="8717" width="18" style="145" customWidth="1"/>
    <col min="8718" max="8718" width="6.5703125" style="145" customWidth="1"/>
    <col min="8719" max="8719" width="17.140625" style="145" customWidth="1"/>
    <col min="8720" max="8960" width="9.140625" style="145"/>
    <col min="8961" max="8961" width="6.7109375" style="145" customWidth="1"/>
    <col min="8962" max="8962" width="14.5703125" style="145" customWidth="1"/>
    <col min="8963" max="8963" width="15.85546875" style="145" customWidth="1"/>
    <col min="8964" max="8964" width="18.28515625" style="145" customWidth="1"/>
    <col min="8965" max="8965" width="17.42578125" style="145" customWidth="1"/>
    <col min="8966" max="8966" width="14.42578125" style="145" customWidth="1"/>
    <col min="8967" max="8967" width="16.140625" style="145" customWidth="1"/>
    <col min="8968" max="8968" width="18.140625" style="145" customWidth="1"/>
    <col min="8969" max="8969" width="17" style="145" customWidth="1"/>
    <col min="8970" max="8970" width="18.7109375" style="145" customWidth="1"/>
    <col min="8971" max="8971" width="15.85546875" style="145" customWidth="1"/>
    <col min="8972" max="8972" width="14.7109375" style="145" customWidth="1"/>
    <col min="8973" max="8973" width="18" style="145" customWidth="1"/>
    <col min="8974" max="8974" width="6.5703125" style="145" customWidth="1"/>
    <col min="8975" max="8975" width="17.140625" style="145" customWidth="1"/>
    <col min="8976" max="9216" width="9.140625" style="145"/>
    <col min="9217" max="9217" width="6.7109375" style="145" customWidth="1"/>
    <col min="9218" max="9218" width="14.5703125" style="145" customWidth="1"/>
    <col min="9219" max="9219" width="15.85546875" style="145" customWidth="1"/>
    <col min="9220" max="9220" width="18.28515625" style="145" customWidth="1"/>
    <col min="9221" max="9221" width="17.42578125" style="145" customWidth="1"/>
    <col min="9222" max="9222" width="14.42578125" style="145" customWidth="1"/>
    <col min="9223" max="9223" width="16.140625" style="145" customWidth="1"/>
    <col min="9224" max="9224" width="18.140625" style="145" customWidth="1"/>
    <col min="9225" max="9225" width="17" style="145" customWidth="1"/>
    <col min="9226" max="9226" width="18.7109375" style="145" customWidth="1"/>
    <col min="9227" max="9227" width="15.85546875" style="145" customWidth="1"/>
    <col min="9228" max="9228" width="14.7109375" style="145" customWidth="1"/>
    <col min="9229" max="9229" width="18" style="145" customWidth="1"/>
    <col min="9230" max="9230" width="6.5703125" style="145" customWidth="1"/>
    <col min="9231" max="9231" width="17.140625" style="145" customWidth="1"/>
    <col min="9232" max="9472" width="9.140625" style="145"/>
    <col min="9473" max="9473" width="6.7109375" style="145" customWidth="1"/>
    <col min="9474" max="9474" width="14.5703125" style="145" customWidth="1"/>
    <col min="9475" max="9475" width="15.85546875" style="145" customWidth="1"/>
    <col min="9476" max="9476" width="18.28515625" style="145" customWidth="1"/>
    <col min="9477" max="9477" width="17.42578125" style="145" customWidth="1"/>
    <col min="9478" max="9478" width="14.42578125" style="145" customWidth="1"/>
    <col min="9479" max="9479" width="16.140625" style="145" customWidth="1"/>
    <col min="9480" max="9480" width="18.140625" style="145" customWidth="1"/>
    <col min="9481" max="9481" width="17" style="145" customWidth="1"/>
    <col min="9482" max="9482" width="18.7109375" style="145" customWidth="1"/>
    <col min="9483" max="9483" width="15.85546875" style="145" customWidth="1"/>
    <col min="9484" max="9484" width="14.7109375" style="145" customWidth="1"/>
    <col min="9485" max="9485" width="18" style="145" customWidth="1"/>
    <col min="9486" max="9486" width="6.5703125" style="145" customWidth="1"/>
    <col min="9487" max="9487" width="17.140625" style="145" customWidth="1"/>
    <col min="9488" max="9728" width="9.140625" style="145"/>
    <col min="9729" max="9729" width="6.7109375" style="145" customWidth="1"/>
    <col min="9730" max="9730" width="14.5703125" style="145" customWidth="1"/>
    <col min="9731" max="9731" width="15.85546875" style="145" customWidth="1"/>
    <col min="9732" max="9732" width="18.28515625" style="145" customWidth="1"/>
    <col min="9733" max="9733" width="17.42578125" style="145" customWidth="1"/>
    <col min="9734" max="9734" width="14.42578125" style="145" customWidth="1"/>
    <col min="9735" max="9735" width="16.140625" style="145" customWidth="1"/>
    <col min="9736" max="9736" width="18.140625" style="145" customWidth="1"/>
    <col min="9737" max="9737" width="17" style="145" customWidth="1"/>
    <col min="9738" max="9738" width="18.7109375" style="145" customWidth="1"/>
    <col min="9739" max="9739" width="15.85546875" style="145" customWidth="1"/>
    <col min="9740" max="9740" width="14.7109375" style="145" customWidth="1"/>
    <col min="9741" max="9741" width="18" style="145" customWidth="1"/>
    <col min="9742" max="9742" width="6.5703125" style="145" customWidth="1"/>
    <col min="9743" max="9743" width="17.140625" style="145" customWidth="1"/>
    <col min="9744" max="9984" width="9.140625" style="145"/>
    <col min="9985" max="9985" width="6.7109375" style="145" customWidth="1"/>
    <col min="9986" max="9986" width="14.5703125" style="145" customWidth="1"/>
    <col min="9987" max="9987" width="15.85546875" style="145" customWidth="1"/>
    <col min="9988" max="9988" width="18.28515625" style="145" customWidth="1"/>
    <col min="9989" max="9989" width="17.42578125" style="145" customWidth="1"/>
    <col min="9990" max="9990" width="14.42578125" style="145" customWidth="1"/>
    <col min="9991" max="9991" width="16.140625" style="145" customWidth="1"/>
    <col min="9992" max="9992" width="18.140625" style="145" customWidth="1"/>
    <col min="9993" max="9993" width="17" style="145" customWidth="1"/>
    <col min="9994" max="9994" width="18.7109375" style="145" customWidth="1"/>
    <col min="9995" max="9995" width="15.85546875" style="145" customWidth="1"/>
    <col min="9996" max="9996" width="14.7109375" style="145" customWidth="1"/>
    <col min="9997" max="9997" width="18" style="145" customWidth="1"/>
    <col min="9998" max="9998" width="6.5703125" style="145" customWidth="1"/>
    <col min="9999" max="9999" width="17.140625" style="145" customWidth="1"/>
    <col min="10000" max="10240" width="9.140625" style="145"/>
    <col min="10241" max="10241" width="6.7109375" style="145" customWidth="1"/>
    <col min="10242" max="10242" width="14.5703125" style="145" customWidth="1"/>
    <col min="10243" max="10243" width="15.85546875" style="145" customWidth="1"/>
    <col min="10244" max="10244" width="18.28515625" style="145" customWidth="1"/>
    <col min="10245" max="10245" width="17.42578125" style="145" customWidth="1"/>
    <col min="10246" max="10246" width="14.42578125" style="145" customWidth="1"/>
    <col min="10247" max="10247" width="16.140625" style="145" customWidth="1"/>
    <col min="10248" max="10248" width="18.140625" style="145" customWidth="1"/>
    <col min="10249" max="10249" width="17" style="145" customWidth="1"/>
    <col min="10250" max="10250" width="18.7109375" style="145" customWidth="1"/>
    <col min="10251" max="10251" width="15.85546875" style="145" customWidth="1"/>
    <col min="10252" max="10252" width="14.7109375" style="145" customWidth="1"/>
    <col min="10253" max="10253" width="18" style="145" customWidth="1"/>
    <col min="10254" max="10254" width="6.5703125" style="145" customWidth="1"/>
    <col min="10255" max="10255" width="17.140625" style="145" customWidth="1"/>
    <col min="10256" max="10496" width="9.140625" style="145"/>
    <col min="10497" max="10497" width="6.7109375" style="145" customWidth="1"/>
    <col min="10498" max="10498" width="14.5703125" style="145" customWidth="1"/>
    <col min="10499" max="10499" width="15.85546875" style="145" customWidth="1"/>
    <col min="10500" max="10500" width="18.28515625" style="145" customWidth="1"/>
    <col min="10501" max="10501" width="17.42578125" style="145" customWidth="1"/>
    <col min="10502" max="10502" width="14.42578125" style="145" customWidth="1"/>
    <col min="10503" max="10503" width="16.140625" style="145" customWidth="1"/>
    <col min="10504" max="10504" width="18.140625" style="145" customWidth="1"/>
    <col min="10505" max="10505" width="17" style="145" customWidth="1"/>
    <col min="10506" max="10506" width="18.7109375" style="145" customWidth="1"/>
    <col min="10507" max="10507" width="15.85546875" style="145" customWidth="1"/>
    <col min="10508" max="10508" width="14.7109375" style="145" customWidth="1"/>
    <col min="10509" max="10509" width="18" style="145" customWidth="1"/>
    <col min="10510" max="10510" width="6.5703125" style="145" customWidth="1"/>
    <col min="10511" max="10511" width="17.140625" style="145" customWidth="1"/>
    <col min="10512" max="10752" width="9.140625" style="145"/>
    <col min="10753" max="10753" width="6.7109375" style="145" customWidth="1"/>
    <col min="10754" max="10754" width="14.5703125" style="145" customWidth="1"/>
    <col min="10755" max="10755" width="15.85546875" style="145" customWidth="1"/>
    <col min="10756" max="10756" width="18.28515625" style="145" customWidth="1"/>
    <col min="10757" max="10757" width="17.42578125" style="145" customWidth="1"/>
    <col min="10758" max="10758" width="14.42578125" style="145" customWidth="1"/>
    <col min="10759" max="10759" width="16.140625" style="145" customWidth="1"/>
    <col min="10760" max="10760" width="18.140625" style="145" customWidth="1"/>
    <col min="10761" max="10761" width="17" style="145" customWidth="1"/>
    <col min="10762" max="10762" width="18.7109375" style="145" customWidth="1"/>
    <col min="10763" max="10763" width="15.85546875" style="145" customWidth="1"/>
    <col min="10764" max="10764" width="14.7109375" style="145" customWidth="1"/>
    <col min="10765" max="10765" width="18" style="145" customWidth="1"/>
    <col min="10766" max="10766" width="6.5703125" style="145" customWidth="1"/>
    <col min="10767" max="10767" width="17.140625" style="145" customWidth="1"/>
    <col min="10768" max="11008" width="9.140625" style="145"/>
    <col min="11009" max="11009" width="6.7109375" style="145" customWidth="1"/>
    <col min="11010" max="11010" width="14.5703125" style="145" customWidth="1"/>
    <col min="11011" max="11011" width="15.85546875" style="145" customWidth="1"/>
    <col min="11012" max="11012" width="18.28515625" style="145" customWidth="1"/>
    <col min="11013" max="11013" width="17.42578125" style="145" customWidth="1"/>
    <col min="11014" max="11014" width="14.42578125" style="145" customWidth="1"/>
    <col min="11015" max="11015" width="16.140625" style="145" customWidth="1"/>
    <col min="11016" max="11016" width="18.140625" style="145" customWidth="1"/>
    <col min="11017" max="11017" width="17" style="145" customWidth="1"/>
    <col min="11018" max="11018" width="18.7109375" style="145" customWidth="1"/>
    <col min="11019" max="11019" width="15.85546875" style="145" customWidth="1"/>
    <col min="11020" max="11020" width="14.7109375" style="145" customWidth="1"/>
    <col min="11021" max="11021" width="18" style="145" customWidth="1"/>
    <col min="11022" max="11022" width="6.5703125" style="145" customWidth="1"/>
    <col min="11023" max="11023" width="17.140625" style="145" customWidth="1"/>
    <col min="11024" max="11264" width="9.140625" style="145"/>
    <col min="11265" max="11265" width="6.7109375" style="145" customWidth="1"/>
    <col min="11266" max="11266" width="14.5703125" style="145" customWidth="1"/>
    <col min="11267" max="11267" width="15.85546875" style="145" customWidth="1"/>
    <col min="11268" max="11268" width="18.28515625" style="145" customWidth="1"/>
    <col min="11269" max="11269" width="17.42578125" style="145" customWidth="1"/>
    <col min="11270" max="11270" width="14.42578125" style="145" customWidth="1"/>
    <col min="11271" max="11271" width="16.140625" style="145" customWidth="1"/>
    <col min="11272" max="11272" width="18.140625" style="145" customWidth="1"/>
    <col min="11273" max="11273" width="17" style="145" customWidth="1"/>
    <col min="11274" max="11274" width="18.7109375" style="145" customWidth="1"/>
    <col min="11275" max="11275" width="15.85546875" style="145" customWidth="1"/>
    <col min="11276" max="11276" width="14.7109375" style="145" customWidth="1"/>
    <col min="11277" max="11277" width="18" style="145" customWidth="1"/>
    <col min="11278" max="11278" width="6.5703125" style="145" customWidth="1"/>
    <col min="11279" max="11279" width="17.140625" style="145" customWidth="1"/>
    <col min="11280" max="11520" width="9.140625" style="145"/>
    <col min="11521" max="11521" width="6.7109375" style="145" customWidth="1"/>
    <col min="11522" max="11522" width="14.5703125" style="145" customWidth="1"/>
    <col min="11523" max="11523" width="15.85546875" style="145" customWidth="1"/>
    <col min="11524" max="11524" width="18.28515625" style="145" customWidth="1"/>
    <col min="11525" max="11525" width="17.42578125" style="145" customWidth="1"/>
    <col min="11526" max="11526" width="14.42578125" style="145" customWidth="1"/>
    <col min="11527" max="11527" width="16.140625" style="145" customWidth="1"/>
    <col min="11528" max="11528" width="18.140625" style="145" customWidth="1"/>
    <col min="11529" max="11529" width="17" style="145" customWidth="1"/>
    <col min="11530" max="11530" width="18.7109375" style="145" customWidth="1"/>
    <col min="11531" max="11531" width="15.85546875" style="145" customWidth="1"/>
    <col min="11532" max="11532" width="14.7109375" style="145" customWidth="1"/>
    <col min="11533" max="11533" width="18" style="145" customWidth="1"/>
    <col min="11534" max="11534" width="6.5703125" style="145" customWidth="1"/>
    <col min="11535" max="11535" width="17.140625" style="145" customWidth="1"/>
    <col min="11536" max="11776" width="9.140625" style="145"/>
    <col min="11777" max="11777" width="6.7109375" style="145" customWidth="1"/>
    <col min="11778" max="11778" width="14.5703125" style="145" customWidth="1"/>
    <col min="11779" max="11779" width="15.85546875" style="145" customWidth="1"/>
    <col min="11780" max="11780" width="18.28515625" style="145" customWidth="1"/>
    <col min="11781" max="11781" width="17.42578125" style="145" customWidth="1"/>
    <col min="11782" max="11782" width="14.42578125" style="145" customWidth="1"/>
    <col min="11783" max="11783" width="16.140625" style="145" customWidth="1"/>
    <col min="11784" max="11784" width="18.140625" style="145" customWidth="1"/>
    <col min="11785" max="11785" width="17" style="145" customWidth="1"/>
    <col min="11786" max="11786" width="18.7109375" style="145" customWidth="1"/>
    <col min="11787" max="11787" width="15.85546875" style="145" customWidth="1"/>
    <col min="11788" max="11788" width="14.7109375" style="145" customWidth="1"/>
    <col min="11789" max="11789" width="18" style="145" customWidth="1"/>
    <col min="11790" max="11790" width="6.5703125" style="145" customWidth="1"/>
    <col min="11791" max="11791" width="17.140625" style="145" customWidth="1"/>
    <col min="11792" max="12032" width="9.140625" style="145"/>
    <col min="12033" max="12033" width="6.7109375" style="145" customWidth="1"/>
    <col min="12034" max="12034" width="14.5703125" style="145" customWidth="1"/>
    <col min="12035" max="12035" width="15.85546875" style="145" customWidth="1"/>
    <col min="12036" max="12036" width="18.28515625" style="145" customWidth="1"/>
    <col min="12037" max="12037" width="17.42578125" style="145" customWidth="1"/>
    <col min="12038" max="12038" width="14.42578125" style="145" customWidth="1"/>
    <col min="12039" max="12039" width="16.140625" style="145" customWidth="1"/>
    <col min="12040" max="12040" width="18.140625" style="145" customWidth="1"/>
    <col min="12041" max="12041" width="17" style="145" customWidth="1"/>
    <col min="12042" max="12042" width="18.7109375" style="145" customWidth="1"/>
    <col min="12043" max="12043" width="15.85546875" style="145" customWidth="1"/>
    <col min="12044" max="12044" width="14.7109375" style="145" customWidth="1"/>
    <col min="12045" max="12045" width="18" style="145" customWidth="1"/>
    <col min="12046" max="12046" width="6.5703125" style="145" customWidth="1"/>
    <col min="12047" max="12047" width="17.140625" style="145" customWidth="1"/>
    <col min="12048" max="12288" width="9.140625" style="145"/>
    <col min="12289" max="12289" width="6.7109375" style="145" customWidth="1"/>
    <col min="12290" max="12290" width="14.5703125" style="145" customWidth="1"/>
    <col min="12291" max="12291" width="15.85546875" style="145" customWidth="1"/>
    <col min="12292" max="12292" width="18.28515625" style="145" customWidth="1"/>
    <col min="12293" max="12293" width="17.42578125" style="145" customWidth="1"/>
    <col min="12294" max="12294" width="14.42578125" style="145" customWidth="1"/>
    <col min="12295" max="12295" width="16.140625" style="145" customWidth="1"/>
    <col min="12296" max="12296" width="18.140625" style="145" customWidth="1"/>
    <col min="12297" max="12297" width="17" style="145" customWidth="1"/>
    <col min="12298" max="12298" width="18.7109375" style="145" customWidth="1"/>
    <col min="12299" max="12299" width="15.85546875" style="145" customWidth="1"/>
    <col min="12300" max="12300" width="14.7109375" style="145" customWidth="1"/>
    <col min="12301" max="12301" width="18" style="145" customWidth="1"/>
    <col min="12302" max="12302" width="6.5703125" style="145" customWidth="1"/>
    <col min="12303" max="12303" width="17.140625" style="145" customWidth="1"/>
    <col min="12304" max="12544" width="9.140625" style="145"/>
    <col min="12545" max="12545" width="6.7109375" style="145" customWidth="1"/>
    <col min="12546" max="12546" width="14.5703125" style="145" customWidth="1"/>
    <col min="12547" max="12547" width="15.85546875" style="145" customWidth="1"/>
    <col min="12548" max="12548" width="18.28515625" style="145" customWidth="1"/>
    <col min="12549" max="12549" width="17.42578125" style="145" customWidth="1"/>
    <col min="12550" max="12550" width="14.42578125" style="145" customWidth="1"/>
    <col min="12551" max="12551" width="16.140625" style="145" customWidth="1"/>
    <col min="12552" max="12552" width="18.140625" style="145" customWidth="1"/>
    <col min="12553" max="12553" width="17" style="145" customWidth="1"/>
    <col min="12554" max="12554" width="18.7109375" style="145" customWidth="1"/>
    <col min="12555" max="12555" width="15.85546875" style="145" customWidth="1"/>
    <col min="12556" max="12556" width="14.7109375" style="145" customWidth="1"/>
    <col min="12557" max="12557" width="18" style="145" customWidth="1"/>
    <col min="12558" max="12558" width="6.5703125" style="145" customWidth="1"/>
    <col min="12559" max="12559" width="17.140625" style="145" customWidth="1"/>
    <col min="12560" max="12800" width="9.140625" style="145"/>
    <col min="12801" max="12801" width="6.7109375" style="145" customWidth="1"/>
    <col min="12802" max="12802" width="14.5703125" style="145" customWidth="1"/>
    <col min="12803" max="12803" width="15.85546875" style="145" customWidth="1"/>
    <col min="12804" max="12804" width="18.28515625" style="145" customWidth="1"/>
    <col min="12805" max="12805" width="17.42578125" style="145" customWidth="1"/>
    <col min="12806" max="12806" width="14.42578125" style="145" customWidth="1"/>
    <col min="12807" max="12807" width="16.140625" style="145" customWidth="1"/>
    <col min="12808" max="12808" width="18.140625" style="145" customWidth="1"/>
    <col min="12809" max="12809" width="17" style="145" customWidth="1"/>
    <col min="12810" max="12810" width="18.7109375" style="145" customWidth="1"/>
    <col min="12811" max="12811" width="15.85546875" style="145" customWidth="1"/>
    <col min="12812" max="12812" width="14.7109375" style="145" customWidth="1"/>
    <col min="12813" max="12813" width="18" style="145" customWidth="1"/>
    <col min="12814" max="12814" width="6.5703125" style="145" customWidth="1"/>
    <col min="12815" max="12815" width="17.140625" style="145" customWidth="1"/>
    <col min="12816" max="13056" width="9.140625" style="145"/>
    <col min="13057" max="13057" width="6.7109375" style="145" customWidth="1"/>
    <col min="13058" max="13058" width="14.5703125" style="145" customWidth="1"/>
    <col min="13059" max="13059" width="15.85546875" style="145" customWidth="1"/>
    <col min="13060" max="13060" width="18.28515625" style="145" customWidth="1"/>
    <col min="13061" max="13061" width="17.42578125" style="145" customWidth="1"/>
    <col min="13062" max="13062" width="14.42578125" style="145" customWidth="1"/>
    <col min="13063" max="13063" width="16.140625" style="145" customWidth="1"/>
    <col min="13064" max="13064" width="18.140625" style="145" customWidth="1"/>
    <col min="13065" max="13065" width="17" style="145" customWidth="1"/>
    <col min="13066" max="13066" width="18.7109375" style="145" customWidth="1"/>
    <col min="13067" max="13067" width="15.85546875" style="145" customWidth="1"/>
    <col min="13068" max="13068" width="14.7109375" style="145" customWidth="1"/>
    <col min="13069" max="13069" width="18" style="145" customWidth="1"/>
    <col min="13070" max="13070" width="6.5703125" style="145" customWidth="1"/>
    <col min="13071" max="13071" width="17.140625" style="145" customWidth="1"/>
    <col min="13072" max="13312" width="9.140625" style="145"/>
    <col min="13313" max="13313" width="6.7109375" style="145" customWidth="1"/>
    <col min="13314" max="13314" width="14.5703125" style="145" customWidth="1"/>
    <col min="13315" max="13315" width="15.85546875" style="145" customWidth="1"/>
    <col min="13316" max="13316" width="18.28515625" style="145" customWidth="1"/>
    <col min="13317" max="13317" width="17.42578125" style="145" customWidth="1"/>
    <col min="13318" max="13318" width="14.42578125" style="145" customWidth="1"/>
    <col min="13319" max="13319" width="16.140625" style="145" customWidth="1"/>
    <col min="13320" max="13320" width="18.140625" style="145" customWidth="1"/>
    <col min="13321" max="13321" width="17" style="145" customWidth="1"/>
    <col min="13322" max="13322" width="18.7109375" style="145" customWidth="1"/>
    <col min="13323" max="13323" width="15.85546875" style="145" customWidth="1"/>
    <col min="13324" max="13324" width="14.7109375" style="145" customWidth="1"/>
    <col min="13325" max="13325" width="18" style="145" customWidth="1"/>
    <col min="13326" max="13326" width="6.5703125" style="145" customWidth="1"/>
    <col min="13327" max="13327" width="17.140625" style="145" customWidth="1"/>
    <col min="13328" max="13568" width="9.140625" style="145"/>
    <col min="13569" max="13569" width="6.7109375" style="145" customWidth="1"/>
    <col min="13570" max="13570" width="14.5703125" style="145" customWidth="1"/>
    <col min="13571" max="13571" width="15.85546875" style="145" customWidth="1"/>
    <col min="13572" max="13572" width="18.28515625" style="145" customWidth="1"/>
    <col min="13573" max="13573" width="17.42578125" style="145" customWidth="1"/>
    <col min="13574" max="13574" width="14.42578125" style="145" customWidth="1"/>
    <col min="13575" max="13575" width="16.140625" style="145" customWidth="1"/>
    <col min="13576" max="13576" width="18.140625" style="145" customWidth="1"/>
    <col min="13577" max="13577" width="17" style="145" customWidth="1"/>
    <col min="13578" max="13578" width="18.7109375" style="145" customWidth="1"/>
    <col min="13579" max="13579" width="15.85546875" style="145" customWidth="1"/>
    <col min="13580" max="13580" width="14.7109375" style="145" customWidth="1"/>
    <col min="13581" max="13581" width="18" style="145" customWidth="1"/>
    <col min="13582" max="13582" width="6.5703125" style="145" customWidth="1"/>
    <col min="13583" max="13583" width="17.140625" style="145" customWidth="1"/>
    <col min="13584" max="13824" width="9.140625" style="145"/>
    <col min="13825" max="13825" width="6.7109375" style="145" customWidth="1"/>
    <col min="13826" max="13826" width="14.5703125" style="145" customWidth="1"/>
    <col min="13827" max="13827" width="15.85546875" style="145" customWidth="1"/>
    <col min="13828" max="13828" width="18.28515625" style="145" customWidth="1"/>
    <col min="13829" max="13829" width="17.42578125" style="145" customWidth="1"/>
    <col min="13830" max="13830" width="14.42578125" style="145" customWidth="1"/>
    <col min="13831" max="13831" width="16.140625" style="145" customWidth="1"/>
    <col min="13832" max="13832" width="18.140625" style="145" customWidth="1"/>
    <col min="13833" max="13833" width="17" style="145" customWidth="1"/>
    <col min="13834" max="13834" width="18.7109375" style="145" customWidth="1"/>
    <col min="13835" max="13835" width="15.85546875" style="145" customWidth="1"/>
    <col min="13836" max="13836" width="14.7109375" style="145" customWidth="1"/>
    <col min="13837" max="13837" width="18" style="145" customWidth="1"/>
    <col min="13838" max="13838" width="6.5703125" style="145" customWidth="1"/>
    <col min="13839" max="13839" width="17.140625" style="145" customWidth="1"/>
    <col min="13840" max="14080" width="9.140625" style="145"/>
    <col min="14081" max="14081" width="6.7109375" style="145" customWidth="1"/>
    <col min="14082" max="14082" width="14.5703125" style="145" customWidth="1"/>
    <col min="14083" max="14083" width="15.85546875" style="145" customWidth="1"/>
    <col min="14084" max="14084" width="18.28515625" style="145" customWidth="1"/>
    <col min="14085" max="14085" width="17.42578125" style="145" customWidth="1"/>
    <col min="14086" max="14086" width="14.42578125" style="145" customWidth="1"/>
    <col min="14087" max="14087" width="16.140625" style="145" customWidth="1"/>
    <col min="14088" max="14088" width="18.140625" style="145" customWidth="1"/>
    <col min="14089" max="14089" width="17" style="145" customWidth="1"/>
    <col min="14090" max="14090" width="18.7109375" style="145" customWidth="1"/>
    <col min="14091" max="14091" width="15.85546875" style="145" customWidth="1"/>
    <col min="14092" max="14092" width="14.7109375" style="145" customWidth="1"/>
    <col min="14093" max="14093" width="18" style="145" customWidth="1"/>
    <col min="14094" max="14094" width="6.5703125" style="145" customWidth="1"/>
    <col min="14095" max="14095" width="17.140625" style="145" customWidth="1"/>
    <col min="14096" max="14336" width="9.140625" style="145"/>
    <col min="14337" max="14337" width="6.7109375" style="145" customWidth="1"/>
    <col min="14338" max="14338" width="14.5703125" style="145" customWidth="1"/>
    <col min="14339" max="14339" width="15.85546875" style="145" customWidth="1"/>
    <col min="14340" max="14340" width="18.28515625" style="145" customWidth="1"/>
    <col min="14341" max="14341" width="17.42578125" style="145" customWidth="1"/>
    <col min="14342" max="14342" width="14.42578125" style="145" customWidth="1"/>
    <col min="14343" max="14343" width="16.140625" style="145" customWidth="1"/>
    <col min="14344" max="14344" width="18.140625" style="145" customWidth="1"/>
    <col min="14345" max="14345" width="17" style="145" customWidth="1"/>
    <col min="14346" max="14346" width="18.7109375" style="145" customWidth="1"/>
    <col min="14347" max="14347" width="15.85546875" style="145" customWidth="1"/>
    <col min="14348" max="14348" width="14.7109375" style="145" customWidth="1"/>
    <col min="14349" max="14349" width="18" style="145" customWidth="1"/>
    <col min="14350" max="14350" width="6.5703125" style="145" customWidth="1"/>
    <col min="14351" max="14351" width="17.140625" style="145" customWidth="1"/>
    <col min="14352" max="14592" width="9.140625" style="145"/>
    <col min="14593" max="14593" width="6.7109375" style="145" customWidth="1"/>
    <col min="14594" max="14594" width="14.5703125" style="145" customWidth="1"/>
    <col min="14595" max="14595" width="15.85546875" style="145" customWidth="1"/>
    <col min="14596" max="14596" width="18.28515625" style="145" customWidth="1"/>
    <col min="14597" max="14597" width="17.42578125" style="145" customWidth="1"/>
    <col min="14598" max="14598" width="14.42578125" style="145" customWidth="1"/>
    <col min="14599" max="14599" width="16.140625" style="145" customWidth="1"/>
    <col min="14600" max="14600" width="18.140625" style="145" customWidth="1"/>
    <col min="14601" max="14601" width="17" style="145" customWidth="1"/>
    <col min="14602" max="14602" width="18.7109375" style="145" customWidth="1"/>
    <col min="14603" max="14603" width="15.85546875" style="145" customWidth="1"/>
    <col min="14604" max="14604" width="14.7109375" style="145" customWidth="1"/>
    <col min="14605" max="14605" width="18" style="145" customWidth="1"/>
    <col min="14606" max="14606" width="6.5703125" style="145" customWidth="1"/>
    <col min="14607" max="14607" width="17.140625" style="145" customWidth="1"/>
    <col min="14608" max="14848" width="9.140625" style="145"/>
    <col min="14849" max="14849" width="6.7109375" style="145" customWidth="1"/>
    <col min="14850" max="14850" width="14.5703125" style="145" customWidth="1"/>
    <col min="14851" max="14851" width="15.85546875" style="145" customWidth="1"/>
    <col min="14852" max="14852" width="18.28515625" style="145" customWidth="1"/>
    <col min="14853" max="14853" width="17.42578125" style="145" customWidth="1"/>
    <col min="14854" max="14854" width="14.42578125" style="145" customWidth="1"/>
    <col min="14855" max="14855" width="16.140625" style="145" customWidth="1"/>
    <col min="14856" max="14856" width="18.140625" style="145" customWidth="1"/>
    <col min="14857" max="14857" width="17" style="145" customWidth="1"/>
    <col min="14858" max="14858" width="18.7109375" style="145" customWidth="1"/>
    <col min="14859" max="14859" width="15.85546875" style="145" customWidth="1"/>
    <col min="14860" max="14860" width="14.7109375" style="145" customWidth="1"/>
    <col min="14861" max="14861" width="18" style="145" customWidth="1"/>
    <col min="14862" max="14862" width="6.5703125" style="145" customWidth="1"/>
    <col min="14863" max="14863" width="17.140625" style="145" customWidth="1"/>
    <col min="14864" max="15104" width="9.140625" style="145"/>
    <col min="15105" max="15105" width="6.7109375" style="145" customWidth="1"/>
    <col min="15106" max="15106" width="14.5703125" style="145" customWidth="1"/>
    <col min="15107" max="15107" width="15.85546875" style="145" customWidth="1"/>
    <col min="15108" max="15108" width="18.28515625" style="145" customWidth="1"/>
    <col min="15109" max="15109" width="17.42578125" style="145" customWidth="1"/>
    <col min="15110" max="15110" width="14.42578125" style="145" customWidth="1"/>
    <col min="15111" max="15111" width="16.140625" style="145" customWidth="1"/>
    <col min="15112" max="15112" width="18.140625" style="145" customWidth="1"/>
    <col min="15113" max="15113" width="17" style="145" customWidth="1"/>
    <col min="15114" max="15114" width="18.7109375" style="145" customWidth="1"/>
    <col min="15115" max="15115" width="15.85546875" style="145" customWidth="1"/>
    <col min="15116" max="15116" width="14.7109375" style="145" customWidth="1"/>
    <col min="15117" max="15117" width="18" style="145" customWidth="1"/>
    <col min="15118" max="15118" width="6.5703125" style="145" customWidth="1"/>
    <col min="15119" max="15119" width="17.140625" style="145" customWidth="1"/>
    <col min="15120" max="15360" width="9.140625" style="145"/>
    <col min="15361" max="15361" width="6.7109375" style="145" customWidth="1"/>
    <col min="15362" max="15362" width="14.5703125" style="145" customWidth="1"/>
    <col min="15363" max="15363" width="15.85546875" style="145" customWidth="1"/>
    <col min="15364" max="15364" width="18.28515625" style="145" customWidth="1"/>
    <col min="15365" max="15365" width="17.42578125" style="145" customWidth="1"/>
    <col min="15366" max="15366" width="14.42578125" style="145" customWidth="1"/>
    <col min="15367" max="15367" width="16.140625" style="145" customWidth="1"/>
    <col min="15368" max="15368" width="18.140625" style="145" customWidth="1"/>
    <col min="15369" max="15369" width="17" style="145" customWidth="1"/>
    <col min="15370" max="15370" width="18.7109375" style="145" customWidth="1"/>
    <col min="15371" max="15371" width="15.85546875" style="145" customWidth="1"/>
    <col min="15372" max="15372" width="14.7109375" style="145" customWidth="1"/>
    <col min="15373" max="15373" width="18" style="145" customWidth="1"/>
    <col min="15374" max="15374" width="6.5703125" style="145" customWidth="1"/>
    <col min="15375" max="15375" width="17.140625" style="145" customWidth="1"/>
    <col min="15376" max="15616" width="9.140625" style="145"/>
    <col min="15617" max="15617" width="6.7109375" style="145" customWidth="1"/>
    <col min="15618" max="15618" width="14.5703125" style="145" customWidth="1"/>
    <col min="15619" max="15619" width="15.85546875" style="145" customWidth="1"/>
    <col min="15620" max="15620" width="18.28515625" style="145" customWidth="1"/>
    <col min="15621" max="15621" width="17.42578125" style="145" customWidth="1"/>
    <col min="15622" max="15622" width="14.42578125" style="145" customWidth="1"/>
    <col min="15623" max="15623" width="16.140625" style="145" customWidth="1"/>
    <col min="15624" max="15624" width="18.140625" style="145" customWidth="1"/>
    <col min="15625" max="15625" width="17" style="145" customWidth="1"/>
    <col min="15626" max="15626" width="18.7109375" style="145" customWidth="1"/>
    <col min="15627" max="15627" width="15.85546875" style="145" customWidth="1"/>
    <col min="15628" max="15628" width="14.7109375" style="145" customWidth="1"/>
    <col min="15629" max="15629" width="18" style="145" customWidth="1"/>
    <col min="15630" max="15630" width="6.5703125" style="145" customWidth="1"/>
    <col min="15631" max="15631" width="17.140625" style="145" customWidth="1"/>
    <col min="15632" max="15872" width="9.140625" style="145"/>
    <col min="15873" max="15873" width="6.7109375" style="145" customWidth="1"/>
    <col min="15874" max="15874" width="14.5703125" style="145" customWidth="1"/>
    <col min="15875" max="15875" width="15.85546875" style="145" customWidth="1"/>
    <col min="15876" max="15876" width="18.28515625" style="145" customWidth="1"/>
    <col min="15877" max="15877" width="17.42578125" style="145" customWidth="1"/>
    <col min="15878" max="15878" width="14.42578125" style="145" customWidth="1"/>
    <col min="15879" max="15879" width="16.140625" style="145" customWidth="1"/>
    <col min="15880" max="15880" width="18.140625" style="145" customWidth="1"/>
    <col min="15881" max="15881" width="17" style="145" customWidth="1"/>
    <col min="15882" max="15882" width="18.7109375" style="145" customWidth="1"/>
    <col min="15883" max="15883" width="15.85546875" style="145" customWidth="1"/>
    <col min="15884" max="15884" width="14.7109375" style="145" customWidth="1"/>
    <col min="15885" max="15885" width="18" style="145" customWidth="1"/>
    <col min="15886" max="15886" width="6.5703125" style="145" customWidth="1"/>
    <col min="15887" max="15887" width="17.140625" style="145" customWidth="1"/>
    <col min="15888" max="16128" width="9.140625" style="145"/>
    <col min="16129" max="16129" width="6.7109375" style="145" customWidth="1"/>
    <col min="16130" max="16130" width="14.5703125" style="145" customWidth="1"/>
    <col min="16131" max="16131" width="15.85546875" style="145" customWidth="1"/>
    <col min="16132" max="16132" width="18.28515625" style="145" customWidth="1"/>
    <col min="16133" max="16133" width="17.42578125" style="145" customWidth="1"/>
    <col min="16134" max="16134" width="14.42578125" style="145" customWidth="1"/>
    <col min="16135" max="16135" width="16.140625" style="145" customWidth="1"/>
    <col min="16136" max="16136" width="18.140625" style="145" customWidth="1"/>
    <col min="16137" max="16137" width="17" style="145" customWidth="1"/>
    <col min="16138" max="16138" width="18.7109375" style="145" customWidth="1"/>
    <col min="16139" max="16139" width="15.85546875" style="145" customWidth="1"/>
    <col min="16140" max="16140" width="14.7109375" style="145" customWidth="1"/>
    <col min="16141" max="16141" width="18" style="145" customWidth="1"/>
    <col min="16142" max="16142" width="6.5703125" style="145" customWidth="1"/>
    <col min="16143" max="16143" width="17.140625" style="145" customWidth="1"/>
    <col min="16144" max="16384" width="9.140625" style="145"/>
  </cols>
  <sheetData>
    <row r="1" spans="1:15" ht="13.5" thickBot="1"/>
    <row r="2" spans="1:15" s="250" customFormat="1" ht="30" customHeight="1" thickBot="1">
      <c r="A2" s="807" t="s">
        <v>777</v>
      </c>
      <c r="B2" s="808"/>
      <c r="C2" s="808"/>
      <c r="D2" s="808"/>
      <c r="E2" s="808"/>
      <c r="F2" s="808"/>
      <c r="G2" s="808"/>
      <c r="H2" s="808"/>
      <c r="I2" s="808"/>
      <c r="J2" s="808"/>
      <c r="K2" s="808"/>
      <c r="L2" s="808"/>
      <c r="M2" s="809"/>
    </row>
    <row r="3" spans="1:15" s="250" customFormat="1" ht="30" customHeight="1" thickBot="1">
      <c r="A3" s="251" t="s">
        <v>518</v>
      </c>
      <c r="B3" s="810" t="s">
        <v>519</v>
      </c>
      <c r="C3" s="811"/>
      <c r="D3" s="252" t="s">
        <v>520</v>
      </c>
      <c r="E3" s="253" t="s">
        <v>521</v>
      </c>
      <c r="F3" s="254" t="s">
        <v>522</v>
      </c>
      <c r="G3" s="254" t="s">
        <v>4</v>
      </c>
      <c r="H3" s="255" t="s">
        <v>5</v>
      </c>
      <c r="I3" s="254" t="s">
        <v>6</v>
      </c>
      <c r="J3" s="252" t="s">
        <v>520</v>
      </c>
      <c r="K3" s="256" t="s">
        <v>521</v>
      </c>
      <c r="L3" s="253" t="s">
        <v>522</v>
      </c>
      <c r="M3" s="257" t="s">
        <v>5</v>
      </c>
    </row>
    <row r="4" spans="1:15" s="250" customFormat="1" ht="30" customHeight="1">
      <c r="A4" s="258" t="s">
        <v>434</v>
      </c>
      <c r="B4" s="259" t="s">
        <v>435</v>
      </c>
      <c r="C4" s="260"/>
      <c r="D4" s="261"/>
      <c r="E4" s="261"/>
      <c r="F4" s="262"/>
      <c r="G4" s="261"/>
      <c r="H4" s="261"/>
      <c r="J4" s="261"/>
      <c r="K4" s="261"/>
      <c r="L4" s="262"/>
      <c r="M4" s="263"/>
    </row>
    <row r="5" spans="1:15" s="250" customFormat="1" ht="30" customHeight="1">
      <c r="A5" s="264">
        <v>1</v>
      </c>
      <c r="B5" s="793" t="s">
        <v>437</v>
      </c>
      <c r="C5" s="802"/>
      <c r="D5" s="265"/>
      <c r="E5" s="266"/>
      <c r="F5" s="476"/>
      <c r="G5" s="267"/>
      <c r="H5" s="265"/>
      <c r="J5" s="265"/>
      <c r="K5" s="266"/>
      <c r="L5" s="384"/>
      <c r="M5" s="268"/>
    </row>
    <row r="6" spans="1:15" s="250" customFormat="1" ht="30" customHeight="1">
      <c r="A6" s="264"/>
      <c r="B6" s="799" t="s">
        <v>439</v>
      </c>
      <c r="C6" s="800"/>
      <c r="D6" s="265">
        <v>0</v>
      </c>
      <c r="E6" s="266">
        <v>1582</v>
      </c>
      <c r="F6" s="476">
        <v>0</v>
      </c>
      <c r="G6" s="270"/>
      <c r="H6" s="271">
        <f t="shared" ref="H6:H54" si="0">SUM(D6:G6)</f>
        <v>1582</v>
      </c>
      <c r="I6" s="272">
        <f t="shared" ref="I6:I58" si="1">+H6-M6</f>
        <v>0</v>
      </c>
      <c r="J6" s="265">
        <v>0</v>
      </c>
      <c r="K6" s="266">
        <v>1582</v>
      </c>
      <c r="L6" s="460">
        <v>0</v>
      </c>
      <c r="M6" s="273">
        <f t="shared" ref="M6:M58" si="2">SUM(J6:L6)</f>
        <v>1582</v>
      </c>
    </row>
    <row r="7" spans="1:15" s="250" customFormat="1" ht="30" customHeight="1">
      <c r="A7" s="264"/>
      <c r="B7" s="799" t="s">
        <v>441</v>
      </c>
      <c r="C7" s="800"/>
      <c r="D7" s="7">
        <v>79683</v>
      </c>
      <c r="E7" s="7">
        <v>24024</v>
      </c>
      <c r="F7" s="269">
        <v>4925</v>
      </c>
      <c r="G7" s="270"/>
      <c r="H7" s="271">
        <f t="shared" si="0"/>
        <v>108632</v>
      </c>
      <c r="I7" s="727">
        <f t="shared" si="1"/>
        <v>426</v>
      </c>
      <c r="J7" s="7">
        <v>79683</v>
      </c>
      <c r="K7" s="7">
        <v>23598</v>
      </c>
      <c r="L7" s="269">
        <v>4925</v>
      </c>
      <c r="M7" s="273">
        <f>SUM(J7:L7)</f>
        <v>108206</v>
      </c>
      <c r="O7" s="281"/>
    </row>
    <row r="8" spans="1:15" s="250" customFormat="1" ht="30" customHeight="1">
      <c r="A8" s="264">
        <v>2</v>
      </c>
      <c r="B8" s="793" t="s">
        <v>443</v>
      </c>
      <c r="C8" s="794"/>
      <c r="D8" s="7"/>
      <c r="E8" s="7"/>
      <c r="F8" s="269"/>
      <c r="G8" s="265"/>
      <c r="H8" s="271">
        <f t="shared" si="0"/>
        <v>0</v>
      </c>
      <c r="I8" s="272">
        <f t="shared" si="1"/>
        <v>0</v>
      </c>
      <c r="J8" s="7"/>
      <c r="K8" s="7"/>
      <c r="L8" s="269"/>
      <c r="M8" s="273">
        <f t="shared" si="2"/>
        <v>0</v>
      </c>
      <c r="O8" s="281"/>
    </row>
    <row r="9" spans="1:15" s="250" customFormat="1" ht="30" customHeight="1">
      <c r="A9" s="264"/>
      <c r="B9" s="378" t="s">
        <v>444</v>
      </c>
      <c r="C9" s="379"/>
      <c r="D9" s="7">
        <v>0</v>
      </c>
      <c r="E9" s="7">
        <v>23307</v>
      </c>
      <c r="F9" s="269">
        <v>0</v>
      </c>
      <c r="G9" s="270"/>
      <c r="H9" s="271">
        <f t="shared" si="0"/>
        <v>23307</v>
      </c>
      <c r="I9" s="272">
        <f t="shared" si="1"/>
        <v>0</v>
      </c>
      <c r="J9" s="7">
        <v>0</v>
      </c>
      <c r="K9" s="7">
        <v>23307</v>
      </c>
      <c r="L9" s="269">
        <v>0</v>
      </c>
      <c r="M9" s="273">
        <f t="shared" si="2"/>
        <v>23307</v>
      </c>
    </row>
    <row r="10" spans="1:15" s="250" customFormat="1" ht="30" customHeight="1">
      <c r="A10" s="264">
        <v>3</v>
      </c>
      <c r="B10" s="797" t="s">
        <v>445</v>
      </c>
      <c r="C10" s="798"/>
      <c r="D10" s="7"/>
      <c r="E10" s="7"/>
      <c r="F10" s="269"/>
      <c r="G10" s="270"/>
      <c r="H10" s="271">
        <f t="shared" si="0"/>
        <v>0</v>
      </c>
      <c r="I10" s="272">
        <f t="shared" si="1"/>
        <v>0</v>
      </c>
      <c r="J10" s="7"/>
      <c r="K10" s="7"/>
      <c r="L10" s="269"/>
      <c r="M10" s="273">
        <f t="shared" si="2"/>
        <v>0</v>
      </c>
    </row>
    <row r="11" spans="1:15" s="250" customFormat="1" ht="30" customHeight="1">
      <c r="A11" s="264"/>
      <c r="B11" s="799" t="s">
        <v>446</v>
      </c>
      <c r="C11" s="800"/>
      <c r="D11" s="7">
        <v>1398</v>
      </c>
      <c r="E11" s="7">
        <v>474</v>
      </c>
      <c r="F11" s="269">
        <v>0</v>
      </c>
      <c r="G11" s="270"/>
      <c r="H11" s="271">
        <f t="shared" si="0"/>
        <v>1872</v>
      </c>
      <c r="I11" s="272">
        <f t="shared" si="1"/>
        <v>0</v>
      </c>
      <c r="J11" s="7">
        <v>1398</v>
      </c>
      <c r="K11" s="7">
        <v>474</v>
      </c>
      <c r="L11" s="269">
        <v>0</v>
      </c>
      <c r="M11" s="273">
        <f t="shared" si="2"/>
        <v>1872</v>
      </c>
    </row>
    <row r="12" spans="1:15" s="250" customFormat="1" ht="30" customHeight="1">
      <c r="A12" s="264"/>
      <c r="B12" s="799" t="s">
        <v>447</v>
      </c>
      <c r="C12" s="800"/>
      <c r="D12" s="7">
        <v>0</v>
      </c>
      <c r="E12" s="7">
        <v>1123</v>
      </c>
      <c r="F12" s="269"/>
      <c r="G12" s="270"/>
      <c r="H12" s="271">
        <f t="shared" si="0"/>
        <v>1123</v>
      </c>
      <c r="I12" s="272">
        <f t="shared" si="1"/>
        <v>0</v>
      </c>
      <c r="J12" s="7">
        <v>0</v>
      </c>
      <c r="K12" s="7">
        <v>1123</v>
      </c>
      <c r="L12" s="269">
        <v>0</v>
      </c>
      <c r="M12" s="273">
        <f t="shared" si="2"/>
        <v>1123</v>
      </c>
    </row>
    <row r="13" spans="1:15" s="250" customFormat="1" ht="30" customHeight="1">
      <c r="A13" s="264">
        <v>4</v>
      </c>
      <c r="B13" s="797" t="s">
        <v>449</v>
      </c>
      <c r="C13" s="798"/>
      <c r="D13" s="7"/>
      <c r="E13" s="7"/>
      <c r="F13" s="269"/>
      <c r="G13" s="270"/>
      <c r="H13" s="271">
        <f t="shared" si="0"/>
        <v>0</v>
      </c>
      <c r="I13" s="272">
        <f t="shared" si="1"/>
        <v>0</v>
      </c>
      <c r="J13" s="7"/>
      <c r="K13" s="7"/>
      <c r="L13" s="269"/>
      <c r="M13" s="273">
        <f t="shared" si="2"/>
        <v>0</v>
      </c>
    </row>
    <row r="14" spans="1:15" s="250" customFormat="1" ht="30" customHeight="1">
      <c r="A14" s="264"/>
      <c r="B14" s="378" t="s">
        <v>450</v>
      </c>
      <c r="C14" s="379"/>
      <c r="D14" s="7">
        <v>18376</v>
      </c>
      <c r="E14" s="7">
        <v>10770</v>
      </c>
      <c r="F14" s="269">
        <v>635</v>
      </c>
      <c r="G14" s="728">
        <v>23945</v>
      </c>
      <c r="H14" s="271">
        <f t="shared" si="0"/>
        <v>53726</v>
      </c>
      <c r="I14" s="727">
        <f t="shared" si="1"/>
        <v>20194</v>
      </c>
      <c r="J14" s="7">
        <v>25337</v>
      </c>
      <c r="K14" s="7">
        <v>7560</v>
      </c>
      <c r="L14" s="269">
        <v>635</v>
      </c>
      <c r="M14" s="273">
        <f t="shared" si="2"/>
        <v>33532</v>
      </c>
    </row>
    <row r="15" spans="1:15" s="250" customFormat="1" ht="30" customHeight="1">
      <c r="A15" s="264"/>
      <c r="B15" s="795" t="s">
        <v>452</v>
      </c>
      <c r="C15" s="796"/>
      <c r="D15" s="7">
        <v>481426</v>
      </c>
      <c r="E15" s="17">
        <v>38535</v>
      </c>
      <c r="F15" s="269">
        <v>3828</v>
      </c>
      <c r="G15" s="270"/>
      <c r="H15" s="271">
        <f t="shared" si="0"/>
        <v>523789</v>
      </c>
      <c r="I15" s="727">
        <f t="shared" si="1"/>
        <v>39617</v>
      </c>
      <c r="J15" s="7">
        <v>454099</v>
      </c>
      <c r="K15" s="17">
        <v>26245</v>
      </c>
      <c r="L15" s="269">
        <v>3828</v>
      </c>
      <c r="M15" s="273">
        <f t="shared" si="2"/>
        <v>484172</v>
      </c>
    </row>
    <row r="16" spans="1:15" s="250" customFormat="1" ht="30" customHeight="1">
      <c r="A16" s="264"/>
      <c r="B16" s="378" t="s">
        <v>454</v>
      </c>
      <c r="C16" s="379"/>
      <c r="D16" s="7">
        <v>3600</v>
      </c>
      <c r="E16" s="17">
        <v>4215</v>
      </c>
      <c r="F16" s="269">
        <v>0</v>
      </c>
      <c r="G16" s="270"/>
      <c r="H16" s="271">
        <f t="shared" si="0"/>
        <v>7815</v>
      </c>
      <c r="I16" s="727">
        <f t="shared" si="1"/>
        <v>2508</v>
      </c>
      <c r="J16" s="7">
        <v>0</v>
      </c>
      <c r="K16" s="17">
        <v>5307</v>
      </c>
      <c r="L16" s="269">
        <v>0</v>
      </c>
      <c r="M16" s="273">
        <f t="shared" si="2"/>
        <v>5307</v>
      </c>
    </row>
    <row r="17" spans="1:15" s="250" customFormat="1" ht="30" customHeight="1">
      <c r="A17" s="264"/>
      <c r="B17" s="795" t="s">
        <v>456</v>
      </c>
      <c r="C17" s="796"/>
      <c r="D17" s="7">
        <v>53409</v>
      </c>
      <c r="E17" s="17">
        <v>3175</v>
      </c>
      <c r="F17" s="269">
        <v>145</v>
      </c>
      <c r="G17" s="270"/>
      <c r="H17" s="271">
        <f t="shared" si="0"/>
        <v>56729</v>
      </c>
      <c r="I17" s="272">
        <f t="shared" si="1"/>
        <v>0</v>
      </c>
      <c r="J17" s="7">
        <v>53409</v>
      </c>
      <c r="K17" s="17">
        <v>3175</v>
      </c>
      <c r="L17" s="269">
        <v>145</v>
      </c>
      <c r="M17" s="273">
        <f t="shared" si="2"/>
        <v>56729</v>
      </c>
    </row>
    <row r="18" spans="1:15" s="250" customFormat="1" ht="30" customHeight="1">
      <c r="A18" s="264"/>
      <c r="B18" s="795" t="s">
        <v>460</v>
      </c>
      <c r="C18" s="796"/>
      <c r="D18" s="7">
        <v>0</v>
      </c>
      <c r="E18" s="17">
        <v>0</v>
      </c>
      <c r="F18" s="269">
        <v>953</v>
      </c>
      <c r="G18" s="270"/>
      <c r="H18" s="271">
        <f t="shared" si="0"/>
        <v>953</v>
      </c>
      <c r="I18" s="272">
        <f t="shared" si="1"/>
        <v>0</v>
      </c>
      <c r="J18" s="7">
        <v>0</v>
      </c>
      <c r="K18" s="17">
        <v>0</v>
      </c>
      <c r="L18" s="269">
        <v>953</v>
      </c>
      <c r="M18" s="273">
        <f t="shared" si="2"/>
        <v>953</v>
      </c>
    </row>
    <row r="19" spans="1:15" s="250" customFormat="1" ht="30" customHeight="1">
      <c r="A19" s="264"/>
      <c r="B19" s="378" t="s">
        <v>523</v>
      </c>
      <c r="C19" s="379"/>
      <c r="D19" s="7">
        <v>1211</v>
      </c>
      <c r="E19" s="17">
        <v>31086</v>
      </c>
      <c r="F19" s="269">
        <v>0</v>
      </c>
      <c r="G19" s="270"/>
      <c r="H19" s="271">
        <f t="shared" si="0"/>
        <v>32297</v>
      </c>
      <c r="I19" s="727">
        <f>+H19-M19</f>
        <v>2338</v>
      </c>
      <c r="J19" s="7">
        <v>1211</v>
      </c>
      <c r="K19" s="17">
        <v>28748</v>
      </c>
      <c r="L19" s="269">
        <v>0</v>
      </c>
      <c r="M19" s="273">
        <f>SUM(J19:L19)</f>
        <v>29959</v>
      </c>
    </row>
    <row r="20" spans="1:15" s="250" customFormat="1" ht="30" customHeight="1">
      <c r="A20" s="264"/>
      <c r="B20" s="378" t="s">
        <v>539</v>
      </c>
      <c r="C20" s="379"/>
      <c r="D20" s="7">
        <v>86402</v>
      </c>
      <c r="E20" s="17">
        <v>0</v>
      </c>
      <c r="F20" s="269">
        <v>0</v>
      </c>
      <c r="G20" s="270"/>
      <c r="H20" s="271">
        <f t="shared" si="0"/>
        <v>86402</v>
      </c>
      <c r="I20" s="272">
        <f>+H20-M20</f>
        <v>0</v>
      </c>
      <c r="J20" s="7">
        <v>86402</v>
      </c>
      <c r="K20" s="17">
        <v>0</v>
      </c>
      <c r="L20" s="269">
        <v>0</v>
      </c>
      <c r="M20" s="273">
        <f>SUM(J20:L20)</f>
        <v>86402</v>
      </c>
    </row>
    <row r="21" spans="1:15" s="250" customFormat="1" ht="30" customHeight="1">
      <c r="A21" s="264"/>
      <c r="B21" s="795" t="s">
        <v>524</v>
      </c>
      <c r="C21" s="796"/>
      <c r="D21" s="7">
        <v>1496</v>
      </c>
      <c r="E21" s="17">
        <v>0</v>
      </c>
      <c r="F21" s="269">
        <v>0</v>
      </c>
      <c r="G21" s="270"/>
      <c r="H21" s="271">
        <f t="shared" si="0"/>
        <v>1496</v>
      </c>
      <c r="I21" s="272">
        <f t="shared" si="1"/>
        <v>0</v>
      </c>
      <c r="J21" s="7">
        <v>1496</v>
      </c>
      <c r="K21" s="17">
        <v>0</v>
      </c>
      <c r="L21" s="269">
        <v>0</v>
      </c>
      <c r="M21" s="273">
        <f t="shared" si="2"/>
        <v>1496</v>
      </c>
    </row>
    <row r="22" spans="1:15" s="250" customFormat="1" ht="30" customHeight="1">
      <c r="A22" s="264">
        <v>5</v>
      </c>
      <c r="B22" s="797" t="s">
        <v>463</v>
      </c>
      <c r="C22" s="798"/>
      <c r="D22" s="7"/>
      <c r="E22" s="17"/>
      <c r="F22" s="269"/>
      <c r="G22" s="270"/>
      <c r="H22" s="271">
        <f t="shared" si="0"/>
        <v>0</v>
      </c>
      <c r="I22" s="272">
        <f t="shared" si="1"/>
        <v>0</v>
      </c>
      <c r="J22" s="7"/>
      <c r="K22" s="17"/>
      <c r="L22" s="269"/>
      <c r="M22" s="273">
        <f t="shared" si="2"/>
        <v>0</v>
      </c>
    </row>
    <row r="23" spans="1:15" s="250" customFormat="1" ht="30" customHeight="1">
      <c r="A23" s="264"/>
      <c r="B23" s="795" t="s">
        <v>464</v>
      </c>
      <c r="C23" s="796"/>
      <c r="D23" s="7">
        <v>1460</v>
      </c>
      <c r="E23" s="17">
        <v>187</v>
      </c>
      <c r="F23" s="269">
        <v>7264</v>
      </c>
      <c r="G23" s="270"/>
      <c r="H23" s="271">
        <f t="shared" si="0"/>
        <v>8911</v>
      </c>
      <c r="I23" s="272">
        <f t="shared" si="1"/>
        <v>0</v>
      </c>
      <c r="J23" s="7">
        <v>1460</v>
      </c>
      <c r="K23" s="17">
        <v>187</v>
      </c>
      <c r="L23" s="269">
        <v>7264</v>
      </c>
      <c r="M23" s="273">
        <f t="shared" si="2"/>
        <v>8911</v>
      </c>
    </row>
    <row r="24" spans="1:15" s="250" customFormat="1" ht="30" customHeight="1">
      <c r="A24" s="264">
        <v>6</v>
      </c>
      <c r="B24" s="783" t="s">
        <v>466</v>
      </c>
      <c r="C24" s="784"/>
      <c r="D24" s="7"/>
      <c r="E24" s="17"/>
      <c r="F24" s="269"/>
      <c r="G24" s="270"/>
      <c r="H24" s="271">
        <f t="shared" si="0"/>
        <v>0</v>
      </c>
      <c r="I24" s="272">
        <f t="shared" si="1"/>
        <v>0</v>
      </c>
      <c r="J24" s="7"/>
      <c r="K24" s="17"/>
      <c r="L24" s="269"/>
      <c r="M24" s="273">
        <f t="shared" si="2"/>
        <v>0</v>
      </c>
    </row>
    <row r="25" spans="1:15" s="250" customFormat="1" ht="30" customHeight="1">
      <c r="A25" s="264"/>
      <c r="B25" s="791" t="s">
        <v>467</v>
      </c>
      <c r="C25" s="792"/>
      <c r="D25" s="7">
        <v>13140</v>
      </c>
      <c r="E25" s="17">
        <v>0</v>
      </c>
      <c r="F25" s="269">
        <v>0</v>
      </c>
      <c r="G25" s="270"/>
      <c r="H25" s="271">
        <f t="shared" si="0"/>
        <v>13140</v>
      </c>
      <c r="I25" s="272">
        <f t="shared" si="1"/>
        <v>0</v>
      </c>
      <c r="J25" s="7">
        <v>13140</v>
      </c>
      <c r="K25" s="17">
        <v>0</v>
      </c>
      <c r="L25" s="269">
        <v>0</v>
      </c>
      <c r="M25" s="273">
        <f t="shared" si="2"/>
        <v>13140</v>
      </c>
    </row>
    <row r="26" spans="1:15" s="250" customFormat="1" ht="30" customHeight="1">
      <c r="A26" s="264">
        <v>7</v>
      </c>
      <c r="B26" s="803" t="s">
        <v>468</v>
      </c>
      <c r="C26" s="804"/>
      <c r="D26" s="7"/>
      <c r="E26" s="17"/>
      <c r="F26" s="269"/>
      <c r="G26" s="270"/>
      <c r="H26" s="271">
        <f t="shared" si="0"/>
        <v>0</v>
      </c>
      <c r="I26" s="272">
        <f t="shared" si="1"/>
        <v>0</v>
      </c>
      <c r="J26" s="7"/>
      <c r="K26" s="17"/>
      <c r="L26" s="269"/>
      <c r="M26" s="273">
        <f t="shared" si="2"/>
        <v>0</v>
      </c>
    </row>
    <row r="27" spans="1:15" s="250" customFormat="1" ht="30" customHeight="1">
      <c r="A27" s="264"/>
      <c r="B27" s="795" t="s">
        <v>525</v>
      </c>
      <c r="C27" s="796"/>
      <c r="D27" s="7">
        <v>0</v>
      </c>
      <c r="E27" s="17">
        <v>2221</v>
      </c>
      <c r="F27" s="269">
        <v>10100</v>
      </c>
      <c r="G27" s="270"/>
      <c r="H27" s="271">
        <f t="shared" si="0"/>
        <v>12321</v>
      </c>
      <c r="I27" s="272">
        <f t="shared" si="1"/>
        <v>0</v>
      </c>
      <c r="J27" s="7">
        <v>0</v>
      </c>
      <c r="K27" s="17">
        <v>2221</v>
      </c>
      <c r="L27" s="269">
        <v>10100</v>
      </c>
      <c r="M27" s="273">
        <f t="shared" si="2"/>
        <v>12321</v>
      </c>
      <c r="O27" s="281"/>
    </row>
    <row r="28" spans="1:15" s="250" customFormat="1" ht="30" customHeight="1">
      <c r="A28" s="264">
        <v>8</v>
      </c>
      <c r="B28" s="805" t="s">
        <v>507</v>
      </c>
      <c r="C28" s="806"/>
      <c r="D28" s="7"/>
      <c r="E28" s="17"/>
      <c r="F28" s="269"/>
      <c r="G28" s="270"/>
      <c r="H28" s="271">
        <f t="shared" si="0"/>
        <v>0</v>
      </c>
      <c r="I28" s="272"/>
      <c r="J28" s="7"/>
      <c r="K28" s="17"/>
      <c r="L28" s="269"/>
      <c r="M28" s="273">
        <f t="shared" si="2"/>
        <v>0</v>
      </c>
    </row>
    <row r="29" spans="1:15" s="250" customFormat="1" ht="30" customHeight="1">
      <c r="A29" s="264"/>
      <c r="B29" s="791" t="s">
        <v>472</v>
      </c>
      <c r="C29" s="792"/>
      <c r="D29" s="7">
        <v>0</v>
      </c>
      <c r="E29" s="17">
        <v>2957</v>
      </c>
      <c r="F29" s="269">
        <v>2552</v>
      </c>
      <c r="G29" s="270"/>
      <c r="H29" s="271">
        <f t="shared" si="0"/>
        <v>5509</v>
      </c>
      <c r="I29" s="272">
        <f t="shared" si="1"/>
        <v>0</v>
      </c>
      <c r="J29" s="7">
        <v>0</v>
      </c>
      <c r="K29" s="17">
        <v>2957</v>
      </c>
      <c r="L29" s="269">
        <v>2552</v>
      </c>
      <c r="M29" s="273">
        <f t="shared" si="2"/>
        <v>5509</v>
      </c>
    </row>
    <row r="30" spans="1:15" s="250" customFormat="1" ht="30" customHeight="1">
      <c r="A30" s="274">
        <v>9</v>
      </c>
      <c r="B30" s="275" t="s">
        <v>474</v>
      </c>
      <c r="C30" s="276"/>
      <c r="D30" s="7"/>
      <c r="E30" s="17"/>
      <c r="F30" s="269"/>
      <c r="G30" s="270"/>
      <c r="H30" s="271">
        <f t="shared" si="0"/>
        <v>0</v>
      </c>
      <c r="I30" s="272">
        <f t="shared" si="1"/>
        <v>0</v>
      </c>
      <c r="J30" s="7"/>
      <c r="K30" s="17"/>
      <c r="L30" s="269"/>
      <c r="M30" s="273">
        <f t="shared" si="2"/>
        <v>0</v>
      </c>
    </row>
    <row r="31" spans="1:15" s="250" customFormat="1" ht="30" customHeight="1">
      <c r="A31" s="264"/>
      <c r="B31" s="791" t="s">
        <v>526</v>
      </c>
      <c r="C31" s="792"/>
      <c r="D31" s="7">
        <v>0</v>
      </c>
      <c r="E31" s="17">
        <v>6782</v>
      </c>
      <c r="F31" s="269">
        <v>186</v>
      </c>
      <c r="G31" s="270"/>
      <c r="H31" s="271">
        <f t="shared" si="0"/>
        <v>6968</v>
      </c>
      <c r="I31" s="272">
        <f t="shared" si="1"/>
        <v>0</v>
      </c>
      <c r="J31" s="7">
        <v>0</v>
      </c>
      <c r="K31" s="17">
        <v>6782</v>
      </c>
      <c r="L31" s="269">
        <v>186</v>
      </c>
      <c r="M31" s="273">
        <f t="shared" si="2"/>
        <v>6968</v>
      </c>
    </row>
    <row r="32" spans="1:15" s="250" customFormat="1" ht="30" customHeight="1">
      <c r="A32" s="264">
        <v>10</v>
      </c>
      <c r="B32" s="801" t="s">
        <v>477</v>
      </c>
      <c r="C32" s="802"/>
      <c r="D32" s="7"/>
      <c r="E32" s="17"/>
      <c r="F32" s="269"/>
      <c r="G32" s="270"/>
      <c r="H32" s="271">
        <f t="shared" si="0"/>
        <v>0</v>
      </c>
      <c r="I32" s="272">
        <f t="shared" si="1"/>
        <v>0</v>
      </c>
      <c r="J32" s="7"/>
      <c r="K32" s="17"/>
      <c r="L32" s="269"/>
      <c r="M32" s="273">
        <f t="shared" si="2"/>
        <v>0</v>
      </c>
    </row>
    <row r="33" spans="1:15" s="250" customFormat="1" ht="30" customHeight="1">
      <c r="A33" s="264"/>
      <c r="B33" s="382" t="s">
        <v>478</v>
      </c>
      <c r="C33" s="380"/>
      <c r="D33" s="7"/>
      <c r="E33" s="17"/>
      <c r="F33" s="269"/>
      <c r="G33" s="270"/>
      <c r="H33" s="271">
        <f t="shared" si="0"/>
        <v>0</v>
      </c>
      <c r="I33" s="272">
        <f t="shared" si="1"/>
        <v>0</v>
      </c>
      <c r="J33" s="7"/>
      <c r="K33" s="17"/>
      <c r="L33" s="269"/>
      <c r="M33" s="273">
        <f t="shared" si="2"/>
        <v>0</v>
      </c>
    </row>
    <row r="34" spans="1:15" s="250" customFormat="1" ht="30" customHeight="1">
      <c r="A34" s="264"/>
      <c r="B34" s="791" t="s">
        <v>479</v>
      </c>
      <c r="C34" s="792"/>
      <c r="D34" s="7"/>
      <c r="E34" s="17">
        <v>2533</v>
      </c>
      <c r="F34" s="269">
        <v>261</v>
      </c>
      <c r="G34" s="270"/>
      <c r="H34" s="271">
        <f t="shared" si="0"/>
        <v>2794</v>
      </c>
      <c r="I34" s="727">
        <f t="shared" si="1"/>
        <v>2310</v>
      </c>
      <c r="J34" s="7">
        <v>0</v>
      </c>
      <c r="K34" s="17">
        <v>223</v>
      </c>
      <c r="L34" s="269">
        <v>261</v>
      </c>
      <c r="M34" s="273">
        <f t="shared" si="2"/>
        <v>484</v>
      </c>
    </row>
    <row r="35" spans="1:15" s="250" customFormat="1" ht="30" customHeight="1">
      <c r="A35" s="264" t="s">
        <v>480</v>
      </c>
      <c r="B35" s="381" t="s">
        <v>481</v>
      </c>
      <c r="C35" s="379"/>
      <c r="D35" s="7"/>
      <c r="E35" s="17"/>
      <c r="F35" s="269"/>
      <c r="G35" s="270"/>
      <c r="H35" s="271">
        <f t="shared" si="0"/>
        <v>0</v>
      </c>
      <c r="I35" s="272">
        <f t="shared" si="1"/>
        <v>0</v>
      </c>
      <c r="J35" s="7"/>
      <c r="K35" s="17"/>
      <c r="L35" s="269"/>
      <c r="M35" s="273">
        <f t="shared" si="2"/>
        <v>0</v>
      </c>
    </row>
    <row r="36" spans="1:15" s="250" customFormat="1" ht="30" customHeight="1">
      <c r="A36" s="264">
        <v>1</v>
      </c>
      <c r="B36" s="793" t="s">
        <v>437</v>
      </c>
      <c r="C36" s="794"/>
      <c r="D36" s="7"/>
      <c r="E36" s="17"/>
      <c r="F36" s="269"/>
      <c r="G36" s="270"/>
      <c r="H36" s="271">
        <f t="shared" si="0"/>
        <v>0</v>
      </c>
      <c r="I36" s="272">
        <f t="shared" si="1"/>
        <v>0</v>
      </c>
      <c r="J36" s="7"/>
      <c r="K36" s="17"/>
      <c r="L36" s="269"/>
      <c r="M36" s="273">
        <f t="shared" si="2"/>
        <v>0</v>
      </c>
    </row>
    <row r="37" spans="1:15" s="250" customFormat="1" ht="30" customHeight="1">
      <c r="A37" s="264"/>
      <c r="B37" s="795" t="s">
        <v>482</v>
      </c>
      <c r="C37" s="796"/>
      <c r="D37" s="7"/>
      <c r="E37" s="17">
        <v>713</v>
      </c>
      <c r="F37" s="269">
        <v>0</v>
      </c>
      <c r="G37" s="270"/>
      <c r="H37" s="271">
        <f t="shared" si="0"/>
        <v>713</v>
      </c>
      <c r="I37" s="272">
        <f t="shared" si="1"/>
        <v>0</v>
      </c>
      <c r="J37" s="7">
        <v>0</v>
      </c>
      <c r="K37" s="17">
        <v>713</v>
      </c>
      <c r="L37" s="269">
        <v>0</v>
      </c>
      <c r="M37" s="273">
        <f t="shared" si="2"/>
        <v>713</v>
      </c>
    </row>
    <row r="38" spans="1:15" s="250" customFormat="1" ht="30" customHeight="1">
      <c r="A38" s="264"/>
      <c r="B38" s="795" t="s">
        <v>483</v>
      </c>
      <c r="C38" s="796"/>
      <c r="D38" s="7"/>
      <c r="E38" s="17"/>
      <c r="F38" s="269"/>
      <c r="G38" s="270"/>
      <c r="H38" s="271">
        <f t="shared" si="0"/>
        <v>0</v>
      </c>
      <c r="I38" s="272">
        <f t="shared" si="1"/>
        <v>0</v>
      </c>
      <c r="J38" s="7"/>
      <c r="K38" s="17"/>
      <c r="L38" s="269"/>
      <c r="M38" s="273">
        <f t="shared" si="2"/>
        <v>0</v>
      </c>
    </row>
    <row r="39" spans="1:15" s="250" customFormat="1" ht="30" customHeight="1">
      <c r="A39" s="264">
        <v>2</v>
      </c>
      <c r="B39" s="797" t="s">
        <v>485</v>
      </c>
      <c r="C39" s="798"/>
      <c r="D39" s="7"/>
      <c r="E39" s="17"/>
      <c r="F39" s="269"/>
      <c r="G39" s="270"/>
      <c r="H39" s="271">
        <f t="shared" si="0"/>
        <v>0</v>
      </c>
      <c r="I39" s="272">
        <f t="shared" si="1"/>
        <v>0</v>
      </c>
      <c r="J39" s="7"/>
      <c r="K39" s="17"/>
      <c r="L39" s="269"/>
      <c r="M39" s="273">
        <f t="shared" si="2"/>
        <v>0</v>
      </c>
    </row>
    <row r="40" spans="1:15" s="250" customFormat="1" ht="30" customHeight="1">
      <c r="A40" s="264"/>
      <c r="B40" s="799" t="s">
        <v>486</v>
      </c>
      <c r="C40" s="800"/>
      <c r="D40" s="7"/>
      <c r="E40" s="17">
        <v>3173</v>
      </c>
      <c r="F40" s="269">
        <v>2465</v>
      </c>
      <c r="G40" s="270"/>
      <c r="H40" s="271">
        <f t="shared" si="0"/>
        <v>5638</v>
      </c>
      <c r="I40" s="272">
        <f t="shared" si="1"/>
        <v>0</v>
      </c>
      <c r="J40" s="7"/>
      <c r="K40" s="17">
        <v>3173</v>
      </c>
      <c r="L40" s="269">
        <v>2465</v>
      </c>
      <c r="M40" s="273">
        <f t="shared" si="2"/>
        <v>5638</v>
      </c>
    </row>
    <row r="41" spans="1:15" s="250" customFormat="1" ht="30" customHeight="1">
      <c r="A41" s="264">
        <v>3</v>
      </c>
      <c r="B41" s="797" t="s">
        <v>449</v>
      </c>
      <c r="C41" s="798"/>
      <c r="D41" s="7"/>
      <c r="E41" s="17"/>
      <c r="F41" s="269"/>
      <c r="G41" s="270"/>
      <c r="H41" s="271">
        <f t="shared" si="0"/>
        <v>0</v>
      </c>
      <c r="I41" s="272">
        <f t="shared" si="1"/>
        <v>0</v>
      </c>
      <c r="J41" s="7"/>
      <c r="K41" s="17"/>
      <c r="L41" s="269"/>
      <c r="M41" s="273">
        <f t="shared" si="2"/>
        <v>0</v>
      </c>
    </row>
    <row r="42" spans="1:15" s="250" customFormat="1" ht="30" customHeight="1">
      <c r="A42" s="264"/>
      <c r="B42" s="799" t="s">
        <v>486</v>
      </c>
      <c r="C42" s="800"/>
      <c r="D42" s="7">
        <v>48349</v>
      </c>
      <c r="E42" s="17">
        <v>16440</v>
      </c>
      <c r="F42" s="269">
        <v>6863</v>
      </c>
      <c r="G42" s="270"/>
      <c r="H42" s="271">
        <f t="shared" si="0"/>
        <v>71652</v>
      </c>
      <c r="I42" s="727">
        <f t="shared" si="1"/>
        <v>47662</v>
      </c>
      <c r="J42" s="7">
        <v>0</v>
      </c>
      <c r="K42" s="17">
        <v>15659</v>
      </c>
      <c r="L42" s="269">
        <v>8331</v>
      </c>
      <c r="M42" s="273">
        <f t="shared" si="2"/>
        <v>23990</v>
      </c>
      <c r="O42" s="281"/>
    </row>
    <row r="43" spans="1:15" s="250" customFormat="1" ht="30" customHeight="1">
      <c r="A43" s="264"/>
      <c r="B43" s="795" t="s">
        <v>527</v>
      </c>
      <c r="C43" s="796"/>
      <c r="D43" s="7">
        <v>140597</v>
      </c>
      <c r="E43" s="17">
        <v>22945</v>
      </c>
      <c r="F43" s="269">
        <v>4220</v>
      </c>
      <c r="G43" s="728">
        <v>13961</v>
      </c>
      <c r="H43" s="271">
        <f t="shared" si="0"/>
        <v>181723</v>
      </c>
      <c r="I43" s="727">
        <f t="shared" si="1"/>
        <v>29774</v>
      </c>
      <c r="J43" s="7">
        <v>128761</v>
      </c>
      <c r="K43" s="17">
        <v>15428</v>
      </c>
      <c r="L43" s="269">
        <v>7760</v>
      </c>
      <c r="M43" s="273">
        <f t="shared" si="2"/>
        <v>151949</v>
      </c>
    </row>
    <row r="44" spans="1:15" s="250" customFormat="1" ht="30" customHeight="1">
      <c r="A44" s="264"/>
      <c r="B44" s="383" t="s">
        <v>492</v>
      </c>
      <c r="C44" s="379"/>
      <c r="D44" s="7"/>
      <c r="E44" s="17">
        <v>305</v>
      </c>
      <c r="F44" s="269">
        <v>0</v>
      </c>
      <c r="G44" s="270"/>
      <c r="H44" s="271">
        <f t="shared" si="0"/>
        <v>305</v>
      </c>
      <c r="I44" s="272">
        <f t="shared" si="1"/>
        <v>0</v>
      </c>
      <c r="J44" s="7">
        <v>0</v>
      </c>
      <c r="K44" s="17">
        <v>305</v>
      </c>
      <c r="L44" s="269">
        <v>0</v>
      </c>
      <c r="M44" s="273">
        <f t="shared" si="2"/>
        <v>305</v>
      </c>
    </row>
    <row r="45" spans="1:15" s="250" customFormat="1" ht="30" customHeight="1">
      <c r="A45" s="264"/>
      <c r="B45" s="378" t="s">
        <v>493</v>
      </c>
      <c r="C45" s="379"/>
      <c r="D45" s="7">
        <v>5080</v>
      </c>
      <c r="E45" s="17">
        <v>0</v>
      </c>
      <c r="F45" s="269">
        <v>0</v>
      </c>
      <c r="G45" s="270"/>
      <c r="H45" s="271">
        <f t="shared" si="0"/>
        <v>5080</v>
      </c>
      <c r="I45" s="272">
        <f t="shared" si="1"/>
        <v>0</v>
      </c>
      <c r="J45" s="7">
        <v>5080</v>
      </c>
      <c r="K45" s="17">
        <v>0</v>
      </c>
      <c r="L45" s="269">
        <v>0</v>
      </c>
      <c r="M45" s="273">
        <f t="shared" si="2"/>
        <v>5080</v>
      </c>
    </row>
    <row r="46" spans="1:15" s="250" customFormat="1" ht="30" customHeight="1">
      <c r="A46" s="264"/>
      <c r="B46" s="378" t="s">
        <v>528</v>
      </c>
      <c r="C46" s="379"/>
      <c r="D46" s="7">
        <v>6355</v>
      </c>
      <c r="E46" s="17">
        <v>3063</v>
      </c>
      <c r="F46" s="269"/>
      <c r="G46" s="270"/>
      <c r="H46" s="271">
        <f>SUM(D46:G46)</f>
        <v>9418</v>
      </c>
      <c r="I46" s="727">
        <f>+H46-M46</f>
        <v>5661</v>
      </c>
      <c r="J46" s="7">
        <v>0</v>
      </c>
      <c r="K46" s="17">
        <v>3757</v>
      </c>
      <c r="L46" s="269">
        <v>0</v>
      </c>
      <c r="M46" s="273">
        <f>SUM(J46:L46)</f>
        <v>3757</v>
      </c>
    </row>
    <row r="47" spans="1:15" s="250" customFormat="1" ht="30" customHeight="1">
      <c r="A47" s="264"/>
      <c r="B47" s="791" t="s">
        <v>497</v>
      </c>
      <c r="C47" s="792"/>
      <c r="D47" s="7">
        <v>112831</v>
      </c>
      <c r="E47" s="17">
        <v>9212</v>
      </c>
      <c r="F47" s="269">
        <v>1090</v>
      </c>
      <c r="G47" s="270"/>
      <c r="H47" s="271">
        <f>SUM(D47:G47)</f>
        <v>123133</v>
      </c>
      <c r="I47" s="727">
        <f>+H47-M47</f>
        <v>4575</v>
      </c>
      <c r="J47" s="7">
        <v>100625</v>
      </c>
      <c r="K47" s="17">
        <v>16843</v>
      </c>
      <c r="L47" s="269">
        <v>1090</v>
      </c>
      <c r="M47" s="273">
        <f>SUM(J47:L47)</f>
        <v>118558</v>
      </c>
      <c r="O47" s="281"/>
    </row>
    <row r="48" spans="1:15" s="250" customFormat="1" ht="30" customHeight="1">
      <c r="A48" s="264"/>
      <c r="B48" s="791" t="s">
        <v>499</v>
      </c>
      <c r="C48" s="792"/>
      <c r="D48" s="7">
        <v>53091</v>
      </c>
      <c r="E48" s="17">
        <v>10290</v>
      </c>
      <c r="F48" s="269">
        <v>0</v>
      </c>
      <c r="G48" s="728">
        <v>1023</v>
      </c>
      <c r="H48" s="271">
        <f t="shared" ref="H48" si="3">SUM(D48:G48)</f>
        <v>64404</v>
      </c>
      <c r="I48" s="272">
        <f t="shared" ref="I48" si="4">+H48-M48</f>
        <v>0</v>
      </c>
      <c r="J48" s="7">
        <v>54114</v>
      </c>
      <c r="K48" s="17">
        <v>10290</v>
      </c>
      <c r="L48" s="269">
        <v>0</v>
      </c>
      <c r="M48" s="273">
        <f t="shared" ref="M48" si="5">SUM(J48:L48)</f>
        <v>64404</v>
      </c>
    </row>
    <row r="49" spans="1:16" s="250" customFormat="1" ht="30" customHeight="1">
      <c r="A49" s="264"/>
      <c r="B49" s="791" t="s">
        <v>755</v>
      </c>
      <c r="C49" s="792"/>
      <c r="D49" s="7">
        <v>11639</v>
      </c>
      <c r="E49" s="17">
        <v>0</v>
      </c>
      <c r="F49" s="269">
        <v>0</v>
      </c>
      <c r="G49" s="270"/>
      <c r="H49" s="271">
        <f t="shared" si="0"/>
        <v>11639</v>
      </c>
      <c r="I49" s="272">
        <f t="shared" si="1"/>
        <v>0</v>
      </c>
      <c r="J49" s="7">
        <v>11639</v>
      </c>
      <c r="K49" s="17">
        <v>0</v>
      </c>
      <c r="L49" s="269">
        <v>0</v>
      </c>
      <c r="M49" s="273">
        <f t="shared" si="2"/>
        <v>11639</v>
      </c>
    </row>
    <row r="50" spans="1:16" s="250" customFormat="1" ht="30" customHeight="1">
      <c r="A50" s="264">
        <v>4</v>
      </c>
      <c r="B50" s="789" t="s">
        <v>445</v>
      </c>
      <c r="C50" s="790"/>
      <c r="D50" s="7"/>
      <c r="E50" s="17"/>
      <c r="F50" s="269"/>
      <c r="G50" s="270"/>
      <c r="H50" s="271">
        <f t="shared" si="0"/>
        <v>0</v>
      </c>
      <c r="I50" s="272">
        <f t="shared" si="1"/>
        <v>0</v>
      </c>
      <c r="J50" s="7"/>
      <c r="K50" s="17"/>
      <c r="L50" s="269"/>
      <c r="M50" s="273">
        <f t="shared" si="2"/>
        <v>0</v>
      </c>
    </row>
    <row r="51" spans="1:16" s="250" customFormat="1" ht="30" customHeight="1">
      <c r="A51" s="264"/>
      <c r="B51" s="781" t="s">
        <v>501</v>
      </c>
      <c r="C51" s="782"/>
      <c r="D51" s="7">
        <v>619508</v>
      </c>
      <c r="E51" s="17">
        <v>6309</v>
      </c>
      <c r="F51" s="269">
        <v>3009</v>
      </c>
      <c r="G51" s="270"/>
      <c r="H51" s="271">
        <f t="shared" si="0"/>
        <v>628826</v>
      </c>
      <c r="I51" s="727">
        <f t="shared" si="1"/>
        <v>3593</v>
      </c>
      <c r="J51" s="7">
        <v>588189</v>
      </c>
      <c r="K51" s="17">
        <v>28704</v>
      </c>
      <c r="L51" s="269">
        <v>8340</v>
      </c>
      <c r="M51" s="273">
        <f t="shared" si="2"/>
        <v>625233</v>
      </c>
    </row>
    <row r="52" spans="1:16" s="250" customFormat="1" ht="30" customHeight="1">
      <c r="A52" s="264">
        <v>5</v>
      </c>
      <c r="B52" s="783" t="s">
        <v>468</v>
      </c>
      <c r="C52" s="784"/>
      <c r="D52" s="7"/>
      <c r="E52" s="17"/>
      <c r="F52" s="269"/>
      <c r="G52" s="270"/>
      <c r="H52" s="271">
        <f t="shared" si="0"/>
        <v>0</v>
      </c>
      <c r="I52" s="272">
        <f t="shared" si="1"/>
        <v>0</v>
      </c>
      <c r="J52" s="7"/>
      <c r="K52" s="17"/>
      <c r="L52" s="269"/>
      <c r="M52" s="273">
        <f t="shared" si="2"/>
        <v>0</v>
      </c>
    </row>
    <row r="53" spans="1:16" s="250" customFormat="1" ht="30" customHeight="1">
      <c r="A53" s="264"/>
      <c r="B53" s="785" t="s">
        <v>503</v>
      </c>
      <c r="C53" s="786"/>
      <c r="D53" s="7">
        <v>40784</v>
      </c>
      <c r="E53" s="17">
        <v>58390</v>
      </c>
      <c r="F53" s="269">
        <v>22072</v>
      </c>
      <c r="G53" s="277"/>
      <c r="H53" s="271">
        <f>SUM(D53:G53)</f>
        <v>121246</v>
      </c>
      <c r="I53" s="727">
        <f t="shared" si="1"/>
        <v>83057</v>
      </c>
      <c r="J53" s="7">
        <v>0</v>
      </c>
      <c r="K53" s="17">
        <v>26902</v>
      </c>
      <c r="L53" s="269">
        <v>11287</v>
      </c>
      <c r="M53" s="273">
        <f t="shared" si="2"/>
        <v>38189</v>
      </c>
    </row>
    <row r="54" spans="1:16" s="250" customFormat="1" ht="30" customHeight="1">
      <c r="A54" s="264"/>
      <c r="B54" s="785" t="s">
        <v>529</v>
      </c>
      <c r="C54" s="786"/>
      <c r="D54" s="7"/>
      <c r="E54" s="17">
        <v>254</v>
      </c>
      <c r="F54" s="269">
        <v>0</v>
      </c>
      <c r="G54" s="277"/>
      <c r="H54" s="271">
        <f t="shared" si="0"/>
        <v>254</v>
      </c>
      <c r="I54" s="272">
        <f t="shared" si="1"/>
        <v>0</v>
      </c>
      <c r="J54" s="7">
        <v>0</v>
      </c>
      <c r="K54" s="17">
        <v>254</v>
      </c>
      <c r="L54" s="269">
        <v>0</v>
      </c>
      <c r="M54" s="273">
        <f t="shared" si="2"/>
        <v>254</v>
      </c>
    </row>
    <row r="55" spans="1:16" s="250" customFormat="1" ht="30" customHeight="1">
      <c r="A55" s="264">
        <v>6</v>
      </c>
      <c r="B55" s="787" t="s">
        <v>507</v>
      </c>
      <c r="C55" s="788"/>
      <c r="D55" s="7"/>
      <c r="E55" s="17"/>
      <c r="F55" s="269"/>
      <c r="G55" s="277"/>
      <c r="H55" s="271">
        <f>SUM(D55:G55)</f>
        <v>0</v>
      </c>
      <c r="I55" s="272">
        <f t="shared" si="1"/>
        <v>0</v>
      </c>
      <c r="J55" s="7"/>
      <c r="K55" s="17"/>
      <c r="L55" s="269"/>
      <c r="M55" s="273">
        <f t="shared" si="2"/>
        <v>0</v>
      </c>
    </row>
    <row r="56" spans="1:16" s="250" customFormat="1" ht="30" customHeight="1">
      <c r="A56" s="264"/>
      <c r="B56" s="785" t="s">
        <v>508</v>
      </c>
      <c r="C56" s="786"/>
      <c r="D56" s="7"/>
      <c r="E56" s="17"/>
      <c r="F56" s="269"/>
      <c r="G56" s="277"/>
      <c r="H56" s="271">
        <f>SUM(D56:G56)</f>
        <v>0</v>
      </c>
      <c r="I56" s="272">
        <f t="shared" si="1"/>
        <v>0</v>
      </c>
      <c r="J56" s="7"/>
      <c r="K56" s="17"/>
      <c r="L56" s="269"/>
      <c r="M56" s="273">
        <f t="shared" si="2"/>
        <v>0</v>
      </c>
    </row>
    <row r="57" spans="1:16" s="250" customFormat="1" ht="30" customHeight="1">
      <c r="A57" s="274">
        <v>7</v>
      </c>
      <c r="B57" s="275" t="s">
        <v>511</v>
      </c>
      <c r="C57" s="276"/>
      <c r="D57" s="7"/>
      <c r="E57" s="17"/>
      <c r="F57" s="269"/>
      <c r="G57" s="277"/>
      <c r="H57" s="271">
        <f>SUM(D57:G57)</f>
        <v>0</v>
      </c>
      <c r="I57" s="272">
        <f t="shared" si="1"/>
        <v>0</v>
      </c>
      <c r="J57" s="7"/>
      <c r="K57" s="17"/>
      <c r="L57" s="269"/>
      <c r="M57" s="273">
        <f t="shared" si="2"/>
        <v>0</v>
      </c>
      <c r="O57" s="281"/>
    </row>
    <row r="58" spans="1:16" s="250" customFormat="1" ht="30" customHeight="1" thickBot="1">
      <c r="A58" s="278"/>
      <c r="B58" s="279" t="s">
        <v>510</v>
      </c>
      <c r="C58" s="280"/>
      <c r="D58" s="7"/>
      <c r="E58" s="17"/>
      <c r="F58" s="269"/>
      <c r="G58" s="269"/>
      <c r="H58" s="271">
        <f>SUM(D58:G58)</f>
        <v>0</v>
      </c>
      <c r="I58" s="272">
        <f t="shared" si="1"/>
        <v>0</v>
      </c>
      <c r="J58" s="7"/>
      <c r="K58" s="17"/>
      <c r="L58" s="269"/>
      <c r="M58" s="273">
        <f t="shared" si="2"/>
        <v>0</v>
      </c>
      <c r="O58" s="281"/>
    </row>
    <row r="59" spans="1:16" s="250" customFormat="1" ht="30" customHeight="1" thickBot="1">
      <c r="A59" s="282"/>
      <c r="B59" s="779" t="s">
        <v>514</v>
      </c>
      <c r="C59" s="780"/>
      <c r="D59" s="283">
        <f t="shared" ref="D59:M59" si="6">SUM(D6:D58)</f>
        <v>1779835</v>
      </c>
      <c r="E59" s="283">
        <f t="shared" si="6"/>
        <v>284065</v>
      </c>
      <c r="F59" s="283">
        <f t="shared" si="6"/>
        <v>70568</v>
      </c>
      <c r="G59" s="283">
        <f t="shared" si="6"/>
        <v>38929</v>
      </c>
      <c r="H59" s="283">
        <f t="shared" si="6"/>
        <v>2173397</v>
      </c>
      <c r="I59" s="283">
        <f t="shared" si="6"/>
        <v>241715</v>
      </c>
      <c r="J59" s="283">
        <f t="shared" si="6"/>
        <v>1606043</v>
      </c>
      <c r="K59" s="283">
        <f t="shared" si="6"/>
        <v>255517</v>
      </c>
      <c r="L59" s="283">
        <f t="shared" si="6"/>
        <v>70122</v>
      </c>
      <c r="M59" s="283">
        <f t="shared" si="6"/>
        <v>1931682</v>
      </c>
    </row>
    <row r="60" spans="1:16" s="250" customFormat="1" ht="30" customHeight="1">
      <c r="A60" s="284"/>
      <c r="B60" s="285"/>
      <c r="C60" s="285"/>
      <c r="D60" s="285"/>
      <c r="E60" s="285"/>
      <c r="F60" s="285"/>
      <c r="G60" s="285"/>
      <c r="H60" s="285" t="s">
        <v>530</v>
      </c>
      <c r="I60" s="286">
        <v>67393</v>
      </c>
      <c r="J60" s="286"/>
      <c r="K60" s="287"/>
      <c r="L60" s="285"/>
      <c r="M60" s="288"/>
    </row>
    <row r="61" spans="1:16" ht="15">
      <c r="A61" s="284"/>
      <c r="B61" s="285"/>
      <c r="C61" s="285"/>
      <c r="D61" s="285"/>
      <c r="E61" s="285"/>
      <c r="F61" s="285"/>
      <c r="G61" s="285"/>
      <c r="H61" s="285" t="s">
        <v>531</v>
      </c>
      <c r="I61" s="286">
        <v>174322</v>
      </c>
      <c r="J61" s="289"/>
      <c r="K61" s="287"/>
      <c r="L61" s="285"/>
      <c r="M61" s="288"/>
      <c r="N61" s="250"/>
      <c r="O61" s="250"/>
      <c r="P61" s="250"/>
    </row>
    <row r="62" spans="1:16" ht="16.5" thickBot="1">
      <c r="A62" s="290"/>
      <c r="B62" s="291"/>
      <c r="C62" s="291"/>
      <c r="D62" s="291"/>
      <c r="E62" s="291"/>
      <c r="F62" s="291"/>
      <c r="G62" s="291"/>
      <c r="H62" s="291" t="s">
        <v>532</v>
      </c>
      <c r="I62" s="292">
        <f>+I61+I60</f>
        <v>241715</v>
      </c>
      <c r="J62" s="291"/>
      <c r="K62" s="293"/>
      <c r="L62" s="293"/>
      <c r="M62" s="294"/>
      <c r="N62" s="250"/>
    </row>
    <row r="63" spans="1:16" ht="16.5" thickBot="1">
      <c r="A63" s="290"/>
      <c r="B63" s="291"/>
      <c r="C63" s="291"/>
      <c r="D63" s="291"/>
      <c r="E63" s="291"/>
      <c r="F63" s="291"/>
      <c r="G63" s="291"/>
      <c r="H63" s="291"/>
      <c r="I63" s="292"/>
      <c r="J63" s="291"/>
      <c r="K63" s="291"/>
      <c r="L63" s="291"/>
      <c r="M63" s="295"/>
    </row>
    <row r="67" spans="10:10">
      <c r="J67" s="201"/>
    </row>
  </sheetData>
  <mergeCells count="44">
    <mergeCell ref="B17:C17"/>
    <mergeCell ref="A2:M2"/>
    <mergeCell ref="B3:C3"/>
    <mergeCell ref="B5:C5"/>
    <mergeCell ref="B6:C6"/>
    <mergeCell ref="B7:C7"/>
    <mergeCell ref="B8:C8"/>
    <mergeCell ref="B10:C10"/>
    <mergeCell ref="B11:C11"/>
    <mergeCell ref="B12:C12"/>
    <mergeCell ref="B13:C13"/>
    <mergeCell ref="B15:C15"/>
    <mergeCell ref="B32:C32"/>
    <mergeCell ref="B18:C18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1:C31"/>
    <mergeCell ref="B50:C50"/>
    <mergeCell ref="B34:C34"/>
    <mergeCell ref="B36:C36"/>
    <mergeCell ref="B37:C37"/>
    <mergeCell ref="B38:C38"/>
    <mergeCell ref="B39:C39"/>
    <mergeCell ref="B40:C40"/>
    <mergeCell ref="B41:C41"/>
    <mergeCell ref="B42:C42"/>
    <mergeCell ref="B43:C43"/>
    <mergeCell ref="B47:C47"/>
    <mergeCell ref="B49:C49"/>
    <mergeCell ref="B48:C48"/>
    <mergeCell ref="B59:C59"/>
    <mergeCell ref="B51:C51"/>
    <mergeCell ref="B52:C52"/>
    <mergeCell ref="B53:C53"/>
    <mergeCell ref="B54:C54"/>
    <mergeCell ref="B55:C55"/>
    <mergeCell ref="B56:C56"/>
  </mergeCells>
  <printOptions gridLines="1"/>
  <pageMargins left="0.23" right="0.17" top="0.19" bottom="0.16" header="0.17" footer="0.15"/>
  <pageSetup paperSize="9" scale="46" orientation="portrait" r:id="rId1"/>
  <headerFooter alignWithMargins="0">
    <oddFooter>&amp;RPAGE NO - 5 of 17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40"/>
    <pageSetUpPr fitToPage="1"/>
  </sheetPr>
  <dimension ref="A1:M49"/>
  <sheetViews>
    <sheetView zoomScale="55" zoomScaleNormal="55" zoomScaleSheetLayoutView="70" workbookViewId="0">
      <pane ySplit="7" topLeftCell="A9" activePane="bottomLeft" state="frozen"/>
      <selection pane="bottomLeft" activeCell="F20" sqref="F20"/>
    </sheetView>
  </sheetViews>
  <sheetFormatPr defaultRowHeight="12.75"/>
  <cols>
    <col min="1" max="1" width="6.7109375" customWidth="1"/>
    <col min="2" max="2" width="65.7109375" bestFit="1" customWidth="1"/>
    <col min="3" max="3" width="42.42578125" hidden="1" customWidth="1"/>
    <col min="4" max="4" width="17.5703125" customWidth="1"/>
    <col min="5" max="5" width="14" customWidth="1"/>
    <col min="6" max="6" width="16.7109375" customWidth="1"/>
    <col min="7" max="7" width="17.28515625" customWidth="1"/>
    <col min="8" max="8" width="16.42578125" customWidth="1"/>
    <col min="9" max="9" width="17.28515625" customWidth="1"/>
    <col min="10" max="10" width="15.42578125" bestFit="1" customWidth="1"/>
    <col min="11" max="11" width="17.7109375" customWidth="1"/>
    <col min="12" max="12" width="10.5703125" bestFit="1" customWidth="1"/>
    <col min="13" max="13" width="13.140625" bestFit="1" customWidth="1"/>
  </cols>
  <sheetData>
    <row r="1" spans="1:13" ht="13.5" thickBot="1"/>
    <row r="2" spans="1:13" ht="35.1" customHeight="1" thickBot="1">
      <c r="A2" s="813" t="s">
        <v>0</v>
      </c>
      <c r="B2" s="814"/>
      <c r="C2" s="814"/>
      <c r="D2" s="814"/>
      <c r="E2" s="814"/>
      <c r="F2" s="814"/>
      <c r="G2" s="814"/>
      <c r="H2" s="814"/>
      <c r="I2" s="814"/>
      <c r="J2" s="814"/>
      <c r="K2" s="815"/>
    </row>
    <row r="3" spans="1:13" ht="35.1" customHeight="1" thickBot="1">
      <c r="A3" s="816" t="s">
        <v>250</v>
      </c>
      <c r="B3" s="817"/>
      <c r="C3" s="817"/>
      <c r="D3" s="817"/>
      <c r="E3" s="817"/>
      <c r="F3" s="817"/>
      <c r="G3" s="817"/>
      <c r="H3" s="817"/>
      <c r="I3" s="817"/>
      <c r="J3" s="817"/>
      <c r="K3" s="818"/>
    </row>
    <row r="4" spans="1:13" ht="35.1" customHeight="1" thickBot="1">
      <c r="A4" s="817" t="s">
        <v>776</v>
      </c>
      <c r="B4" s="817"/>
      <c r="C4" s="817"/>
      <c r="D4" s="817"/>
      <c r="E4" s="817"/>
      <c r="F4" s="817"/>
      <c r="G4" s="817"/>
      <c r="H4" s="817"/>
      <c r="I4" s="817"/>
      <c r="J4" s="817"/>
      <c r="K4" s="819"/>
      <c r="L4" s="209"/>
    </row>
    <row r="5" spans="1:13" ht="35.1" customHeight="1" thickBot="1">
      <c r="A5" s="346" t="s">
        <v>1</v>
      </c>
      <c r="B5" s="330" t="s">
        <v>2</v>
      </c>
      <c r="C5" s="329" t="s">
        <v>329</v>
      </c>
      <c r="D5" s="816" t="s">
        <v>3</v>
      </c>
      <c r="E5" s="818"/>
      <c r="F5" s="346" t="s">
        <v>4</v>
      </c>
      <c r="G5" s="351" t="s">
        <v>5</v>
      </c>
      <c r="H5" s="346" t="s">
        <v>6</v>
      </c>
      <c r="I5" s="816" t="s">
        <v>7</v>
      </c>
      <c r="J5" s="818"/>
      <c r="K5" s="332" t="s">
        <v>5</v>
      </c>
      <c r="L5" s="209"/>
    </row>
    <row r="6" spans="1:13" ht="35.1" customHeight="1" thickBot="1">
      <c r="A6" s="345"/>
      <c r="B6" s="344"/>
      <c r="C6" s="337"/>
      <c r="D6" s="331" t="s">
        <v>8</v>
      </c>
      <c r="E6" s="334" t="s">
        <v>9</v>
      </c>
      <c r="F6" s="335"/>
      <c r="G6" s="346"/>
      <c r="H6" s="350"/>
      <c r="I6" s="316" t="s">
        <v>8</v>
      </c>
      <c r="J6" s="349" t="s">
        <v>9</v>
      </c>
      <c r="K6" s="334"/>
      <c r="L6" s="209"/>
    </row>
    <row r="7" spans="1:13" ht="35.1" customHeight="1" thickBot="1">
      <c r="A7" s="341"/>
      <c r="B7" s="342"/>
      <c r="C7" s="342"/>
      <c r="D7" s="347"/>
      <c r="E7" s="346" t="s">
        <v>10</v>
      </c>
      <c r="F7" s="348" t="s">
        <v>10</v>
      </c>
      <c r="G7" s="328" t="s">
        <v>10</v>
      </c>
      <c r="H7" s="328" t="s">
        <v>10</v>
      </c>
      <c r="I7" s="343" t="s">
        <v>10</v>
      </c>
      <c r="J7" s="346" t="s">
        <v>10</v>
      </c>
      <c r="K7" s="335" t="s">
        <v>10</v>
      </c>
      <c r="L7" s="209"/>
    </row>
    <row r="8" spans="1:13" ht="35.1" customHeight="1">
      <c r="A8" s="338" t="s">
        <v>18</v>
      </c>
      <c r="B8" s="339" t="s">
        <v>11</v>
      </c>
      <c r="C8" s="339"/>
      <c r="D8" s="327"/>
      <c r="E8" s="336"/>
      <c r="F8" s="409"/>
      <c r="G8" s="327"/>
      <c r="H8" s="340">
        <f t="shared" ref="H8:H9" si="0">+G8-K8</f>
        <v>0</v>
      </c>
      <c r="I8" s="327"/>
      <c r="J8" s="336"/>
      <c r="K8" s="327"/>
    </row>
    <row r="9" spans="1:13" ht="35.1" customHeight="1">
      <c r="A9" s="204">
        <v>1</v>
      </c>
      <c r="B9" s="320" t="s">
        <v>244</v>
      </c>
      <c r="C9" s="320"/>
      <c r="D9" s="319"/>
      <c r="E9" s="206"/>
      <c r="F9" s="318"/>
      <c r="G9" s="319"/>
      <c r="H9" s="206">
        <f t="shared" si="0"/>
        <v>0</v>
      </c>
      <c r="I9" s="319"/>
      <c r="J9" s="206"/>
      <c r="K9" s="319"/>
    </row>
    <row r="10" spans="1:13" ht="35.1" customHeight="1">
      <c r="A10" s="204"/>
      <c r="B10" s="321" t="s">
        <v>249</v>
      </c>
      <c r="C10" s="205"/>
      <c r="D10" s="322">
        <v>50</v>
      </c>
      <c r="E10" s="206"/>
      <c r="F10" s="324"/>
      <c r="G10" s="319">
        <f t="shared" ref="G10" si="1">SUM(D10:F10)</f>
        <v>50</v>
      </c>
      <c r="H10" s="206">
        <f>+G10-K10</f>
        <v>0</v>
      </c>
      <c r="I10" s="323">
        <v>50</v>
      </c>
      <c r="J10" s="206"/>
      <c r="K10" s="323">
        <f t="shared" ref="K10:K22" si="2">SUM(I10:J10)</f>
        <v>50</v>
      </c>
    </row>
    <row r="11" spans="1:13" ht="35.1" customHeight="1">
      <c r="A11" s="461"/>
      <c r="B11" s="473" t="s">
        <v>543</v>
      </c>
      <c r="C11" s="205"/>
      <c r="D11" s="322">
        <v>0</v>
      </c>
      <c r="E11" s="206"/>
      <c r="F11" s="324">
        <v>18040</v>
      </c>
      <c r="G11" s="319">
        <f t="shared" ref="G11:G22" si="3">+D11+E11+F11</f>
        <v>18040</v>
      </c>
      <c r="H11" s="324">
        <f>+G11-K11</f>
        <v>9340</v>
      </c>
      <c r="I11" s="322">
        <v>8700</v>
      </c>
      <c r="J11" s="206">
        <v>0</v>
      </c>
      <c r="K11" s="323">
        <f t="shared" si="2"/>
        <v>8700</v>
      </c>
    </row>
    <row r="12" spans="1:13" ht="35.1" customHeight="1">
      <c r="A12" s="204">
        <v>2</v>
      </c>
      <c r="B12" s="320" t="s">
        <v>12</v>
      </c>
      <c r="C12" s="320"/>
      <c r="D12" s="322"/>
      <c r="E12" s="322"/>
      <c r="F12" s="324"/>
      <c r="G12" s="206"/>
      <c r="H12" s="206">
        <f t="shared" ref="H12:H22" si="4">+G12-K12</f>
        <v>0</v>
      </c>
      <c r="I12" s="322"/>
      <c r="J12" s="322"/>
      <c r="K12" s="323">
        <f t="shared" si="2"/>
        <v>0</v>
      </c>
    </row>
    <row r="13" spans="1:13" ht="35.1" customHeight="1">
      <c r="A13" s="204"/>
      <c r="B13" s="205" t="s">
        <v>13</v>
      </c>
      <c r="C13" s="205"/>
      <c r="D13" s="322">
        <v>0</v>
      </c>
      <c r="E13" s="322">
        <v>53</v>
      </c>
      <c r="F13" s="324"/>
      <c r="G13" s="319">
        <f t="shared" si="3"/>
        <v>53</v>
      </c>
      <c r="H13" s="206">
        <f t="shared" si="4"/>
        <v>0</v>
      </c>
      <c r="I13" s="322"/>
      <c r="J13" s="322">
        <v>53</v>
      </c>
      <c r="K13" s="323">
        <f t="shared" si="2"/>
        <v>53</v>
      </c>
    </row>
    <row r="14" spans="1:13" ht="35.1" customHeight="1">
      <c r="A14" s="204"/>
      <c r="B14" s="205" t="s">
        <v>14</v>
      </c>
      <c r="C14" s="205" t="s">
        <v>330</v>
      </c>
      <c r="D14" s="207"/>
      <c r="E14" s="322">
        <v>341</v>
      </c>
      <c r="F14" s="324"/>
      <c r="G14" s="319">
        <f t="shared" si="3"/>
        <v>341</v>
      </c>
      <c r="H14" s="206">
        <f t="shared" si="4"/>
        <v>0</v>
      </c>
      <c r="I14" s="207">
        <v>0</v>
      </c>
      <c r="J14" s="322">
        <v>341</v>
      </c>
      <c r="K14" s="323">
        <f t="shared" si="2"/>
        <v>341</v>
      </c>
    </row>
    <row r="15" spans="1:13" ht="35.1" customHeight="1">
      <c r="A15" s="204"/>
      <c r="B15" s="205" t="s">
        <v>15</v>
      </c>
      <c r="C15" s="205" t="s">
        <v>331</v>
      </c>
      <c r="D15" s="322">
        <v>20</v>
      </c>
      <c r="E15" s="322"/>
      <c r="F15" s="324"/>
      <c r="G15" s="319">
        <f t="shared" si="3"/>
        <v>20</v>
      </c>
      <c r="H15" s="206">
        <f t="shared" si="4"/>
        <v>0</v>
      </c>
      <c r="I15" s="323">
        <v>20</v>
      </c>
      <c r="J15" s="322"/>
      <c r="K15" s="323">
        <f t="shared" si="2"/>
        <v>20</v>
      </c>
    </row>
    <row r="16" spans="1:13" ht="35.1" customHeight="1">
      <c r="A16" s="204"/>
      <c r="B16" s="472" t="s">
        <v>16</v>
      </c>
      <c r="C16" s="205" t="s">
        <v>332</v>
      </c>
      <c r="D16" s="207">
        <v>37600</v>
      </c>
      <c r="E16" s="322">
        <v>1734</v>
      </c>
      <c r="F16" s="324">
        <v>9000</v>
      </c>
      <c r="G16" s="319">
        <f t="shared" si="3"/>
        <v>48334</v>
      </c>
      <c r="H16" s="324">
        <f t="shared" si="4"/>
        <v>4393</v>
      </c>
      <c r="I16" s="207">
        <v>42375</v>
      </c>
      <c r="J16" s="322">
        <v>1566</v>
      </c>
      <c r="K16" s="323">
        <f t="shared" si="2"/>
        <v>43941</v>
      </c>
      <c r="L16" s="2"/>
      <c r="M16" s="2"/>
    </row>
    <row r="17" spans="1:13" ht="35.1" customHeight="1">
      <c r="A17" s="204"/>
      <c r="B17" s="205" t="s">
        <v>17</v>
      </c>
      <c r="C17" s="205" t="s">
        <v>333</v>
      </c>
      <c r="D17" s="207">
        <v>63</v>
      </c>
      <c r="E17" s="322"/>
      <c r="F17" s="324"/>
      <c r="G17" s="319">
        <f t="shared" si="3"/>
        <v>63</v>
      </c>
      <c r="H17" s="206">
        <f t="shared" si="4"/>
        <v>0</v>
      </c>
      <c r="I17" s="357">
        <v>63</v>
      </c>
      <c r="J17" s="322"/>
      <c r="K17" s="323">
        <f t="shared" si="2"/>
        <v>63</v>
      </c>
    </row>
    <row r="18" spans="1:13" ht="35.1" customHeight="1">
      <c r="A18" s="204"/>
      <c r="B18" s="205" t="s">
        <v>256</v>
      </c>
      <c r="C18" s="205" t="s">
        <v>334</v>
      </c>
      <c r="D18" s="207">
        <v>0</v>
      </c>
      <c r="E18" s="322">
        <v>81</v>
      </c>
      <c r="F18" s="410"/>
      <c r="G18" s="319">
        <f t="shared" si="3"/>
        <v>81</v>
      </c>
      <c r="H18" s="206">
        <f t="shared" si="4"/>
        <v>0</v>
      </c>
      <c r="I18" s="207">
        <v>0</v>
      </c>
      <c r="J18" s="322">
        <v>81</v>
      </c>
      <c r="K18" s="323">
        <f t="shared" si="2"/>
        <v>81</v>
      </c>
      <c r="L18" s="2"/>
    </row>
    <row r="19" spans="1:13" ht="35.1" customHeight="1">
      <c r="A19" s="204">
        <v>3</v>
      </c>
      <c r="B19" s="320" t="s">
        <v>19</v>
      </c>
      <c r="C19" s="320"/>
      <c r="D19" s="322"/>
      <c r="E19" s="322"/>
      <c r="F19" s="411"/>
      <c r="G19" s="319"/>
      <c r="H19" s="206">
        <f t="shared" si="4"/>
        <v>0</v>
      </c>
      <c r="I19" s="322"/>
      <c r="J19" s="322"/>
      <c r="K19" s="323">
        <f t="shared" si="2"/>
        <v>0</v>
      </c>
    </row>
    <row r="20" spans="1:13" ht="35.1" customHeight="1">
      <c r="A20" s="204"/>
      <c r="B20" s="472" t="s">
        <v>20</v>
      </c>
      <c r="C20" s="205" t="s">
        <v>335</v>
      </c>
      <c r="D20" s="207">
        <v>14225</v>
      </c>
      <c r="E20" s="322">
        <v>3722</v>
      </c>
      <c r="F20" s="410"/>
      <c r="G20" s="319">
        <f t="shared" si="3"/>
        <v>17947</v>
      </c>
      <c r="H20" s="324">
        <f t="shared" si="4"/>
        <v>1904</v>
      </c>
      <c r="I20" s="207">
        <v>12475</v>
      </c>
      <c r="J20" s="322">
        <v>3568</v>
      </c>
      <c r="K20" s="323">
        <f t="shared" si="2"/>
        <v>16043</v>
      </c>
      <c r="L20" s="2"/>
      <c r="M20" s="2"/>
    </row>
    <row r="21" spans="1:13" ht="35.1" customHeight="1">
      <c r="A21" s="204"/>
      <c r="B21" s="472" t="s">
        <v>21</v>
      </c>
      <c r="C21" s="205" t="s">
        <v>336</v>
      </c>
      <c r="D21" s="207">
        <v>1025</v>
      </c>
      <c r="E21" s="322">
        <v>1230</v>
      </c>
      <c r="F21" s="410">
        <v>9000</v>
      </c>
      <c r="G21" s="319">
        <f t="shared" si="3"/>
        <v>11255</v>
      </c>
      <c r="H21" s="324">
        <f t="shared" si="4"/>
        <v>8086</v>
      </c>
      <c r="I21" s="207">
        <v>1875</v>
      </c>
      <c r="J21" s="322">
        <v>1294</v>
      </c>
      <c r="K21" s="323">
        <f t="shared" si="2"/>
        <v>3169</v>
      </c>
      <c r="L21" s="2"/>
      <c r="M21" s="203"/>
    </row>
    <row r="22" spans="1:13" ht="35.1" customHeight="1">
      <c r="A22" s="204"/>
      <c r="B22" s="472" t="s">
        <v>22</v>
      </c>
      <c r="C22" s="205" t="s">
        <v>337</v>
      </c>
      <c r="D22" s="207">
        <v>15700</v>
      </c>
      <c r="E22" s="322">
        <v>185</v>
      </c>
      <c r="F22" s="324"/>
      <c r="G22" s="319">
        <f t="shared" si="3"/>
        <v>15885</v>
      </c>
      <c r="H22" s="324">
        <f t="shared" si="4"/>
        <v>243</v>
      </c>
      <c r="I22" s="207">
        <v>15450</v>
      </c>
      <c r="J22" s="322">
        <v>192</v>
      </c>
      <c r="K22" s="323">
        <f t="shared" si="2"/>
        <v>15642</v>
      </c>
    </row>
    <row r="23" spans="1:13" ht="35.1" customHeight="1" thickBot="1">
      <c r="A23" s="385"/>
      <c r="B23" s="387"/>
      <c r="C23" s="387"/>
      <c r="D23" s="208"/>
      <c r="E23" s="388"/>
      <c r="F23" s="401"/>
      <c r="G23" s="337"/>
      <c r="H23" s="389"/>
      <c r="I23" s="208"/>
      <c r="J23" s="388"/>
      <c r="K23" s="390"/>
    </row>
    <row r="24" spans="1:13" ht="35.1" customHeight="1" thickBot="1">
      <c r="A24" s="386"/>
      <c r="B24" s="330" t="s">
        <v>23</v>
      </c>
      <c r="C24" s="333"/>
      <c r="D24" s="394">
        <f t="shared" ref="D24:K24" si="5">SUM(D10:D22)</f>
        <v>68683</v>
      </c>
      <c r="E24" s="394">
        <f t="shared" si="5"/>
        <v>7346</v>
      </c>
      <c r="F24" s="395">
        <f t="shared" si="5"/>
        <v>36040</v>
      </c>
      <c r="G24" s="396">
        <f t="shared" si="5"/>
        <v>112069</v>
      </c>
      <c r="H24" s="394">
        <f t="shared" si="5"/>
        <v>23966</v>
      </c>
      <c r="I24" s="395">
        <f t="shared" si="5"/>
        <v>81008</v>
      </c>
      <c r="J24" s="394">
        <f t="shared" si="5"/>
        <v>7095</v>
      </c>
      <c r="K24" s="397">
        <f t="shared" si="5"/>
        <v>88103</v>
      </c>
      <c r="M24" s="726"/>
    </row>
    <row r="25" spans="1:13" ht="35.1" customHeight="1">
      <c r="A25" s="338">
        <v>4</v>
      </c>
      <c r="B25" s="339" t="s">
        <v>24</v>
      </c>
      <c r="C25" s="339"/>
      <c r="D25" s="391"/>
      <c r="E25" s="392"/>
      <c r="F25" s="391"/>
      <c r="G25" s="391"/>
      <c r="H25" s="340">
        <f t="shared" ref="H25:H32" si="6">+G25-K25</f>
        <v>0</v>
      </c>
      <c r="I25" s="391"/>
      <c r="J25" s="392"/>
      <c r="K25" s="393"/>
    </row>
    <row r="26" spans="1:13" ht="35.1" customHeight="1">
      <c r="A26" s="204"/>
      <c r="B26" s="205" t="s">
        <v>25</v>
      </c>
      <c r="C26" s="205" t="s">
        <v>338</v>
      </c>
      <c r="D26" s="207">
        <v>742</v>
      </c>
      <c r="E26" s="322"/>
      <c r="F26" s="324"/>
      <c r="G26" s="206">
        <f>+D26+E26+F26</f>
        <v>742</v>
      </c>
      <c r="H26" s="206">
        <f t="shared" si="6"/>
        <v>0</v>
      </c>
      <c r="I26" s="207">
        <v>742</v>
      </c>
      <c r="J26" s="322"/>
      <c r="K26" s="323">
        <f t="shared" ref="K26:K30" si="7">SUM(I26:J26)</f>
        <v>742</v>
      </c>
    </row>
    <row r="27" spans="1:13" ht="35.1" customHeight="1">
      <c r="A27" s="204"/>
      <c r="B27" s="205" t="s">
        <v>26</v>
      </c>
      <c r="C27" s="205" t="s">
        <v>339</v>
      </c>
      <c r="D27" s="207">
        <v>25</v>
      </c>
      <c r="E27" s="322"/>
      <c r="F27" s="324"/>
      <c r="G27" s="206">
        <f t="shared" ref="G27:G30" si="8">+D27+E27+F27</f>
        <v>25</v>
      </c>
      <c r="H27" s="206">
        <f t="shared" si="6"/>
        <v>0</v>
      </c>
      <c r="I27" s="357">
        <v>25</v>
      </c>
      <c r="J27" s="322"/>
      <c r="K27" s="323">
        <f t="shared" si="7"/>
        <v>25</v>
      </c>
    </row>
    <row r="28" spans="1:13" ht="35.1" customHeight="1">
      <c r="A28" s="204"/>
      <c r="B28" s="205" t="s">
        <v>27</v>
      </c>
      <c r="C28" s="205" t="s">
        <v>340</v>
      </c>
      <c r="D28" s="207">
        <v>22</v>
      </c>
      <c r="E28" s="322"/>
      <c r="F28" s="324"/>
      <c r="G28" s="206">
        <f t="shared" si="8"/>
        <v>22</v>
      </c>
      <c r="H28" s="206">
        <f t="shared" si="6"/>
        <v>0</v>
      </c>
      <c r="I28" s="357">
        <v>22</v>
      </c>
      <c r="J28" s="322"/>
      <c r="K28" s="323">
        <f t="shared" si="7"/>
        <v>22</v>
      </c>
    </row>
    <row r="29" spans="1:13" ht="35.1" customHeight="1">
      <c r="A29" s="204"/>
      <c r="B29" s="205" t="s">
        <v>28</v>
      </c>
      <c r="C29" s="205"/>
      <c r="D29" s="207">
        <v>358</v>
      </c>
      <c r="E29" s="322"/>
      <c r="F29" s="324"/>
      <c r="G29" s="206">
        <f t="shared" si="8"/>
        <v>358</v>
      </c>
      <c r="H29" s="206">
        <f t="shared" si="6"/>
        <v>0</v>
      </c>
      <c r="I29" s="207">
        <v>358</v>
      </c>
      <c r="J29" s="322"/>
      <c r="K29" s="323">
        <f t="shared" si="7"/>
        <v>358</v>
      </c>
    </row>
    <row r="30" spans="1:13" ht="35.1" customHeight="1">
      <c r="A30" s="204"/>
      <c r="B30" s="463" t="s">
        <v>378</v>
      </c>
      <c r="C30" s="205"/>
      <c r="D30" s="322">
        <v>25</v>
      </c>
      <c r="E30" s="322">
        <v>12.65</v>
      </c>
      <c r="F30" s="324"/>
      <c r="G30" s="206">
        <f t="shared" si="8"/>
        <v>37.65</v>
      </c>
      <c r="H30" s="206">
        <f t="shared" si="6"/>
        <v>0</v>
      </c>
      <c r="I30" s="323">
        <v>25</v>
      </c>
      <c r="J30" s="322">
        <v>12.65</v>
      </c>
      <c r="K30" s="323">
        <f t="shared" si="7"/>
        <v>37.65</v>
      </c>
    </row>
    <row r="31" spans="1:13" ht="35.1" customHeight="1">
      <c r="A31" s="204"/>
      <c r="B31" s="463" t="s">
        <v>420</v>
      </c>
      <c r="C31" s="205"/>
      <c r="D31" s="322">
        <v>25</v>
      </c>
      <c r="E31" s="322"/>
      <c r="F31" s="324"/>
      <c r="G31" s="206">
        <f t="shared" ref="G31:G32" si="9">+D31+E31+F31</f>
        <v>25</v>
      </c>
      <c r="H31" s="206">
        <f t="shared" si="6"/>
        <v>0</v>
      </c>
      <c r="I31" s="323">
        <v>25</v>
      </c>
      <c r="J31" s="322"/>
      <c r="K31" s="323">
        <f t="shared" ref="K31:K32" si="10">SUM(I31:J31)</f>
        <v>25</v>
      </c>
    </row>
    <row r="32" spans="1:13" ht="35.1" customHeight="1">
      <c r="A32" s="204"/>
      <c r="B32" s="463" t="s">
        <v>535</v>
      </c>
      <c r="C32" s="205"/>
      <c r="D32" s="322">
        <v>20</v>
      </c>
      <c r="E32" s="322"/>
      <c r="F32" s="324"/>
      <c r="G32" s="206">
        <f t="shared" si="9"/>
        <v>20</v>
      </c>
      <c r="H32" s="206">
        <f t="shared" si="6"/>
        <v>0</v>
      </c>
      <c r="I32" s="323">
        <v>20</v>
      </c>
      <c r="J32" s="322"/>
      <c r="K32" s="323">
        <f t="shared" si="10"/>
        <v>20</v>
      </c>
    </row>
    <row r="33" spans="1:11" ht="35.1" customHeight="1">
      <c r="A33" s="204"/>
      <c r="B33" s="463" t="s">
        <v>421</v>
      </c>
      <c r="C33" s="205"/>
      <c r="D33" s="322">
        <v>25</v>
      </c>
      <c r="E33" s="322"/>
      <c r="F33" s="324"/>
      <c r="G33" s="206">
        <f t="shared" ref="G33:G37" si="11">+D33+E33+F33</f>
        <v>25</v>
      </c>
      <c r="H33" s="206">
        <f t="shared" ref="H33:H36" si="12">+G33-K33</f>
        <v>0</v>
      </c>
      <c r="I33" s="323">
        <v>25</v>
      </c>
      <c r="J33" s="322"/>
      <c r="K33" s="323">
        <f t="shared" ref="K33" si="13">SUM(I33:J33)</f>
        <v>25</v>
      </c>
    </row>
    <row r="34" spans="1:11" ht="35.1" customHeight="1">
      <c r="A34" s="474"/>
      <c r="B34" s="463" t="s">
        <v>769</v>
      </c>
      <c r="C34" s="205"/>
      <c r="D34" s="322">
        <v>20</v>
      </c>
      <c r="E34" s="322"/>
      <c r="F34" s="324"/>
      <c r="G34" s="206">
        <f t="shared" ref="G34:G35" si="14">+D34+E34+F34</f>
        <v>20</v>
      </c>
      <c r="H34" s="206">
        <f t="shared" ref="H34:H35" si="15">+G34-K34</f>
        <v>0</v>
      </c>
      <c r="I34" s="323">
        <v>20</v>
      </c>
      <c r="J34" s="322"/>
      <c r="K34" s="323">
        <f t="shared" ref="K34:K35" si="16">SUM(I34:J34)</f>
        <v>20</v>
      </c>
    </row>
    <row r="35" spans="1:11" ht="35.1" customHeight="1">
      <c r="A35" s="474"/>
      <c r="B35" s="463" t="s">
        <v>770</v>
      </c>
      <c r="C35" s="205"/>
      <c r="D35" s="322">
        <v>20</v>
      </c>
      <c r="E35" s="322"/>
      <c r="F35" s="324"/>
      <c r="G35" s="206">
        <f t="shared" si="14"/>
        <v>20</v>
      </c>
      <c r="H35" s="206">
        <f t="shared" si="15"/>
        <v>0</v>
      </c>
      <c r="I35" s="323">
        <v>20</v>
      </c>
      <c r="J35" s="322"/>
      <c r="K35" s="323">
        <f t="shared" si="16"/>
        <v>20</v>
      </c>
    </row>
    <row r="36" spans="1:11" ht="35.1" customHeight="1">
      <c r="A36" s="469"/>
      <c r="B36" s="463" t="s">
        <v>422</v>
      </c>
      <c r="C36" s="205"/>
      <c r="D36" s="322">
        <v>25</v>
      </c>
      <c r="E36" s="322"/>
      <c r="F36" s="324"/>
      <c r="G36" s="206">
        <f t="shared" ref="G36" si="17">+D36+E36+F36</f>
        <v>25</v>
      </c>
      <c r="H36" s="206">
        <f t="shared" si="12"/>
        <v>0</v>
      </c>
      <c r="I36" s="323">
        <v>25</v>
      </c>
      <c r="J36" s="322"/>
      <c r="K36" s="323">
        <f t="shared" ref="K36" si="18">SUM(I36:J36)</f>
        <v>25</v>
      </c>
    </row>
    <row r="37" spans="1:11" ht="35.1" customHeight="1">
      <c r="A37" s="204"/>
      <c r="B37" s="463" t="s">
        <v>758</v>
      </c>
      <c r="C37" s="205"/>
      <c r="D37" s="322">
        <v>25</v>
      </c>
      <c r="E37" s="322"/>
      <c r="F37" s="324"/>
      <c r="G37" s="206">
        <f t="shared" si="11"/>
        <v>25</v>
      </c>
      <c r="H37" s="206">
        <f t="shared" ref="H37" si="19">+G37-K37</f>
        <v>0</v>
      </c>
      <c r="I37" s="323">
        <v>25</v>
      </c>
      <c r="J37" s="322"/>
      <c r="K37" s="323">
        <f t="shared" ref="K37" si="20">SUM(I37:J37)</f>
        <v>25</v>
      </c>
    </row>
    <row r="38" spans="1:11" ht="35.1" customHeight="1">
      <c r="A38" s="204"/>
      <c r="B38" s="317" t="s">
        <v>29</v>
      </c>
      <c r="C38" s="317"/>
      <c r="D38" s="323">
        <f t="shared" ref="D38" si="21">SUM(D26:D37)</f>
        <v>1332</v>
      </c>
      <c r="E38" s="323">
        <f t="shared" ref="E38:K38" si="22">SUM(E26:E37)</f>
        <v>12.65</v>
      </c>
      <c r="F38" s="323">
        <f>SUM(F26:F37)</f>
        <v>0</v>
      </c>
      <c r="G38" s="323">
        <f t="shared" si="22"/>
        <v>1344.65</v>
      </c>
      <c r="H38" s="323">
        <f t="shared" si="22"/>
        <v>0</v>
      </c>
      <c r="I38" s="323">
        <f t="shared" si="22"/>
        <v>1332</v>
      </c>
      <c r="J38" s="323">
        <f t="shared" si="22"/>
        <v>12.65</v>
      </c>
      <c r="K38" s="323">
        <f t="shared" si="22"/>
        <v>1344.65</v>
      </c>
    </row>
    <row r="39" spans="1:11" ht="35.1" customHeight="1" thickBot="1">
      <c r="A39" s="398"/>
      <c r="B39" s="399"/>
      <c r="C39" s="399"/>
      <c r="D39" s="390"/>
      <c r="E39" s="400"/>
      <c r="F39" s="390"/>
      <c r="G39" s="390"/>
      <c r="H39" s="390"/>
      <c r="I39" s="390"/>
      <c r="J39" s="400"/>
      <c r="K39" s="401"/>
    </row>
    <row r="40" spans="1:11" ht="35.1" customHeight="1" thickBot="1">
      <c r="A40" s="404"/>
      <c r="B40" s="402" t="s">
        <v>30</v>
      </c>
      <c r="C40" s="403"/>
      <c r="D40" s="405">
        <f t="shared" ref="D40:K40" si="23">+D38+D24</f>
        <v>70015</v>
      </c>
      <c r="E40" s="406">
        <f t="shared" si="23"/>
        <v>7358.65</v>
      </c>
      <c r="F40" s="407">
        <f t="shared" si="23"/>
        <v>36040</v>
      </c>
      <c r="G40" s="405">
        <f t="shared" si="23"/>
        <v>113413.65</v>
      </c>
      <c r="H40" s="405">
        <f t="shared" si="23"/>
        <v>23966</v>
      </c>
      <c r="I40" s="405">
        <f t="shared" si="23"/>
        <v>82340</v>
      </c>
      <c r="J40" s="406">
        <f t="shared" si="23"/>
        <v>7107.65</v>
      </c>
      <c r="K40" s="408">
        <f t="shared" si="23"/>
        <v>89447.65</v>
      </c>
    </row>
    <row r="41" spans="1:11" ht="35.1" customHeight="1">
      <c r="A41" s="812"/>
      <c r="B41" s="812"/>
      <c r="C41" s="812"/>
      <c r="D41" s="812"/>
      <c r="E41" s="812"/>
      <c r="F41" s="812"/>
      <c r="G41" s="812"/>
      <c r="H41" s="812"/>
      <c r="I41" s="812"/>
      <c r="J41" s="812"/>
      <c r="K41" s="812"/>
    </row>
    <row r="42" spans="1:11">
      <c r="E42" s="203"/>
    </row>
    <row r="43" spans="1:11">
      <c r="E43" s="203"/>
    </row>
    <row r="44" spans="1:11">
      <c r="H44" s="2"/>
    </row>
    <row r="45" spans="1:11">
      <c r="E45" s="203">
        <f>+E43-E44</f>
        <v>0</v>
      </c>
      <c r="H45" s="2"/>
    </row>
    <row r="46" spans="1:11">
      <c r="F46" s="2"/>
    </row>
    <row r="48" spans="1:11">
      <c r="H48" s="2"/>
    </row>
    <row r="49" spans="8:8">
      <c r="H49" s="2"/>
    </row>
  </sheetData>
  <mergeCells count="6">
    <mergeCell ref="A41:K41"/>
    <mergeCell ref="A2:K2"/>
    <mergeCell ref="A3:K3"/>
    <mergeCell ref="A4:K4"/>
    <mergeCell ref="D5:E5"/>
    <mergeCell ref="I5:J5"/>
  </mergeCells>
  <phoneticPr fontId="7" type="noConversion"/>
  <printOptions gridLines="1"/>
  <pageMargins left="0.15748031496062992" right="0.15748031496062992" top="0.19685039370078741" bottom="0.19685039370078741" header="0.15748031496062992" footer="0.15748031496062992"/>
  <pageSetup paperSize="9" scale="49" orientation="portrait" r:id="rId1"/>
  <headerFooter alignWithMargins="0">
    <oddFooter>&amp;RPage No - 6 of 17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2:P78"/>
  <sheetViews>
    <sheetView view="pageBreakPreview" zoomScale="70" zoomScaleNormal="70" zoomScaleSheetLayoutView="70" workbookViewId="0">
      <pane xSplit="3" ySplit="6" topLeftCell="D46" activePane="bottomRight" state="frozen"/>
      <selection pane="topRight" activeCell="D1" sqref="D1"/>
      <selection pane="bottomLeft" activeCell="A7" sqref="A7"/>
      <selection pane="bottomRight" activeCell="H63" sqref="H63"/>
    </sheetView>
  </sheetViews>
  <sheetFormatPr defaultRowHeight="12.75"/>
  <cols>
    <col min="1" max="1" width="6.5703125" customWidth="1"/>
    <col min="2" max="2" width="53.7109375" customWidth="1"/>
    <col min="3" max="3" width="58.85546875" hidden="1" customWidth="1"/>
    <col min="4" max="4" width="15.5703125" customWidth="1"/>
    <col min="5" max="5" width="14.28515625" customWidth="1"/>
    <col min="6" max="6" width="14.5703125" customWidth="1"/>
    <col min="7" max="7" width="16.42578125" customWidth="1"/>
    <col min="8" max="8" width="14.7109375" customWidth="1"/>
    <col min="9" max="9" width="15.28515625" customWidth="1"/>
    <col min="10" max="10" width="14.140625" style="121" customWidth="1"/>
    <col min="11" max="11" width="18" customWidth="1"/>
  </cols>
  <sheetData>
    <row r="2" spans="1:16" ht="30" customHeight="1">
      <c r="A2" s="823" t="s">
        <v>31</v>
      </c>
      <c r="B2" s="823"/>
      <c r="C2" s="823"/>
      <c r="D2" s="823"/>
      <c r="E2" s="823"/>
      <c r="F2" s="823"/>
      <c r="G2" s="823"/>
      <c r="H2" s="823"/>
      <c r="I2" s="823"/>
      <c r="J2" s="823"/>
      <c r="K2" s="823"/>
    </row>
    <row r="3" spans="1:16" ht="30" customHeight="1">
      <c r="A3" s="824" t="s">
        <v>778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</row>
    <row r="4" spans="1:16" ht="30" customHeight="1">
      <c r="A4" s="412" t="s">
        <v>32</v>
      </c>
      <c r="B4" s="412" t="s">
        <v>33</v>
      </c>
      <c r="C4" s="412"/>
      <c r="D4" s="824" t="s">
        <v>34</v>
      </c>
      <c r="E4" s="824"/>
      <c r="F4" s="318" t="s">
        <v>35</v>
      </c>
      <c r="G4" s="318" t="s">
        <v>36</v>
      </c>
      <c r="H4" s="318" t="s">
        <v>37</v>
      </c>
      <c r="I4" s="413" t="s">
        <v>39</v>
      </c>
      <c r="J4" s="326"/>
      <c r="K4" s="318" t="s">
        <v>36</v>
      </c>
    </row>
    <row r="5" spans="1:16" ht="30" customHeight="1">
      <c r="A5" s="412"/>
      <c r="B5" s="412"/>
      <c r="C5" s="412"/>
      <c r="D5" s="318" t="s">
        <v>40</v>
      </c>
      <c r="E5" s="318" t="s">
        <v>41</v>
      </c>
      <c r="F5" s="318"/>
      <c r="G5" s="318"/>
      <c r="H5" s="318"/>
      <c r="I5" s="318" t="s">
        <v>40</v>
      </c>
      <c r="J5" s="326" t="s">
        <v>41</v>
      </c>
      <c r="K5" s="318" t="s">
        <v>254</v>
      </c>
    </row>
    <row r="6" spans="1:16" ht="30" customHeight="1">
      <c r="A6" s="412"/>
      <c r="B6" s="412"/>
      <c r="C6" s="412"/>
      <c r="D6" s="318" t="s">
        <v>86</v>
      </c>
      <c r="E6" s="318" t="s">
        <v>86</v>
      </c>
      <c r="F6" s="318" t="s">
        <v>86</v>
      </c>
      <c r="G6" s="318" t="s">
        <v>86</v>
      </c>
      <c r="H6" s="318" t="s">
        <v>86</v>
      </c>
      <c r="I6" s="318" t="s">
        <v>86</v>
      </c>
      <c r="J6" s="326" t="s">
        <v>86</v>
      </c>
      <c r="K6" s="318" t="s">
        <v>86</v>
      </c>
      <c r="P6" s="376"/>
    </row>
    <row r="7" spans="1:16" ht="26.25" customHeight="1">
      <c r="A7" s="414"/>
      <c r="B7" s="414" t="s">
        <v>87</v>
      </c>
      <c r="C7" s="414"/>
      <c r="D7" s="415"/>
      <c r="E7" s="325"/>
      <c r="F7" s="415"/>
      <c r="G7" s="415"/>
      <c r="H7" s="415"/>
      <c r="I7" s="415"/>
      <c r="J7" s="325"/>
      <c r="K7" s="415"/>
    </row>
    <row r="8" spans="1:16" ht="26.25" customHeight="1">
      <c r="A8" s="204" t="s">
        <v>88</v>
      </c>
      <c r="B8" s="414" t="s">
        <v>89</v>
      </c>
      <c r="C8" s="414"/>
      <c r="D8" s="322"/>
      <c r="E8" s="325"/>
      <c r="F8" s="415"/>
      <c r="G8" s="415"/>
      <c r="H8" s="322"/>
      <c r="I8" s="322"/>
      <c r="J8" s="325"/>
      <c r="K8" s="322"/>
    </row>
    <row r="9" spans="1:16" ht="26.25" customHeight="1">
      <c r="A9" s="296">
        <v>1</v>
      </c>
      <c r="B9" s="297" t="s">
        <v>90</v>
      </c>
      <c r="C9" s="297" t="s">
        <v>341</v>
      </c>
      <c r="D9" s="207">
        <v>18</v>
      </c>
      <c r="E9" s="207"/>
      <c r="F9" s="357"/>
      <c r="G9" s="298">
        <f>+D9+E9+F9</f>
        <v>18</v>
      </c>
      <c r="H9" s="298">
        <f>+G9-K9</f>
        <v>0</v>
      </c>
      <c r="I9" s="357">
        <v>18</v>
      </c>
      <c r="J9" s="207"/>
      <c r="K9" s="416">
        <f t="shared" ref="K9:K54" si="0">SUM(I9:J9)</f>
        <v>18</v>
      </c>
    </row>
    <row r="10" spans="1:16" ht="26.25" customHeight="1">
      <c r="A10" s="296">
        <f>+A9+1</f>
        <v>2</v>
      </c>
      <c r="B10" s="297" t="s">
        <v>91</v>
      </c>
      <c r="C10" s="297" t="s">
        <v>342</v>
      </c>
      <c r="D10" s="207">
        <v>25</v>
      </c>
      <c r="E10" s="207"/>
      <c r="F10" s="357"/>
      <c r="G10" s="298">
        <f t="shared" ref="G10:G54" si="1">+D10+E10+F10</f>
        <v>25</v>
      </c>
      <c r="H10" s="298">
        <f t="shared" ref="H10:H54" si="2">+G10-K10</f>
        <v>0</v>
      </c>
      <c r="I10" s="357">
        <v>25</v>
      </c>
      <c r="J10" s="207"/>
      <c r="K10" s="416">
        <f t="shared" si="0"/>
        <v>25</v>
      </c>
    </row>
    <row r="11" spans="1:16" ht="26.25" customHeight="1">
      <c r="A11" s="296">
        <f t="shared" ref="A11:A54" si="3">+A10+1</f>
        <v>3</v>
      </c>
      <c r="B11" s="297" t="s">
        <v>92</v>
      </c>
      <c r="C11" s="297" t="s">
        <v>343</v>
      </c>
      <c r="D11" s="207">
        <v>0</v>
      </c>
      <c r="E11" s="358">
        <v>18</v>
      </c>
      <c r="F11" s="357"/>
      <c r="G11" s="298">
        <f t="shared" si="1"/>
        <v>18</v>
      </c>
      <c r="H11" s="298">
        <f t="shared" si="2"/>
        <v>0</v>
      </c>
      <c r="I11" s="207"/>
      <c r="J11" s="358">
        <v>18</v>
      </c>
      <c r="K11" s="416">
        <f t="shared" si="0"/>
        <v>18</v>
      </c>
    </row>
    <row r="12" spans="1:16" ht="26.25" customHeight="1">
      <c r="A12" s="296">
        <f t="shared" si="3"/>
        <v>4</v>
      </c>
      <c r="B12" s="297" t="s">
        <v>93</v>
      </c>
      <c r="C12" s="297" t="s">
        <v>344</v>
      </c>
      <c r="D12" s="207">
        <v>20</v>
      </c>
      <c r="E12" s="207"/>
      <c r="F12" s="357"/>
      <c r="G12" s="298">
        <f t="shared" si="1"/>
        <v>20</v>
      </c>
      <c r="H12" s="298">
        <f t="shared" si="2"/>
        <v>0</v>
      </c>
      <c r="I12" s="357">
        <v>20</v>
      </c>
      <c r="J12" s="207"/>
      <c r="K12" s="416">
        <f t="shared" si="0"/>
        <v>20</v>
      </c>
    </row>
    <row r="13" spans="1:16" ht="26.25" customHeight="1">
      <c r="A13" s="296">
        <f t="shared" si="3"/>
        <v>5</v>
      </c>
      <c r="B13" s="360" t="s">
        <v>94</v>
      </c>
      <c r="C13" s="297" t="s">
        <v>345</v>
      </c>
      <c r="D13" s="207">
        <v>3400</v>
      </c>
      <c r="E13" s="358">
        <v>574</v>
      </c>
      <c r="F13" s="357"/>
      <c r="G13" s="298">
        <f t="shared" si="1"/>
        <v>3974</v>
      </c>
      <c r="H13" s="410">
        <f t="shared" si="2"/>
        <v>403.5</v>
      </c>
      <c r="I13" s="207">
        <v>3200</v>
      </c>
      <c r="J13" s="358">
        <v>370.5</v>
      </c>
      <c r="K13" s="416">
        <f t="shared" si="0"/>
        <v>3570.5</v>
      </c>
    </row>
    <row r="14" spans="1:16" s="464" customFormat="1" ht="26.25" customHeight="1">
      <c r="A14" s="296">
        <f>+A13+1</f>
        <v>6</v>
      </c>
      <c r="B14" s="297" t="s">
        <v>95</v>
      </c>
      <c r="C14" s="297" t="s">
        <v>346</v>
      </c>
      <c r="D14" s="207">
        <v>0</v>
      </c>
      <c r="E14" s="358">
        <v>58</v>
      </c>
      <c r="F14" s="357"/>
      <c r="G14" s="298">
        <f t="shared" si="1"/>
        <v>58</v>
      </c>
      <c r="H14" s="410">
        <f t="shared" si="2"/>
        <v>58</v>
      </c>
      <c r="I14" s="207">
        <v>0</v>
      </c>
      <c r="J14" s="358">
        <v>0</v>
      </c>
      <c r="K14" s="416">
        <f t="shared" si="0"/>
        <v>0</v>
      </c>
    </row>
    <row r="15" spans="1:16" ht="26.25" customHeight="1">
      <c r="A15" s="296">
        <f t="shared" si="3"/>
        <v>7</v>
      </c>
      <c r="B15" s="360" t="s">
        <v>551</v>
      </c>
      <c r="C15" s="297" t="s">
        <v>346</v>
      </c>
      <c r="D15" s="207">
        <v>2400</v>
      </c>
      <c r="E15" s="358">
        <v>257.5</v>
      </c>
      <c r="F15" s="357">
        <v>10400</v>
      </c>
      <c r="G15" s="298">
        <f t="shared" ref="G15" si="4">+D15+E15+F15</f>
        <v>13057.5</v>
      </c>
      <c r="H15" s="410">
        <f t="shared" ref="H15" si="5">+G15-K15</f>
        <v>1829</v>
      </c>
      <c r="I15" s="207">
        <v>11200</v>
      </c>
      <c r="J15" s="358">
        <v>28.5</v>
      </c>
      <c r="K15" s="416">
        <f t="shared" ref="K15" si="6">SUM(I15:J15)</f>
        <v>11228.5</v>
      </c>
    </row>
    <row r="16" spans="1:16" ht="26.25" customHeight="1">
      <c r="A16" s="296">
        <f t="shared" si="3"/>
        <v>8</v>
      </c>
      <c r="B16" s="297" t="s">
        <v>96</v>
      </c>
      <c r="C16" s="297" t="s">
        <v>347</v>
      </c>
      <c r="D16" s="207">
        <v>25</v>
      </c>
      <c r="E16" s="358"/>
      <c r="F16" s="357"/>
      <c r="G16" s="298">
        <f t="shared" si="1"/>
        <v>25</v>
      </c>
      <c r="H16" s="298">
        <f t="shared" si="2"/>
        <v>0</v>
      </c>
      <c r="I16" s="357">
        <v>25</v>
      </c>
      <c r="J16" s="358"/>
      <c r="K16" s="416">
        <f t="shared" si="0"/>
        <v>25</v>
      </c>
      <c r="L16" s="1"/>
      <c r="M16" s="1"/>
    </row>
    <row r="17" spans="1:13" ht="26.25" customHeight="1">
      <c r="A17" s="296">
        <f t="shared" si="3"/>
        <v>9</v>
      </c>
      <c r="B17" s="297" t="s">
        <v>97</v>
      </c>
      <c r="C17" s="297" t="s">
        <v>348</v>
      </c>
      <c r="D17" s="207">
        <v>36</v>
      </c>
      <c r="E17" s="207"/>
      <c r="F17" s="357"/>
      <c r="G17" s="298">
        <f t="shared" si="1"/>
        <v>36</v>
      </c>
      <c r="H17" s="298">
        <f t="shared" si="2"/>
        <v>0</v>
      </c>
      <c r="I17" s="357">
        <v>36</v>
      </c>
      <c r="J17" s="207"/>
      <c r="K17" s="416">
        <f t="shared" si="0"/>
        <v>36</v>
      </c>
      <c r="L17" s="1"/>
    </row>
    <row r="18" spans="1:13" ht="26.25" customHeight="1">
      <c r="A18" s="296">
        <f t="shared" si="3"/>
        <v>10</v>
      </c>
      <c r="B18" s="297" t="s">
        <v>98</v>
      </c>
      <c r="C18" s="297" t="s">
        <v>349</v>
      </c>
      <c r="D18" s="207">
        <v>20</v>
      </c>
      <c r="E18" s="207"/>
      <c r="F18" s="357"/>
      <c r="G18" s="298">
        <f t="shared" si="1"/>
        <v>20</v>
      </c>
      <c r="H18" s="298">
        <f t="shared" si="2"/>
        <v>0</v>
      </c>
      <c r="I18" s="357">
        <v>20</v>
      </c>
      <c r="J18" s="207"/>
      <c r="K18" s="416">
        <f t="shared" si="0"/>
        <v>20</v>
      </c>
      <c r="M18" s="1"/>
    </row>
    <row r="19" spans="1:13" ht="26.25" customHeight="1">
      <c r="A19" s="296">
        <f t="shared" si="3"/>
        <v>11</v>
      </c>
      <c r="B19" s="360" t="s">
        <v>99</v>
      </c>
      <c r="C19" s="297" t="s">
        <v>350</v>
      </c>
      <c r="D19" s="207">
        <v>16200</v>
      </c>
      <c r="E19" s="358">
        <v>141</v>
      </c>
      <c r="F19" s="207"/>
      <c r="G19" s="298">
        <f t="shared" si="1"/>
        <v>16341</v>
      </c>
      <c r="H19" s="410">
        <f t="shared" si="2"/>
        <v>394.5</v>
      </c>
      <c r="I19" s="207">
        <v>15800</v>
      </c>
      <c r="J19" s="358">
        <v>146.5</v>
      </c>
      <c r="K19" s="416">
        <f t="shared" si="0"/>
        <v>15946.5</v>
      </c>
    </row>
    <row r="20" spans="1:13" ht="26.25" customHeight="1">
      <c r="A20" s="296">
        <f t="shared" si="3"/>
        <v>12</v>
      </c>
      <c r="B20" s="297" t="s">
        <v>805</v>
      </c>
      <c r="C20" s="297" t="s">
        <v>351</v>
      </c>
      <c r="D20" s="207"/>
      <c r="E20" s="358"/>
      <c r="F20" s="357">
        <v>20</v>
      </c>
      <c r="G20" s="298">
        <f t="shared" si="1"/>
        <v>20</v>
      </c>
      <c r="H20" s="410">
        <f t="shared" si="2"/>
        <v>20</v>
      </c>
      <c r="I20" s="207">
        <v>0</v>
      </c>
      <c r="J20" s="358"/>
      <c r="K20" s="416">
        <f t="shared" si="0"/>
        <v>0</v>
      </c>
    </row>
    <row r="21" spans="1:13" ht="26.25" customHeight="1">
      <c r="A21" s="296">
        <f t="shared" si="3"/>
        <v>13</v>
      </c>
      <c r="B21" s="297" t="s">
        <v>536</v>
      </c>
      <c r="C21" s="297" t="s">
        <v>352</v>
      </c>
      <c r="D21" s="207">
        <v>100</v>
      </c>
      <c r="E21" s="207"/>
      <c r="F21" s="357"/>
      <c r="G21" s="298">
        <f t="shared" si="1"/>
        <v>100</v>
      </c>
      <c r="H21" s="298">
        <f t="shared" si="2"/>
        <v>0</v>
      </c>
      <c r="I21" s="357">
        <v>100</v>
      </c>
      <c r="J21" s="207"/>
      <c r="K21" s="416">
        <f t="shared" si="0"/>
        <v>100</v>
      </c>
    </row>
    <row r="22" spans="1:13" ht="26.25" customHeight="1">
      <c r="A22" s="296">
        <f t="shared" si="3"/>
        <v>14</v>
      </c>
      <c r="B22" s="297" t="s">
        <v>100</v>
      </c>
      <c r="C22" s="297" t="s">
        <v>353</v>
      </c>
      <c r="D22" s="207">
        <v>8</v>
      </c>
      <c r="E22" s="207"/>
      <c r="F22" s="357"/>
      <c r="G22" s="298">
        <f t="shared" si="1"/>
        <v>8</v>
      </c>
      <c r="H22" s="298">
        <f t="shared" si="2"/>
        <v>0</v>
      </c>
      <c r="I22" s="357">
        <v>8</v>
      </c>
      <c r="J22" s="207"/>
      <c r="K22" s="416">
        <f t="shared" si="0"/>
        <v>8</v>
      </c>
    </row>
    <row r="23" spans="1:13" ht="26.25" customHeight="1">
      <c r="A23" s="296">
        <f t="shared" si="3"/>
        <v>15</v>
      </c>
      <c r="B23" s="297" t="s">
        <v>101</v>
      </c>
      <c r="C23" s="297" t="s">
        <v>354</v>
      </c>
      <c r="D23" s="207">
        <v>54</v>
      </c>
      <c r="E23" s="358"/>
      <c r="F23" s="357"/>
      <c r="G23" s="298">
        <f t="shared" si="1"/>
        <v>54</v>
      </c>
      <c r="H23" s="298">
        <f t="shared" si="2"/>
        <v>0</v>
      </c>
      <c r="I23" s="357">
        <v>54</v>
      </c>
      <c r="J23" s="358"/>
      <c r="K23" s="416">
        <f t="shared" si="0"/>
        <v>54</v>
      </c>
    </row>
    <row r="24" spans="1:13" ht="26.25" customHeight="1">
      <c r="A24" s="296">
        <f t="shared" si="3"/>
        <v>16</v>
      </c>
      <c r="B24" s="297" t="s">
        <v>102</v>
      </c>
      <c r="C24" s="297" t="s">
        <v>355</v>
      </c>
      <c r="D24" s="207">
        <v>25</v>
      </c>
      <c r="E24" s="207"/>
      <c r="F24" s="357"/>
      <c r="G24" s="298">
        <f t="shared" si="1"/>
        <v>25</v>
      </c>
      <c r="H24" s="298">
        <f t="shared" si="2"/>
        <v>0</v>
      </c>
      <c r="I24" s="357">
        <v>25</v>
      </c>
      <c r="J24" s="207"/>
      <c r="K24" s="416">
        <f t="shared" si="0"/>
        <v>25</v>
      </c>
    </row>
    <row r="25" spans="1:13" ht="26.25" customHeight="1">
      <c r="A25" s="296">
        <f t="shared" si="3"/>
        <v>17</v>
      </c>
      <c r="B25" s="297" t="s">
        <v>103</v>
      </c>
      <c r="C25" s="297" t="s">
        <v>356</v>
      </c>
      <c r="D25" s="207">
        <v>40</v>
      </c>
      <c r="E25" s="207"/>
      <c r="F25" s="357"/>
      <c r="G25" s="298">
        <f t="shared" si="1"/>
        <v>40</v>
      </c>
      <c r="H25" s="298">
        <f t="shared" si="2"/>
        <v>0</v>
      </c>
      <c r="I25" s="357">
        <v>40</v>
      </c>
      <c r="J25" s="207"/>
      <c r="K25" s="416">
        <f t="shared" si="0"/>
        <v>40</v>
      </c>
    </row>
    <row r="26" spans="1:13" ht="26.25" customHeight="1">
      <c r="A26" s="296">
        <f t="shared" si="3"/>
        <v>18</v>
      </c>
      <c r="B26" s="297" t="s">
        <v>104</v>
      </c>
      <c r="C26" s="297" t="s">
        <v>357</v>
      </c>
      <c r="D26" s="207">
        <v>10</v>
      </c>
      <c r="E26" s="207"/>
      <c r="F26" s="357"/>
      <c r="G26" s="298">
        <f t="shared" si="1"/>
        <v>10</v>
      </c>
      <c r="H26" s="298">
        <f t="shared" si="2"/>
        <v>0</v>
      </c>
      <c r="I26" s="357">
        <v>10</v>
      </c>
      <c r="J26" s="207"/>
      <c r="K26" s="416">
        <f t="shared" si="0"/>
        <v>10</v>
      </c>
    </row>
    <row r="27" spans="1:13" ht="26.25" customHeight="1">
      <c r="A27" s="296">
        <f t="shared" si="3"/>
        <v>19</v>
      </c>
      <c r="B27" s="297" t="s">
        <v>105</v>
      </c>
      <c r="C27" s="297"/>
      <c r="D27" s="207"/>
      <c r="E27" s="358"/>
      <c r="F27" s="207"/>
      <c r="G27" s="298">
        <f t="shared" si="1"/>
        <v>0</v>
      </c>
      <c r="H27" s="298">
        <f t="shared" si="2"/>
        <v>0</v>
      </c>
      <c r="I27" s="207"/>
      <c r="J27" s="358"/>
      <c r="K27" s="416">
        <f t="shared" si="0"/>
        <v>0</v>
      </c>
    </row>
    <row r="28" spans="1:13" ht="26.25" customHeight="1">
      <c r="A28" s="296">
        <f t="shared" si="3"/>
        <v>20</v>
      </c>
      <c r="B28" s="297" t="s">
        <v>106</v>
      </c>
      <c r="C28" s="297" t="s">
        <v>106</v>
      </c>
      <c r="D28" s="207">
        <v>40</v>
      </c>
      <c r="E28" s="207"/>
      <c r="F28" s="357"/>
      <c r="G28" s="298">
        <f t="shared" si="1"/>
        <v>40</v>
      </c>
      <c r="H28" s="298">
        <f t="shared" si="2"/>
        <v>0</v>
      </c>
      <c r="I28" s="357">
        <v>40</v>
      </c>
      <c r="J28" s="207"/>
      <c r="K28" s="416">
        <f t="shared" si="0"/>
        <v>40</v>
      </c>
    </row>
    <row r="29" spans="1:13" ht="26.25" customHeight="1">
      <c r="A29" s="296">
        <f t="shared" si="3"/>
        <v>21</v>
      </c>
      <c r="B29" s="297" t="s">
        <v>107</v>
      </c>
      <c r="C29" s="297" t="s">
        <v>358</v>
      </c>
      <c r="D29" s="207">
        <v>18</v>
      </c>
      <c r="E29" s="207"/>
      <c r="F29" s="357"/>
      <c r="G29" s="298">
        <f t="shared" si="1"/>
        <v>18</v>
      </c>
      <c r="H29" s="298">
        <f t="shared" si="2"/>
        <v>0</v>
      </c>
      <c r="I29" s="357">
        <v>18</v>
      </c>
      <c r="J29" s="207"/>
      <c r="K29" s="416">
        <f t="shared" si="0"/>
        <v>18</v>
      </c>
    </row>
    <row r="30" spans="1:13" ht="26.25" customHeight="1">
      <c r="A30" s="296">
        <f t="shared" si="3"/>
        <v>22</v>
      </c>
      <c r="B30" s="297" t="s">
        <v>319</v>
      </c>
      <c r="C30" s="297"/>
      <c r="D30" s="207">
        <v>18</v>
      </c>
      <c r="E30" s="207"/>
      <c r="F30" s="357"/>
      <c r="G30" s="298">
        <f t="shared" si="1"/>
        <v>18</v>
      </c>
      <c r="H30" s="298">
        <f t="shared" si="2"/>
        <v>0</v>
      </c>
      <c r="I30" s="357">
        <v>18</v>
      </c>
      <c r="J30" s="207"/>
      <c r="K30" s="416">
        <f t="shared" si="0"/>
        <v>18</v>
      </c>
    </row>
    <row r="31" spans="1:13" ht="26.25" customHeight="1">
      <c r="A31" s="296">
        <f t="shared" si="3"/>
        <v>23</v>
      </c>
      <c r="B31" s="297" t="s">
        <v>108</v>
      </c>
      <c r="C31" s="297" t="s">
        <v>359</v>
      </c>
      <c r="D31" s="207">
        <v>23</v>
      </c>
      <c r="E31" s="207"/>
      <c r="F31" s="357"/>
      <c r="G31" s="298">
        <f t="shared" si="1"/>
        <v>23</v>
      </c>
      <c r="H31" s="298">
        <f t="shared" si="2"/>
        <v>0</v>
      </c>
      <c r="I31" s="357">
        <v>23</v>
      </c>
      <c r="J31" s="207"/>
      <c r="K31" s="416">
        <f t="shared" si="0"/>
        <v>23</v>
      </c>
    </row>
    <row r="32" spans="1:13" ht="26.25" customHeight="1">
      <c r="A32" s="296">
        <f t="shared" si="3"/>
        <v>24</v>
      </c>
      <c r="B32" s="360" t="s">
        <v>109</v>
      </c>
      <c r="C32" s="297" t="s">
        <v>360</v>
      </c>
      <c r="D32" s="207">
        <v>400</v>
      </c>
      <c r="E32" s="358">
        <v>59</v>
      </c>
      <c r="F32" s="357"/>
      <c r="G32" s="298">
        <f t="shared" si="1"/>
        <v>459</v>
      </c>
      <c r="H32" s="410">
        <f t="shared" si="2"/>
        <v>359</v>
      </c>
      <c r="I32" s="357">
        <v>0</v>
      </c>
      <c r="J32" s="358">
        <v>100</v>
      </c>
      <c r="K32" s="416">
        <f t="shared" si="0"/>
        <v>100</v>
      </c>
    </row>
    <row r="33" spans="1:11" ht="26.25" customHeight="1">
      <c r="A33" s="296">
        <f t="shared" si="3"/>
        <v>25</v>
      </c>
      <c r="B33" s="297" t="s">
        <v>110</v>
      </c>
      <c r="C33" s="297" t="s">
        <v>110</v>
      </c>
      <c r="D33" s="207">
        <v>415.5</v>
      </c>
      <c r="E33" s="207"/>
      <c r="F33" s="357"/>
      <c r="G33" s="298">
        <f t="shared" si="1"/>
        <v>415.5</v>
      </c>
      <c r="H33" s="298">
        <f t="shared" si="2"/>
        <v>0</v>
      </c>
      <c r="I33" s="357">
        <v>415.5</v>
      </c>
      <c r="J33" s="207"/>
      <c r="K33" s="416">
        <f t="shared" si="0"/>
        <v>415.5</v>
      </c>
    </row>
    <row r="34" spans="1:11" ht="26.25" customHeight="1">
      <c r="A34" s="296">
        <f t="shared" si="3"/>
        <v>26</v>
      </c>
      <c r="B34" s="360" t="s">
        <v>793</v>
      </c>
      <c r="C34" s="297"/>
      <c r="D34" s="207"/>
      <c r="E34" s="358"/>
      <c r="F34" s="417">
        <v>125</v>
      </c>
      <c r="G34" s="298">
        <f t="shared" si="1"/>
        <v>125</v>
      </c>
      <c r="H34" s="410">
        <f t="shared" si="2"/>
        <v>25</v>
      </c>
      <c r="I34" s="357">
        <v>100</v>
      </c>
      <c r="J34" s="358"/>
      <c r="K34" s="416">
        <f t="shared" si="0"/>
        <v>100</v>
      </c>
    </row>
    <row r="35" spans="1:11" ht="26.25" customHeight="1">
      <c r="A35" s="296">
        <f t="shared" si="3"/>
        <v>27</v>
      </c>
      <c r="B35" s="297" t="s">
        <v>807</v>
      </c>
      <c r="C35" s="297"/>
      <c r="D35" s="207"/>
      <c r="E35" s="207"/>
      <c r="F35" s="417">
        <v>1</v>
      </c>
      <c r="G35" s="298">
        <f t="shared" si="1"/>
        <v>1</v>
      </c>
      <c r="H35" s="410">
        <f t="shared" si="2"/>
        <v>1</v>
      </c>
      <c r="I35" s="357">
        <v>0</v>
      </c>
      <c r="J35" s="207"/>
      <c r="K35" s="416">
        <f t="shared" si="0"/>
        <v>0</v>
      </c>
    </row>
    <row r="36" spans="1:11" ht="26.25" customHeight="1">
      <c r="A36" s="296">
        <f t="shared" si="3"/>
        <v>28</v>
      </c>
      <c r="B36" s="297" t="s">
        <v>111</v>
      </c>
      <c r="C36" s="297" t="s">
        <v>361</v>
      </c>
      <c r="D36" s="207">
        <v>23</v>
      </c>
      <c r="E36" s="207"/>
      <c r="F36" s="357"/>
      <c r="G36" s="298">
        <f t="shared" si="1"/>
        <v>23</v>
      </c>
      <c r="H36" s="298">
        <f t="shared" si="2"/>
        <v>0</v>
      </c>
      <c r="I36" s="357">
        <v>23</v>
      </c>
      <c r="J36" s="207"/>
      <c r="K36" s="416">
        <f t="shared" si="0"/>
        <v>23</v>
      </c>
    </row>
    <row r="37" spans="1:11" ht="26.25" customHeight="1">
      <c r="A37" s="296">
        <f t="shared" si="3"/>
        <v>29</v>
      </c>
      <c r="B37" s="297" t="s">
        <v>112</v>
      </c>
      <c r="C37" s="297"/>
      <c r="D37" s="207">
        <v>23</v>
      </c>
      <c r="E37" s="207"/>
      <c r="F37" s="417"/>
      <c r="G37" s="298">
        <f t="shared" si="1"/>
        <v>23</v>
      </c>
      <c r="H37" s="298">
        <f t="shared" si="2"/>
        <v>0</v>
      </c>
      <c r="I37" s="357">
        <v>23</v>
      </c>
      <c r="J37" s="207"/>
      <c r="K37" s="416">
        <f t="shared" si="0"/>
        <v>23</v>
      </c>
    </row>
    <row r="38" spans="1:11" ht="26.25" customHeight="1">
      <c r="A38" s="296">
        <f t="shared" si="3"/>
        <v>30</v>
      </c>
      <c r="B38" s="297" t="s">
        <v>113</v>
      </c>
      <c r="C38" s="297" t="s">
        <v>362</v>
      </c>
      <c r="D38" s="207">
        <v>25</v>
      </c>
      <c r="E38" s="207"/>
      <c r="F38" s="357"/>
      <c r="G38" s="298">
        <f t="shared" si="1"/>
        <v>25</v>
      </c>
      <c r="H38" s="298">
        <f t="shared" si="2"/>
        <v>0</v>
      </c>
      <c r="I38" s="357">
        <v>25</v>
      </c>
      <c r="J38" s="207"/>
      <c r="K38" s="416">
        <f t="shared" si="0"/>
        <v>25</v>
      </c>
    </row>
    <row r="39" spans="1:11" ht="26.25" customHeight="1">
      <c r="A39" s="296">
        <f t="shared" si="3"/>
        <v>31</v>
      </c>
      <c r="B39" s="297" t="s">
        <v>114</v>
      </c>
      <c r="C39" s="297"/>
      <c r="D39" s="207">
        <v>25</v>
      </c>
      <c r="E39" s="207"/>
      <c r="F39" s="417"/>
      <c r="G39" s="298">
        <f t="shared" si="1"/>
        <v>25</v>
      </c>
      <c r="H39" s="298">
        <f t="shared" si="2"/>
        <v>0</v>
      </c>
      <c r="I39" s="357">
        <v>25</v>
      </c>
      <c r="J39" s="207"/>
      <c r="K39" s="416">
        <f t="shared" si="0"/>
        <v>25</v>
      </c>
    </row>
    <row r="40" spans="1:11" ht="26.25" customHeight="1">
      <c r="A40" s="296">
        <f t="shared" si="3"/>
        <v>32</v>
      </c>
      <c r="B40" s="297" t="s">
        <v>115</v>
      </c>
      <c r="C40" s="297" t="s">
        <v>363</v>
      </c>
      <c r="D40" s="207">
        <v>25</v>
      </c>
      <c r="E40" s="207"/>
      <c r="F40" s="357"/>
      <c r="G40" s="298">
        <f t="shared" si="1"/>
        <v>25</v>
      </c>
      <c r="H40" s="298">
        <f t="shared" si="2"/>
        <v>0</v>
      </c>
      <c r="I40" s="357">
        <v>25</v>
      </c>
      <c r="J40" s="207"/>
      <c r="K40" s="416">
        <f t="shared" si="0"/>
        <v>25</v>
      </c>
    </row>
    <row r="41" spans="1:11" ht="26.25" customHeight="1">
      <c r="A41" s="296">
        <f t="shared" si="3"/>
        <v>33</v>
      </c>
      <c r="B41" s="321" t="s">
        <v>141</v>
      </c>
      <c r="C41" s="297" t="s">
        <v>141</v>
      </c>
      <c r="D41" s="207">
        <v>18</v>
      </c>
      <c r="E41" s="207"/>
      <c r="F41" s="357"/>
      <c r="G41" s="298">
        <f t="shared" si="1"/>
        <v>18</v>
      </c>
      <c r="H41" s="298">
        <f t="shared" si="2"/>
        <v>0</v>
      </c>
      <c r="I41" s="357">
        <v>18</v>
      </c>
      <c r="J41" s="207"/>
      <c r="K41" s="416">
        <f t="shared" si="0"/>
        <v>18</v>
      </c>
    </row>
    <row r="42" spans="1:11" ht="26.25" customHeight="1">
      <c r="A42" s="296">
        <f t="shared" si="3"/>
        <v>34</v>
      </c>
      <c r="B42" s="321" t="s">
        <v>142</v>
      </c>
      <c r="C42" s="297" t="s">
        <v>364</v>
      </c>
      <c r="D42" s="207">
        <v>18</v>
      </c>
      <c r="E42" s="207"/>
      <c r="F42" s="357"/>
      <c r="G42" s="298">
        <f t="shared" si="1"/>
        <v>18</v>
      </c>
      <c r="H42" s="298">
        <f t="shared" si="2"/>
        <v>0</v>
      </c>
      <c r="I42" s="357">
        <v>18</v>
      </c>
      <c r="J42" s="207"/>
      <c r="K42" s="416">
        <f t="shared" si="0"/>
        <v>18</v>
      </c>
    </row>
    <row r="43" spans="1:11" ht="26.25" customHeight="1">
      <c r="A43" s="296">
        <f t="shared" si="3"/>
        <v>35</v>
      </c>
      <c r="B43" s="321" t="s">
        <v>247</v>
      </c>
      <c r="C43" s="297" t="s">
        <v>365</v>
      </c>
      <c r="D43" s="207">
        <v>29</v>
      </c>
      <c r="E43" s="208">
        <v>42.5</v>
      </c>
      <c r="F43" s="357"/>
      <c r="G43" s="298">
        <f t="shared" si="1"/>
        <v>71.5</v>
      </c>
      <c r="H43" s="298">
        <f t="shared" si="2"/>
        <v>0</v>
      </c>
      <c r="I43" s="357">
        <v>29</v>
      </c>
      <c r="J43" s="208">
        <v>42.5</v>
      </c>
      <c r="K43" s="416">
        <f t="shared" si="0"/>
        <v>71.5</v>
      </c>
    </row>
    <row r="44" spans="1:11" ht="26.25" customHeight="1">
      <c r="A44" s="296">
        <f t="shared" si="3"/>
        <v>36</v>
      </c>
      <c r="B44" s="321" t="s">
        <v>305</v>
      </c>
      <c r="C44" s="297" t="s">
        <v>366</v>
      </c>
      <c r="D44" s="424"/>
      <c r="E44" s="207">
        <v>61</v>
      </c>
      <c r="F44" s="462"/>
      <c r="G44" s="298">
        <f t="shared" si="1"/>
        <v>61</v>
      </c>
      <c r="H44" s="298">
        <f t="shared" si="2"/>
        <v>0</v>
      </c>
      <c r="I44" s="477"/>
      <c r="J44" s="207">
        <v>61</v>
      </c>
      <c r="K44" s="425">
        <f t="shared" si="0"/>
        <v>61</v>
      </c>
    </row>
    <row r="45" spans="1:11" ht="26.25" customHeight="1">
      <c r="A45" s="296">
        <f t="shared" si="3"/>
        <v>37</v>
      </c>
      <c r="B45" s="321" t="s">
        <v>282</v>
      </c>
      <c r="C45" s="297" t="s">
        <v>367</v>
      </c>
      <c r="D45" s="207">
        <v>25</v>
      </c>
      <c r="E45" s="426"/>
      <c r="F45" s="357"/>
      <c r="G45" s="298">
        <f t="shared" si="1"/>
        <v>25</v>
      </c>
      <c r="H45" s="298">
        <f t="shared" si="2"/>
        <v>0</v>
      </c>
      <c r="I45" s="357">
        <v>25</v>
      </c>
      <c r="J45" s="426"/>
      <c r="K45" s="416">
        <f t="shared" si="0"/>
        <v>25</v>
      </c>
    </row>
    <row r="46" spans="1:11" ht="26.25" customHeight="1">
      <c r="A46" s="296">
        <f t="shared" si="3"/>
        <v>38</v>
      </c>
      <c r="B46" s="321" t="s">
        <v>283</v>
      </c>
      <c r="C46" s="297" t="s">
        <v>368</v>
      </c>
      <c r="D46" s="207">
        <v>25</v>
      </c>
      <c r="E46" s="207"/>
      <c r="F46" s="357"/>
      <c r="G46" s="298">
        <f t="shared" si="1"/>
        <v>25</v>
      </c>
      <c r="H46" s="298">
        <f t="shared" si="2"/>
        <v>0</v>
      </c>
      <c r="I46" s="357">
        <v>25</v>
      </c>
      <c r="J46" s="207"/>
      <c r="K46" s="416">
        <f t="shared" si="0"/>
        <v>25</v>
      </c>
    </row>
    <row r="47" spans="1:11" ht="26.25" customHeight="1">
      <c r="A47" s="296">
        <f t="shared" si="3"/>
        <v>39</v>
      </c>
      <c r="B47" s="418" t="s">
        <v>307</v>
      </c>
      <c r="C47" s="297" t="s">
        <v>369</v>
      </c>
      <c r="D47" s="207">
        <v>176</v>
      </c>
      <c r="E47" s="207"/>
      <c r="F47" s="357"/>
      <c r="G47" s="298">
        <f t="shared" si="1"/>
        <v>176</v>
      </c>
      <c r="H47" s="298">
        <f t="shared" si="2"/>
        <v>0</v>
      </c>
      <c r="I47" s="357">
        <v>176</v>
      </c>
      <c r="J47" s="207"/>
      <c r="K47" s="416">
        <f t="shared" si="0"/>
        <v>176</v>
      </c>
    </row>
    <row r="48" spans="1:11" ht="26.25" customHeight="1">
      <c r="A48" s="296">
        <f t="shared" si="3"/>
        <v>40</v>
      </c>
      <c r="B48" s="418" t="s">
        <v>294</v>
      </c>
      <c r="C48" s="297" t="s">
        <v>370</v>
      </c>
      <c r="D48" s="207">
        <v>69</v>
      </c>
      <c r="E48" s="207"/>
      <c r="F48" s="357"/>
      <c r="G48" s="298">
        <f t="shared" si="1"/>
        <v>69</v>
      </c>
      <c r="H48" s="298">
        <f t="shared" si="2"/>
        <v>0</v>
      </c>
      <c r="I48" s="357">
        <v>69</v>
      </c>
      <c r="J48" s="207"/>
      <c r="K48" s="416">
        <f t="shared" si="0"/>
        <v>69</v>
      </c>
    </row>
    <row r="49" spans="1:11" ht="26.25" customHeight="1">
      <c r="A49" s="296">
        <f t="shared" si="3"/>
        <v>41</v>
      </c>
      <c r="B49" s="418" t="s">
        <v>323</v>
      </c>
      <c r="C49" s="297" t="s">
        <v>371</v>
      </c>
      <c r="D49" s="207">
        <v>25</v>
      </c>
      <c r="E49" s="207"/>
      <c r="F49" s="357"/>
      <c r="G49" s="298">
        <f t="shared" si="1"/>
        <v>25</v>
      </c>
      <c r="H49" s="298">
        <f t="shared" si="2"/>
        <v>0</v>
      </c>
      <c r="I49" s="357">
        <v>25</v>
      </c>
      <c r="J49" s="207"/>
      <c r="K49" s="416">
        <f t="shared" si="0"/>
        <v>25</v>
      </c>
    </row>
    <row r="50" spans="1:11" ht="26.25" customHeight="1">
      <c r="A50" s="296">
        <f t="shared" si="3"/>
        <v>42</v>
      </c>
      <c r="B50" s="418" t="s">
        <v>324</v>
      </c>
      <c r="C50" s="297" t="s">
        <v>372</v>
      </c>
      <c r="D50" s="207">
        <v>20</v>
      </c>
      <c r="E50" s="207"/>
      <c r="F50" s="357"/>
      <c r="G50" s="298">
        <f t="shared" si="1"/>
        <v>20</v>
      </c>
      <c r="H50" s="298">
        <f t="shared" si="2"/>
        <v>0</v>
      </c>
      <c r="I50" s="357">
        <v>20</v>
      </c>
      <c r="J50" s="207"/>
      <c r="K50" s="416">
        <f t="shared" si="0"/>
        <v>20</v>
      </c>
    </row>
    <row r="51" spans="1:11" ht="26.25" customHeight="1">
      <c r="A51" s="296">
        <f t="shared" si="3"/>
        <v>43</v>
      </c>
      <c r="B51" s="418" t="s">
        <v>325</v>
      </c>
      <c r="C51" s="297" t="s">
        <v>373</v>
      </c>
      <c r="D51" s="207">
        <v>20</v>
      </c>
      <c r="E51" s="207"/>
      <c r="F51" s="357"/>
      <c r="G51" s="298">
        <f t="shared" si="1"/>
        <v>20</v>
      </c>
      <c r="H51" s="298">
        <f t="shared" si="2"/>
        <v>0</v>
      </c>
      <c r="I51" s="357">
        <v>20</v>
      </c>
      <c r="J51" s="207"/>
      <c r="K51" s="416">
        <f t="shared" si="0"/>
        <v>20</v>
      </c>
    </row>
    <row r="52" spans="1:11" ht="26.25" customHeight="1">
      <c r="A52" s="296">
        <f t="shared" si="3"/>
        <v>44</v>
      </c>
      <c r="B52" s="468" t="s">
        <v>757</v>
      </c>
      <c r="C52" s="297"/>
      <c r="D52" s="208"/>
      <c r="E52" s="208">
        <v>54</v>
      </c>
      <c r="F52" s="363"/>
      <c r="G52" s="301">
        <f t="shared" si="1"/>
        <v>54</v>
      </c>
      <c r="H52" s="301">
        <f t="shared" si="2"/>
        <v>0</v>
      </c>
      <c r="I52" s="363"/>
      <c r="J52" s="208">
        <v>54</v>
      </c>
      <c r="K52" s="423">
        <f t="shared" si="0"/>
        <v>54</v>
      </c>
    </row>
    <row r="53" spans="1:11" ht="26.25" customHeight="1" thickBot="1">
      <c r="A53" s="296">
        <f t="shared" si="3"/>
        <v>45</v>
      </c>
      <c r="B53" s="419" t="s">
        <v>377</v>
      </c>
      <c r="C53" s="297"/>
      <c r="D53" s="208"/>
      <c r="E53" s="208">
        <v>20</v>
      </c>
      <c r="F53" s="363"/>
      <c r="G53" s="301">
        <f t="shared" ref="G53" si="7">+D53+E53+F53</f>
        <v>20</v>
      </c>
      <c r="H53" s="301">
        <f t="shared" ref="H53" si="8">+G53-K53</f>
        <v>0</v>
      </c>
      <c r="I53" s="363"/>
      <c r="J53" s="208">
        <v>20</v>
      </c>
      <c r="K53" s="423">
        <f t="shared" ref="K53" si="9">SUM(I53:J53)</f>
        <v>20</v>
      </c>
    </row>
    <row r="54" spans="1:11" ht="26.25" customHeight="1" thickBot="1">
      <c r="A54" s="296">
        <f t="shared" si="3"/>
        <v>46</v>
      </c>
      <c r="B54" s="419" t="s">
        <v>764</v>
      </c>
      <c r="C54" s="297"/>
      <c r="D54" s="208">
        <v>24</v>
      </c>
      <c r="E54" s="208"/>
      <c r="F54" s="363"/>
      <c r="G54" s="301">
        <f t="shared" si="1"/>
        <v>24</v>
      </c>
      <c r="H54" s="301">
        <f t="shared" si="2"/>
        <v>0</v>
      </c>
      <c r="I54" s="363">
        <v>24</v>
      </c>
      <c r="J54" s="208">
        <v>0</v>
      </c>
      <c r="K54" s="423">
        <f t="shared" si="0"/>
        <v>24</v>
      </c>
    </row>
    <row r="55" spans="1:11" ht="26.25" customHeight="1" thickBot="1">
      <c r="A55" s="420"/>
      <c r="B55" s="421" t="s">
        <v>116</v>
      </c>
      <c r="C55" s="422"/>
      <c r="D55" s="406">
        <f t="shared" ref="D55:K55" si="10">SUM(D9:D54)</f>
        <v>23865.5</v>
      </c>
      <c r="E55" s="407">
        <f t="shared" si="10"/>
        <v>1285</v>
      </c>
      <c r="F55" s="406">
        <f t="shared" si="10"/>
        <v>10546</v>
      </c>
      <c r="G55" s="407">
        <f t="shared" si="10"/>
        <v>35696.5</v>
      </c>
      <c r="H55" s="405">
        <f t="shared" si="10"/>
        <v>3090</v>
      </c>
      <c r="I55" s="405">
        <f t="shared" si="10"/>
        <v>31765.5</v>
      </c>
      <c r="J55" s="405">
        <f t="shared" si="10"/>
        <v>841</v>
      </c>
      <c r="K55" s="406">
        <f t="shared" si="10"/>
        <v>32606.5</v>
      </c>
    </row>
    <row r="56" spans="1:11" ht="16.5" thickBot="1">
      <c r="A56" s="820" t="s">
        <v>243</v>
      </c>
      <c r="B56" s="821"/>
      <c r="C56" s="821"/>
      <c r="D56" s="821"/>
      <c r="E56" s="821"/>
      <c r="F56" s="821"/>
      <c r="G56" s="821"/>
      <c r="H56" s="821"/>
      <c r="I56" s="821"/>
      <c r="J56" s="821"/>
      <c r="K56" s="822"/>
    </row>
    <row r="58" spans="1:11">
      <c r="D58" s="203"/>
    </row>
    <row r="62" spans="1:11" ht="35.25" customHeight="1">
      <c r="H62" s="2">
        <f>+H55+'VAR &amp; SIL'!H30+'VAR &amp; SIL'!H42+INKS!G322</f>
        <v>6231.8</v>
      </c>
    </row>
    <row r="64" spans="1:11">
      <c r="G64" s="94"/>
    </row>
    <row r="71" spans="7:9">
      <c r="I71" s="94"/>
    </row>
    <row r="78" spans="7:9">
      <c r="G78" s="1"/>
    </row>
  </sheetData>
  <mergeCells count="4">
    <mergeCell ref="A56:K56"/>
    <mergeCell ref="A2:K2"/>
    <mergeCell ref="A3:K3"/>
    <mergeCell ref="D4:E4"/>
  </mergeCells>
  <phoneticPr fontId="7" type="noConversion"/>
  <printOptions gridLines="1"/>
  <pageMargins left="0.17" right="0.17" top="0.18" bottom="0.18" header="0.17" footer="0.17"/>
  <pageSetup paperSize="9" scale="50" orientation="portrait" r:id="rId1"/>
  <headerFooter alignWithMargins="0">
    <oddFooter>&amp;RPage No - 7 of 17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14"/>
    <pageSetUpPr fitToPage="1"/>
  </sheetPr>
  <dimension ref="A3:M52"/>
  <sheetViews>
    <sheetView view="pageBreakPreview" topLeftCell="A29" zoomScale="70" zoomScaleNormal="85" zoomScaleSheetLayoutView="70" workbookViewId="0">
      <selection activeCell="H24" sqref="H13:H24"/>
    </sheetView>
  </sheetViews>
  <sheetFormatPr defaultRowHeight="12.75"/>
  <cols>
    <col min="1" max="1" width="6.5703125" style="116" customWidth="1"/>
    <col min="2" max="2" width="50.7109375" style="116" customWidth="1"/>
    <col min="3" max="3" width="47.85546875" style="116" hidden="1" customWidth="1"/>
    <col min="4" max="4" width="16.42578125" style="116" customWidth="1"/>
    <col min="5" max="5" width="14.7109375" style="116" customWidth="1"/>
    <col min="6" max="6" width="20" style="116" bestFit="1" customWidth="1"/>
    <col min="7" max="7" width="15.7109375" style="116" bestFit="1" customWidth="1"/>
    <col min="8" max="8" width="14.7109375" style="116" customWidth="1"/>
    <col min="9" max="9" width="15.85546875" style="116" customWidth="1"/>
    <col min="10" max="10" width="14.7109375" style="116" bestFit="1" customWidth="1"/>
    <col min="11" max="11" width="20.85546875" style="116" customWidth="1"/>
    <col min="12" max="16384" width="9.140625" style="116"/>
  </cols>
  <sheetData>
    <row r="3" spans="1:13" ht="13.5" thickBot="1"/>
    <row r="4" spans="1:13" ht="30" customHeight="1" thickBot="1">
      <c r="A4" s="826" t="s">
        <v>31</v>
      </c>
      <c r="B4" s="826"/>
      <c r="C4" s="826"/>
      <c r="D4" s="826"/>
      <c r="E4" s="826"/>
      <c r="F4" s="826"/>
      <c r="G4" s="826"/>
      <c r="H4" s="826"/>
      <c r="I4" s="826"/>
      <c r="J4" s="826"/>
      <c r="K4" s="826"/>
    </row>
    <row r="5" spans="1:13" ht="30" customHeight="1" thickBot="1">
      <c r="A5" s="827" t="s">
        <v>779</v>
      </c>
      <c r="B5" s="827"/>
      <c r="C5" s="827"/>
      <c r="D5" s="827"/>
      <c r="E5" s="827"/>
      <c r="F5" s="827"/>
      <c r="G5" s="827"/>
      <c r="H5" s="827"/>
      <c r="I5" s="827"/>
      <c r="J5" s="827"/>
      <c r="K5" s="827"/>
    </row>
    <row r="6" spans="1:13" ht="30" customHeight="1" thickBot="1">
      <c r="A6" s="352" t="s">
        <v>32</v>
      </c>
      <c r="B6" s="352" t="s">
        <v>33</v>
      </c>
      <c r="C6" s="352" t="s">
        <v>374</v>
      </c>
      <c r="D6" s="827" t="s">
        <v>34</v>
      </c>
      <c r="E6" s="827"/>
      <c r="F6" s="353" t="s">
        <v>35</v>
      </c>
      <c r="G6" s="353" t="s">
        <v>36</v>
      </c>
      <c r="H6" s="353" t="s">
        <v>37</v>
      </c>
      <c r="I6" s="353" t="s">
        <v>39</v>
      </c>
      <c r="J6" s="353"/>
      <c r="K6" s="353" t="s">
        <v>36</v>
      </c>
    </row>
    <row r="7" spans="1:13" ht="30" customHeight="1" thickBot="1">
      <c r="A7" s="352"/>
      <c r="B7" s="352"/>
      <c r="C7" s="352"/>
      <c r="D7" s="353" t="s">
        <v>40</v>
      </c>
      <c r="E7" s="353" t="s">
        <v>41</v>
      </c>
      <c r="F7" s="353"/>
      <c r="G7" s="353"/>
      <c r="H7" s="353"/>
      <c r="I7" s="353" t="s">
        <v>40</v>
      </c>
      <c r="J7" s="353" t="s">
        <v>41</v>
      </c>
      <c r="K7" s="353"/>
    </row>
    <row r="8" spans="1:13" ht="30" customHeight="1" thickBot="1">
      <c r="A8" s="352"/>
      <c r="B8" s="352"/>
      <c r="C8" s="352"/>
      <c r="D8" s="353" t="s">
        <v>86</v>
      </c>
      <c r="E8" s="353" t="s">
        <v>86</v>
      </c>
      <c r="F8" s="353" t="s">
        <v>86</v>
      </c>
      <c r="G8" s="353" t="s">
        <v>86</v>
      </c>
      <c r="H8" s="353" t="s">
        <v>86</v>
      </c>
      <c r="I8" s="353" t="s">
        <v>86</v>
      </c>
      <c r="J8" s="353" t="s">
        <v>86</v>
      </c>
      <c r="K8" s="353" t="s">
        <v>86</v>
      </c>
    </row>
    <row r="9" spans="1:13" ht="30" customHeight="1">
      <c r="A9" s="354" t="s">
        <v>88</v>
      </c>
      <c r="B9" s="355" t="s">
        <v>118</v>
      </c>
      <c r="C9" s="428"/>
      <c r="D9" s="431"/>
      <c r="E9" s="427"/>
      <c r="F9" s="429"/>
      <c r="G9" s="427"/>
      <c r="H9" s="427"/>
      <c r="I9" s="431"/>
      <c r="J9" s="427"/>
      <c r="K9" s="430"/>
    </row>
    <row r="10" spans="1:13" ht="30" customHeight="1">
      <c r="A10" s="296">
        <v>1</v>
      </c>
      <c r="B10" s="297" t="s">
        <v>119</v>
      </c>
      <c r="C10" s="297" t="str">
        <f>VLOOKUP(B10,'[2]VAR &amp; SIL'!$B$10:$C$53,2,FALSE)</f>
        <v>RC ACRYLIC VARNISH BRD-8730</v>
      </c>
      <c r="D10" s="356">
        <v>200</v>
      </c>
      <c r="E10" s="298"/>
      <c r="F10" s="356"/>
      <c r="G10" s="298">
        <f t="shared" ref="G10:G27" si="0">SUM(D10:F10)</f>
        <v>200</v>
      </c>
      <c r="H10" s="298">
        <f>+G10-K10</f>
        <v>0</v>
      </c>
      <c r="I10" s="356">
        <v>200</v>
      </c>
      <c r="J10" s="298"/>
      <c r="K10" s="357">
        <f t="shared" ref="K10:K27" si="1">SUM(I10:J10)</f>
        <v>200</v>
      </c>
      <c r="M10" s="118"/>
    </row>
    <row r="11" spans="1:13" ht="30" customHeight="1">
      <c r="A11" s="296">
        <f>+A10+1</f>
        <v>2</v>
      </c>
      <c r="B11" s="297" t="s">
        <v>120</v>
      </c>
      <c r="C11" s="297" t="str">
        <f>VLOOKUP(B11,'[2]VAR &amp; SIL'!$B$10:$C$53,2,FALSE)</f>
        <v>VARNISH 40-713-B IMP.</v>
      </c>
      <c r="D11" s="298">
        <v>57</v>
      </c>
      <c r="E11" s="298"/>
      <c r="F11" s="356"/>
      <c r="G11" s="298">
        <f t="shared" si="0"/>
        <v>57</v>
      </c>
      <c r="H11" s="298">
        <f t="shared" ref="H11:H29" si="2">+G11-K11</f>
        <v>0</v>
      </c>
      <c r="I11" s="298">
        <v>57</v>
      </c>
      <c r="J11" s="298"/>
      <c r="K11" s="357">
        <f t="shared" si="1"/>
        <v>57</v>
      </c>
      <c r="M11" s="118"/>
    </row>
    <row r="12" spans="1:13" ht="30" customHeight="1">
      <c r="A12" s="296">
        <f t="shared" ref="A12:A28" si="3">+A11+1</f>
        <v>3</v>
      </c>
      <c r="B12" s="297" t="s">
        <v>121</v>
      </c>
      <c r="C12" s="297" t="str">
        <f>VLOOKUP(B12,'[2]VAR &amp; SIL'!$B$10:$C$53,2,FALSE)</f>
        <v>VARNISH GOLD - 1655</v>
      </c>
      <c r="D12" s="356">
        <v>71</v>
      </c>
      <c r="E12" s="298"/>
      <c r="F12" s="356"/>
      <c r="G12" s="298">
        <f t="shared" si="0"/>
        <v>71</v>
      </c>
      <c r="H12" s="298">
        <f t="shared" si="2"/>
        <v>0</v>
      </c>
      <c r="I12" s="356">
        <v>71</v>
      </c>
      <c r="J12" s="298"/>
      <c r="K12" s="357">
        <f t="shared" si="1"/>
        <v>71</v>
      </c>
      <c r="M12" s="118"/>
    </row>
    <row r="13" spans="1:13" ht="30" customHeight="1">
      <c r="A13" s="296">
        <f t="shared" si="3"/>
        <v>4</v>
      </c>
      <c r="B13" s="360" t="s">
        <v>122</v>
      </c>
      <c r="C13" s="297" t="str">
        <f>VLOOKUP(B13,'[2]VAR &amp; SIL'!$B$10:$C$53,2,FALSE)</f>
        <v>VARNISH OV 1655-02</v>
      </c>
      <c r="D13" s="358">
        <v>5600</v>
      </c>
      <c r="E13" s="298">
        <v>59</v>
      </c>
      <c r="F13" s="356"/>
      <c r="G13" s="298">
        <f t="shared" si="0"/>
        <v>5659</v>
      </c>
      <c r="H13" s="410">
        <f t="shared" si="2"/>
        <v>218.5</v>
      </c>
      <c r="I13" s="358">
        <v>5400</v>
      </c>
      <c r="J13" s="298">
        <v>40.5</v>
      </c>
      <c r="K13" s="357">
        <f t="shared" si="1"/>
        <v>5440.5</v>
      </c>
      <c r="M13" s="118"/>
    </row>
    <row r="14" spans="1:13" ht="30" customHeight="1">
      <c r="A14" s="296">
        <f t="shared" si="3"/>
        <v>5</v>
      </c>
      <c r="B14" s="360" t="s">
        <v>123</v>
      </c>
      <c r="C14" s="297" t="str">
        <f>VLOOKUP(B14,'[2]VAR &amp; SIL'!$B$10:$C$53,2,FALSE)</f>
        <v xml:space="preserve">VARNISH OV-1655-06 </v>
      </c>
      <c r="D14" s="356">
        <v>8000</v>
      </c>
      <c r="E14" s="298">
        <v>138</v>
      </c>
      <c r="F14" s="356"/>
      <c r="G14" s="298">
        <f t="shared" si="0"/>
        <v>8138</v>
      </c>
      <c r="H14" s="410">
        <f t="shared" si="2"/>
        <v>1630.5</v>
      </c>
      <c r="I14" s="356">
        <v>6400</v>
      </c>
      <c r="J14" s="298">
        <v>107.5</v>
      </c>
      <c r="K14" s="357">
        <f t="shared" si="1"/>
        <v>6507.5</v>
      </c>
      <c r="M14" s="118"/>
    </row>
    <row r="15" spans="1:13" ht="30" customHeight="1">
      <c r="A15" s="296">
        <f t="shared" si="3"/>
        <v>6</v>
      </c>
      <c r="B15" s="297" t="s">
        <v>124</v>
      </c>
      <c r="C15" s="297" t="str">
        <f>VLOOKUP(B15,'[2]VAR &amp; SIL'!$B$10:$C$53,2,FALSE)</f>
        <v>VARNISH OVERPRINT PPG2666-801</v>
      </c>
      <c r="D15" s="356">
        <v>18</v>
      </c>
      <c r="E15" s="298"/>
      <c r="F15" s="356"/>
      <c r="G15" s="298">
        <f t="shared" si="0"/>
        <v>18</v>
      </c>
      <c r="H15" s="298">
        <f t="shared" si="2"/>
        <v>0</v>
      </c>
      <c r="I15" s="356">
        <v>18</v>
      </c>
      <c r="J15" s="298"/>
      <c r="K15" s="357">
        <f t="shared" si="1"/>
        <v>18</v>
      </c>
      <c r="M15" s="118"/>
    </row>
    <row r="16" spans="1:13" ht="30" customHeight="1">
      <c r="A16" s="296">
        <f t="shared" si="3"/>
        <v>7</v>
      </c>
      <c r="B16" s="297" t="s">
        <v>125</v>
      </c>
      <c r="C16" s="297" t="str">
        <f>VLOOKUP(B16,'[2]VAR &amp; SIL'!$B$10:$C$53,2,FALSE)</f>
        <v>VARNISH POLYSTER GS-814</v>
      </c>
      <c r="D16" s="356">
        <v>18</v>
      </c>
      <c r="E16" s="298"/>
      <c r="F16" s="356"/>
      <c r="G16" s="298">
        <f t="shared" si="0"/>
        <v>18</v>
      </c>
      <c r="H16" s="298">
        <f t="shared" si="2"/>
        <v>0</v>
      </c>
      <c r="I16" s="356">
        <v>18</v>
      </c>
      <c r="J16" s="298"/>
      <c r="K16" s="357">
        <f t="shared" si="1"/>
        <v>18</v>
      </c>
      <c r="M16" s="118"/>
    </row>
    <row r="17" spans="1:13" ht="30" customHeight="1">
      <c r="A17" s="296">
        <f t="shared" si="3"/>
        <v>8</v>
      </c>
      <c r="B17" s="297" t="s">
        <v>126</v>
      </c>
      <c r="C17" s="297" t="str">
        <f>VLOOKUP(B17,'[2]VAR &amp; SIL'!$B$10:$C$53,2,FALSE)</f>
        <v>VARNISH RC POLY COATING BRD-8136</v>
      </c>
      <c r="D17" s="356">
        <v>25</v>
      </c>
      <c r="E17" s="298"/>
      <c r="F17" s="356"/>
      <c r="G17" s="298">
        <f t="shared" si="0"/>
        <v>25</v>
      </c>
      <c r="H17" s="298">
        <f t="shared" si="2"/>
        <v>0</v>
      </c>
      <c r="I17" s="356">
        <v>25</v>
      </c>
      <c r="J17" s="298"/>
      <c r="K17" s="357">
        <f t="shared" si="1"/>
        <v>25</v>
      </c>
      <c r="M17" s="118"/>
    </row>
    <row r="18" spans="1:13" ht="30" customHeight="1">
      <c r="A18" s="296">
        <f t="shared" si="3"/>
        <v>9</v>
      </c>
      <c r="B18" s="297" t="s">
        <v>127</v>
      </c>
      <c r="C18" s="297" t="str">
        <f>VLOOKUP(B18,'[2]VAR &amp; SIL'!$B$10:$C$53,2,FALSE)</f>
        <v>VARNISH POLYSTER GS-812</v>
      </c>
      <c r="D18" s="358">
        <v>18</v>
      </c>
      <c r="E18" s="298"/>
      <c r="F18" s="356"/>
      <c r="G18" s="358">
        <f t="shared" si="0"/>
        <v>18</v>
      </c>
      <c r="H18" s="298">
        <f t="shared" si="2"/>
        <v>0</v>
      </c>
      <c r="I18" s="358">
        <v>18</v>
      </c>
      <c r="J18" s="298"/>
      <c r="K18" s="357">
        <f t="shared" si="1"/>
        <v>18</v>
      </c>
      <c r="M18" s="118"/>
    </row>
    <row r="19" spans="1:13" ht="30" customHeight="1">
      <c r="A19" s="296">
        <f t="shared" si="3"/>
        <v>10</v>
      </c>
      <c r="B19" s="297" t="s">
        <v>128</v>
      </c>
      <c r="C19" s="297" t="str">
        <f>VLOOKUP(B19,'[2]VAR &amp; SIL'!$B$10:$C$53,2,FALSE)</f>
        <v>VARNISH POLY. ANC.-6001</v>
      </c>
      <c r="D19" s="358">
        <v>23</v>
      </c>
      <c r="E19" s="298"/>
      <c r="F19" s="356"/>
      <c r="G19" s="298">
        <f t="shared" si="0"/>
        <v>23</v>
      </c>
      <c r="H19" s="298">
        <f t="shared" si="2"/>
        <v>0</v>
      </c>
      <c r="I19" s="358">
        <v>23</v>
      </c>
      <c r="J19" s="298"/>
      <c r="K19" s="357">
        <f t="shared" si="1"/>
        <v>23</v>
      </c>
      <c r="M19" s="118"/>
    </row>
    <row r="20" spans="1:13" ht="30" customHeight="1">
      <c r="A20" s="296">
        <f t="shared" si="3"/>
        <v>11</v>
      </c>
      <c r="B20" s="297" t="s">
        <v>129</v>
      </c>
      <c r="C20" s="297" t="str">
        <f>VLOOKUP(B20,'[2]VAR &amp; SIL'!$B$10:$C$53,2,FALSE)</f>
        <v>VARNISH OVER CROWNS VE-2031</v>
      </c>
      <c r="D20" s="358">
        <v>23</v>
      </c>
      <c r="E20" s="298"/>
      <c r="F20" s="356"/>
      <c r="G20" s="298">
        <f t="shared" si="0"/>
        <v>23</v>
      </c>
      <c r="H20" s="298">
        <f t="shared" si="2"/>
        <v>0</v>
      </c>
      <c r="I20" s="358">
        <v>23</v>
      </c>
      <c r="J20" s="298"/>
      <c r="K20" s="357">
        <f t="shared" si="1"/>
        <v>23</v>
      </c>
      <c r="M20" s="118"/>
    </row>
    <row r="21" spans="1:13" ht="30" customHeight="1">
      <c r="A21" s="296">
        <f t="shared" si="3"/>
        <v>12</v>
      </c>
      <c r="B21" s="297" t="s">
        <v>130</v>
      </c>
      <c r="C21" s="297" t="str">
        <f>VLOOKUP(B21,'[2]VAR &amp; SIL'!$B$10:$C$53,2,FALSE)</f>
        <v>VARNISH PPG 3986-601</v>
      </c>
      <c r="D21" s="358">
        <v>36</v>
      </c>
      <c r="E21" s="298"/>
      <c r="F21" s="356"/>
      <c r="G21" s="298">
        <f t="shared" si="0"/>
        <v>36</v>
      </c>
      <c r="H21" s="298">
        <f t="shared" si="2"/>
        <v>0</v>
      </c>
      <c r="I21" s="358">
        <v>36</v>
      </c>
      <c r="J21" s="298"/>
      <c r="K21" s="357">
        <f t="shared" si="1"/>
        <v>36</v>
      </c>
      <c r="M21" s="118"/>
    </row>
    <row r="22" spans="1:13" ht="30" customHeight="1">
      <c r="A22" s="296">
        <f t="shared" si="3"/>
        <v>13</v>
      </c>
      <c r="B22" s="297" t="s">
        <v>131</v>
      </c>
      <c r="C22" s="297" t="str">
        <f>VLOOKUP(B22,'[2]VAR &amp; SIL'!$B$10:$C$53,2,FALSE)</f>
        <v>VARNISH PPG 3138-605</v>
      </c>
      <c r="D22" s="358">
        <v>36</v>
      </c>
      <c r="E22" s="298"/>
      <c r="F22" s="356"/>
      <c r="G22" s="298">
        <f t="shared" si="0"/>
        <v>36</v>
      </c>
      <c r="H22" s="298">
        <f t="shared" si="2"/>
        <v>0</v>
      </c>
      <c r="I22" s="358">
        <v>36</v>
      </c>
      <c r="J22" s="298"/>
      <c r="K22" s="357">
        <f t="shared" si="1"/>
        <v>36</v>
      </c>
      <c r="M22" s="118"/>
    </row>
    <row r="23" spans="1:13" ht="30" customHeight="1">
      <c r="A23" s="296">
        <f t="shared" si="3"/>
        <v>14</v>
      </c>
      <c r="B23" s="297" t="s">
        <v>284</v>
      </c>
      <c r="C23" s="297" t="str">
        <f>VLOOKUP(B23,'[2]VAR &amp; SIL'!$B$10:$C$53,2,FALSE)</f>
        <v>VARNISH OVER PRINT IN300958PA25</v>
      </c>
      <c r="D23" s="358">
        <v>25</v>
      </c>
      <c r="E23" s="298"/>
      <c r="F23" s="356"/>
      <c r="G23" s="298">
        <f t="shared" si="0"/>
        <v>25</v>
      </c>
      <c r="H23" s="298">
        <f t="shared" si="2"/>
        <v>0</v>
      </c>
      <c r="I23" s="358">
        <v>25</v>
      </c>
      <c r="J23" s="298"/>
      <c r="K23" s="357">
        <f t="shared" si="1"/>
        <v>25</v>
      </c>
      <c r="M23" s="118"/>
    </row>
    <row r="24" spans="1:13" ht="30" customHeight="1">
      <c r="A24" s="296">
        <f t="shared" si="3"/>
        <v>15</v>
      </c>
      <c r="B24" s="360" t="s">
        <v>286</v>
      </c>
      <c r="C24" s="297" t="str">
        <f>VLOOKUP(B24,'[2]VAR &amp; SIL'!$B$10:$C$53,2,FALSE)</f>
        <v>VINYL SIZE EM - 2517</v>
      </c>
      <c r="D24" s="207">
        <v>50</v>
      </c>
      <c r="E24" s="207">
        <v>39.5</v>
      </c>
      <c r="F24" s="478">
        <v>300</v>
      </c>
      <c r="G24" s="298">
        <f t="shared" si="0"/>
        <v>389.5</v>
      </c>
      <c r="H24" s="410">
        <f t="shared" si="2"/>
        <v>139.5</v>
      </c>
      <c r="I24" s="207">
        <v>200</v>
      </c>
      <c r="J24" s="207">
        <v>50</v>
      </c>
      <c r="K24" s="357">
        <f t="shared" si="1"/>
        <v>250</v>
      </c>
      <c r="M24" s="118"/>
    </row>
    <row r="25" spans="1:13" ht="30" customHeight="1">
      <c r="A25" s="296">
        <f t="shared" si="3"/>
        <v>16</v>
      </c>
      <c r="B25" s="297" t="s">
        <v>326</v>
      </c>
      <c r="C25" s="297"/>
      <c r="D25" s="358">
        <v>25</v>
      </c>
      <c r="E25" s="298"/>
      <c r="F25" s="356"/>
      <c r="G25" s="298">
        <f t="shared" si="0"/>
        <v>25</v>
      </c>
      <c r="H25" s="298">
        <f t="shared" si="2"/>
        <v>0</v>
      </c>
      <c r="I25" s="358">
        <v>25</v>
      </c>
      <c r="J25" s="298"/>
      <c r="K25" s="357">
        <f t="shared" si="1"/>
        <v>25</v>
      </c>
      <c r="M25" s="118"/>
    </row>
    <row r="26" spans="1:13" ht="30" customHeight="1">
      <c r="A26" s="296">
        <f t="shared" si="3"/>
        <v>17</v>
      </c>
      <c r="B26" s="297" t="s">
        <v>327</v>
      </c>
      <c r="C26" s="297" t="str">
        <f>VLOOKUP(B26,'[2]VAR &amp; SIL'!$B$10:$C$53,2,FALSE)</f>
        <v>OVER PRINT VARNISH NK-301203060</v>
      </c>
      <c r="D26" s="358">
        <v>25</v>
      </c>
      <c r="E26" s="298"/>
      <c r="F26" s="356"/>
      <c r="G26" s="298">
        <f t="shared" si="0"/>
        <v>25</v>
      </c>
      <c r="H26" s="298">
        <f t="shared" si="2"/>
        <v>0</v>
      </c>
      <c r="I26" s="358">
        <v>25</v>
      </c>
      <c r="J26" s="298"/>
      <c r="K26" s="357">
        <f t="shared" si="1"/>
        <v>25</v>
      </c>
      <c r="M26" s="118"/>
    </row>
    <row r="27" spans="1:13" ht="30" customHeight="1">
      <c r="A27" s="296">
        <f t="shared" si="3"/>
        <v>18</v>
      </c>
      <c r="B27" s="297" t="s">
        <v>376</v>
      </c>
      <c r="C27" s="297"/>
      <c r="D27" s="358">
        <v>20</v>
      </c>
      <c r="E27" s="298"/>
      <c r="F27" s="356"/>
      <c r="G27" s="298">
        <f t="shared" si="0"/>
        <v>20</v>
      </c>
      <c r="H27" s="298">
        <f t="shared" si="2"/>
        <v>0</v>
      </c>
      <c r="I27" s="358">
        <v>20</v>
      </c>
      <c r="J27" s="298"/>
      <c r="K27" s="357">
        <f t="shared" si="1"/>
        <v>20</v>
      </c>
      <c r="M27" s="118"/>
    </row>
    <row r="28" spans="1:13" ht="30" customHeight="1" thickBot="1">
      <c r="A28" s="296">
        <f t="shared" si="3"/>
        <v>19</v>
      </c>
      <c r="B28" s="419" t="s">
        <v>375</v>
      </c>
      <c r="C28" s="300"/>
      <c r="D28" s="302">
        <v>30</v>
      </c>
      <c r="E28" s="302"/>
      <c r="F28" s="433">
        <v>0</v>
      </c>
      <c r="G28" s="434">
        <f t="shared" ref="G28" si="4">+D28+E28+F28</f>
        <v>30</v>
      </c>
      <c r="H28" s="434">
        <f t="shared" ref="H28" si="5">+G28-K28</f>
        <v>0</v>
      </c>
      <c r="I28" s="302">
        <v>30</v>
      </c>
      <c r="J28" s="302"/>
      <c r="K28" s="435">
        <f t="shared" ref="K28" si="6">SUM(I28:J28)</f>
        <v>30</v>
      </c>
      <c r="M28" s="118"/>
    </row>
    <row r="29" spans="1:13" ht="30" customHeight="1" thickBot="1">
      <c r="A29" s="470">
        <v>20</v>
      </c>
      <c r="B29" s="419" t="s">
        <v>768</v>
      </c>
      <c r="C29" s="300"/>
      <c r="D29" s="302">
        <v>25</v>
      </c>
      <c r="E29" s="302"/>
      <c r="F29" s="433"/>
      <c r="G29" s="434">
        <f t="shared" ref="G29" si="7">+D29+E29+F29</f>
        <v>25</v>
      </c>
      <c r="H29" s="434">
        <f t="shared" si="2"/>
        <v>0</v>
      </c>
      <c r="I29" s="302">
        <v>25</v>
      </c>
      <c r="J29" s="302"/>
      <c r="K29" s="435">
        <f t="shared" ref="K29" si="8">SUM(I29:J29)</f>
        <v>25</v>
      </c>
      <c r="M29" s="118"/>
    </row>
    <row r="30" spans="1:13" ht="30" customHeight="1" thickBot="1">
      <c r="A30" s="442"/>
      <c r="B30" s="443" t="s">
        <v>116</v>
      </c>
      <c r="C30" s="441"/>
      <c r="D30" s="439">
        <f t="shared" ref="D30:K30" si="9">SUM(D10:D29)</f>
        <v>14325</v>
      </c>
      <c r="E30" s="440">
        <f t="shared" si="9"/>
        <v>236.5</v>
      </c>
      <c r="F30" s="439">
        <f t="shared" si="9"/>
        <v>300</v>
      </c>
      <c r="G30" s="439">
        <f t="shared" si="9"/>
        <v>14861.5</v>
      </c>
      <c r="H30" s="439">
        <f t="shared" si="9"/>
        <v>1988.5</v>
      </c>
      <c r="I30" s="440">
        <f t="shared" si="9"/>
        <v>12675</v>
      </c>
      <c r="J30" s="440">
        <f t="shared" si="9"/>
        <v>198</v>
      </c>
      <c r="K30" s="440">
        <f t="shared" si="9"/>
        <v>12873</v>
      </c>
      <c r="M30" s="118"/>
    </row>
    <row r="31" spans="1:13" ht="30" customHeight="1">
      <c r="A31" s="436" t="s">
        <v>117</v>
      </c>
      <c r="B31" s="361" t="s">
        <v>132</v>
      </c>
      <c r="C31" s="361"/>
      <c r="D31" s="432"/>
      <c r="E31" s="432"/>
      <c r="F31" s="437"/>
      <c r="G31" s="432"/>
      <c r="H31" s="438"/>
      <c r="I31" s="432"/>
      <c r="J31" s="432"/>
      <c r="K31" s="432"/>
      <c r="M31" s="118"/>
    </row>
    <row r="32" spans="1:13" ht="30" customHeight="1">
      <c r="A32" s="296">
        <v>1</v>
      </c>
      <c r="B32" s="297" t="s">
        <v>133</v>
      </c>
      <c r="C32" s="297" t="str">
        <f>VLOOKUP(B32,'[2]VAR &amp; SIL'!$B$10:$C$53,2,FALSE)</f>
        <v>CLEAR COATING PAINT 40-993</v>
      </c>
      <c r="D32" s="207">
        <v>40</v>
      </c>
      <c r="E32" s="207"/>
      <c r="F32" s="356"/>
      <c r="G32" s="298">
        <f t="shared" ref="G32:G41" si="10">SUM(D32:F32)</f>
        <v>40</v>
      </c>
      <c r="H32" s="298">
        <f t="shared" ref="H32:H41" si="11">+G32-K32</f>
        <v>0</v>
      </c>
      <c r="I32" s="357">
        <v>40</v>
      </c>
      <c r="J32" s="207"/>
      <c r="K32" s="357">
        <f t="shared" ref="K32:K40" si="12">SUM(I32:J32)</f>
        <v>40</v>
      </c>
      <c r="M32" s="118"/>
    </row>
    <row r="33" spans="1:13" ht="30" customHeight="1">
      <c r="A33" s="296">
        <v>2</v>
      </c>
      <c r="B33" s="297" t="s">
        <v>134</v>
      </c>
      <c r="C33" s="297" t="str">
        <f>VLOOKUP(B33,'[2]VAR &amp; SIL'!$B$10:$C$53,2,FALSE)</f>
        <v>CLEAR PVC FREE COATING 50-564</v>
      </c>
      <c r="D33" s="207">
        <v>40</v>
      </c>
      <c r="E33" s="207"/>
      <c r="F33" s="356"/>
      <c r="G33" s="298">
        <f t="shared" si="10"/>
        <v>40</v>
      </c>
      <c r="H33" s="298">
        <f t="shared" si="11"/>
        <v>0</v>
      </c>
      <c r="I33" s="357">
        <v>40</v>
      </c>
      <c r="J33" s="207"/>
      <c r="K33" s="357">
        <f t="shared" si="12"/>
        <v>40</v>
      </c>
      <c r="M33" s="118"/>
    </row>
    <row r="34" spans="1:13" ht="30" customHeight="1">
      <c r="A34" s="296">
        <v>3</v>
      </c>
      <c r="B34" s="360" t="s">
        <v>135</v>
      </c>
      <c r="C34" s="297" t="str">
        <f>VLOOKUP(B34,'[2]VAR &amp; SIL'!$B$10:$C$53,2,FALSE)</f>
        <v>SILVER PRIMER PRI-1254-18</v>
      </c>
      <c r="D34" s="207">
        <v>0</v>
      </c>
      <c r="E34" s="207">
        <v>52.5</v>
      </c>
      <c r="F34" s="356"/>
      <c r="G34" s="298">
        <f t="shared" si="10"/>
        <v>52.5</v>
      </c>
      <c r="H34" s="410">
        <f t="shared" si="11"/>
        <v>29.5</v>
      </c>
      <c r="I34" s="207">
        <v>0</v>
      </c>
      <c r="J34" s="207">
        <v>23</v>
      </c>
      <c r="K34" s="357">
        <f t="shared" si="12"/>
        <v>23</v>
      </c>
      <c r="M34" s="118"/>
    </row>
    <row r="35" spans="1:13" ht="30" customHeight="1">
      <c r="A35" s="296">
        <v>4</v>
      </c>
      <c r="B35" s="297" t="s">
        <v>136</v>
      </c>
      <c r="C35" s="297" t="str">
        <f>VLOOKUP(B35,'[2]VAR &amp; SIL'!$B$10:$C$53,2,FALSE)</f>
        <v>SILVER SIZE BRIGHT ANC.-6037</v>
      </c>
      <c r="D35" s="207">
        <v>25</v>
      </c>
      <c r="E35" s="207"/>
      <c r="F35" s="356"/>
      <c r="G35" s="298">
        <f t="shared" si="10"/>
        <v>25</v>
      </c>
      <c r="H35" s="298">
        <f t="shared" si="11"/>
        <v>0</v>
      </c>
      <c r="I35" s="357">
        <v>25</v>
      </c>
      <c r="J35" s="207"/>
      <c r="K35" s="357">
        <f t="shared" si="12"/>
        <v>25</v>
      </c>
      <c r="M35" s="118"/>
    </row>
    <row r="36" spans="1:13" ht="30" customHeight="1">
      <c r="A36" s="296">
        <v>5</v>
      </c>
      <c r="B36" s="360" t="s">
        <v>137</v>
      </c>
      <c r="C36" s="297" t="str">
        <f>VLOOKUP(B36,'[2]VAR &amp; SIL'!$B$10:$C$53,2,FALSE)</f>
        <v>SILVER SIZE 2473 DIC LOCAL</v>
      </c>
      <c r="D36" s="207">
        <v>1575</v>
      </c>
      <c r="E36" s="207">
        <v>46.5</v>
      </c>
      <c r="F36" s="478">
        <v>1000</v>
      </c>
      <c r="G36" s="298">
        <f t="shared" si="10"/>
        <v>2621.5</v>
      </c>
      <c r="H36" s="410">
        <f t="shared" si="11"/>
        <v>755</v>
      </c>
      <c r="I36" s="207">
        <v>1725</v>
      </c>
      <c r="J36" s="207">
        <v>141.5</v>
      </c>
      <c r="K36" s="357">
        <f t="shared" si="12"/>
        <v>1866.5</v>
      </c>
      <c r="M36" s="118"/>
    </row>
    <row r="37" spans="1:13" ht="30" customHeight="1">
      <c r="A37" s="296">
        <v>7</v>
      </c>
      <c r="B37" s="297" t="s">
        <v>138</v>
      </c>
      <c r="C37" s="297" t="str">
        <f>VLOOKUP(B37,'[2]VAR &amp; SIL'!$B$10:$C$53,2,FALSE)</f>
        <v>WHITE COATING GS - 1086</v>
      </c>
      <c r="D37" s="207">
        <v>20</v>
      </c>
      <c r="E37" s="207"/>
      <c r="F37" s="356"/>
      <c r="G37" s="298">
        <f t="shared" si="10"/>
        <v>20</v>
      </c>
      <c r="H37" s="298">
        <f t="shared" si="11"/>
        <v>0</v>
      </c>
      <c r="I37" s="357">
        <v>20</v>
      </c>
      <c r="J37" s="207"/>
      <c r="K37" s="357">
        <f t="shared" si="12"/>
        <v>20</v>
      </c>
      <c r="M37" s="118"/>
    </row>
    <row r="38" spans="1:13" ht="30" customHeight="1">
      <c r="A38" s="296">
        <v>8</v>
      </c>
      <c r="B38" s="297" t="s">
        <v>139</v>
      </c>
      <c r="C38" s="297" t="str">
        <f>VLOOKUP(B38,'[2]VAR &amp; SIL'!$B$10:$C$53,2,FALSE)</f>
        <v>WHITE COATING SE 1169-18</v>
      </c>
      <c r="D38" s="207">
        <v>20</v>
      </c>
      <c r="E38" s="207"/>
      <c r="F38" s="356"/>
      <c r="G38" s="298">
        <f t="shared" si="10"/>
        <v>20</v>
      </c>
      <c r="H38" s="298">
        <f t="shared" si="11"/>
        <v>0</v>
      </c>
      <c r="I38" s="357">
        <v>20</v>
      </c>
      <c r="J38" s="207"/>
      <c r="K38" s="357">
        <f t="shared" si="12"/>
        <v>20</v>
      </c>
      <c r="M38" s="118"/>
    </row>
    <row r="39" spans="1:13" ht="30" customHeight="1">
      <c r="A39" s="296">
        <v>10</v>
      </c>
      <c r="B39" s="297" t="s">
        <v>140</v>
      </c>
      <c r="C39" s="297" t="str">
        <f>VLOOKUP(B39,'[2]VAR &amp; SIL'!$B$10:$C$53,2,FALSE)</f>
        <v>SILVER SIZE SRISOL RU 1310-02</v>
      </c>
      <c r="D39" s="207">
        <v>75</v>
      </c>
      <c r="E39" s="207"/>
      <c r="F39" s="356"/>
      <c r="G39" s="298">
        <f t="shared" si="10"/>
        <v>75</v>
      </c>
      <c r="H39" s="298">
        <f t="shared" si="11"/>
        <v>0</v>
      </c>
      <c r="I39" s="357">
        <v>75</v>
      </c>
      <c r="J39" s="207"/>
      <c r="K39" s="357">
        <f t="shared" si="12"/>
        <v>75</v>
      </c>
      <c r="M39" s="118"/>
    </row>
    <row r="40" spans="1:13" ht="30" customHeight="1">
      <c r="A40" s="296">
        <v>13</v>
      </c>
      <c r="B40" s="297" t="s">
        <v>285</v>
      </c>
      <c r="C40" s="297" t="str">
        <f>VLOOKUP(B40,'[2]VAR &amp; SIL'!$B$10:$C$53,2,FALSE)</f>
        <v>SILVER SIZE EPOXY IN316004PA25</v>
      </c>
      <c r="D40" s="207">
        <v>25</v>
      </c>
      <c r="E40" s="207"/>
      <c r="F40" s="356"/>
      <c r="G40" s="298">
        <f t="shared" si="10"/>
        <v>25</v>
      </c>
      <c r="H40" s="298">
        <f t="shared" si="11"/>
        <v>0</v>
      </c>
      <c r="I40" s="357">
        <v>25</v>
      </c>
      <c r="J40" s="207"/>
      <c r="K40" s="357">
        <f t="shared" si="12"/>
        <v>25</v>
      </c>
      <c r="M40" s="118"/>
    </row>
    <row r="41" spans="1:13" ht="30" customHeight="1" thickBot="1">
      <c r="A41" s="296">
        <v>16</v>
      </c>
      <c r="B41" s="297" t="s">
        <v>806</v>
      </c>
      <c r="C41" s="297"/>
      <c r="D41" s="207"/>
      <c r="E41" s="207"/>
      <c r="F41" s="356">
        <v>225</v>
      </c>
      <c r="G41" s="298">
        <f t="shared" si="10"/>
        <v>225</v>
      </c>
      <c r="H41" s="298">
        <f t="shared" si="11"/>
        <v>0</v>
      </c>
      <c r="I41" s="357">
        <v>225</v>
      </c>
      <c r="J41" s="207"/>
      <c r="K41" s="357">
        <f>SUM(I41:J41)</f>
        <v>225</v>
      </c>
      <c r="M41" s="118"/>
    </row>
    <row r="42" spans="1:13" ht="30" customHeight="1" thickBot="1">
      <c r="A42" s="362"/>
      <c r="B42" s="353" t="s">
        <v>255</v>
      </c>
      <c r="C42" s="139"/>
      <c r="D42" s="364">
        <f t="shared" ref="D42:K42" si="13">SUM(D32:D41)</f>
        <v>1820</v>
      </c>
      <c r="E42" s="366">
        <f t="shared" si="13"/>
        <v>99</v>
      </c>
      <c r="F42" s="366">
        <f t="shared" si="13"/>
        <v>1225</v>
      </c>
      <c r="G42" s="366">
        <f t="shared" si="13"/>
        <v>3144</v>
      </c>
      <c r="H42" s="366">
        <f t="shared" si="13"/>
        <v>784.5</v>
      </c>
      <c r="I42" s="366">
        <f t="shared" si="13"/>
        <v>2195</v>
      </c>
      <c r="J42" s="366">
        <f t="shared" si="13"/>
        <v>164.5</v>
      </c>
      <c r="K42" s="365">
        <f t="shared" si="13"/>
        <v>2359.5</v>
      </c>
      <c r="M42" s="118"/>
    </row>
    <row r="43" spans="1:13" ht="30" customHeight="1" thickBot="1">
      <c r="A43" s="368" t="s">
        <v>270</v>
      </c>
      <c r="B43" s="369" t="s">
        <v>271</v>
      </c>
      <c r="C43" s="360"/>
      <c r="D43" s="828"/>
      <c r="E43" s="828"/>
      <c r="F43" s="828"/>
      <c r="G43" s="828"/>
      <c r="H43" s="828"/>
      <c r="I43" s="828"/>
      <c r="J43" s="828"/>
      <c r="K43" s="828"/>
      <c r="M43" s="118"/>
    </row>
    <row r="44" spans="1:13" ht="30" customHeight="1" thickBot="1">
      <c r="A44" s="367" t="s">
        <v>32</v>
      </c>
      <c r="B44" s="369" t="s">
        <v>272</v>
      </c>
      <c r="C44" s="360"/>
      <c r="D44" s="374" t="s">
        <v>273</v>
      </c>
      <c r="E44" s="374" t="s">
        <v>41</v>
      </c>
      <c r="F44" s="374" t="s">
        <v>291</v>
      </c>
      <c r="G44" s="375" t="s">
        <v>36</v>
      </c>
      <c r="H44" s="375" t="s">
        <v>290</v>
      </c>
      <c r="I44" s="374" t="s">
        <v>273</v>
      </c>
      <c r="J44" s="373" t="s">
        <v>41</v>
      </c>
      <c r="K44" s="374" t="s">
        <v>292</v>
      </c>
      <c r="M44" s="118"/>
    </row>
    <row r="45" spans="1:13" ht="30" customHeight="1">
      <c r="A45" s="361">
        <v>1</v>
      </c>
      <c r="B45" s="370" t="s">
        <v>269</v>
      </c>
      <c r="C45" s="297"/>
      <c r="D45" s="371">
        <v>0</v>
      </c>
      <c r="E45" s="371">
        <v>0</v>
      </c>
      <c r="F45" s="371">
        <v>0</v>
      </c>
      <c r="G45" s="372">
        <v>0</v>
      </c>
      <c r="H45" s="372">
        <v>0</v>
      </c>
      <c r="I45" s="371">
        <v>0</v>
      </c>
      <c r="J45" s="372">
        <v>0</v>
      </c>
      <c r="K45" s="371">
        <v>0</v>
      </c>
      <c r="M45" s="118"/>
    </row>
    <row r="46" spans="1:13" ht="30" customHeight="1">
      <c r="A46" s="360">
        <v>2</v>
      </c>
      <c r="B46" s="297" t="s">
        <v>132</v>
      </c>
      <c r="C46" s="297"/>
      <c r="D46" s="298">
        <v>0</v>
      </c>
      <c r="E46" s="298">
        <v>0</v>
      </c>
      <c r="F46" s="298">
        <v>0</v>
      </c>
      <c r="G46" s="298">
        <v>0</v>
      </c>
      <c r="H46" s="298">
        <v>0</v>
      </c>
      <c r="I46" s="298">
        <v>0</v>
      </c>
      <c r="J46" s="298">
        <v>0</v>
      </c>
      <c r="K46" s="298">
        <v>0</v>
      </c>
      <c r="M46" s="118"/>
    </row>
    <row r="47" spans="1:13" ht="30" customHeight="1">
      <c r="A47" s="360">
        <v>3</v>
      </c>
      <c r="B47" s="297" t="s">
        <v>280</v>
      </c>
      <c r="C47" s="297"/>
      <c r="D47" s="298">
        <v>0</v>
      </c>
      <c r="E47" s="298">
        <v>0</v>
      </c>
      <c r="F47" s="298">
        <v>0</v>
      </c>
      <c r="G47" s="298">
        <v>0</v>
      </c>
      <c r="H47" s="298">
        <v>0</v>
      </c>
      <c r="I47" s="298">
        <v>0</v>
      </c>
      <c r="J47" s="298">
        <v>0</v>
      </c>
      <c r="K47" s="298">
        <v>0</v>
      </c>
      <c r="M47" s="118"/>
    </row>
    <row r="48" spans="1:13" ht="30" customHeight="1">
      <c r="A48" s="297"/>
      <c r="B48" s="360" t="s">
        <v>36</v>
      </c>
      <c r="C48" s="360"/>
      <c r="D48" s="359">
        <f>SUM(D45:D47)</f>
        <v>0</v>
      </c>
      <c r="E48" s="359">
        <f t="shared" ref="E48:K48" si="14">SUM(E45:E47)</f>
        <v>0</v>
      </c>
      <c r="F48" s="359">
        <f t="shared" si="14"/>
        <v>0</v>
      </c>
      <c r="G48" s="359">
        <f t="shared" si="14"/>
        <v>0</v>
      </c>
      <c r="H48" s="359">
        <f t="shared" si="14"/>
        <v>0</v>
      </c>
      <c r="I48" s="359">
        <f t="shared" si="14"/>
        <v>0</v>
      </c>
      <c r="J48" s="359">
        <f t="shared" si="14"/>
        <v>0</v>
      </c>
      <c r="K48" s="359">
        <f t="shared" si="14"/>
        <v>0</v>
      </c>
      <c r="M48" s="118"/>
    </row>
    <row r="49" spans="1:13" ht="15.75" thickBot="1">
      <c r="A49" s="825"/>
      <c r="B49" s="825"/>
      <c r="C49" s="825"/>
      <c r="D49" s="825"/>
      <c r="E49" s="825"/>
      <c r="F49" s="825"/>
      <c r="G49" s="825"/>
      <c r="H49" s="825"/>
      <c r="I49" s="825"/>
      <c r="J49" s="825"/>
      <c r="K49" s="825"/>
      <c r="M49" s="118"/>
    </row>
    <row r="52" spans="1:13">
      <c r="H52" s="141"/>
    </row>
  </sheetData>
  <mergeCells count="5">
    <mergeCell ref="A49:K49"/>
    <mergeCell ref="A4:K4"/>
    <mergeCell ref="A5:K5"/>
    <mergeCell ref="D6:E6"/>
    <mergeCell ref="D43:K43"/>
  </mergeCells>
  <phoneticPr fontId="7" type="noConversion"/>
  <printOptions gridLines="1"/>
  <pageMargins left="0.17" right="0.16" top="0.19" bottom="0.2" header="0.17" footer="0.17"/>
  <pageSetup paperSize="9" scale="53" orientation="portrait" r:id="rId1"/>
  <headerFooter alignWithMargins="0">
    <oddFooter>&amp;RPage  No - 8 of 17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indexed="60"/>
  </sheetPr>
  <dimension ref="A4:M339"/>
  <sheetViews>
    <sheetView zoomScale="85" zoomScaleNormal="85" zoomScaleSheetLayoutView="85" workbookViewId="0">
      <pane ySplit="9" topLeftCell="A316" activePane="bottomLeft" state="frozen"/>
      <selection pane="bottomLeft" activeCell="G327" sqref="G327"/>
    </sheetView>
  </sheetViews>
  <sheetFormatPr defaultRowHeight="12.75"/>
  <cols>
    <col min="1" max="1" width="6.28515625" style="116" customWidth="1"/>
    <col min="2" max="2" width="42.7109375" style="116" customWidth="1"/>
    <col min="3" max="3" width="14.5703125" style="116" customWidth="1"/>
    <col min="4" max="4" width="13" style="116" customWidth="1"/>
    <col min="5" max="6" width="10.85546875" style="116" customWidth="1"/>
    <col min="7" max="7" width="15.5703125" style="116" customWidth="1"/>
    <col min="8" max="8" width="13.140625" style="116" customWidth="1"/>
    <col min="9" max="9" width="13.7109375" style="116" customWidth="1"/>
    <col min="10" max="10" width="17.7109375" style="116" customWidth="1"/>
    <col min="11" max="11" width="10.5703125" style="116" bestFit="1" customWidth="1"/>
    <col min="12" max="16384" width="9.140625" style="116"/>
  </cols>
  <sheetData>
    <row r="4" spans="1:11" ht="21" customHeight="1">
      <c r="A4" s="829" t="s">
        <v>143</v>
      </c>
      <c r="B4" s="829"/>
      <c r="C4" s="829"/>
      <c r="D4" s="829"/>
      <c r="E4" s="829"/>
      <c r="F4" s="829"/>
      <c r="G4" s="829"/>
      <c r="H4" s="829"/>
      <c r="I4" s="829"/>
      <c r="J4" s="829"/>
    </row>
    <row r="5" spans="1:11" ht="15.95" customHeight="1">
      <c r="A5" s="830" t="s">
        <v>780</v>
      </c>
      <c r="B5" s="830"/>
      <c r="C5" s="830"/>
      <c r="D5" s="830"/>
      <c r="E5" s="830"/>
      <c r="F5" s="830"/>
      <c r="G5" s="830"/>
      <c r="H5" s="830"/>
      <c r="I5" s="830"/>
      <c r="J5" s="830"/>
    </row>
    <row r="6" spans="1:11" ht="15.95" customHeight="1">
      <c r="A6" s="444" t="s">
        <v>32</v>
      </c>
      <c r="B6" s="444" t="s">
        <v>33</v>
      </c>
      <c r="C6" s="831" t="s">
        <v>34</v>
      </c>
      <c r="D6" s="831"/>
      <c r="E6" s="445" t="s">
        <v>35</v>
      </c>
      <c r="F6" s="445" t="s">
        <v>36</v>
      </c>
      <c r="G6" s="445" t="s">
        <v>37</v>
      </c>
      <c r="H6" s="445" t="s">
        <v>39</v>
      </c>
      <c r="I6" s="445"/>
      <c r="J6" s="445" t="s">
        <v>36</v>
      </c>
    </row>
    <row r="7" spans="1:11" ht="15.95" customHeight="1">
      <c r="A7" s="444"/>
      <c r="B7" s="444"/>
      <c r="C7" s="445" t="s">
        <v>40</v>
      </c>
      <c r="D7" s="445" t="s">
        <v>41</v>
      </c>
      <c r="E7" s="445"/>
      <c r="F7" s="445"/>
      <c r="G7" s="445"/>
      <c r="H7" s="445" t="s">
        <v>40</v>
      </c>
      <c r="I7" s="445" t="s">
        <v>41</v>
      </c>
      <c r="J7" s="445"/>
    </row>
    <row r="8" spans="1:11" ht="15.95" customHeight="1">
      <c r="A8" s="446"/>
      <c r="B8" s="447"/>
      <c r="C8" s="445" t="s">
        <v>10</v>
      </c>
      <c r="D8" s="445" t="s">
        <v>10</v>
      </c>
      <c r="E8" s="445" t="s">
        <v>10</v>
      </c>
      <c r="F8" s="445" t="s">
        <v>10</v>
      </c>
      <c r="G8" s="445" t="s">
        <v>10</v>
      </c>
      <c r="H8" s="445" t="s">
        <v>10</v>
      </c>
      <c r="I8" s="445" t="s">
        <v>10</v>
      </c>
      <c r="J8" s="445" t="s">
        <v>10</v>
      </c>
    </row>
    <row r="9" spans="1:11" ht="15.95" customHeight="1">
      <c r="A9" s="448"/>
      <c r="B9" s="449" t="s">
        <v>144</v>
      </c>
      <c r="C9" s="450"/>
      <c r="D9" s="450"/>
      <c r="E9" s="450"/>
      <c r="F9" s="450"/>
      <c r="G9" s="450"/>
      <c r="H9" s="450"/>
      <c r="I9" s="450"/>
      <c r="J9" s="450"/>
    </row>
    <row r="10" spans="1:11" ht="15.95" customHeight="1">
      <c r="A10" s="448"/>
      <c r="B10" s="451"/>
      <c r="C10" s="452"/>
      <c r="D10" s="452"/>
      <c r="E10" s="452"/>
      <c r="F10" s="453"/>
      <c r="G10" s="454"/>
      <c r="H10" s="452"/>
      <c r="I10" s="452"/>
      <c r="J10" s="454"/>
    </row>
    <row r="11" spans="1:11" ht="15.95" customHeight="1">
      <c r="A11" s="296">
        <v>1</v>
      </c>
      <c r="B11" s="297" t="s">
        <v>145</v>
      </c>
      <c r="C11" s="207">
        <v>15</v>
      </c>
      <c r="D11" s="207"/>
      <c r="E11" s="357"/>
      <c r="F11" s="298">
        <f>SUM(C11:E11)</f>
        <v>15</v>
      </c>
      <c r="G11" s="299">
        <f>+F11-J11</f>
        <v>0</v>
      </c>
      <c r="H11" s="207">
        <v>15</v>
      </c>
      <c r="I11" s="207"/>
      <c r="J11" s="299">
        <f>SUM(H11:I11)</f>
        <v>15</v>
      </c>
      <c r="K11" s="141"/>
    </row>
    <row r="12" spans="1:11" ht="15.95" customHeight="1">
      <c r="A12" s="296"/>
      <c r="B12" s="321"/>
      <c r="C12" s="207"/>
      <c r="D12" s="207"/>
      <c r="E12" s="357"/>
      <c r="F12" s="298"/>
      <c r="G12" s="454"/>
      <c r="H12" s="207"/>
      <c r="I12" s="207"/>
      <c r="J12" s="299"/>
      <c r="K12" s="141"/>
    </row>
    <row r="13" spans="1:11" ht="15.95" customHeight="1">
      <c r="A13" s="296">
        <v>2</v>
      </c>
      <c r="B13" s="321" t="s">
        <v>146</v>
      </c>
      <c r="C13" s="207">
        <v>65</v>
      </c>
      <c r="D13" s="207">
        <v>15</v>
      </c>
      <c r="E13" s="357"/>
      <c r="F13" s="298">
        <f>SUM(C13:E13)</f>
        <v>80</v>
      </c>
      <c r="G13" s="299">
        <f>+F13-J13</f>
        <v>0</v>
      </c>
      <c r="H13" s="207">
        <v>65</v>
      </c>
      <c r="I13" s="207">
        <v>15</v>
      </c>
      <c r="J13" s="299">
        <f>SUM(H13:I13)</f>
        <v>80</v>
      </c>
      <c r="K13" s="141"/>
    </row>
    <row r="14" spans="1:11" ht="15.95" customHeight="1">
      <c r="A14" s="296"/>
      <c r="B14" s="321"/>
      <c r="C14" s="207"/>
      <c r="D14" s="207"/>
      <c r="E14" s="357"/>
      <c r="F14" s="298"/>
      <c r="G14" s="454"/>
      <c r="H14" s="207"/>
      <c r="I14" s="207"/>
      <c r="J14" s="299"/>
      <c r="K14" s="141"/>
    </row>
    <row r="15" spans="1:11" ht="15.95" customHeight="1">
      <c r="A15" s="296">
        <v>3</v>
      </c>
      <c r="B15" s="297" t="s">
        <v>147</v>
      </c>
      <c r="C15" s="207">
        <v>1</v>
      </c>
      <c r="D15" s="207"/>
      <c r="E15" s="357"/>
      <c r="F15" s="298">
        <f>SUM(C15:E15)</f>
        <v>1</v>
      </c>
      <c r="G15" s="299">
        <f>+F15-J15</f>
        <v>0</v>
      </c>
      <c r="H15" s="207">
        <v>1</v>
      </c>
      <c r="I15" s="207"/>
      <c r="J15" s="299">
        <f>SUM(H15:I15)</f>
        <v>1</v>
      </c>
      <c r="K15" s="141"/>
    </row>
    <row r="16" spans="1:11" ht="15.95" customHeight="1">
      <c r="A16" s="296"/>
      <c r="B16" s="321"/>
      <c r="C16" s="207"/>
      <c r="D16" s="207"/>
      <c r="E16" s="357"/>
      <c r="F16" s="298"/>
      <c r="G16" s="454"/>
      <c r="H16" s="207"/>
      <c r="I16" s="207"/>
      <c r="J16" s="299"/>
      <c r="K16" s="141"/>
    </row>
    <row r="17" spans="1:11" ht="15.95" customHeight="1">
      <c r="A17" s="296">
        <v>4</v>
      </c>
      <c r="B17" s="321" t="s">
        <v>148</v>
      </c>
      <c r="C17" s="207">
        <v>1</v>
      </c>
      <c r="D17" s="207"/>
      <c r="E17" s="357"/>
      <c r="F17" s="298">
        <f>SUM(C17:E17)</f>
        <v>1</v>
      </c>
      <c r="G17" s="299">
        <f>+F17-J17</f>
        <v>0</v>
      </c>
      <c r="H17" s="207">
        <v>1</v>
      </c>
      <c r="I17" s="207"/>
      <c r="J17" s="299">
        <f>SUM(H17:I17)</f>
        <v>1</v>
      </c>
      <c r="K17" s="141"/>
    </row>
    <row r="18" spans="1:11" ht="15.95" customHeight="1">
      <c r="A18" s="296"/>
      <c r="B18" s="321"/>
      <c r="C18" s="207"/>
      <c r="D18" s="207"/>
      <c r="E18" s="357"/>
      <c r="F18" s="298"/>
      <c r="G18" s="454"/>
      <c r="H18" s="207"/>
      <c r="I18" s="207"/>
      <c r="J18" s="299"/>
      <c r="K18" s="141"/>
    </row>
    <row r="19" spans="1:11" ht="15.95" customHeight="1">
      <c r="A19" s="296">
        <v>5</v>
      </c>
      <c r="B19" s="321" t="s">
        <v>149</v>
      </c>
      <c r="C19" s="207">
        <v>2</v>
      </c>
      <c r="D19" s="207"/>
      <c r="E19" s="357"/>
      <c r="F19" s="298">
        <f>SUM(C19:E19)</f>
        <v>2</v>
      </c>
      <c r="G19" s="299">
        <f>+F19-J19</f>
        <v>0</v>
      </c>
      <c r="H19" s="207">
        <v>2</v>
      </c>
      <c r="I19" s="207"/>
      <c r="J19" s="299">
        <f>SUM(H19:I19)</f>
        <v>2</v>
      </c>
      <c r="K19" s="141"/>
    </row>
    <row r="20" spans="1:11" ht="15.95" customHeight="1">
      <c r="A20" s="296"/>
      <c r="B20" s="321"/>
      <c r="C20" s="207"/>
      <c r="D20" s="207"/>
      <c r="E20" s="357"/>
      <c r="F20" s="298"/>
      <c r="G20" s="454"/>
      <c r="H20" s="207"/>
      <c r="I20" s="207"/>
      <c r="J20" s="299"/>
      <c r="K20" s="141"/>
    </row>
    <row r="21" spans="1:11" ht="15.95" customHeight="1">
      <c r="A21" s="296">
        <v>6</v>
      </c>
      <c r="B21" s="321" t="s">
        <v>150</v>
      </c>
      <c r="C21" s="207">
        <v>23</v>
      </c>
      <c r="D21" s="207">
        <v>2.5</v>
      </c>
      <c r="E21" s="207">
        <v>12</v>
      </c>
      <c r="F21" s="298">
        <f>SUM(C21:E21)</f>
        <v>37.5</v>
      </c>
      <c r="G21" s="299">
        <f>+F21-J21</f>
        <v>11</v>
      </c>
      <c r="H21" s="207">
        <v>24</v>
      </c>
      <c r="I21" s="207">
        <v>2.5</v>
      </c>
      <c r="J21" s="299">
        <f>SUM(H21:I21)</f>
        <v>26.5</v>
      </c>
      <c r="K21" s="141"/>
    </row>
    <row r="22" spans="1:11" ht="15.95" customHeight="1">
      <c r="A22" s="296"/>
      <c r="B22" s="321"/>
      <c r="C22" s="207"/>
      <c r="D22" s="207"/>
      <c r="E22" s="357"/>
      <c r="F22" s="298"/>
      <c r="G22" s="454"/>
      <c r="H22" s="207"/>
      <c r="I22" s="207"/>
      <c r="J22" s="299"/>
      <c r="K22" s="141"/>
    </row>
    <row r="23" spans="1:11" ht="15.95" customHeight="1">
      <c r="A23" s="296">
        <v>7</v>
      </c>
      <c r="B23" s="321" t="s">
        <v>151</v>
      </c>
      <c r="C23" s="207">
        <v>23</v>
      </c>
      <c r="D23" s="207">
        <v>2</v>
      </c>
      <c r="E23" s="357"/>
      <c r="F23" s="298">
        <f>SUM(C23:E23)</f>
        <v>25</v>
      </c>
      <c r="G23" s="299">
        <f>+F23-J23</f>
        <v>1</v>
      </c>
      <c r="H23" s="207">
        <v>22</v>
      </c>
      <c r="I23" s="207">
        <v>2</v>
      </c>
      <c r="J23" s="299">
        <f>SUM(H23:I23)</f>
        <v>24</v>
      </c>
      <c r="K23" s="141"/>
    </row>
    <row r="24" spans="1:11" ht="15.95" customHeight="1">
      <c r="A24" s="296"/>
      <c r="B24" s="321"/>
      <c r="C24" s="207"/>
      <c r="D24" s="207"/>
      <c r="E24" s="357"/>
      <c r="F24" s="298"/>
      <c r="G24" s="454"/>
      <c r="H24" s="207"/>
      <c r="I24" s="207"/>
      <c r="J24" s="299"/>
      <c r="K24" s="141"/>
    </row>
    <row r="25" spans="1:11" ht="15.95" customHeight="1">
      <c r="A25" s="296">
        <v>8</v>
      </c>
      <c r="B25" s="321" t="s">
        <v>152</v>
      </c>
      <c r="C25" s="207">
        <v>21</v>
      </c>
      <c r="D25" s="207"/>
      <c r="E25" s="357"/>
      <c r="F25" s="298">
        <f>SUM(C25:E25)</f>
        <v>21</v>
      </c>
      <c r="G25" s="299">
        <f>+F25-J25</f>
        <v>0</v>
      </c>
      <c r="H25" s="207">
        <v>21</v>
      </c>
      <c r="I25" s="207"/>
      <c r="J25" s="299">
        <f>SUM(H25:I25)</f>
        <v>21</v>
      </c>
      <c r="K25" s="141"/>
    </row>
    <row r="26" spans="1:11" ht="15.95" customHeight="1">
      <c r="A26" s="296"/>
      <c r="B26" s="321"/>
      <c r="C26" s="207"/>
      <c r="D26" s="207"/>
      <c r="E26" s="357"/>
      <c r="F26" s="298"/>
      <c r="G26" s="454"/>
      <c r="H26" s="207"/>
      <c r="I26" s="207"/>
      <c r="J26" s="299"/>
      <c r="K26" s="141"/>
    </row>
    <row r="27" spans="1:11" ht="15.95" customHeight="1">
      <c r="A27" s="296">
        <v>9</v>
      </c>
      <c r="B27" s="297" t="s">
        <v>153</v>
      </c>
      <c r="C27" s="207">
        <v>17</v>
      </c>
      <c r="D27" s="207"/>
      <c r="E27" s="357"/>
      <c r="F27" s="298">
        <f>SUM(C27:E27)</f>
        <v>17</v>
      </c>
      <c r="G27" s="299">
        <f>+F27-J27</f>
        <v>0</v>
      </c>
      <c r="H27" s="207">
        <v>17</v>
      </c>
      <c r="I27" s="207"/>
      <c r="J27" s="299">
        <f>SUM(H27:I27)</f>
        <v>17</v>
      </c>
      <c r="K27" s="141"/>
    </row>
    <row r="28" spans="1:11" ht="15.95" customHeight="1">
      <c r="A28" s="296"/>
      <c r="B28" s="321"/>
      <c r="C28" s="207"/>
      <c r="D28" s="207"/>
      <c r="E28" s="357"/>
      <c r="F28" s="298"/>
      <c r="G28" s="454"/>
      <c r="H28" s="207"/>
      <c r="I28" s="207"/>
      <c r="J28" s="299"/>
      <c r="K28" s="141"/>
    </row>
    <row r="29" spans="1:11" ht="15.95" customHeight="1">
      <c r="A29" s="296">
        <v>10</v>
      </c>
      <c r="B29" s="321" t="s">
        <v>154</v>
      </c>
      <c r="C29" s="207">
        <v>24</v>
      </c>
      <c r="D29" s="207">
        <v>1</v>
      </c>
      <c r="E29" s="357"/>
      <c r="F29" s="298">
        <f>SUM(C29:E29)</f>
        <v>25</v>
      </c>
      <c r="G29" s="299">
        <f>+F29-J29</f>
        <v>0</v>
      </c>
      <c r="H29" s="207">
        <v>22</v>
      </c>
      <c r="I29" s="207">
        <v>3</v>
      </c>
      <c r="J29" s="299">
        <f>SUM(H29:I29)</f>
        <v>25</v>
      </c>
      <c r="K29" s="141"/>
    </row>
    <row r="30" spans="1:11" ht="15.95" customHeight="1">
      <c r="A30" s="296"/>
      <c r="B30" s="321"/>
      <c r="C30" s="207"/>
      <c r="D30" s="207"/>
      <c r="E30" s="357"/>
      <c r="F30" s="298"/>
      <c r="G30" s="454"/>
      <c r="H30" s="207"/>
      <c r="I30" s="207"/>
      <c r="J30" s="299"/>
      <c r="K30" s="141"/>
    </row>
    <row r="31" spans="1:11" ht="15.95" customHeight="1">
      <c r="A31" s="296">
        <v>11</v>
      </c>
      <c r="B31" s="321" t="s">
        <v>155</v>
      </c>
      <c r="C31" s="207">
        <v>72</v>
      </c>
      <c r="D31" s="207">
        <v>5</v>
      </c>
      <c r="E31" s="207"/>
      <c r="F31" s="298">
        <f>SUM(C31:E31)</f>
        <v>77</v>
      </c>
      <c r="G31" s="299">
        <f>+F31-J31</f>
        <v>17.5</v>
      </c>
      <c r="H31" s="207">
        <v>56</v>
      </c>
      <c r="I31" s="207">
        <v>3.5</v>
      </c>
      <c r="J31" s="299">
        <f>SUM(H31:I31)</f>
        <v>59.5</v>
      </c>
      <c r="K31" s="141"/>
    </row>
    <row r="32" spans="1:11" ht="15.95" customHeight="1">
      <c r="A32" s="296"/>
      <c r="B32" s="321"/>
      <c r="C32" s="207"/>
      <c r="D32" s="207"/>
      <c r="E32" s="357"/>
      <c r="F32" s="298"/>
      <c r="G32" s="454"/>
      <c r="H32" s="207"/>
      <c r="I32" s="207"/>
      <c r="J32" s="299"/>
      <c r="K32" s="141"/>
    </row>
    <row r="33" spans="1:11" ht="15.95" customHeight="1">
      <c r="A33" s="296">
        <v>12</v>
      </c>
      <c r="B33" s="321" t="s">
        <v>156</v>
      </c>
      <c r="C33" s="207">
        <v>73</v>
      </c>
      <c r="D33" s="207">
        <v>3.5</v>
      </c>
      <c r="E33" s="207"/>
      <c r="F33" s="298">
        <f>SUM(C33:E33)</f>
        <v>76.5</v>
      </c>
      <c r="G33" s="299">
        <f>+F33-J33</f>
        <v>15.5</v>
      </c>
      <c r="H33" s="207">
        <v>59</v>
      </c>
      <c r="I33" s="207">
        <v>2</v>
      </c>
      <c r="J33" s="299">
        <f>SUM(H33:I33)</f>
        <v>61</v>
      </c>
      <c r="K33" s="141"/>
    </row>
    <row r="34" spans="1:11" ht="15.95" customHeight="1">
      <c r="A34" s="296"/>
      <c r="B34" s="321"/>
      <c r="C34" s="207"/>
      <c r="D34" s="207"/>
      <c r="E34" s="357"/>
      <c r="F34" s="298"/>
      <c r="G34" s="454"/>
      <c r="H34" s="207"/>
      <c r="I34" s="207"/>
      <c r="J34" s="299"/>
      <c r="K34" s="141"/>
    </row>
    <row r="35" spans="1:11" ht="15.95" customHeight="1">
      <c r="A35" s="296">
        <v>13</v>
      </c>
      <c r="B35" s="321" t="s">
        <v>157</v>
      </c>
      <c r="C35" s="207">
        <v>2.5</v>
      </c>
      <c r="D35" s="207"/>
      <c r="E35" s="357"/>
      <c r="F35" s="298">
        <f>SUM(C35:E35)</f>
        <v>2.5</v>
      </c>
      <c r="G35" s="299">
        <f>+F35-J35</f>
        <v>0</v>
      </c>
      <c r="H35" s="207">
        <v>2.5</v>
      </c>
      <c r="I35" s="207"/>
      <c r="J35" s="299">
        <f>SUM(H35:I35)</f>
        <v>2.5</v>
      </c>
      <c r="K35" s="141"/>
    </row>
    <row r="36" spans="1:11" ht="15.95" customHeight="1">
      <c r="A36" s="296"/>
      <c r="B36" s="321"/>
      <c r="C36" s="207"/>
      <c r="D36" s="207"/>
      <c r="E36" s="357"/>
      <c r="F36" s="298"/>
      <c r="G36" s="454"/>
      <c r="H36" s="207"/>
      <c r="I36" s="207"/>
      <c r="J36" s="299"/>
      <c r="K36" s="141"/>
    </row>
    <row r="37" spans="1:11" ht="15.95" customHeight="1">
      <c r="A37" s="296">
        <v>14</v>
      </c>
      <c r="B37" s="321" t="s">
        <v>158</v>
      </c>
      <c r="C37" s="207">
        <v>16</v>
      </c>
      <c r="D37" s="207"/>
      <c r="E37" s="357"/>
      <c r="F37" s="298">
        <f>SUM(C37:E37)</f>
        <v>16</v>
      </c>
      <c r="G37" s="299">
        <f>+F37-J37</f>
        <v>3</v>
      </c>
      <c r="H37" s="207">
        <v>13</v>
      </c>
      <c r="I37" s="207"/>
      <c r="J37" s="299">
        <f>SUM(H37:I37)</f>
        <v>13</v>
      </c>
      <c r="K37" s="141"/>
    </row>
    <row r="38" spans="1:11" ht="15.95" customHeight="1">
      <c r="A38" s="296"/>
      <c r="B38" s="321"/>
      <c r="C38" s="207"/>
      <c r="D38" s="207"/>
      <c r="E38" s="357"/>
      <c r="F38" s="298"/>
      <c r="G38" s="454"/>
      <c r="H38" s="207"/>
      <c r="I38" s="207"/>
      <c r="J38" s="299"/>
      <c r="K38" s="141"/>
    </row>
    <row r="39" spans="1:11" ht="15.95" customHeight="1">
      <c r="A39" s="296">
        <v>15</v>
      </c>
      <c r="B39" s="321" t="s">
        <v>159</v>
      </c>
      <c r="C39" s="207">
        <v>2</v>
      </c>
      <c r="D39" s="207"/>
      <c r="E39" s="357"/>
      <c r="F39" s="298">
        <f>SUM(C39:E39)</f>
        <v>2</v>
      </c>
      <c r="G39" s="299">
        <f>+F39-J39</f>
        <v>0</v>
      </c>
      <c r="H39" s="207">
        <v>2</v>
      </c>
      <c r="I39" s="207"/>
      <c r="J39" s="299">
        <f>SUM(H39:I39)</f>
        <v>2</v>
      </c>
      <c r="K39" s="141"/>
    </row>
    <row r="40" spans="1:11" ht="15.95" customHeight="1">
      <c r="A40" s="296"/>
      <c r="B40" s="321"/>
      <c r="C40" s="207"/>
      <c r="D40" s="207"/>
      <c r="E40" s="357"/>
      <c r="F40" s="298"/>
      <c r="G40" s="454"/>
      <c r="H40" s="207"/>
      <c r="I40" s="207"/>
      <c r="J40" s="299"/>
      <c r="K40" s="141"/>
    </row>
    <row r="41" spans="1:11" ht="15.95" customHeight="1">
      <c r="A41" s="296">
        <v>16</v>
      </c>
      <c r="B41" s="321" t="s">
        <v>160</v>
      </c>
      <c r="C41" s="207">
        <v>26</v>
      </c>
      <c r="D41" s="207">
        <v>0</v>
      </c>
      <c r="E41" s="357"/>
      <c r="F41" s="298">
        <f>SUM(C41:E41)</f>
        <v>26</v>
      </c>
      <c r="G41" s="299">
        <f>+F41-J41</f>
        <v>0</v>
      </c>
      <c r="H41" s="207">
        <v>26</v>
      </c>
      <c r="I41" s="207"/>
      <c r="J41" s="299">
        <f>SUM(H41:I41)</f>
        <v>26</v>
      </c>
      <c r="K41" s="141"/>
    </row>
    <row r="42" spans="1:11" ht="15.95" customHeight="1">
      <c r="A42" s="296"/>
      <c r="B42" s="321"/>
      <c r="C42" s="207"/>
      <c r="D42" s="207"/>
      <c r="E42" s="357"/>
      <c r="F42" s="298"/>
      <c r="G42" s="454"/>
      <c r="H42" s="207"/>
      <c r="I42" s="207"/>
      <c r="J42" s="299"/>
      <c r="K42" s="141"/>
    </row>
    <row r="43" spans="1:11" ht="15.95" customHeight="1">
      <c r="A43" s="296">
        <v>17</v>
      </c>
      <c r="B43" s="321" t="s">
        <v>161</v>
      </c>
      <c r="C43" s="207">
        <v>21</v>
      </c>
      <c r="D43" s="207"/>
      <c r="E43" s="207"/>
      <c r="F43" s="298">
        <f>SUM(C43:E43)</f>
        <v>21</v>
      </c>
      <c r="G43" s="299">
        <f>+F43-J43</f>
        <v>0</v>
      </c>
      <c r="H43" s="207">
        <v>21</v>
      </c>
      <c r="I43" s="207"/>
      <c r="J43" s="299">
        <f>SUM(H43:I43)</f>
        <v>21</v>
      </c>
      <c r="K43" s="141"/>
    </row>
    <row r="44" spans="1:11" ht="15.95" customHeight="1">
      <c r="A44" s="296"/>
      <c r="B44" s="321"/>
      <c r="C44" s="207"/>
      <c r="D44" s="207"/>
      <c r="E44" s="357"/>
      <c r="F44" s="298"/>
      <c r="G44" s="454"/>
      <c r="H44" s="207"/>
      <c r="I44" s="207"/>
      <c r="J44" s="299"/>
      <c r="K44" s="141"/>
    </row>
    <row r="45" spans="1:11" ht="15.95" customHeight="1">
      <c r="A45" s="296">
        <v>18</v>
      </c>
      <c r="B45" s="321" t="s">
        <v>162</v>
      </c>
      <c r="C45" s="207">
        <v>29</v>
      </c>
      <c r="D45" s="207"/>
      <c r="E45" s="357"/>
      <c r="F45" s="298">
        <f>SUM(C45:E45)</f>
        <v>29</v>
      </c>
      <c r="G45" s="299">
        <f>+F45-J45</f>
        <v>0</v>
      </c>
      <c r="H45" s="207">
        <v>29</v>
      </c>
      <c r="I45" s="207"/>
      <c r="J45" s="299">
        <f>SUM(H45:I45)</f>
        <v>29</v>
      </c>
      <c r="K45" s="141"/>
    </row>
    <row r="46" spans="1:11" ht="15.95" customHeight="1">
      <c r="A46" s="296"/>
      <c r="B46" s="321"/>
      <c r="C46" s="207"/>
      <c r="D46" s="207"/>
      <c r="E46" s="357"/>
      <c r="F46" s="298"/>
      <c r="G46" s="454"/>
      <c r="H46" s="207"/>
      <c r="I46" s="207"/>
      <c r="J46" s="299"/>
      <c r="K46" s="141"/>
    </row>
    <row r="47" spans="1:11" ht="15.95" customHeight="1">
      <c r="A47" s="296">
        <v>19</v>
      </c>
      <c r="B47" s="321" t="s">
        <v>163</v>
      </c>
      <c r="C47" s="207">
        <v>12.5</v>
      </c>
      <c r="D47" s="207"/>
      <c r="E47" s="357"/>
      <c r="F47" s="298">
        <f>SUM(C47:E47)</f>
        <v>12.5</v>
      </c>
      <c r="G47" s="299">
        <f>+F47-J47</f>
        <v>0</v>
      </c>
      <c r="H47" s="207">
        <v>12.5</v>
      </c>
      <c r="I47" s="207"/>
      <c r="J47" s="299">
        <f>SUM(H47:I47)</f>
        <v>12.5</v>
      </c>
      <c r="K47" s="141"/>
    </row>
    <row r="48" spans="1:11" ht="15.95" customHeight="1">
      <c r="A48" s="296"/>
      <c r="B48" s="321"/>
      <c r="C48" s="207"/>
      <c r="D48" s="207"/>
      <c r="E48" s="357"/>
      <c r="F48" s="298"/>
      <c r="G48" s="454"/>
      <c r="H48" s="207"/>
      <c r="I48" s="207"/>
      <c r="J48" s="299"/>
      <c r="K48" s="141"/>
    </row>
    <row r="49" spans="1:11" ht="15.95" customHeight="1">
      <c r="A49" s="296">
        <v>21</v>
      </c>
      <c r="B49" s="321" t="s">
        <v>164</v>
      </c>
      <c r="C49" s="207">
        <v>15</v>
      </c>
      <c r="D49" s="207">
        <v>4</v>
      </c>
      <c r="E49" s="357"/>
      <c r="F49" s="298">
        <f>SUM(C49:E49)</f>
        <v>19</v>
      </c>
      <c r="G49" s="299">
        <f>+F49-J49</f>
        <v>0</v>
      </c>
      <c r="H49" s="207">
        <v>15</v>
      </c>
      <c r="I49" s="207">
        <v>4</v>
      </c>
      <c r="J49" s="299">
        <f>SUM(H49:I49)</f>
        <v>19</v>
      </c>
      <c r="K49" s="141"/>
    </row>
    <row r="50" spans="1:11" ht="15.95" customHeight="1">
      <c r="A50" s="296"/>
      <c r="B50" s="321"/>
      <c r="C50" s="207"/>
      <c r="D50" s="207"/>
      <c r="E50" s="357"/>
      <c r="F50" s="298"/>
      <c r="G50" s="454"/>
      <c r="H50" s="207"/>
      <c r="I50" s="207"/>
      <c r="J50" s="299"/>
      <c r="K50" s="141"/>
    </row>
    <row r="51" spans="1:11" ht="15.95" customHeight="1">
      <c r="A51" s="296">
        <v>22</v>
      </c>
      <c r="B51" s="297" t="s">
        <v>165</v>
      </c>
      <c r="C51" s="207">
        <v>2</v>
      </c>
      <c r="D51" s="207"/>
      <c r="E51" s="357"/>
      <c r="F51" s="298">
        <f>SUM(C51:E51)</f>
        <v>2</v>
      </c>
      <c r="G51" s="299">
        <f>+F51-J51</f>
        <v>0</v>
      </c>
      <c r="H51" s="207">
        <v>2</v>
      </c>
      <c r="I51" s="207"/>
      <c r="J51" s="299">
        <f>SUM(H51:I51)</f>
        <v>2</v>
      </c>
      <c r="K51" s="141"/>
    </row>
    <row r="52" spans="1:11" ht="15.95" customHeight="1">
      <c r="A52" s="296"/>
      <c r="B52" s="321"/>
      <c r="C52" s="207"/>
      <c r="D52" s="207"/>
      <c r="E52" s="357"/>
      <c r="F52" s="298"/>
      <c r="G52" s="454"/>
      <c r="H52" s="207"/>
      <c r="I52" s="207"/>
      <c r="J52" s="299"/>
      <c r="K52" s="141"/>
    </row>
    <row r="53" spans="1:11" ht="15.95" customHeight="1">
      <c r="A53" s="296">
        <v>23</v>
      </c>
      <c r="B53" s="321" t="s">
        <v>166</v>
      </c>
      <c r="C53" s="207">
        <v>24</v>
      </c>
      <c r="D53" s="207">
        <v>3.5</v>
      </c>
      <c r="E53" s="357">
        <v>24</v>
      </c>
      <c r="F53" s="298">
        <f>SUM(C53:E53)</f>
        <v>51.5</v>
      </c>
      <c r="G53" s="299">
        <f>+F53-J53</f>
        <v>3</v>
      </c>
      <c r="H53" s="207">
        <v>46</v>
      </c>
      <c r="I53" s="207">
        <v>2.5</v>
      </c>
      <c r="J53" s="299">
        <f>SUM(H53:I53)</f>
        <v>48.5</v>
      </c>
      <c r="K53" s="141"/>
    </row>
    <row r="54" spans="1:11" ht="15.95" customHeight="1">
      <c r="A54" s="296"/>
      <c r="B54" s="321"/>
      <c r="C54" s="207"/>
      <c r="D54" s="207"/>
      <c r="E54" s="357"/>
      <c r="F54" s="298"/>
      <c r="G54" s="454"/>
      <c r="H54" s="207"/>
      <c r="I54" s="207"/>
      <c r="J54" s="299"/>
      <c r="K54" s="141"/>
    </row>
    <row r="55" spans="1:11" ht="15.95" customHeight="1">
      <c r="A55" s="296">
        <v>24</v>
      </c>
      <c r="B55" s="321" t="s">
        <v>167</v>
      </c>
      <c r="C55" s="207">
        <v>5</v>
      </c>
      <c r="D55" s="207">
        <v>1.5</v>
      </c>
      <c r="E55" s="357"/>
      <c r="F55" s="298">
        <f>SUM(C55:E55)</f>
        <v>6.5</v>
      </c>
      <c r="G55" s="299">
        <f>+F55-J55</f>
        <v>0</v>
      </c>
      <c r="H55" s="207">
        <v>5</v>
      </c>
      <c r="I55" s="207">
        <v>1.5</v>
      </c>
      <c r="J55" s="299">
        <f>SUM(H55:I55)</f>
        <v>6.5</v>
      </c>
      <c r="K55" s="141"/>
    </row>
    <row r="56" spans="1:11" ht="15.95" customHeight="1">
      <c r="A56" s="296"/>
      <c r="B56" s="321"/>
      <c r="C56" s="207"/>
      <c r="D56" s="207"/>
      <c r="E56" s="357"/>
      <c r="F56" s="298"/>
      <c r="G56" s="454"/>
      <c r="H56" s="207"/>
      <c r="I56" s="207"/>
      <c r="J56" s="299"/>
      <c r="K56" s="141"/>
    </row>
    <row r="57" spans="1:11" ht="15.95" customHeight="1">
      <c r="A57" s="296">
        <v>25</v>
      </c>
      <c r="B57" s="321" t="s">
        <v>168</v>
      </c>
      <c r="C57" s="207">
        <v>14</v>
      </c>
      <c r="D57" s="207"/>
      <c r="E57" s="357"/>
      <c r="F57" s="298">
        <f>SUM(C57:E57)</f>
        <v>14</v>
      </c>
      <c r="G57" s="299">
        <f>+F57-J57</f>
        <v>0</v>
      </c>
      <c r="H57" s="207">
        <v>14</v>
      </c>
      <c r="I57" s="207"/>
      <c r="J57" s="299">
        <f>SUM(H57:I57)</f>
        <v>14</v>
      </c>
      <c r="K57" s="141"/>
    </row>
    <row r="58" spans="1:11" ht="15.95" customHeight="1">
      <c r="A58" s="296"/>
      <c r="B58" s="321"/>
      <c r="C58" s="207"/>
      <c r="D58" s="207"/>
      <c r="E58" s="357"/>
      <c r="F58" s="298"/>
      <c r="G58" s="454"/>
      <c r="H58" s="207"/>
      <c r="I58" s="207"/>
      <c r="J58" s="299"/>
      <c r="K58" s="141"/>
    </row>
    <row r="59" spans="1:11" ht="15.95" customHeight="1">
      <c r="A59" s="296">
        <v>26</v>
      </c>
      <c r="B59" s="321" t="s">
        <v>169</v>
      </c>
      <c r="C59" s="207">
        <v>10</v>
      </c>
      <c r="D59" s="207"/>
      <c r="E59" s="357"/>
      <c r="F59" s="298">
        <f>SUM(C59:E59)</f>
        <v>10</v>
      </c>
      <c r="G59" s="299">
        <f>+F59-J59</f>
        <v>1</v>
      </c>
      <c r="H59" s="207">
        <v>9</v>
      </c>
      <c r="I59" s="207"/>
      <c r="J59" s="299">
        <f>SUM(H59:I59)</f>
        <v>9</v>
      </c>
      <c r="K59" s="141"/>
    </row>
    <row r="60" spans="1:11" ht="15.95" customHeight="1">
      <c r="A60" s="296"/>
      <c r="B60" s="321"/>
      <c r="C60" s="207"/>
      <c r="D60" s="207"/>
      <c r="E60" s="357"/>
      <c r="F60" s="298"/>
      <c r="G60" s="454"/>
      <c r="H60" s="207"/>
      <c r="I60" s="207"/>
      <c r="J60" s="299"/>
      <c r="K60" s="141"/>
    </row>
    <row r="61" spans="1:11" ht="15.95" customHeight="1">
      <c r="A61" s="296">
        <v>27</v>
      </c>
      <c r="B61" s="321" t="s">
        <v>170</v>
      </c>
      <c r="C61" s="207">
        <v>4</v>
      </c>
      <c r="D61" s="207"/>
      <c r="E61" s="357"/>
      <c r="F61" s="298">
        <f>SUM(C61:E61)</f>
        <v>4</v>
      </c>
      <c r="G61" s="299">
        <f>+F61-J61</f>
        <v>0</v>
      </c>
      <c r="H61" s="207">
        <v>4</v>
      </c>
      <c r="I61" s="207"/>
      <c r="J61" s="299">
        <f>SUM(H61:I61)</f>
        <v>4</v>
      </c>
      <c r="K61" s="141"/>
    </row>
    <row r="62" spans="1:11" ht="15.95" customHeight="1">
      <c r="A62" s="296"/>
      <c r="B62" s="321"/>
      <c r="C62" s="207"/>
      <c r="D62" s="207"/>
      <c r="E62" s="357"/>
      <c r="F62" s="298"/>
      <c r="G62" s="454"/>
      <c r="H62" s="207"/>
      <c r="I62" s="207"/>
      <c r="J62" s="299"/>
      <c r="K62" s="141"/>
    </row>
    <row r="63" spans="1:11" ht="15.95" customHeight="1">
      <c r="A63" s="296">
        <v>28</v>
      </c>
      <c r="B63" s="321" t="s">
        <v>171</v>
      </c>
      <c r="C63" s="207">
        <v>62</v>
      </c>
      <c r="D63" s="207"/>
      <c r="E63" s="357"/>
      <c r="F63" s="298">
        <f>SUM(C63:E63)</f>
        <v>62</v>
      </c>
      <c r="G63" s="299">
        <f>+F63-J63</f>
        <v>12.5</v>
      </c>
      <c r="H63" s="207">
        <v>47</v>
      </c>
      <c r="I63" s="207">
        <v>2.5</v>
      </c>
      <c r="J63" s="299">
        <f>SUM(H63:I63)</f>
        <v>49.5</v>
      </c>
      <c r="K63" s="141"/>
    </row>
    <row r="64" spans="1:11" ht="15.95" customHeight="1">
      <c r="A64" s="296"/>
      <c r="B64" s="321"/>
      <c r="C64" s="207"/>
      <c r="D64" s="207"/>
      <c r="E64" s="357"/>
      <c r="F64" s="298"/>
      <c r="G64" s="454"/>
      <c r="H64" s="207"/>
      <c r="I64" s="207"/>
      <c r="J64" s="299"/>
      <c r="K64" s="141"/>
    </row>
    <row r="65" spans="1:11" ht="15.95" customHeight="1">
      <c r="A65" s="296">
        <v>29</v>
      </c>
      <c r="B65" s="321" t="s">
        <v>279</v>
      </c>
      <c r="C65" s="207">
        <v>10</v>
      </c>
      <c r="D65" s="207"/>
      <c r="E65" s="357"/>
      <c r="F65" s="298">
        <f>SUM(C65:E65)</f>
        <v>10</v>
      </c>
      <c r="G65" s="299">
        <f>+F65-J65</f>
        <v>0</v>
      </c>
      <c r="H65" s="207">
        <v>10</v>
      </c>
      <c r="I65" s="207"/>
      <c r="J65" s="299">
        <f>SUM(H65:I65)</f>
        <v>10</v>
      </c>
      <c r="K65" s="141"/>
    </row>
    <row r="66" spans="1:11" ht="15.95" customHeight="1">
      <c r="A66" s="296"/>
      <c r="B66" s="321"/>
      <c r="C66" s="207"/>
      <c r="D66" s="207"/>
      <c r="E66" s="357"/>
      <c r="F66" s="298"/>
      <c r="G66" s="454"/>
      <c r="H66" s="207"/>
      <c r="I66" s="207"/>
      <c r="J66" s="299"/>
      <c r="K66" s="141"/>
    </row>
    <row r="67" spans="1:11" ht="15.95" customHeight="1">
      <c r="A67" s="296">
        <v>30</v>
      </c>
      <c r="B67" s="321" t="s">
        <v>172</v>
      </c>
      <c r="C67" s="207">
        <v>20</v>
      </c>
      <c r="D67" s="207"/>
      <c r="E67" s="357"/>
      <c r="F67" s="298">
        <f>SUM(C67:E67)</f>
        <v>20</v>
      </c>
      <c r="G67" s="299">
        <f>+F67-J67</f>
        <v>0</v>
      </c>
      <c r="H67" s="207">
        <v>20</v>
      </c>
      <c r="I67" s="207"/>
      <c r="J67" s="299">
        <f>SUM(H67:I67)</f>
        <v>20</v>
      </c>
      <c r="K67" s="141"/>
    </row>
    <row r="68" spans="1:11" ht="15.95" customHeight="1">
      <c r="A68" s="296"/>
      <c r="B68" s="321"/>
      <c r="C68" s="207"/>
      <c r="D68" s="207"/>
      <c r="E68" s="357"/>
      <c r="F68" s="298"/>
      <c r="G68" s="454"/>
      <c r="H68" s="207"/>
      <c r="I68" s="207"/>
      <c r="J68" s="299"/>
      <c r="K68" s="141"/>
    </row>
    <row r="69" spans="1:11" ht="15.95" customHeight="1">
      <c r="A69" s="296">
        <v>31</v>
      </c>
      <c r="B69" s="321" t="s">
        <v>173</v>
      </c>
      <c r="C69" s="207">
        <v>4</v>
      </c>
      <c r="D69" s="207"/>
      <c r="E69" s="357"/>
      <c r="F69" s="298">
        <f>SUM(C69:E69)</f>
        <v>4</v>
      </c>
      <c r="G69" s="299">
        <f>+F69-J69</f>
        <v>0</v>
      </c>
      <c r="H69" s="207">
        <v>4</v>
      </c>
      <c r="I69" s="207"/>
      <c r="J69" s="299">
        <f>SUM(H69:I69)</f>
        <v>4</v>
      </c>
      <c r="K69" s="141"/>
    </row>
    <row r="70" spans="1:11" ht="15.95" customHeight="1">
      <c r="A70" s="296"/>
      <c r="B70" s="321"/>
      <c r="C70" s="207"/>
      <c r="D70" s="207"/>
      <c r="E70" s="357"/>
      <c r="F70" s="298"/>
      <c r="G70" s="454"/>
      <c r="H70" s="207"/>
      <c r="I70" s="207"/>
      <c r="J70" s="299"/>
      <c r="K70" s="141"/>
    </row>
    <row r="71" spans="1:11" ht="15.95" customHeight="1">
      <c r="A71" s="296">
        <v>32</v>
      </c>
      <c r="B71" s="297" t="s">
        <v>174</v>
      </c>
      <c r="C71" s="207">
        <v>22</v>
      </c>
      <c r="D71" s="207"/>
      <c r="E71" s="357"/>
      <c r="F71" s="298">
        <f>SUM(C71:E71)</f>
        <v>22</v>
      </c>
      <c r="G71" s="299">
        <f>+F71-J71</f>
        <v>0</v>
      </c>
      <c r="H71" s="207">
        <v>22</v>
      </c>
      <c r="I71" s="207"/>
      <c r="J71" s="299">
        <f>SUM(H71:I71)</f>
        <v>22</v>
      </c>
      <c r="K71" s="141"/>
    </row>
    <row r="72" spans="1:11" ht="15.95" customHeight="1">
      <c r="A72" s="296"/>
      <c r="B72" s="321"/>
      <c r="C72" s="207"/>
      <c r="D72" s="207"/>
      <c r="E72" s="357"/>
      <c r="F72" s="298"/>
      <c r="G72" s="454"/>
      <c r="H72" s="207"/>
      <c r="I72" s="207"/>
      <c r="J72" s="299"/>
      <c r="K72" s="141"/>
    </row>
    <row r="73" spans="1:11" ht="15.95" customHeight="1">
      <c r="A73" s="296">
        <v>33</v>
      </c>
      <c r="B73" s="321" t="s">
        <v>175</v>
      </c>
      <c r="C73" s="207">
        <v>38</v>
      </c>
      <c r="D73" s="207">
        <v>0.5</v>
      </c>
      <c r="E73" s="357"/>
      <c r="F73" s="298">
        <f>SUM(C73:E73)</f>
        <v>38.5</v>
      </c>
      <c r="G73" s="299">
        <f>+F73-J73</f>
        <v>7</v>
      </c>
      <c r="H73" s="207">
        <v>28</v>
      </c>
      <c r="I73" s="207">
        <v>3.5</v>
      </c>
      <c r="J73" s="299">
        <f>SUM(H73:I73)</f>
        <v>31.5</v>
      </c>
      <c r="K73" s="141"/>
    </row>
    <row r="74" spans="1:11" ht="15.95" customHeight="1">
      <c r="A74" s="296"/>
      <c r="B74" s="321"/>
      <c r="C74" s="207"/>
      <c r="D74" s="207"/>
      <c r="E74" s="357"/>
      <c r="F74" s="298"/>
      <c r="G74" s="454"/>
      <c r="H74" s="207"/>
      <c r="I74" s="207"/>
      <c r="J74" s="299"/>
      <c r="K74" s="141"/>
    </row>
    <row r="75" spans="1:11" ht="15.95" customHeight="1">
      <c r="A75" s="296">
        <v>34</v>
      </c>
      <c r="B75" s="321" t="s">
        <v>176</v>
      </c>
      <c r="C75" s="207">
        <v>30</v>
      </c>
      <c r="D75" s="207">
        <v>2.5</v>
      </c>
      <c r="E75" s="357">
        <v>12</v>
      </c>
      <c r="F75" s="298">
        <f>SUM(C75:E75)</f>
        <v>44.5</v>
      </c>
      <c r="G75" s="299">
        <f>+F75-J75</f>
        <v>2.75</v>
      </c>
      <c r="H75" s="207">
        <v>38</v>
      </c>
      <c r="I75" s="207">
        <v>3.75</v>
      </c>
      <c r="J75" s="299">
        <f>SUM(H75:I75)</f>
        <v>41.75</v>
      </c>
      <c r="K75" s="141"/>
    </row>
    <row r="76" spans="1:11" ht="15.95" customHeight="1">
      <c r="A76" s="296"/>
      <c r="B76" s="321"/>
      <c r="C76" s="207"/>
      <c r="D76" s="207"/>
      <c r="E76" s="357"/>
      <c r="F76" s="298"/>
      <c r="G76" s="454"/>
      <c r="H76" s="207"/>
      <c r="I76" s="207"/>
      <c r="J76" s="299"/>
      <c r="K76" s="141"/>
    </row>
    <row r="77" spans="1:11" ht="15.95" customHeight="1">
      <c r="A77" s="296">
        <v>35</v>
      </c>
      <c r="B77" s="321" t="s">
        <v>177</v>
      </c>
      <c r="C77" s="207">
        <v>38</v>
      </c>
      <c r="D77" s="207">
        <v>1.5</v>
      </c>
      <c r="E77" s="357"/>
      <c r="F77" s="298">
        <f>SUM(C77:E77)</f>
        <v>39.5</v>
      </c>
      <c r="G77" s="299">
        <f>+F77-J77</f>
        <v>2</v>
      </c>
      <c r="H77" s="207">
        <v>36</v>
      </c>
      <c r="I77" s="207">
        <v>1.5</v>
      </c>
      <c r="J77" s="299">
        <f>SUM(H77:I77)</f>
        <v>37.5</v>
      </c>
      <c r="K77" s="141"/>
    </row>
    <row r="78" spans="1:11" ht="15.95" customHeight="1">
      <c r="A78" s="296"/>
      <c r="B78" s="321"/>
      <c r="C78" s="207"/>
      <c r="D78" s="207"/>
      <c r="E78" s="357"/>
      <c r="F78" s="298"/>
      <c r="G78" s="454"/>
      <c r="H78" s="207"/>
      <c r="I78" s="207"/>
      <c r="J78" s="299"/>
      <c r="K78" s="141"/>
    </row>
    <row r="79" spans="1:11" ht="15.95" customHeight="1">
      <c r="A79" s="296">
        <v>36</v>
      </c>
      <c r="B79" s="321" t="s">
        <v>178</v>
      </c>
      <c r="C79" s="207">
        <v>7.5</v>
      </c>
      <c r="D79" s="207"/>
      <c r="E79" s="357"/>
      <c r="F79" s="298">
        <f>SUM(C79:E79)</f>
        <v>7.5</v>
      </c>
      <c r="G79" s="299">
        <f>+F79-J79</f>
        <v>0</v>
      </c>
      <c r="H79" s="207">
        <v>7.5</v>
      </c>
      <c r="I79" s="207"/>
      <c r="J79" s="299">
        <f>SUM(H79:I79)</f>
        <v>7.5</v>
      </c>
      <c r="K79" s="141"/>
    </row>
    <row r="80" spans="1:11" ht="15.95" customHeight="1">
      <c r="A80" s="296"/>
      <c r="B80" s="321"/>
      <c r="C80" s="207"/>
      <c r="D80" s="207"/>
      <c r="E80" s="357"/>
      <c r="F80" s="298"/>
      <c r="G80" s="454"/>
      <c r="H80" s="207"/>
      <c r="I80" s="207"/>
      <c r="J80" s="299"/>
      <c r="K80" s="141"/>
    </row>
    <row r="81" spans="1:11" ht="15.95" customHeight="1">
      <c r="A81" s="296">
        <v>37</v>
      </c>
      <c r="B81" s="321" t="s">
        <v>179</v>
      </c>
      <c r="C81" s="207">
        <v>17.5</v>
      </c>
      <c r="D81" s="207"/>
      <c r="E81" s="357"/>
      <c r="F81" s="298">
        <f>SUM(C81:E81)</f>
        <v>17.5</v>
      </c>
      <c r="G81" s="299">
        <f>+F81-J81</f>
        <v>0</v>
      </c>
      <c r="H81" s="207">
        <v>17.5</v>
      </c>
      <c r="I81" s="207"/>
      <c r="J81" s="299">
        <f>SUM(H81:I81)</f>
        <v>17.5</v>
      </c>
      <c r="K81" s="141"/>
    </row>
    <row r="82" spans="1:11" ht="15.95" customHeight="1">
      <c r="A82" s="296"/>
      <c r="B82" s="321"/>
      <c r="C82" s="207"/>
      <c r="D82" s="207"/>
      <c r="E82" s="357"/>
      <c r="F82" s="298"/>
      <c r="G82" s="454"/>
      <c r="H82" s="207"/>
      <c r="I82" s="207"/>
      <c r="J82" s="299"/>
      <c r="K82" s="141"/>
    </row>
    <row r="83" spans="1:11" ht="15.95" customHeight="1">
      <c r="A83" s="296">
        <v>38</v>
      </c>
      <c r="B83" s="321" t="s">
        <v>180</v>
      </c>
      <c r="C83" s="207">
        <v>24</v>
      </c>
      <c r="D83" s="207">
        <v>0.75</v>
      </c>
      <c r="E83" s="357">
        <v>30</v>
      </c>
      <c r="F83" s="298">
        <f>SUM(C83:E83)</f>
        <v>54.75</v>
      </c>
      <c r="G83" s="299">
        <f>+F83-J83</f>
        <v>4.75</v>
      </c>
      <c r="H83" s="207">
        <v>48</v>
      </c>
      <c r="I83" s="207">
        <v>2</v>
      </c>
      <c r="J83" s="299">
        <f>SUM(H83:I83)</f>
        <v>50</v>
      </c>
      <c r="K83" s="141"/>
    </row>
    <row r="84" spans="1:11" ht="15.95" customHeight="1">
      <c r="A84" s="296"/>
      <c r="B84" s="321"/>
      <c r="C84" s="207"/>
      <c r="D84" s="207"/>
      <c r="E84" s="357"/>
      <c r="F84" s="298"/>
      <c r="G84" s="454"/>
      <c r="H84" s="207"/>
      <c r="I84" s="207"/>
      <c r="J84" s="299"/>
      <c r="K84" s="141"/>
    </row>
    <row r="85" spans="1:11" ht="15.95" customHeight="1">
      <c r="A85" s="296">
        <v>39</v>
      </c>
      <c r="B85" s="321" t="s">
        <v>181</v>
      </c>
      <c r="C85" s="207">
        <v>18</v>
      </c>
      <c r="D85" s="207">
        <v>1.8</v>
      </c>
      <c r="E85" s="357"/>
      <c r="F85" s="298">
        <f>SUM(C85:E85)</f>
        <v>19.8</v>
      </c>
      <c r="G85" s="299">
        <f>+F85-J85</f>
        <v>2.0500000000000007</v>
      </c>
      <c r="H85" s="207">
        <v>16</v>
      </c>
      <c r="I85" s="207">
        <v>1.75</v>
      </c>
      <c r="J85" s="299">
        <f>SUM(H85:I85)</f>
        <v>17.75</v>
      </c>
      <c r="K85" s="141"/>
    </row>
    <row r="86" spans="1:11" ht="15.95" customHeight="1">
      <c r="A86" s="296"/>
      <c r="B86" s="321"/>
      <c r="C86" s="207"/>
      <c r="D86" s="207"/>
      <c r="E86" s="357"/>
      <c r="F86" s="298"/>
      <c r="G86" s="454"/>
      <c r="H86" s="207"/>
      <c r="I86" s="207"/>
      <c r="J86" s="299"/>
      <c r="K86" s="141"/>
    </row>
    <row r="87" spans="1:11" ht="15.95" customHeight="1">
      <c r="A87" s="296">
        <v>40</v>
      </c>
      <c r="B87" s="321" t="s">
        <v>182</v>
      </c>
      <c r="C87" s="207">
        <v>4</v>
      </c>
      <c r="D87" s="207"/>
      <c r="E87" s="357"/>
      <c r="F87" s="298">
        <f>SUM(C87:E87)</f>
        <v>4</v>
      </c>
      <c r="G87" s="299">
        <f>+F87-J87</f>
        <v>0</v>
      </c>
      <c r="H87" s="207">
        <v>4</v>
      </c>
      <c r="I87" s="207"/>
      <c r="J87" s="299">
        <f>SUM(H87:I87)</f>
        <v>4</v>
      </c>
      <c r="K87" s="141"/>
    </row>
    <row r="88" spans="1:11" ht="15.95" customHeight="1">
      <c r="A88" s="296"/>
      <c r="B88" s="321"/>
      <c r="C88" s="207"/>
      <c r="D88" s="207"/>
      <c r="E88" s="357"/>
      <c r="F88" s="298"/>
      <c r="G88" s="454"/>
      <c r="H88" s="207"/>
      <c r="I88" s="207"/>
      <c r="J88" s="299"/>
      <c r="K88" s="141"/>
    </row>
    <row r="89" spans="1:11" ht="15.95" customHeight="1">
      <c r="A89" s="296">
        <v>41</v>
      </c>
      <c r="B89" s="321" t="s">
        <v>183</v>
      </c>
      <c r="C89" s="207">
        <v>5</v>
      </c>
      <c r="D89" s="207"/>
      <c r="E89" s="357"/>
      <c r="F89" s="298">
        <f>SUM(C89:E89)</f>
        <v>5</v>
      </c>
      <c r="G89" s="299">
        <f>+F89-J89</f>
        <v>1</v>
      </c>
      <c r="H89" s="207">
        <v>4</v>
      </c>
      <c r="I89" s="207"/>
      <c r="J89" s="299">
        <f>SUM(H89:I89)</f>
        <v>4</v>
      </c>
      <c r="K89" s="141"/>
    </row>
    <row r="90" spans="1:11" ht="15.95" customHeight="1">
      <c r="A90" s="296"/>
      <c r="B90" s="321"/>
      <c r="C90" s="207"/>
      <c r="D90" s="207"/>
      <c r="E90" s="357"/>
      <c r="F90" s="298"/>
      <c r="G90" s="454"/>
      <c r="H90" s="207"/>
      <c r="I90" s="207"/>
      <c r="J90" s="299"/>
      <c r="K90" s="141"/>
    </row>
    <row r="91" spans="1:11" ht="15.95" customHeight="1">
      <c r="A91" s="296">
        <v>42</v>
      </c>
      <c r="B91" s="297" t="s">
        <v>184</v>
      </c>
      <c r="C91" s="207">
        <v>75</v>
      </c>
      <c r="D91" s="207"/>
      <c r="E91" s="357"/>
      <c r="F91" s="298">
        <f>SUM(C91:E91)</f>
        <v>75</v>
      </c>
      <c r="G91" s="299">
        <v>25</v>
      </c>
      <c r="H91" s="207">
        <v>65</v>
      </c>
      <c r="I91" s="207"/>
      <c r="J91" s="299">
        <f>SUM(H91:I91)</f>
        <v>65</v>
      </c>
      <c r="K91" s="141"/>
    </row>
    <row r="92" spans="1:11" ht="15.95" customHeight="1">
      <c r="A92" s="296"/>
      <c r="B92" s="321"/>
      <c r="C92" s="207"/>
      <c r="D92" s="207"/>
      <c r="E92" s="357"/>
      <c r="F92" s="298"/>
      <c r="G92" s="454"/>
      <c r="H92" s="207"/>
      <c r="I92" s="207"/>
      <c r="J92" s="299"/>
      <c r="K92" s="141"/>
    </row>
    <row r="93" spans="1:11" ht="15.95" customHeight="1">
      <c r="A93" s="296">
        <v>43</v>
      </c>
      <c r="B93" s="321" t="s">
        <v>185</v>
      </c>
      <c r="C93" s="207">
        <v>38</v>
      </c>
      <c r="D93" s="207">
        <v>0.5</v>
      </c>
      <c r="E93" s="357"/>
      <c r="F93" s="298">
        <f>SUM(C93:E93)</f>
        <v>38.5</v>
      </c>
      <c r="G93" s="299">
        <f>+F93-J93</f>
        <v>2.5</v>
      </c>
      <c r="H93" s="207">
        <v>35</v>
      </c>
      <c r="I93" s="207">
        <v>1</v>
      </c>
      <c r="J93" s="299">
        <f>SUM(H93:I93)</f>
        <v>36</v>
      </c>
      <c r="K93" s="141"/>
    </row>
    <row r="94" spans="1:11" ht="15.95" customHeight="1">
      <c r="A94" s="296"/>
      <c r="B94" s="321"/>
      <c r="C94" s="207"/>
      <c r="D94" s="207"/>
      <c r="E94" s="357"/>
      <c r="F94" s="298"/>
      <c r="G94" s="454"/>
      <c r="H94" s="207"/>
      <c r="I94" s="207"/>
      <c r="J94" s="299"/>
      <c r="K94" s="141"/>
    </row>
    <row r="95" spans="1:11" ht="15.95" customHeight="1">
      <c r="A95" s="296">
        <v>44</v>
      </c>
      <c r="B95" s="321" t="s">
        <v>186</v>
      </c>
      <c r="C95" s="207">
        <v>9</v>
      </c>
      <c r="D95" s="207"/>
      <c r="E95" s="357"/>
      <c r="F95" s="298">
        <f>SUM(C95:E95)</f>
        <v>9</v>
      </c>
      <c r="G95" s="299">
        <f>+F95-J95</f>
        <v>0</v>
      </c>
      <c r="H95" s="207">
        <v>9</v>
      </c>
      <c r="I95" s="207"/>
      <c r="J95" s="299">
        <f>SUM(H95:I95)</f>
        <v>9</v>
      </c>
      <c r="K95" s="141"/>
    </row>
    <row r="96" spans="1:11" ht="15.95" customHeight="1">
      <c r="A96" s="296"/>
      <c r="B96" s="321"/>
      <c r="C96" s="207"/>
      <c r="D96" s="207"/>
      <c r="E96" s="357"/>
      <c r="F96" s="298"/>
      <c r="G96" s="454"/>
      <c r="H96" s="207"/>
      <c r="I96" s="207"/>
      <c r="J96" s="299"/>
      <c r="K96" s="141"/>
    </row>
    <row r="97" spans="1:11" ht="15.95" customHeight="1">
      <c r="A97" s="296">
        <v>45</v>
      </c>
      <c r="B97" s="297" t="s">
        <v>187</v>
      </c>
      <c r="C97" s="207">
        <v>23</v>
      </c>
      <c r="D97" s="207"/>
      <c r="E97" s="357"/>
      <c r="F97" s="298">
        <f>SUM(C97:E97)</f>
        <v>23</v>
      </c>
      <c r="G97" s="299">
        <f>+F97-J97</f>
        <v>0</v>
      </c>
      <c r="H97" s="207">
        <v>23</v>
      </c>
      <c r="I97" s="207"/>
      <c r="J97" s="299">
        <f>SUM(H97:I97)</f>
        <v>23</v>
      </c>
      <c r="K97" s="141"/>
    </row>
    <row r="98" spans="1:11" ht="15.95" customHeight="1">
      <c r="A98" s="296"/>
      <c r="B98" s="321"/>
      <c r="C98" s="207"/>
      <c r="D98" s="207"/>
      <c r="E98" s="357"/>
      <c r="F98" s="298"/>
      <c r="G98" s="454"/>
      <c r="H98" s="207"/>
      <c r="I98" s="207"/>
      <c r="J98" s="299"/>
      <c r="K98" s="141"/>
    </row>
    <row r="99" spans="1:11" ht="15.95" customHeight="1">
      <c r="A99" s="296">
        <v>46</v>
      </c>
      <c r="B99" s="297" t="s">
        <v>188</v>
      </c>
      <c r="C99" s="207">
        <v>60</v>
      </c>
      <c r="D99" s="207"/>
      <c r="E99" s="357"/>
      <c r="F99" s="298">
        <f>SUM(C99:E99)</f>
        <v>60</v>
      </c>
      <c r="G99" s="299">
        <f>+F99-J99</f>
        <v>0</v>
      </c>
      <c r="H99" s="207">
        <v>60</v>
      </c>
      <c r="I99" s="207"/>
      <c r="J99" s="299">
        <f>SUM(H99:I99)</f>
        <v>60</v>
      </c>
      <c r="K99" s="141"/>
    </row>
    <row r="100" spans="1:11" ht="15.95" customHeight="1">
      <c r="A100" s="296"/>
      <c r="B100" s="321"/>
      <c r="C100" s="207"/>
      <c r="D100" s="207"/>
      <c r="E100" s="357"/>
      <c r="F100" s="298"/>
      <c r="G100" s="454"/>
      <c r="H100" s="207"/>
      <c r="I100" s="207"/>
      <c r="J100" s="299"/>
      <c r="K100" s="141"/>
    </row>
    <row r="101" spans="1:11" ht="15.95" customHeight="1">
      <c r="A101" s="296">
        <v>47</v>
      </c>
      <c r="B101" s="321" t="s">
        <v>189</v>
      </c>
      <c r="C101" s="207">
        <v>9</v>
      </c>
      <c r="D101" s="207"/>
      <c r="E101" s="357"/>
      <c r="F101" s="298">
        <f>SUM(C101:E101)</f>
        <v>9</v>
      </c>
      <c r="G101" s="299">
        <f>+F101-J101</f>
        <v>1</v>
      </c>
      <c r="H101" s="207">
        <v>8</v>
      </c>
      <c r="I101" s="207"/>
      <c r="J101" s="299">
        <f>SUM(H101:I101)</f>
        <v>8</v>
      </c>
      <c r="K101" s="141"/>
    </row>
    <row r="102" spans="1:11" ht="15.95" customHeight="1">
      <c r="A102" s="296"/>
      <c r="B102" s="321"/>
      <c r="C102" s="207"/>
      <c r="D102" s="207"/>
      <c r="E102" s="357"/>
      <c r="F102" s="298"/>
      <c r="G102" s="454"/>
      <c r="H102" s="207"/>
      <c r="I102" s="207"/>
      <c r="J102" s="299"/>
      <c r="K102" s="141"/>
    </row>
    <row r="103" spans="1:11" ht="15.95" customHeight="1">
      <c r="A103" s="296">
        <v>48</v>
      </c>
      <c r="B103" s="321" t="s">
        <v>190</v>
      </c>
      <c r="C103" s="207">
        <v>55</v>
      </c>
      <c r="D103" s="207">
        <v>12</v>
      </c>
      <c r="E103" s="357">
        <v>100</v>
      </c>
      <c r="F103" s="298">
        <f>SUM(C103:E103)</f>
        <v>167</v>
      </c>
      <c r="G103" s="299">
        <f>+F103-J103</f>
        <v>55</v>
      </c>
      <c r="H103" s="207">
        <v>105</v>
      </c>
      <c r="I103" s="207">
        <v>7</v>
      </c>
      <c r="J103" s="299">
        <f>SUM(H103:I103)</f>
        <v>112</v>
      </c>
      <c r="K103" s="141"/>
    </row>
    <row r="104" spans="1:11" ht="15.95" customHeight="1">
      <c r="A104" s="296"/>
      <c r="B104" s="321"/>
      <c r="C104" s="207"/>
      <c r="D104" s="207"/>
      <c r="E104" s="357"/>
      <c r="F104" s="298"/>
      <c r="G104" s="454"/>
      <c r="H104" s="207"/>
      <c r="I104" s="207"/>
      <c r="J104" s="299"/>
      <c r="K104" s="141"/>
    </row>
    <row r="105" spans="1:11" ht="15.95" customHeight="1">
      <c r="A105" s="296">
        <v>49</v>
      </c>
      <c r="B105" s="297" t="s">
        <v>191</v>
      </c>
      <c r="C105" s="207">
        <v>2</v>
      </c>
      <c r="D105" s="207"/>
      <c r="E105" s="357"/>
      <c r="F105" s="298">
        <f>SUM(C105:E105)</f>
        <v>2</v>
      </c>
      <c r="G105" s="299">
        <f>+F105-J105</f>
        <v>0</v>
      </c>
      <c r="H105" s="207">
        <v>2</v>
      </c>
      <c r="I105" s="207"/>
      <c r="J105" s="299">
        <f>SUM(H105:I105)</f>
        <v>2</v>
      </c>
      <c r="K105" s="141"/>
    </row>
    <row r="106" spans="1:11" ht="15.95" customHeight="1">
      <c r="A106" s="296"/>
      <c r="B106" s="321"/>
      <c r="C106" s="207"/>
      <c r="D106" s="207"/>
      <c r="E106" s="357"/>
      <c r="F106" s="298"/>
      <c r="G106" s="454"/>
      <c r="H106" s="207"/>
      <c r="I106" s="207"/>
      <c r="J106" s="299"/>
      <c r="K106" s="141"/>
    </row>
    <row r="107" spans="1:11" ht="15.95" customHeight="1">
      <c r="A107" s="296">
        <v>50</v>
      </c>
      <c r="B107" s="321" t="s">
        <v>192</v>
      </c>
      <c r="C107" s="207">
        <v>4</v>
      </c>
      <c r="D107" s="207"/>
      <c r="E107" s="357"/>
      <c r="F107" s="298">
        <f>SUM(C107:E107)</f>
        <v>4</v>
      </c>
      <c r="G107" s="299">
        <f>+F107-J107</f>
        <v>0</v>
      </c>
      <c r="H107" s="207">
        <v>4</v>
      </c>
      <c r="I107" s="207"/>
      <c r="J107" s="299">
        <f>SUM(H107:I107)</f>
        <v>4</v>
      </c>
      <c r="K107" s="141"/>
    </row>
    <row r="108" spans="1:11" ht="15.95" customHeight="1">
      <c r="A108" s="296"/>
      <c r="B108" s="321"/>
      <c r="C108" s="207"/>
      <c r="D108" s="207"/>
      <c r="E108" s="357"/>
      <c r="F108" s="298"/>
      <c r="G108" s="454"/>
      <c r="H108" s="207"/>
      <c r="I108" s="207"/>
      <c r="J108" s="299"/>
      <c r="K108" s="141"/>
    </row>
    <row r="109" spans="1:11" ht="15.95" customHeight="1">
      <c r="A109" s="296">
        <v>51</v>
      </c>
      <c r="B109" s="297" t="s">
        <v>193</v>
      </c>
      <c r="C109" s="207">
        <v>2</v>
      </c>
      <c r="D109" s="207"/>
      <c r="E109" s="357"/>
      <c r="F109" s="298">
        <f>SUM(C109:E109)</f>
        <v>2</v>
      </c>
      <c r="G109" s="299">
        <f>+F109-J109</f>
        <v>0</v>
      </c>
      <c r="H109" s="207">
        <v>2</v>
      </c>
      <c r="I109" s="207"/>
      <c r="J109" s="299">
        <f>SUM(H109:I109)</f>
        <v>2</v>
      </c>
      <c r="K109" s="141"/>
    </row>
    <row r="110" spans="1:11" ht="15.95" customHeight="1">
      <c r="A110" s="296"/>
      <c r="B110" s="321"/>
      <c r="C110" s="207"/>
      <c r="D110" s="207"/>
      <c r="E110" s="357"/>
      <c r="F110" s="298"/>
      <c r="G110" s="454"/>
      <c r="H110" s="207"/>
      <c r="I110" s="207"/>
      <c r="J110" s="299"/>
      <c r="K110" s="141"/>
    </row>
    <row r="111" spans="1:11" ht="15.95" customHeight="1">
      <c r="A111" s="296">
        <v>52</v>
      </c>
      <c r="B111" s="297" t="s">
        <v>194</v>
      </c>
      <c r="C111" s="207">
        <v>1</v>
      </c>
      <c r="D111" s="207"/>
      <c r="E111" s="357"/>
      <c r="F111" s="298">
        <f>SUM(C111:E111)</f>
        <v>1</v>
      </c>
      <c r="G111" s="299">
        <f>+F111-J111</f>
        <v>0</v>
      </c>
      <c r="H111" s="207">
        <v>1</v>
      </c>
      <c r="I111" s="207"/>
      <c r="J111" s="299">
        <f>SUM(H111:I111)</f>
        <v>1</v>
      </c>
      <c r="K111" s="141"/>
    </row>
    <row r="112" spans="1:11" ht="15.95" customHeight="1">
      <c r="A112" s="296"/>
      <c r="B112" s="321"/>
      <c r="C112" s="207"/>
      <c r="D112" s="207"/>
      <c r="E112" s="357"/>
      <c r="F112" s="298"/>
      <c r="G112" s="454"/>
      <c r="H112" s="207"/>
      <c r="I112" s="207"/>
      <c r="J112" s="299"/>
      <c r="K112" s="141"/>
    </row>
    <row r="113" spans="1:11" ht="15.95" customHeight="1">
      <c r="A113" s="296">
        <v>53</v>
      </c>
      <c r="B113" s="297" t="s">
        <v>195</v>
      </c>
      <c r="C113" s="207">
        <v>3</v>
      </c>
      <c r="D113" s="207"/>
      <c r="E113" s="357"/>
      <c r="F113" s="298">
        <f>SUM(C113:E113)</f>
        <v>3</v>
      </c>
      <c r="G113" s="299">
        <f>+F113-J113</f>
        <v>0</v>
      </c>
      <c r="H113" s="207">
        <v>3</v>
      </c>
      <c r="I113" s="207"/>
      <c r="J113" s="299">
        <f>SUM(H113:I113)</f>
        <v>3</v>
      </c>
      <c r="K113" s="141"/>
    </row>
    <row r="114" spans="1:11" ht="15.95" customHeight="1">
      <c r="A114" s="296"/>
      <c r="B114" s="321"/>
      <c r="C114" s="207"/>
      <c r="D114" s="207"/>
      <c r="E114" s="357"/>
      <c r="F114" s="298"/>
      <c r="G114" s="454"/>
      <c r="H114" s="207"/>
      <c r="I114" s="207"/>
      <c r="J114" s="299"/>
      <c r="K114" s="141"/>
    </row>
    <row r="115" spans="1:11" ht="15.95" customHeight="1">
      <c r="A115" s="296">
        <v>54</v>
      </c>
      <c r="B115" s="321" t="s">
        <v>196</v>
      </c>
      <c r="C115" s="207">
        <v>2</v>
      </c>
      <c r="D115" s="207"/>
      <c r="E115" s="357"/>
      <c r="F115" s="298">
        <f>SUM(C115:E115)</f>
        <v>2</v>
      </c>
      <c r="G115" s="299">
        <f>+F115-J115</f>
        <v>0</v>
      </c>
      <c r="H115" s="207">
        <v>2</v>
      </c>
      <c r="I115" s="207"/>
      <c r="J115" s="299">
        <f>SUM(H115:I115)</f>
        <v>2</v>
      </c>
      <c r="K115" s="141"/>
    </row>
    <row r="116" spans="1:11" ht="15.95" customHeight="1">
      <c r="A116" s="296"/>
      <c r="B116" s="321"/>
      <c r="C116" s="207"/>
      <c r="D116" s="207"/>
      <c r="E116" s="357"/>
      <c r="F116" s="298"/>
      <c r="G116" s="454"/>
      <c r="H116" s="207"/>
      <c r="I116" s="207"/>
      <c r="J116" s="299"/>
      <c r="K116" s="141"/>
    </row>
    <row r="117" spans="1:11" ht="15.95" customHeight="1">
      <c r="A117" s="296">
        <v>55</v>
      </c>
      <c r="B117" s="321" t="s">
        <v>197</v>
      </c>
      <c r="C117" s="207">
        <v>1</v>
      </c>
      <c r="D117" s="207"/>
      <c r="E117" s="357"/>
      <c r="F117" s="298">
        <f>SUM(C117:E117)</f>
        <v>1</v>
      </c>
      <c r="G117" s="299">
        <f>+F117-J117</f>
        <v>0</v>
      </c>
      <c r="H117" s="207">
        <v>1</v>
      </c>
      <c r="I117" s="207"/>
      <c r="J117" s="299">
        <f>SUM(H117:I117)</f>
        <v>1</v>
      </c>
      <c r="K117" s="141"/>
    </row>
    <row r="118" spans="1:11" ht="15.95" customHeight="1">
      <c r="A118" s="296"/>
      <c r="B118" s="321"/>
      <c r="C118" s="207"/>
      <c r="D118" s="207"/>
      <c r="E118" s="357"/>
      <c r="F118" s="298"/>
      <c r="G118" s="454"/>
      <c r="H118" s="207"/>
      <c r="I118" s="207"/>
      <c r="J118" s="299"/>
      <c r="K118" s="141"/>
    </row>
    <row r="119" spans="1:11" ht="15.95" customHeight="1">
      <c r="A119" s="296">
        <v>56</v>
      </c>
      <c r="B119" s="321" t="s">
        <v>198</v>
      </c>
      <c r="C119" s="207">
        <v>2</v>
      </c>
      <c r="D119" s="207"/>
      <c r="E119" s="357"/>
      <c r="F119" s="298">
        <f>SUM(C119:E119)</f>
        <v>2</v>
      </c>
      <c r="G119" s="299">
        <f>+F119-J119</f>
        <v>0</v>
      </c>
      <c r="H119" s="207">
        <v>2</v>
      </c>
      <c r="I119" s="207"/>
      <c r="J119" s="299">
        <f>SUM(H119:I119)</f>
        <v>2</v>
      </c>
      <c r="K119" s="141"/>
    </row>
    <row r="120" spans="1:11" ht="15.95" customHeight="1">
      <c r="A120" s="296"/>
      <c r="B120" s="297"/>
      <c r="C120" s="207"/>
      <c r="D120" s="207"/>
      <c r="E120" s="357"/>
      <c r="F120" s="298"/>
      <c r="G120" s="454"/>
      <c r="H120" s="207"/>
      <c r="I120" s="207"/>
      <c r="J120" s="299"/>
      <c r="K120" s="141"/>
    </row>
    <row r="121" spans="1:11" ht="15.95" customHeight="1">
      <c r="A121" s="296">
        <v>57</v>
      </c>
      <c r="B121" s="321" t="s">
        <v>199</v>
      </c>
      <c r="C121" s="207">
        <v>9</v>
      </c>
      <c r="D121" s="207"/>
      <c r="E121" s="357"/>
      <c r="F121" s="298">
        <f>SUM(C121:E121)</f>
        <v>9</v>
      </c>
      <c r="G121" s="299">
        <f>+F121-J121</f>
        <v>0</v>
      </c>
      <c r="H121" s="207">
        <v>9</v>
      </c>
      <c r="I121" s="207"/>
      <c r="J121" s="299">
        <f>SUM(H121:I121)</f>
        <v>9</v>
      </c>
      <c r="K121" s="141"/>
    </row>
    <row r="122" spans="1:11" ht="15.95" customHeight="1">
      <c r="A122" s="296"/>
      <c r="B122" s="297"/>
      <c r="C122" s="207"/>
      <c r="D122" s="207"/>
      <c r="E122" s="357"/>
      <c r="F122" s="298"/>
      <c r="G122" s="454"/>
      <c r="H122" s="207"/>
      <c r="I122" s="207"/>
      <c r="J122" s="299"/>
      <c r="K122" s="141"/>
    </row>
    <row r="123" spans="1:11" ht="15.95" customHeight="1">
      <c r="A123" s="296">
        <v>58</v>
      </c>
      <c r="B123" s="321" t="s">
        <v>200</v>
      </c>
      <c r="C123" s="207">
        <v>2</v>
      </c>
      <c r="D123" s="207"/>
      <c r="E123" s="357"/>
      <c r="F123" s="298">
        <f>SUM(C123:E123)</f>
        <v>2</v>
      </c>
      <c r="G123" s="299">
        <f>+F123-J123</f>
        <v>0</v>
      </c>
      <c r="H123" s="207">
        <v>2</v>
      </c>
      <c r="I123" s="207"/>
      <c r="J123" s="299">
        <f>SUM(H123:I123)</f>
        <v>2</v>
      </c>
      <c r="K123" s="141"/>
    </row>
    <row r="124" spans="1:11" ht="15.95" customHeight="1">
      <c r="A124" s="296"/>
      <c r="B124" s="297"/>
      <c r="C124" s="207"/>
      <c r="D124" s="207"/>
      <c r="E124" s="357"/>
      <c r="F124" s="298"/>
      <c r="G124" s="454"/>
      <c r="H124" s="207"/>
      <c r="I124" s="207"/>
      <c r="J124" s="299"/>
      <c r="K124" s="141"/>
    </row>
    <row r="125" spans="1:11" ht="15.95" customHeight="1">
      <c r="A125" s="296">
        <v>59</v>
      </c>
      <c r="B125" s="321" t="s">
        <v>201</v>
      </c>
      <c r="C125" s="207">
        <v>2</v>
      </c>
      <c r="D125" s="207"/>
      <c r="E125" s="357"/>
      <c r="F125" s="298">
        <f>SUM(C125:E125)</f>
        <v>2</v>
      </c>
      <c r="G125" s="299">
        <f>+F125-J125</f>
        <v>0</v>
      </c>
      <c r="H125" s="207">
        <v>2</v>
      </c>
      <c r="I125" s="207"/>
      <c r="J125" s="299">
        <f>SUM(H125:I125)</f>
        <v>2</v>
      </c>
      <c r="K125" s="141"/>
    </row>
    <row r="126" spans="1:11" ht="15.95" customHeight="1">
      <c r="A126" s="296"/>
      <c r="B126" s="297"/>
      <c r="C126" s="207"/>
      <c r="D126" s="207"/>
      <c r="E126" s="357"/>
      <c r="F126" s="298"/>
      <c r="G126" s="454"/>
      <c r="H126" s="207"/>
      <c r="I126" s="207"/>
      <c r="J126" s="299"/>
      <c r="K126" s="141"/>
    </row>
    <row r="127" spans="1:11" ht="15.95" customHeight="1">
      <c r="A127" s="296">
        <v>60</v>
      </c>
      <c r="B127" s="321" t="s">
        <v>202</v>
      </c>
      <c r="C127" s="207">
        <v>1</v>
      </c>
      <c r="D127" s="207"/>
      <c r="E127" s="357"/>
      <c r="F127" s="298">
        <f>SUM(C127:E127)</f>
        <v>1</v>
      </c>
      <c r="G127" s="299">
        <f>+F127-J127</f>
        <v>0</v>
      </c>
      <c r="H127" s="207">
        <v>1</v>
      </c>
      <c r="I127" s="207"/>
      <c r="J127" s="299">
        <f>SUM(H127:I127)</f>
        <v>1</v>
      </c>
      <c r="K127" s="141"/>
    </row>
    <row r="128" spans="1:11" ht="15.95" customHeight="1">
      <c r="A128" s="296"/>
      <c r="B128" s="297"/>
      <c r="C128" s="207"/>
      <c r="D128" s="207"/>
      <c r="E128" s="357"/>
      <c r="F128" s="298"/>
      <c r="G128" s="454"/>
      <c r="H128" s="207"/>
      <c r="I128" s="207"/>
      <c r="J128" s="299"/>
      <c r="K128" s="141"/>
    </row>
    <row r="129" spans="1:11" ht="15.95" customHeight="1">
      <c r="A129" s="296">
        <v>61</v>
      </c>
      <c r="B129" s="297" t="s">
        <v>203</v>
      </c>
      <c r="C129" s="207">
        <v>85</v>
      </c>
      <c r="D129" s="207"/>
      <c r="E129" s="357"/>
      <c r="F129" s="298">
        <f>SUM(C129:E129)</f>
        <v>85</v>
      </c>
      <c r="G129" s="299">
        <f>+F129-J129</f>
        <v>0</v>
      </c>
      <c r="H129" s="207">
        <v>85</v>
      </c>
      <c r="I129" s="207"/>
      <c r="J129" s="299">
        <f>SUM(H129:I129)</f>
        <v>85</v>
      </c>
      <c r="K129" s="141"/>
    </row>
    <row r="130" spans="1:11" ht="15.95" customHeight="1">
      <c r="A130" s="296"/>
      <c r="B130" s="297"/>
      <c r="C130" s="207"/>
      <c r="D130" s="207"/>
      <c r="E130" s="357"/>
      <c r="F130" s="298"/>
      <c r="G130" s="454"/>
      <c r="H130" s="207"/>
      <c r="I130" s="207"/>
      <c r="J130" s="299"/>
      <c r="K130" s="141"/>
    </row>
    <row r="131" spans="1:11" ht="15.95" customHeight="1">
      <c r="A131" s="296">
        <v>62</v>
      </c>
      <c r="B131" s="321" t="s">
        <v>204</v>
      </c>
      <c r="C131" s="207">
        <v>11</v>
      </c>
      <c r="D131" s="207"/>
      <c r="E131" s="357"/>
      <c r="F131" s="298">
        <f>SUM(C131:E131)</f>
        <v>11</v>
      </c>
      <c r="G131" s="299">
        <f>+F131-J131</f>
        <v>0</v>
      </c>
      <c r="H131" s="207">
        <v>11</v>
      </c>
      <c r="I131" s="207"/>
      <c r="J131" s="299">
        <f>SUM(H131:I131)</f>
        <v>11</v>
      </c>
      <c r="K131" s="141"/>
    </row>
    <row r="132" spans="1:11" ht="15.95" customHeight="1">
      <c r="A132" s="296"/>
      <c r="B132" s="297"/>
      <c r="C132" s="207"/>
      <c r="D132" s="207"/>
      <c r="E132" s="357"/>
      <c r="F132" s="298"/>
      <c r="G132" s="454"/>
      <c r="H132" s="207"/>
      <c r="I132" s="207"/>
      <c r="J132" s="299"/>
      <c r="K132" s="141"/>
    </row>
    <row r="133" spans="1:11" ht="15.95" customHeight="1">
      <c r="A133" s="296">
        <v>63</v>
      </c>
      <c r="B133" s="321" t="s">
        <v>205</v>
      </c>
      <c r="C133" s="207">
        <v>1</v>
      </c>
      <c r="D133" s="207"/>
      <c r="E133" s="357"/>
      <c r="F133" s="298">
        <f>SUM(C133:E133)</f>
        <v>1</v>
      </c>
      <c r="G133" s="299">
        <f>+F133-J133</f>
        <v>0</v>
      </c>
      <c r="H133" s="207">
        <v>1</v>
      </c>
      <c r="I133" s="207"/>
      <c r="J133" s="299">
        <f>SUM(H133:I133)</f>
        <v>1</v>
      </c>
      <c r="K133" s="141"/>
    </row>
    <row r="134" spans="1:11" ht="15.95" customHeight="1">
      <c r="A134" s="296"/>
      <c r="B134" s="297"/>
      <c r="C134" s="207"/>
      <c r="D134" s="207"/>
      <c r="E134" s="357"/>
      <c r="F134" s="298"/>
      <c r="G134" s="454"/>
      <c r="H134" s="207"/>
      <c r="I134" s="207"/>
      <c r="J134" s="299"/>
      <c r="K134" s="141"/>
    </row>
    <row r="135" spans="1:11" ht="15.95" customHeight="1">
      <c r="A135" s="296">
        <v>64</v>
      </c>
      <c r="B135" s="321" t="s">
        <v>206</v>
      </c>
      <c r="C135" s="207">
        <v>16</v>
      </c>
      <c r="D135" s="207"/>
      <c r="E135" s="357"/>
      <c r="F135" s="298">
        <f>SUM(C135:E135)</f>
        <v>16</v>
      </c>
      <c r="G135" s="299">
        <f>+F135-J135</f>
        <v>0</v>
      </c>
      <c r="H135" s="207">
        <v>16</v>
      </c>
      <c r="I135" s="207"/>
      <c r="J135" s="299">
        <f>SUM(H135:I135)</f>
        <v>16</v>
      </c>
      <c r="K135" s="141"/>
    </row>
    <row r="136" spans="1:11" ht="15.95" customHeight="1">
      <c r="A136" s="296"/>
      <c r="B136" s="297"/>
      <c r="C136" s="207"/>
      <c r="D136" s="207"/>
      <c r="E136" s="357"/>
      <c r="F136" s="298"/>
      <c r="G136" s="454"/>
      <c r="H136" s="207"/>
      <c r="I136" s="207"/>
      <c r="J136" s="299"/>
      <c r="K136" s="141"/>
    </row>
    <row r="137" spans="1:11" ht="15.95" customHeight="1">
      <c r="A137" s="296">
        <v>65</v>
      </c>
      <c r="B137" s="321" t="s">
        <v>207</v>
      </c>
      <c r="C137" s="207">
        <v>1</v>
      </c>
      <c r="D137" s="207"/>
      <c r="E137" s="357"/>
      <c r="F137" s="298">
        <f>SUM(C137:E137)</f>
        <v>1</v>
      </c>
      <c r="G137" s="299">
        <f>+F137-J137</f>
        <v>0</v>
      </c>
      <c r="H137" s="207">
        <v>1</v>
      </c>
      <c r="I137" s="207"/>
      <c r="J137" s="299">
        <f>SUM(H137:I137)</f>
        <v>1</v>
      </c>
      <c r="K137" s="141"/>
    </row>
    <row r="138" spans="1:11" ht="15.95" customHeight="1">
      <c r="A138" s="296"/>
      <c r="B138" s="297"/>
      <c r="C138" s="207"/>
      <c r="D138" s="207"/>
      <c r="E138" s="357"/>
      <c r="F138" s="298"/>
      <c r="G138" s="454"/>
      <c r="H138" s="207"/>
      <c r="I138" s="207"/>
      <c r="J138" s="299"/>
      <c r="K138" s="141"/>
    </row>
    <row r="139" spans="1:11" ht="15.95" customHeight="1">
      <c r="A139" s="296">
        <v>66</v>
      </c>
      <c r="B139" s="321" t="s">
        <v>208</v>
      </c>
      <c r="C139" s="207">
        <v>1</v>
      </c>
      <c r="D139" s="207"/>
      <c r="E139" s="357"/>
      <c r="F139" s="298">
        <f>SUM(C139:E139)</f>
        <v>1</v>
      </c>
      <c r="G139" s="299">
        <f>+F139-J139</f>
        <v>0</v>
      </c>
      <c r="H139" s="207">
        <v>1</v>
      </c>
      <c r="I139" s="207"/>
      <c r="J139" s="299">
        <f>SUM(H139:I139)</f>
        <v>1</v>
      </c>
      <c r="K139" s="141"/>
    </row>
    <row r="140" spans="1:11" ht="15.95" customHeight="1">
      <c r="A140" s="296"/>
      <c r="B140" s="297"/>
      <c r="C140" s="207"/>
      <c r="D140" s="207"/>
      <c r="E140" s="357"/>
      <c r="F140" s="298"/>
      <c r="G140" s="454"/>
      <c r="H140" s="207"/>
      <c r="I140" s="207"/>
      <c r="J140" s="299"/>
      <c r="K140" s="141"/>
    </row>
    <row r="141" spans="1:11" ht="15.95" customHeight="1">
      <c r="A141" s="296">
        <v>67</v>
      </c>
      <c r="B141" s="297" t="s">
        <v>209</v>
      </c>
      <c r="C141" s="207">
        <v>27</v>
      </c>
      <c r="D141" s="207"/>
      <c r="E141" s="357"/>
      <c r="F141" s="298">
        <f>SUM(C141:E141)</f>
        <v>27</v>
      </c>
      <c r="G141" s="299">
        <f>+F141-J141</f>
        <v>0</v>
      </c>
      <c r="H141" s="207">
        <v>27</v>
      </c>
      <c r="I141" s="207"/>
      <c r="J141" s="299">
        <f>SUM(H141:I141)</f>
        <v>27</v>
      </c>
      <c r="K141" s="141"/>
    </row>
    <row r="142" spans="1:11" ht="15.95" customHeight="1">
      <c r="A142" s="296"/>
      <c r="B142" s="297"/>
      <c r="C142" s="207"/>
      <c r="D142" s="207"/>
      <c r="E142" s="357"/>
      <c r="F142" s="298"/>
      <c r="G142" s="454"/>
      <c r="H142" s="207"/>
      <c r="I142" s="207"/>
      <c r="J142" s="299"/>
      <c r="K142" s="141"/>
    </row>
    <row r="143" spans="1:11" ht="15.95" customHeight="1">
      <c r="A143" s="296">
        <v>68</v>
      </c>
      <c r="B143" s="297" t="s">
        <v>210</v>
      </c>
      <c r="C143" s="207">
        <v>17</v>
      </c>
      <c r="D143" s="207"/>
      <c r="E143" s="357"/>
      <c r="F143" s="298">
        <f>SUM(C143:E143)</f>
        <v>17</v>
      </c>
      <c r="G143" s="299">
        <f>+F143-J143</f>
        <v>0</v>
      </c>
      <c r="H143" s="207">
        <v>17</v>
      </c>
      <c r="I143" s="207"/>
      <c r="J143" s="299">
        <f>SUM(H143:I143)</f>
        <v>17</v>
      </c>
      <c r="K143" s="141"/>
    </row>
    <row r="144" spans="1:11" ht="15.95" customHeight="1">
      <c r="A144" s="296"/>
      <c r="B144" s="297"/>
      <c r="C144" s="207"/>
      <c r="D144" s="207"/>
      <c r="E144" s="357"/>
      <c r="F144" s="298"/>
      <c r="G144" s="454"/>
      <c r="H144" s="207"/>
      <c r="I144" s="207"/>
      <c r="J144" s="299"/>
      <c r="K144" s="141"/>
    </row>
    <row r="145" spans="1:11" ht="15.95" customHeight="1">
      <c r="A145" s="296">
        <v>69</v>
      </c>
      <c r="B145" s="297" t="s">
        <v>211</v>
      </c>
      <c r="C145" s="207">
        <v>25</v>
      </c>
      <c r="D145" s="207"/>
      <c r="E145" s="357"/>
      <c r="F145" s="298">
        <f>SUM(C145:E145)</f>
        <v>25</v>
      </c>
      <c r="G145" s="299">
        <f>+F145-J145</f>
        <v>0</v>
      </c>
      <c r="H145" s="207">
        <v>25</v>
      </c>
      <c r="I145" s="207"/>
      <c r="J145" s="299">
        <f>SUM(H145:I145)</f>
        <v>25</v>
      </c>
      <c r="K145" s="141"/>
    </row>
    <row r="146" spans="1:11" ht="15.95" customHeight="1">
      <c r="A146" s="296"/>
      <c r="B146" s="297"/>
      <c r="C146" s="207"/>
      <c r="D146" s="207"/>
      <c r="E146" s="357"/>
      <c r="F146" s="298"/>
      <c r="G146" s="454"/>
      <c r="H146" s="207"/>
      <c r="I146" s="207"/>
      <c r="J146" s="299"/>
      <c r="K146" s="141"/>
    </row>
    <row r="147" spans="1:11" ht="15.95" customHeight="1">
      <c r="A147" s="296">
        <v>70</v>
      </c>
      <c r="B147" s="321" t="s">
        <v>212</v>
      </c>
      <c r="C147" s="207">
        <v>43</v>
      </c>
      <c r="D147" s="207">
        <v>1</v>
      </c>
      <c r="E147" s="357"/>
      <c r="F147" s="298">
        <f>SUM(C147:E147)</f>
        <v>44</v>
      </c>
      <c r="G147" s="299">
        <f>+F147-J147</f>
        <v>1</v>
      </c>
      <c r="H147" s="207">
        <v>42</v>
      </c>
      <c r="I147" s="207">
        <v>1</v>
      </c>
      <c r="J147" s="299">
        <f>SUM(H147:I147)</f>
        <v>43</v>
      </c>
      <c r="K147" s="141"/>
    </row>
    <row r="148" spans="1:11" ht="15.95" customHeight="1">
      <c r="A148" s="296"/>
      <c r="B148" s="297"/>
      <c r="C148" s="207"/>
      <c r="D148" s="207"/>
      <c r="E148" s="357"/>
      <c r="F148" s="298"/>
      <c r="G148" s="454"/>
      <c r="H148" s="207"/>
      <c r="I148" s="207"/>
      <c r="J148" s="299"/>
      <c r="K148" s="141"/>
    </row>
    <row r="149" spans="1:11" ht="15.95" customHeight="1">
      <c r="A149" s="296">
        <v>71</v>
      </c>
      <c r="B149" s="321" t="s">
        <v>213</v>
      </c>
      <c r="C149" s="207">
        <v>8</v>
      </c>
      <c r="D149" s="207"/>
      <c r="E149" s="357"/>
      <c r="F149" s="298">
        <f>SUM(C149:E149)</f>
        <v>8</v>
      </c>
      <c r="G149" s="299">
        <f>+F149-J149</f>
        <v>0</v>
      </c>
      <c r="H149" s="207">
        <v>8</v>
      </c>
      <c r="I149" s="207"/>
      <c r="J149" s="299">
        <f>SUM(H149:I149)</f>
        <v>8</v>
      </c>
      <c r="K149" s="141"/>
    </row>
    <row r="150" spans="1:11" ht="15.95" customHeight="1">
      <c r="A150" s="296"/>
      <c r="B150" s="297"/>
      <c r="C150" s="207"/>
      <c r="D150" s="207"/>
      <c r="E150" s="357"/>
      <c r="F150" s="298"/>
      <c r="G150" s="454"/>
      <c r="H150" s="207"/>
      <c r="I150" s="207"/>
      <c r="J150" s="299"/>
      <c r="K150" s="141"/>
    </row>
    <row r="151" spans="1:11" ht="15.95" customHeight="1">
      <c r="A151" s="296">
        <v>72</v>
      </c>
      <c r="B151" s="321" t="s">
        <v>214</v>
      </c>
      <c r="C151" s="207">
        <v>21</v>
      </c>
      <c r="D151" s="207"/>
      <c r="E151" s="357"/>
      <c r="F151" s="298">
        <f>SUM(C151:E151)</f>
        <v>21</v>
      </c>
      <c r="G151" s="299">
        <f>+F151-J151</f>
        <v>0</v>
      </c>
      <c r="H151" s="207">
        <v>21</v>
      </c>
      <c r="I151" s="207"/>
      <c r="J151" s="299">
        <f>SUM(H151:I151)</f>
        <v>21</v>
      </c>
      <c r="K151" s="141"/>
    </row>
    <row r="152" spans="1:11" ht="15.95" customHeight="1">
      <c r="A152" s="296"/>
      <c r="B152" s="297"/>
      <c r="C152" s="207"/>
      <c r="D152" s="207"/>
      <c r="E152" s="357"/>
      <c r="F152" s="298"/>
      <c r="G152" s="454"/>
      <c r="H152" s="207"/>
      <c r="I152" s="207"/>
      <c r="J152" s="299"/>
      <c r="K152" s="141"/>
    </row>
    <row r="153" spans="1:11" ht="15.95" customHeight="1">
      <c r="A153" s="296">
        <v>73</v>
      </c>
      <c r="B153" s="297" t="s">
        <v>215</v>
      </c>
      <c r="C153" s="207">
        <v>1</v>
      </c>
      <c r="D153" s="207"/>
      <c r="E153" s="357"/>
      <c r="F153" s="298">
        <f>SUM(C153:E153)</f>
        <v>1</v>
      </c>
      <c r="G153" s="299">
        <f>+F153-J153</f>
        <v>0</v>
      </c>
      <c r="H153" s="207">
        <v>1</v>
      </c>
      <c r="I153" s="207"/>
      <c r="J153" s="299">
        <f>SUM(H153:I153)</f>
        <v>1</v>
      </c>
      <c r="K153" s="141"/>
    </row>
    <row r="154" spans="1:11" ht="15.95" customHeight="1">
      <c r="A154" s="296"/>
      <c r="B154" s="297"/>
      <c r="C154" s="207"/>
      <c r="D154" s="207"/>
      <c r="E154" s="357"/>
      <c r="F154" s="298"/>
      <c r="G154" s="454"/>
      <c r="H154" s="207"/>
      <c r="I154" s="207"/>
      <c r="J154" s="299"/>
      <c r="K154" s="141"/>
    </row>
    <row r="155" spans="1:11" ht="15.95" customHeight="1">
      <c r="A155" s="296">
        <v>74</v>
      </c>
      <c r="B155" s="297" t="s">
        <v>216</v>
      </c>
      <c r="C155" s="207">
        <v>135</v>
      </c>
      <c r="D155" s="207"/>
      <c r="E155" s="357">
        <v>200</v>
      </c>
      <c r="F155" s="298">
        <f>SUM(C155:E155)</f>
        <v>335</v>
      </c>
      <c r="G155" s="299">
        <f>+F155-J155</f>
        <v>100</v>
      </c>
      <c r="H155" s="207">
        <v>235</v>
      </c>
      <c r="I155" s="207"/>
      <c r="J155" s="299">
        <f>SUM(H155:I155)</f>
        <v>235</v>
      </c>
      <c r="K155" s="141"/>
    </row>
    <row r="156" spans="1:11" ht="15.95" customHeight="1">
      <c r="A156" s="296"/>
      <c r="B156" s="297"/>
      <c r="C156" s="207"/>
      <c r="D156" s="207"/>
      <c r="E156" s="357"/>
      <c r="F156" s="298"/>
      <c r="G156" s="454"/>
      <c r="H156" s="207"/>
      <c r="I156" s="207"/>
      <c r="J156" s="299"/>
      <c r="K156" s="141"/>
    </row>
    <row r="157" spans="1:11" ht="15.95" customHeight="1">
      <c r="A157" s="296">
        <v>75</v>
      </c>
      <c r="B157" s="297" t="s">
        <v>301</v>
      </c>
      <c r="C157" s="207">
        <v>12</v>
      </c>
      <c r="D157" s="207"/>
      <c r="E157" s="357"/>
      <c r="F157" s="298">
        <f>SUM(C157:E157)</f>
        <v>12</v>
      </c>
      <c r="G157" s="299">
        <f>+F157-J157</f>
        <v>0</v>
      </c>
      <c r="H157" s="207">
        <v>12</v>
      </c>
      <c r="I157" s="207"/>
      <c r="J157" s="299">
        <f>SUM(H157:I157)</f>
        <v>12</v>
      </c>
      <c r="K157" s="141"/>
    </row>
    <row r="158" spans="1:11" ht="15.95" customHeight="1">
      <c r="A158" s="296"/>
      <c r="B158" s="297"/>
      <c r="C158" s="207"/>
      <c r="D158" s="207"/>
      <c r="E158" s="357"/>
      <c r="F158" s="298"/>
      <c r="G158" s="454"/>
      <c r="H158" s="207"/>
      <c r="I158" s="207"/>
      <c r="J158" s="299"/>
      <c r="K158" s="141"/>
    </row>
    <row r="159" spans="1:11" ht="15.95" customHeight="1">
      <c r="A159" s="296">
        <v>76</v>
      </c>
      <c r="B159" s="297" t="s">
        <v>217</v>
      </c>
      <c r="C159" s="207">
        <v>1.2</v>
      </c>
      <c r="D159" s="207"/>
      <c r="E159" s="357"/>
      <c r="F159" s="298">
        <f>SUM(C159:E159)</f>
        <v>1.2</v>
      </c>
      <c r="G159" s="299">
        <f>+F159-J159</f>
        <v>0</v>
      </c>
      <c r="H159" s="207">
        <v>1.2</v>
      </c>
      <c r="I159" s="207"/>
      <c r="J159" s="299">
        <f>SUM(H159:I159)</f>
        <v>1.2</v>
      </c>
      <c r="K159" s="141"/>
    </row>
    <row r="160" spans="1:11" ht="15.95" customHeight="1">
      <c r="A160" s="296"/>
      <c r="B160" s="297"/>
      <c r="C160" s="207"/>
      <c r="D160" s="207"/>
      <c r="E160" s="357"/>
      <c r="F160" s="298"/>
      <c r="G160" s="454"/>
      <c r="H160" s="207"/>
      <c r="I160" s="207"/>
      <c r="J160" s="299"/>
      <c r="K160" s="141"/>
    </row>
    <row r="161" spans="1:11" ht="15.95" customHeight="1">
      <c r="A161" s="296">
        <v>77</v>
      </c>
      <c r="B161" s="297" t="s">
        <v>218</v>
      </c>
      <c r="C161" s="207">
        <v>5</v>
      </c>
      <c r="D161" s="207"/>
      <c r="E161" s="357"/>
      <c r="F161" s="298">
        <f>SUM(C161:E161)</f>
        <v>5</v>
      </c>
      <c r="G161" s="299">
        <f>+F161-J161</f>
        <v>0</v>
      </c>
      <c r="H161" s="207">
        <v>5</v>
      </c>
      <c r="I161" s="207"/>
      <c r="J161" s="299">
        <f>SUM(H161:I161)</f>
        <v>5</v>
      </c>
      <c r="K161" s="141"/>
    </row>
    <row r="162" spans="1:11" ht="15.95" customHeight="1">
      <c r="A162" s="296"/>
      <c r="B162" s="297"/>
      <c r="C162" s="207"/>
      <c r="D162" s="207"/>
      <c r="E162" s="357"/>
      <c r="F162" s="298"/>
      <c r="G162" s="454"/>
      <c r="H162" s="207"/>
      <c r="I162" s="207"/>
      <c r="J162" s="299"/>
      <c r="K162" s="141"/>
    </row>
    <row r="163" spans="1:11" ht="15.95" customHeight="1">
      <c r="A163" s="296">
        <v>78</v>
      </c>
      <c r="B163" s="297" t="s">
        <v>219</v>
      </c>
      <c r="C163" s="207">
        <v>10</v>
      </c>
      <c r="D163" s="207"/>
      <c r="E163" s="357">
        <v>10</v>
      </c>
      <c r="F163" s="298">
        <f>SUM(C163:E163)</f>
        <v>20</v>
      </c>
      <c r="G163" s="299">
        <f>+F163-J163</f>
        <v>12</v>
      </c>
      <c r="H163" s="207">
        <v>8</v>
      </c>
      <c r="I163" s="207"/>
      <c r="J163" s="299">
        <f>SUM(H163:I163)</f>
        <v>8</v>
      </c>
      <c r="K163" s="141"/>
    </row>
    <row r="164" spans="1:11" ht="15.95" customHeight="1">
      <c r="A164" s="296"/>
      <c r="B164" s="297"/>
      <c r="C164" s="207"/>
      <c r="D164" s="207"/>
      <c r="E164" s="357"/>
      <c r="F164" s="298"/>
      <c r="G164" s="454"/>
      <c r="H164" s="207"/>
      <c r="I164" s="207"/>
      <c r="J164" s="299"/>
      <c r="K164" s="141"/>
    </row>
    <row r="165" spans="1:11" ht="15.95" customHeight="1">
      <c r="A165" s="296">
        <v>79</v>
      </c>
      <c r="B165" s="297" t="s">
        <v>220</v>
      </c>
      <c r="C165" s="207">
        <v>1</v>
      </c>
      <c r="D165" s="207"/>
      <c r="E165" s="357"/>
      <c r="F165" s="298">
        <f>SUM(C165:E165)</f>
        <v>1</v>
      </c>
      <c r="G165" s="299">
        <f>+F165-J165</f>
        <v>0</v>
      </c>
      <c r="H165" s="207">
        <v>1</v>
      </c>
      <c r="I165" s="207"/>
      <c r="J165" s="299">
        <f>SUM(H165:I165)</f>
        <v>1</v>
      </c>
      <c r="K165" s="141"/>
    </row>
    <row r="166" spans="1:11" ht="15.95" customHeight="1">
      <c r="A166" s="296"/>
      <c r="B166" s="297"/>
      <c r="C166" s="207"/>
      <c r="D166" s="207"/>
      <c r="E166" s="357"/>
      <c r="F166" s="298"/>
      <c r="G166" s="454"/>
      <c r="H166" s="207"/>
      <c r="I166" s="207"/>
      <c r="J166" s="299"/>
      <c r="K166" s="141"/>
    </row>
    <row r="167" spans="1:11" ht="15.95" customHeight="1">
      <c r="A167" s="296">
        <v>80</v>
      </c>
      <c r="B167" s="297" t="s">
        <v>221</v>
      </c>
      <c r="C167" s="207">
        <v>1</v>
      </c>
      <c r="D167" s="207"/>
      <c r="E167" s="357"/>
      <c r="F167" s="298">
        <f>SUM(C167:E167)</f>
        <v>1</v>
      </c>
      <c r="G167" s="299">
        <f>+F167-J167</f>
        <v>0</v>
      </c>
      <c r="H167" s="207">
        <v>1</v>
      </c>
      <c r="I167" s="207"/>
      <c r="J167" s="299">
        <f>SUM(H167:I167)</f>
        <v>1</v>
      </c>
      <c r="K167" s="141"/>
    </row>
    <row r="168" spans="1:11" ht="15.95" customHeight="1">
      <c r="A168" s="296"/>
      <c r="B168" s="297"/>
      <c r="C168" s="207"/>
      <c r="D168" s="207"/>
      <c r="E168" s="357"/>
      <c r="F168" s="298"/>
      <c r="G168" s="454"/>
      <c r="H168" s="207"/>
      <c r="I168" s="207"/>
      <c r="J168" s="299"/>
      <c r="K168" s="141"/>
    </row>
    <row r="169" spans="1:11" ht="15.95" customHeight="1">
      <c r="A169" s="296">
        <v>81</v>
      </c>
      <c r="B169" s="297" t="s">
        <v>222</v>
      </c>
      <c r="C169" s="207">
        <v>1</v>
      </c>
      <c r="D169" s="207"/>
      <c r="E169" s="357"/>
      <c r="F169" s="298">
        <f>SUM(C169:E169)</f>
        <v>1</v>
      </c>
      <c r="G169" s="299">
        <f>+F169-J169</f>
        <v>0</v>
      </c>
      <c r="H169" s="207">
        <v>1</v>
      </c>
      <c r="I169" s="207"/>
      <c r="J169" s="299">
        <f>SUM(H169:I169)</f>
        <v>1</v>
      </c>
      <c r="K169" s="141"/>
    </row>
    <row r="170" spans="1:11" ht="15.95" customHeight="1">
      <c r="A170" s="296"/>
      <c r="B170" s="297"/>
      <c r="C170" s="207"/>
      <c r="D170" s="207"/>
      <c r="E170" s="357"/>
      <c r="F170" s="298"/>
      <c r="G170" s="454"/>
      <c r="H170" s="207"/>
      <c r="I170" s="207"/>
      <c r="J170" s="299"/>
      <c r="K170" s="141"/>
    </row>
    <row r="171" spans="1:11" s="464" customFormat="1" ht="15.95" customHeight="1">
      <c r="A171" s="296">
        <v>82</v>
      </c>
      <c r="B171" s="297" t="s">
        <v>223</v>
      </c>
      <c r="C171" s="207">
        <v>58</v>
      </c>
      <c r="D171" s="207">
        <v>1</v>
      </c>
      <c r="E171" s="357"/>
      <c r="F171" s="298">
        <f>SUM(C171:E171)</f>
        <v>59</v>
      </c>
      <c r="G171" s="299">
        <f>+F171-J171</f>
        <v>8</v>
      </c>
      <c r="H171" s="207">
        <v>50</v>
      </c>
      <c r="I171" s="207">
        <v>1</v>
      </c>
      <c r="J171" s="299">
        <f>SUM(H171:I171)</f>
        <v>51</v>
      </c>
      <c r="K171" s="465"/>
    </row>
    <row r="172" spans="1:11" ht="15.95" customHeight="1">
      <c r="A172" s="296"/>
      <c r="B172" s="297"/>
      <c r="C172" s="207"/>
      <c r="D172" s="207"/>
      <c r="E172" s="357"/>
      <c r="F172" s="298"/>
      <c r="G172" s="454"/>
      <c r="H172" s="207"/>
      <c r="I172" s="207"/>
      <c r="J172" s="299"/>
      <c r="K172" s="141"/>
    </row>
    <row r="173" spans="1:11" ht="15.95" customHeight="1">
      <c r="A173" s="296">
        <v>83</v>
      </c>
      <c r="B173" s="297" t="s">
        <v>224</v>
      </c>
      <c r="C173" s="207">
        <v>1</v>
      </c>
      <c r="D173" s="207"/>
      <c r="E173" s="357"/>
      <c r="F173" s="298">
        <f>SUM(C173:E173)</f>
        <v>1</v>
      </c>
      <c r="G173" s="299">
        <f>+F173-J173</f>
        <v>0</v>
      </c>
      <c r="H173" s="207">
        <v>1</v>
      </c>
      <c r="I173" s="207"/>
      <c r="J173" s="299">
        <f>SUM(H173:I173)</f>
        <v>1</v>
      </c>
      <c r="K173" s="141"/>
    </row>
    <row r="174" spans="1:11" ht="15.95" customHeight="1">
      <c r="A174" s="296"/>
      <c r="B174" s="297"/>
      <c r="C174" s="207"/>
      <c r="D174" s="207"/>
      <c r="E174" s="357"/>
      <c r="F174" s="298"/>
      <c r="G174" s="454"/>
      <c r="H174" s="207"/>
      <c r="I174" s="207"/>
      <c r="J174" s="299"/>
      <c r="K174" s="141"/>
    </row>
    <row r="175" spans="1:11" ht="15.95" customHeight="1">
      <c r="A175" s="296">
        <v>84</v>
      </c>
      <c r="B175" s="297" t="s">
        <v>225</v>
      </c>
      <c r="C175" s="207">
        <v>1</v>
      </c>
      <c r="D175" s="207"/>
      <c r="E175" s="357"/>
      <c r="F175" s="298">
        <f>SUM(C175:E175)</f>
        <v>1</v>
      </c>
      <c r="G175" s="299">
        <f>+F175-J175</f>
        <v>0</v>
      </c>
      <c r="H175" s="207">
        <v>1</v>
      </c>
      <c r="I175" s="207"/>
      <c r="J175" s="299">
        <f>SUM(H175:I175)</f>
        <v>1</v>
      </c>
      <c r="K175" s="141"/>
    </row>
    <row r="176" spans="1:11" ht="15.95" customHeight="1">
      <c r="A176" s="296"/>
      <c r="B176" s="297"/>
      <c r="C176" s="207"/>
      <c r="D176" s="207"/>
      <c r="E176" s="357"/>
      <c r="F176" s="298"/>
      <c r="G176" s="454"/>
      <c r="H176" s="207"/>
      <c r="I176" s="207"/>
      <c r="J176" s="299"/>
      <c r="K176" s="141"/>
    </row>
    <row r="177" spans="1:11" ht="15.95" customHeight="1">
      <c r="A177" s="296">
        <v>85</v>
      </c>
      <c r="B177" s="297" t="s">
        <v>226</v>
      </c>
      <c r="C177" s="207">
        <v>10</v>
      </c>
      <c r="D177" s="207"/>
      <c r="E177" s="357"/>
      <c r="F177" s="298">
        <f>SUM(C177:E177)</f>
        <v>10</v>
      </c>
      <c r="G177" s="299">
        <f>+F177-J177</f>
        <v>0</v>
      </c>
      <c r="H177" s="207">
        <v>10</v>
      </c>
      <c r="I177" s="207"/>
      <c r="J177" s="299">
        <f>SUM(H177:I177)</f>
        <v>10</v>
      </c>
      <c r="K177" s="141"/>
    </row>
    <row r="178" spans="1:11" ht="15.95" customHeight="1">
      <c r="A178" s="296"/>
      <c r="B178" s="297"/>
      <c r="C178" s="207"/>
      <c r="D178" s="207"/>
      <c r="E178" s="357"/>
      <c r="F178" s="298"/>
      <c r="G178" s="454"/>
      <c r="H178" s="207"/>
      <c r="I178" s="207"/>
      <c r="J178" s="299"/>
      <c r="K178" s="141"/>
    </row>
    <row r="179" spans="1:11" ht="15.95" customHeight="1">
      <c r="A179" s="296">
        <v>86</v>
      </c>
      <c r="B179" s="297" t="s">
        <v>227</v>
      </c>
      <c r="C179" s="207">
        <v>5</v>
      </c>
      <c r="D179" s="207"/>
      <c r="E179" s="357"/>
      <c r="F179" s="298">
        <f>SUM(C179:E179)</f>
        <v>5</v>
      </c>
      <c r="G179" s="299">
        <f>+F179-J179</f>
        <v>0</v>
      </c>
      <c r="H179" s="207">
        <v>5</v>
      </c>
      <c r="I179" s="207"/>
      <c r="J179" s="299">
        <f>SUM(H179:I179)</f>
        <v>5</v>
      </c>
      <c r="K179" s="141"/>
    </row>
    <row r="180" spans="1:11" ht="15.95" customHeight="1">
      <c r="A180" s="296"/>
      <c r="B180" s="297"/>
      <c r="C180" s="207"/>
      <c r="D180" s="207"/>
      <c r="E180" s="357"/>
      <c r="F180" s="298"/>
      <c r="G180" s="454"/>
      <c r="H180" s="207"/>
      <c r="I180" s="207"/>
      <c r="J180" s="299"/>
      <c r="K180" s="141"/>
    </row>
    <row r="181" spans="1:11" ht="15.95" customHeight="1">
      <c r="A181" s="296">
        <v>87</v>
      </c>
      <c r="B181" s="297" t="s">
        <v>228</v>
      </c>
      <c r="C181" s="207">
        <v>4</v>
      </c>
      <c r="D181" s="207"/>
      <c r="E181" s="357"/>
      <c r="F181" s="298">
        <f>SUM(C181:E181)</f>
        <v>4</v>
      </c>
      <c r="G181" s="299">
        <f>+F181-J181</f>
        <v>0</v>
      </c>
      <c r="H181" s="207">
        <v>4</v>
      </c>
      <c r="I181" s="207"/>
      <c r="J181" s="299">
        <f>SUM(H181:I181)</f>
        <v>4</v>
      </c>
      <c r="K181" s="141"/>
    </row>
    <row r="182" spans="1:11" ht="15.95" customHeight="1">
      <c r="A182" s="296"/>
      <c r="B182" s="297"/>
      <c r="C182" s="207"/>
      <c r="D182" s="207"/>
      <c r="E182" s="357"/>
      <c r="F182" s="298"/>
      <c r="G182" s="454"/>
      <c r="H182" s="207"/>
      <c r="I182" s="207"/>
      <c r="J182" s="299"/>
      <c r="K182" s="141"/>
    </row>
    <row r="183" spans="1:11" ht="15.95" customHeight="1">
      <c r="A183" s="296">
        <v>88</v>
      </c>
      <c r="B183" s="297" t="s">
        <v>229</v>
      </c>
      <c r="C183" s="207">
        <v>4</v>
      </c>
      <c r="D183" s="207"/>
      <c r="E183" s="357"/>
      <c r="F183" s="298">
        <f>SUM(C183:E183)</f>
        <v>4</v>
      </c>
      <c r="G183" s="299">
        <f>+F183-J183</f>
        <v>0</v>
      </c>
      <c r="H183" s="207">
        <v>4</v>
      </c>
      <c r="I183" s="207"/>
      <c r="J183" s="299">
        <f>SUM(H183:I183)</f>
        <v>4</v>
      </c>
      <c r="K183" s="141"/>
    </row>
    <row r="184" spans="1:11" ht="15.95" customHeight="1">
      <c r="A184" s="296"/>
      <c r="B184" s="297"/>
      <c r="C184" s="207"/>
      <c r="D184" s="207"/>
      <c r="E184" s="357"/>
      <c r="F184" s="298"/>
      <c r="G184" s="454"/>
      <c r="H184" s="207"/>
      <c r="I184" s="207"/>
      <c r="J184" s="299"/>
      <c r="K184" s="141"/>
    </row>
    <row r="185" spans="1:11" ht="15.95" customHeight="1">
      <c r="A185" s="296">
        <v>89</v>
      </c>
      <c r="B185" s="297" t="s">
        <v>230</v>
      </c>
      <c r="C185" s="207">
        <v>5</v>
      </c>
      <c r="D185" s="207"/>
      <c r="E185" s="357"/>
      <c r="F185" s="298">
        <f>SUM(C185:E185)</f>
        <v>5</v>
      </c>
      <c r="G185" s="299">
        <f>+F185-J185</f>
        <v>0</v>
      </c>
      <c r="H185" s="207">
        <v>5</v>
      </c>
      <c r="I185" s="207"/>
      <c r="J185" s="299">
        <f>SUM(H185:I185)</f>
        <v>5</v>
      </c>
      <c r="K185" s="141"/>
    </row>
    <row r="186" spans="1:11" ht="15.95" customHeight="1">
      <c r="A186" s="296"/>
      <c r="B186" s="297"/>
      <c r="C186" s="207"/>
      <c r="D186" s="207"/>
      <c r="E186" s="357"/>
      <c r="F186" s="298"/>
      <c r="G186" s="454"/>
      <c r="H186" s="207"/>
      <c r="I186" s="207"/>
      <c r="J186" s="299"/>
      <c r="K186" s="141"/>
    </row>
    <row r="187" spans="1:11" ht="15.95" customHeight="1">
      <c r="A187" s="296">
        <v>90</v>
      </c>
      <c r="B187" s="297" t="s">
        <v>791</v>
      </c>
      <c r="C187" s="207">
        <v>0</v>
      </c>
      <c r="D187" s="207">
        <v>0</v>
      </c>
      <c r="E187" s="357">
        <v>2</v>
      </c>
      <c r="F187" s="298">
        <f>SUM(C187:E187)</f>
        <v>2</v>
      </c>
      <c r="G187" s="299">
        <f>+F187-J187</f>
        <v>2</v>
      </c>
      <c r="H187" s="207">
        <v>0</v>
      </c>
      <c r="I187" s="207"/>
      <c r="J187" s="299">
        <f>SUM(H187:I187)</f>
        <v>0</v>
      </c>
      <c r="K187" s="141"/>
    </row>
    <row r="188" spans="1:11" ht="15.95" customHeight="1">
      <c r="A188" s="296"/>
      <c r="B188" s="297"/>
      <c r="C188" s="207"/>
      <c r="D188" s="207"/>
      <c r="E188" s="357"/>
      <c r="F188" s="298"/>
      <c r="G188" s="454"/>
      <c r="H188" s="207"/>
      <c r="I188" s="207"/>
      <c r="J188" s="299"/>
      <c r="K188" s="141"/>
    </row>
    <row r="189" spans="1:11" ht="15.95" customHeight="1">
      <c r="A189" s="296">
        <v>91</v>
      </c>
      <c r="B189" s="297" t="s">
        <v>231</v>
      </c>
      <c r="C189" s="207">
        <v>4</v>
      </c>
      <c r="D189" s="207"/>
      <c r="E189" s="357"/>
      <c r="F189" s="298">
        <f>SUM(C189:E189)</f>
        <v>4</v>
      </c>
      <c r="G189" s="299">
        <f>+F189-J189</f>
        <v>0</v>
      </c>
      <c r="H189" s="207">
        <v>4</v>
      </c>
      <c r="I189" s="207"/>
      <c r="J189" s="299">
        <f>SUM(H189:I189)</f>
        <v>4</v>
      </c>
      <c r="K189" s="141"/>
    </row>
    <row r="190" spans="1:11" ht="15.95" customHeight="1">
      <c r="A190" s="296"/>
      <c r="B190" s="297"/>
      <c r="C190" s="207"/>
      <c r="D190" s="207"/>
      <c r="E190" s="357"/>
      <c r="F190" s="298"/>
      <c r="G190" s="454"/>
      <c r="H190" s="207"/>
      <c r="I190" s="207"/>
      <c r="J190" s="299"/>
      <c r="K190" s="141"/>
    </row>
    <row r="191" spans="1:11" ht="15.95" customHeight="1">
      <c r="A191" s="296">
        <v>92</v>
      </c>
      <c r="B191" s="297" t="s">
        <v>232</v>
      </c>
      <c r="C191" s="207">
        <v>14</v>
      </c>
      <c r="D191" s="207">
        <v>2</v>
      </c>
      <c r="E191" s="357"/>
      <c r="F191" s="298">
        <f>SUM(C191:E191)</f>
        <v>16</v>
      </c>
      <c r="G191" s="299">
        <f>+F191-J191</f>
        <v>1</v>
      </c>
      <c r="H191" s="207">
        <v>14</v>
      </c>
      <c r="I191" s="207">
        <v>1</v>
      </c>
      <c r="J191" s="299">
        <f>SUM(H191:I191)</f>
        <v>15</v>
      </c>
      <c r="K191" s="141"/>
    </row>
    <row r="192" spans="1:11" ht="15.95" customHeight="1">
      <c r="A192" s="296"/>
      <c r="B192" s="297"/>
      <c r="C192" s="207"/>
      <c r="D192" s="207"/>
      <c r="E192" s="357"/>
      <c r="F192" s="298"/>
      <c r="G192" s="454"/>
      <c r="H192" s="207"/>
      <c r="I192" s="207"/>
      <c r="J192" s="299"/>
      <c r="K192" s="141"/>
    </row>
    <row r="193" spans="1:13" ht="15.95" customHeight="1">
      <c r="A193" s="296">
        <v>93</v>
      </c>
      <c r="B193" s="297" t="s">
        <v>233</v>
      </c>
      <c r="C193" s="207">
        <v>7</v>
      </c>
      <c r="D193" s="207">
        <v>1.25</v>
      </c>
      <c r="E193" s="357">
        <v>12</v>
      </c>
      <c r="F193" s="298">
        <f>SUM(C193:E193)</f>
        <v>20.25</v>
      </c>
      <c r="G193" s="299">
        <f>+F193-J193</f>
        <v>0</v>
      </c>
      <c r="H193" s="207">
        <v>19</v>
      </c>
      <c r="I193" s="207">
        <v>1.25</v>
      </c>
      <c r="J193" s="299">
        <f>SUM(H193:I193)</f>
        <v>20.25</v>
      </c>
      <c r="K193" s="141"/>
    </row>
    <row r="194" spans="1:13" ht="15.95" customHeight="1">
      <c r="A194" s="296"/>
      <c r="B194" s="297"/>
      <c r="C194" s="207"/>
      <c r="D194" s="207"/>
      <c r="E194" s="357"/>
      <c r="F194" s="298"/>
      <c r="G194" s="454"/>
      <c r="H194" s="207"/>
      <c r="I194" s="207"/>
      <c r="J194" s="299"/>
      <c r="K194" s="141"/>
    </row>
    <row r="195" spans="1:13" ht="15.95" customHeight="1">
      <c r="A195" s="296">
        <v>94</v>
      </c>
      <c r="B195" s="297" t="s">
        <v>234</v>
      </c>
      <c r="C195" s="207">
        <v>9</v>
      </c>
      <c r="D195" s="207"/>
      <c r="E195" s="357"/>
      <c r="F195" s="298">
        <f>SUM(C195:E195)</f>
        <v>9</v>
      </c>
      <c r="G195" s="299">
        <f>+F195-J195</f>
        <v>0</v>
      </c>
      <c r="H195" s="207">
        <v>9</v>
      </c>
      <c r="I195" s="207"/>
      <c r="J195" s="299">
        <f>SUM(H195:I195)</f>
        <v>9</v>
      </c>
      <c r="K195" s="141"/>
    </row>
    <row r="196" spans="1:13" ht="15.95" customHeight="1">
      <c r="A196" s="296"/>
      <c r="B196" s="297"/>
      <c r="C196" s="207"/>
      <c r="D196" s="207"/>
      <c r="E196" s="357"/>
      <c r="F196" s="298"/>
      <c r="G196" s="454"/>
      <c r="H196" s="207"/>
      <c r="I196" s="207"/>
      <c r="J196" s="299"/>
      <c r="K196" s="141"/>
    </row>
    <row r="197" spans="1:13" ht="15.95" customHeight="1">
      <c r="A197" s="296">
        <v>95</v>
      </c>
      <c r="B197" s="297" t="s">
        <v>235</v>
      </c>
      <c r="C197" s="207">
        <v>10</v>
      </c>
      <c r="D197" s="207"/>
      <c r="E197" s="357"/>
      <c r="F197" s="298">
        <f>SUM(C197:E197)</f>
        <v>10</v>
      </c>
      <c r="G197" s="299">
        <f>+F197-J197</f>
        <v>0</v>
      </c>
      <c r="H197" s="207">
        <v>10</v>
      </c>
      <c r="I197" s="207"/>
      <c r="J197" s="299">
        <f>SUM(H197:I197)</f>
        <v>10</v>
      </c>
      <c r="K197" s="141"/>
    </row>
    <row r="198" spans="1:13" ht="15.95" customHeight="1">
      <c r="A198" s="296"/>
      <c r="B198" s="297"/>
      <c r="C198" s="207"/>
      <c r="D198" s="207"/>
      <c r="E198" s="357"/>
      <c r="F198" s="298"/>
      <c r="G198" s="454"/>
      <c r="H198" s="207"/>
      <c r="I198" s="207"/>
      <c r="J198" s="299"/>
      <c r="K198" s="141"/>
    </row>
    <row r="199" spans="1:13" ht="15.95" customHeight="1">
      <c r="A199" s="296">
        <v>96</v>
      </c>
      <c r="B199" s="297" t="s">
        <v>236</v>
      </c>
      <c r="C199" s="207">
        <v>4</v>
      </c>
      <c r="D199" s="207"/>
      <c r="E199" s="357"/>
      <c r="F199" s="298">
        <f>SUM(C199:E199)</f>
        <v>4</v>
      </c>
      <c r="G199" s="299">
        <f>+F199-J199</f>
        <v>0</v>
      </c>
      <c r="H199" s="207">
        <v>4</v>
      </c>
      <c r="I199" s="207"/>
      <c r="J199" s="299">
        <f>SUM(H199:I199)</f>
        <v>4</v>
      </c>
      <c r="K199" s="141"/>
    </row>
    <row r="200" spans="1:13" ht="15.95" customHeight="1">
      <c r="A200" s="296"/>
      <c r="B200" s="297"/>
      <c r="C200" s="207"/>
      <c r="D200" s="207"/>
      <c r="E200" s="357"/>
      <c r="F200" s="298"/>
      <c r="G200" s="454"/>
      <c r="H200" s="207"/>
      <c r="I200" s="207"/>
      <c r="J200" s="299"/>
      <c r="K200" s="141"/>
    </row>
    <row r="201" spans="1:13" ht="15.95" customHeight="1">
      <c r="A201" s="296">
        <v>97</v>
      </c>
      <c r="B201" s="297" t="s">
        <v>237</v>
      </c>
      <c r="C201" s="207">
        <v>4</v>
      </c>
      <c r="D201" s="207"/>
      <c r="E201" s="357"/>
      <c r="F201" s="298">
        <f>SUM(C201:E201)</f>
        <v>4</v>
      </c>
      <c r="G201" s="299">
        <f>+F201-J201</f>
        <v>0</v>
      </c>
      <c r="H201" s="207">
        <v>4</v>
      </c>
      <c r="I201" s="207"/>
      <c r="J201" s="299">
        <f>SUM(H201:I201)</f>
        <v>4</v>
      </c>
      <c r="K201" s="141"/>
    </row>
    <row r="202" spans="1:13" ht="15.95" customHeight="1">
      <c r="A202" s="296"/>
      <c r="B202" s="297"/>
      <c r="C202" s="207"/>
      <c r="D202" s="207"/>
      <c r="E202" s="357"/>
      <c r="F202" s="298"/>
      <c r="G202" s="454"/>
      <c r="H202" s="207"/>
      <c r="I202" s="207"/>
      <c r="J202" s="299"/>
      <c r="K202" s="141"/>
    </row>
    <row r="203" spans="1:13" ht="15.95" customHeight="1">
      <c r="A203" s="296">
        <v>98</v>
      </c>
      <c r="B203" s="297" t="s">
        <v>238</v>
      </c>
      <c r="C203" s="207">
        <v>4</v>
      </c>
      <c r="D203" s="207"/>
      <c r="E203" s="357"/>
      <c r="F203" s="298">
        <f>SUM(C203:E203)</f>
        <v>4</v>
      </c>
      <c r="G203" s="299">
        <f>+F203-J203</f>
        <v>0</v>
      </c>
      <c r="H203" s="207">
        <v>4</v>
      </c>
      <c r="I203" s="207"/>
      <c r="J203" s="299">
        <f>SUM(H203:I203)</f>
        <v>4</v>
      </c>
      <c r="K203" s="141"/>
      <c r="M203" s="119"/>
    </row>
    <row r="204" spans="1:13" ht="15.95" customHeight="1">
      <c r="A204" s="296"/>
      <c r="B204" s="297"/>
      <c r="C204" s="207"/>
      <c r="D204" s="207"/>
      <c r="E204" s="357"/>
      <c r="F204" s="298"/>
      <c r="G204" s="454"/>
      <c r="H204" s="207"/>
      <c r="I204" s="207"/>
      <c r="J204" s="299"/>
      <c r="K204" s="141"/>
    </row>
    <row r="205" spans="1:13" ht="15.95" customHeight="1">
      <c r="A205" s="296">
        <v>100</v>
      </c>
      <c r="B205" s="297" t="s">
        <v>239</v>
      </c>
      <c r="C205" s="207">
        <v>4</v>
      </c>
      <c r="D205" s="207"/>
      <c r="E205" s="357"/>
      <c r="F205" s="298">
        <f>SUM(C205:E205)</f>
        <v>4</v>
      </c>
      <c r="G205" s="299">
        <f>+F205-J205</f>
        <v>0</v>
      </c>
      <c r="H205" s="207">
        <v>4</v>
      </c>
      <c r="I205" s="207"/>
      <c r="J205" s="299">
        <f>SUM(H205:I205)</f>
        <v>4</v>
      </c>
      <c r="K205" s="141"/>
    </row>
    <row r="206" spans="1:13" ht="15.95" customHeight="1">
      <c r="A206" s="296"/>
      <c r="B206" s="297"/>
      <c r="C206" s="207"/>
      <c r="D206" s="207"/>
      <c r="E206" s="357"/>
      <c r="F206" s="298"/>
      <c r="G206" s="454"/>
      <c r="H206" s="207"/>
      <c r="I206" s="207"/>
      <c r="J206" s="299"/>
      <c r="K206" s="141"/>
    </row>
    <row r="207" spans="1:13" ht="15.95" customHeight="1">
      <c r="A207" s="296">
        <v>101</v>
      </c>
      <c r="B207" s="297" t="s">
        <v>240</v>
      </c>
      <c r="C207" s="207">
        <v>50</v>
      </c>
      <c r="D207" s="207">
        <v>3</v>
      </c>
      <c r="E207" s="357"/>
      <c r="F207" s="298">
        <f>SUM(C207:E207)</f>
        <v>53</v>
      </c>
      <c r="G207" s="299">
        <f>+F207-J207</f>
        <v>2</v>
      </c>
      <c r="H207" s="207">
        <v>50</v>
      </c>
      <c r="I207" s="207">
        <v>1</v>
      </c>
      <c r="J207" s="299">
        <f>SUM(H207:I207)</f>
        <v>51</v>
      </c>
      <c r="K207" s="141"/>
    </row>
    <row r="208" spans="1:13" ht="15.95" customHeight="1">
      <c r="A208" s="296"/>
      <c r="B208" s="297"/>
      <c r="C208" s="207"/>
      <c r="D208" s="207"/>
      <c r="E208" s="357"/>
      <c r="F208" s="298"/>
      <c r="G208" s="454"/>
      <c r="H208" s="207"/>
      <c r="I208" s="207"/>
      <c r="J208" s="299"/>
      <c r="K208" s="141"/>
    </row>
    <row r="209" spans="1:11" ht="15.95" customHeight="1">
      <c r="A209" s="296">
        <v>102</v>
      </c>
      <c r="B209" s="297" t="s">
        <v>281</v>
      </c>
      <c r="C209" s="207">
        <v>10</v>
      </c>
      <c r="D209" s="207"/>
      <c r="E209" s="357"/>
      <c r="F209" s="298">
        <f>SUM(C209:E209)</f>
        <v>10</v>
      </c>
      <c r="G209" s="299">
        <f>+F209-J209</f>
        <v>0</v>
      </c>
      <c r="H209" s="207">
        <v>10</v>
      </c>
      <c r="I209" s="207"/>
      <c r="J209" s="299">
        <f>SUM(H209:I209)</f>
        <v>10</v>
      </c>
      <c r="K209" s="141"/>
    </row>
    <row r="210" spans="1:11" ht="15.95" customHeight="1">
      <c r="A210" s="296"/>
      <c r="B210" s="297"/>
      <c r="C210" s="207"/>
      <c r="D210" s="207"/>
      <c r="E210" s="357"/>
      <c r="F210" s="298"/>
      <c r="G210" s="454"/>
      <c r="H210" s="207"/>
      <c r="I210" s="207"/>
      <c r="J210" s="299"/>
      <c r="K210" s="141"/>
    </row>
    <row r="211" spans="1:11" ht="15.95" customHeight="1">
      <c r="A211" s="296">
        <v>103</v>
      </c>
      <c r="B211" s="297" t="s">
        <v>241</v>
      </c>
      <c r="C211" s="207">
        <v>10</v>
      </c>
      <c r="D211" s="207"/>
      <c r="E211" s="357"/>
      <c r="F211" s="298">
        <f>SUM(C211:E211)</f>
        <v>10</v>
      </c>
      <c r="G211" s="299">
        <f>+F211-J211</f>
        <v>0</v>
      </c>
      <c r="H211" s="207">
        <v>10</v>
      </c>
      <c r="I211" s="207"/>
      <c r="J211" s="299">
        <f>SUM(H211:I211)</f>
        <v>10</v>
      </c>
      <c r="K211" s="141"/>
    </row>
    <row r="212" spans="1:11" ht="15.95" customHeight="1">
      <c r="A212" s="296"/>
      <c r="B212" s="297"/>
      <c r="C212" s="207"/>
      <c r="D212" s="207"/>
      <c r="E212" s="357"/>
      <c r="F212" s="298"/>
      <c r="G212" s="454"/>
      <c r="H212" s="207"/>
      <c r="I212" s="207"/>
      <c r="J212" s="299"/>
      <c r="K212" s="141"/>
    </row>
    <row r="213" spans="1:11" ht="15.95" customHeight="1">
      <c r="A213" s="296">
        <v>104</v>
      </c>
      <c r="B213" s="297" t="s">
        <v>242</v>
      </c>
      <c r="C213" s="207">
        <v>42</v>
      </c>
      <c r="D213" s="207">
        <v>1.75</v>
      </c>
      <c r="E213" s="207"/>
      <c r="F213" s="298">
        <f>SUM(C213:E213)</f>
        <v>43.75</v>
      </c>
      <c r="G213" s="299">
        <f>+F213-J213</f>
        <v>0.75</v>
      </c>
      <c r="H213" s="207">
        <v>42</v>
      </c>
      <c r="I213" s="207">
        <v>1</v>
      </c>
      <c r="J213" s="299">
        <f>SUM(H213:I213)</f>
        <v>43</v>
      </c>
      <c r="K213" s="141"/>
    </row>
    <row r="214" spans="1:11" ht="15.95" customHeight="1">
      <c r="A214" s="296"/>
      <c r="B214" s="297"/>
      <c r="C214" s="207"/>
      <c r="D214" s="207"/>
      <c r="E214" s="357"/>
      <c r="F214" s="298"/>
      <c r="G214" s="454"/>
      <c r="H214" s="207"/>
      <c r="I214" s="207"/>
      <c r="J214" s="299"/>
      <c r="K214" s="141"/>
    </row>
    <row r="215" spans="1:11" ht="15.95" customHeight="1">
      <c r="A215" s="296">
        <v>105</v>
      </c>
      <c r="B215" s="297" t="s">
        <v>248</v>
      </c>
      <c r="C215" s="207">
        <v>50</v>
      </c>
      <c r="D215" s="207">
        <v>3.5</v>
      </c>
      <c r="E215" s="357">
        <v>48</v>
      </c>
      <c r="F215" s="298">
        <f>SUM(C215:E215)</f>
        <v>101.5</v>
      </c>
      <c r="G215" s="299">
        <f>+F215-J215</f>
        <v>56.5</v>
      </c>
      <c r="H215" s="207">
        <v>36</v>
      </c>
      <c r="I215" s="207">
        <v>9</v>
      </c>
      <c r="J215" s="299">
        <f>SUM(H215:I215)</f>
        <v>45</v>
      </c>
      <c r="K215" s="141"/>
    </row>
    <row r="216" spans="1:11" ht="15.95" customHeight="1">
      <c r="A216" s="296"/>
      <c r="B216" s="297"/>
      <c r="C216" s="207"/>
      <c r="D216" s="207"/>
      <c r="E216" s="357"/>
      <c r="F216" s="298"/>
      <c r="G216" s="454"/>
      <c r="H216" s="207"/>
      <c r="I216" s="207"/>
      <c r="J216" s="299"/>
      <c r="K216" s="141"/>
    </row>
    <row r="217" spans="1:11" ht="15.95" customHeight="1">
      <c r="A217" s="296">
        <v>107</v>
      </c>
      <c r="B217" s="297" t="s">
        <v>306</v>
      </c>
      <c r="C217" s="207">
        <v>4</v>
      </c>
      <c r="D217" s="207">
        <v>2</v>
      </c>
      <c r="E217" s="357"/>
      <c r="F217" s="298">
        <f>SUM(C217:E217)</f>
        <v>6</v>
      </c>
      <c r="G217" s="299">
        <f>+F217-J217</f>
        <v>2</v>
      </c>
      <c r="H217" s="207">
        <v>4</v>
      </c>
      <c r="I217" s="207"/>
      <c r="J217" s="299">
        <f>SUM(H217:I217)</f>
        <v>4</v>
      </c>
      <c r="K217" s="141"/>
    </row>
    <row r="218" spans="1:11" ht="15.95" customHeight="1">
      <c r="A218" s="296"/>
      <c r="B218" s="297"/>
      <c r="C218" s="207"/>
      <c r="D218" s="207"/>
      <c r="E218" s="357"/>
      <c r="F218" s="298"/>
      <c r="G218" s="454"/>
      <c r="H218" s="207"/>
      <c r="I218" s="207"/>
      <c r="J218" s="299"/>
      <c r="K218" s="141"/>
    </row>
    <row r="219" spans="1:11" ht="15.95" customHeight="1">
      <c r="A219" s="296">
        <v>111</v>
      </c>
      <c r="B219" s="297" t="s">
        <v>293</v>
      </c>
      <c r="C219" s="207">
        <v>4</v>
      </c>
      <c r="D219" s="207"/>
      <c r="E219" s="357"/>
      <c r="F219" s="298">
        <f>SUM(C219:E219)</f>
        <v>4</v>
      </c>
      <c r="G219" s="299">
        <f>+F219-J219</f>
        <v>0</v>
      </c>
      <c r="H219" s="207">
        <v>4</v>
      </c>
      <c r="I219" s="207"/>
      <c r="J219" s="299">
        <f>SUM(H219:I219)</f>
        <v>4</v>
      </c>
      <c r="K219" s="141"/>
    </row>
    <row r="220" spans="1:11" ht="15.95" customHeight="1">
      <c r="A220" s="296"/>
      <c r="B220" s="297"/>
      <c r="C220" s="207"/>
      <c r="D220" s="207"/>
      <c r="E220" s="357"/>
      <c r="F220" s="298"/>
      <c r="G220" s="454"/>
      <c r="H220" s="207"/>
      <c r="I220" s="207"/>
      <c r="J220" s="299"/>
      <c r="K220" s="141"/>
    </row>
    <row r="221" spans="1:11" ht="15.95" customHeight="1">
      <c r="A221" s="296">
        <v>112</v>
      </c>
      <c r="B221" s="297" t="s">
        <v>257</v>
      </c>
      <c r="C221" s="207">
        <v>12</v>
      </c>
      <c r="D221" s="207"/>
      <c r="E221" s="357"/>
      <c r="F221" s="298">
        <f>SUM(C221:E221)</f>
        <v>12</v>
      </c>
      <c r="G221" s="299">
        <f>+F221-J221</f>
        <v>0</v>
      </c>
      <c r="H221" s="207">
        <v>12</v>
      </c>
      <c r="I221" s="207"/>
      <c r="J221" s="299">
        <f>SUM(H221:I221)</f>
        <v>12</v>
      </c>
      <c r="K221" s="141"/>
    </row>
    <row r="222" spans="1:11" ht="15.95" customHeight="1">
      <c r="A222" s="296"/>
      <c r="B222" s="297"/>
      <c r="C222" s="207"/>
      <c r="D222" s="207"/>
      <c r="E222" s="357"/>
      <c r="F222" s="298"/>
      <c r="G222" s="454"/>
      <c r="H222" s="207"/>
      <c r="I222" s="207"/>
      <c r="J222" s="299"/>
      <c r="K222" s="141"/>
    </row>
    <row r="223" spans="1:11" ht="15.95" customHeight="1">
      <c r="A223" s="296">
        <v>113</v>
      </c>
      <c r="B223" s="297" t="s">
        <v>258</v>
      </c>
      <c r="C223" s="207">
        <v>1</v>
      </c>
      <c r="D223" s="207"/>
      <c r="E223" s="357"/>
      <c r="F223" s="298">
        <f>SUM(C223:E223)</f>
        <v>1</v>
      </c>
      <c r="G223" s="299">
        <f>+F223-J223</f>
        <v>0</v>
      </c>
      <c r="H223" s="207">
        <v>1</v>
      </c>
      <c r="I223" s="207"/>
      <c r="J223" s="299">
        <f>SUM(H223:I223)</f>
        <v>1</v>
      </c>
      <c r="K223" s="141"/>
    </row>
    <row r="224" spans="1:11" ht="15.95" customHeight="1">
      <c r="A224" s="296"/>
      <c r="B224" s="297"/>
      <c r="C224" s="207"/>
      <c r="D224" s="207"/>
      <c r="E224" s="357"/>
      <c r="F224" s="298"/>
      <c r="G224" s="454"/>
      <c r="H224" s="207"/>
      <c r="I224" s="207"/>
      <c r="J224" s="299"/>
      <c r="K224" s="141"/>
    </row>
    <row r="225" spans="1:11" ht="15.95" customHeight="1">
      <c r="A225" s="296">
        <v>114</v>
      </c>
      <c r="B225" s="297" t="s">
        <v>259</v>
      </c>
      <c r="C225" s="207">
        <v>3</v>
      </c>
      <c r="D225" s="207"/>
      <c r="E225" s="357"/>
      <c r="F225" s="298">
        <f>SUM(C225:E225)</f>
        <v>3</v>
      </c>
      <c r="G225" s="299">
        <f>+F225-J225</f>
        <v>0</v>
      </c>
      <c r="H225" s="207">
        <v>3</v>
      </c>
      <c r="I225" s="207"/>
      <c r="J225" s="299">
        <f>SUM(H225:I225)</f>
        <v>3</v>
      </c>
      <c r="K225" s="141"/>
    </row>
    <row r="226" spans="1:11" ht="15.95" customHeight="1">
      <c r="A226" s="296"/>
      <c r="B226" s="297"/>
      <c r="C226" s="207"/>
      <c r="D226" s="207"/>
      <c r="E226" s="357"/>
      <c r="F226" s="298"/>
      <c r="G226" s="454"/>
      <c r="H226" s="207"/>
      <c r="I226" s="207"/>
      <c r="J226" s="299"/>
      <c r="K226" s="141"/>
    </row>
    <row r="227" spans="1:11" ht="15.95" customHeight="1">
      <c r="A227" s="296">
        <v>115</v>
      </c>
      <c r="B227" s="297" t="s">
        <v>260</v>
      </c>
      <c r="C227" s="207">
        <v>1</v>
      </c>
      <c r="D227" s="207"/>
      <c r="E227" s="357"/>
      <c r="F227" s="298">
        <f>SUM(C227:E227)</f>
        <v>1</v>
      </c>
      <c r="G227" s="299">
        <f>+F227-J227</f>
        <v>0</v>
      </c>
      <c r="H227" s="207">
        <v>1</v>
      </c>
      <c r="I227" s="207"/>
      <c r="J227" s="299">
        <f>SUM(H227:I227)</f>
        <v>1</v>
      </c>
      <c r="K227" s="141"/>
    </row>
    <row r="228" spans="1:11" ht="15.95" customHeight="1">
      <c r="A228" s="296"/>
      <c r="B228" s="297"/>
      <c r="C228" s="207"/>
      <c r="D228" s="207"/>
      <c r="E228" s="357"/>
      <c r="F228" s="298"/>
      <c r="G228" s="454"/>
      <c r="H228" s="207"/>
      <c r="I228" s="207"/>
      <c r="J228" s="299"/>
      <c r="K228" s="141"/>
    </row>
    <row r="229" spans="1:11" ht="15.95" customHeight="1">
      <c r="A229" s="296">
        <v>117</v>
      </c>
      <c r="B229" s="297" t="s">
        <v>261</v>
      </c>
      <c r="C229" s="207">
        <v>2</v>
      </c>
      <c r="D229" s="207"/>
      <c r="E229" s="357"/>
      <c r="F229" s="298">
        <f>SUM(C229:E229)</f>
        <v>2</v>
      </c>
      <c r="G229" s="299">
        <f>+F229-J229</f>
        <v>0</v>
      </c>
      <c r="H229" s="207">
        <v>2</v>
      </c>
      <c r="I229" s="207"/>
      <c r="J229" s="299">
        <f>SUM(H229:I229)</f>
        <v>2</v>
      </c>
      <c r="K229" s="141"/>
    </row>
    <row r="230" spans="1:11" ht="15.95" customHeight="1">
      <c r="A230" s="296"/>
      <c r="B230" s="297"/>
      <c r="C230" s="207"/>
      <c r="D230" s="207"/>
      <c r="E230" s="357"/>
      <c r="F230" s="298"/>
      <c r="G230" s="454"/>
      <c r="H230" s="207"/>
      <c r="I230" s="207"/>
      <c r="J230" s="299"/>
      <c r="K230" s="141"/>
    </row>
    <row r="231" spans="1:11" ht="15.95" customHeight="1">
      <c r="A231" s="296">
        <v>118</v>
      </c>
      <c r="B231" s="297" t="s">
        <v>262</v>
      </c>
      <c r="C231" s="207">
        <v>2</v>
      </c>
      <c r="D231" s="207"/>
      <c r="E231" s="357"/>
      <c r="F231" s="298">
        <f>SUM(C231:E231)</f>
        <v>2</v>
      </c>
      <c r="G231" s="299">
        <f>+F231-J231</f>
        <v>0</v>
      </c>
      <c r="H231" s="207">
        <v>2</v>
      </c>
      <c r="I231" s="207"/>
      <c r="J231" s="299">
        <f>SUM(H231:I231)</f>
        <v>2</v>
      </c>
      <c r="K231" s="141"/>
    </row>
    <row r="232" spans="1:11" ht="15.95" customHeight="1">
      <c r="A232" s="296"/>
      <c r="B232" s="297"/>
      <c r="C232" s="207"/>
      <c r="D232" s="207"/>
      <c r="E232" s="357"/>
      <c r="F232" s="298"/>
      <c r="G232" s="454"/>
      <c r="H232" s="207"/>
      <c r="I232" s="207"/>
      <c r="J232" s="299"/>
      <c r="K232" s="141"/>
    </row>
    <row r="233" spans="1:11" ht="15.95" customHeight="1">
      <c r="A233" s="296">
        <v>119</v>
      </c>
      <c r="B233" s="297" t="s">
        <v>263</v>
      </c>
      <c r="C233" s="207">
        <v>8</v>
      </c>
      <c r="D233" s="207"/>
      <c r="E233" s="357"/>
      <c r="F233" s="298">
        <f>SUM(C233:E233)</f>
        <v>8</v>
      </c>
      <c r="G233" s="299">
        <f>+F233-J233</f>
        <v>0</v>
      </c>
      <c r="H233" s="207">
        <v>8</v>
      </c>
      <c r="I233" s="207"/>
      <c r="J233" s="299">
        <f>SUM(H233:I233)</f>
        <v>8</v>
      </c>
      <c r="K233" s="141"/>
    </row>
    <row r="234" spans="1:11" ht="15.95" customHeight="1">
      <c r="A234" s="296"/>
      <c r="B234" s="297"/>
      <c r="C234" s="207"/>
      <c r="D234" s="207"/>
      <c r="E234" s="357"/>
      <c r="F234" s="298"/>
      <c r="G234" s="454"/>
      <c r="H234" s="207"/>
      <c r="I234" s="207"/>
      <c r="J234" s="299"/>
      <c r="K234" s="141"/>
    </row>
    <row r="235" spans="1:11" ht="15.95" customHeight="1">
      <c r="A235" s="296">
        <v>120</v>
      </c>
      <c r="B235" s="297" t="s">
        <v>264</v>
      </c>
      <c r="C235" s="207">
        <v>4</v>
      </c>
      <c r="D235" s="207"/>
      <c r="E235" s="357"/>
      <c r="F235" s="298">
        <f>SUM(C235:E235)</f>
        <v>4</v>
      </c>
      <c r="G235" s="299">
        <f>+F235-J235</f>
        <v>0</v>
      </c>
      <c r="H235" s="207">
        <v>4</v>
      </c>
      <c r="I235" s="207"/>
      <c r="J235" s="299">
        <f>SUM(H235:I235)</f>
        <v>4</v>
      </c>
      <c r="K235" s="141"/>
    </row>
    <row r="236" spans="1:11" ht="15.95" customHeight="1">
      <c r="A236" s="296"/>
      <c r="B236" s="297"/>
      <c r="C236" s="207"/>
      <c r="D236" s="207"/>
      <c r="E236" s="357"/>
      <c r="F236" s="298"/>
      <c r="G236" s="454"/>
      <c r="H236" s="207"/>
      <c r="I236" s="207"/>
      <c r="J236" s="299"/>
      <c r="K236" s="141"/>
    </row>
    <row r="237" spans="1:11" ht="15.95" customHeight="1">
      <c r="A237" s="296">
        <v>121</v>
      </c>
      <c r="B237" s="297" t="s">
        <v>265</v>
      </c>
      <c r="C237" s="207">
        <v>2</v>
      </c>
      <c r="D237" s="207"/>
      <c r="E237" s="357"/>
      <c r="F237" s="298">
        <f>SUM(C237:E237)</f>
        <v>2</v>
      </c>
      <c r="G237" s="299">
        <f>+F237-J237</f>
        <v>0</v>
      </c>
      <c r="H237" s="207">
        <v>2</v>
      </c>
      <c r="I237" s="207"/>
      <c r="J237" s="299">
        <f>SUM(H237:I237)</f>
        <v>2</v>
      </c>
      <c r="K237" s="141"/>
    </row>
    <row r="238" spans="1:11" ht="15.95" customHeight="1">
      <c r="A238" s="296"/>
      <c r="B238" s="297"/>
      <c r="C238" s="207"/>
      <c r="D238" s="207"/>
      <c r="E238" s="357"/>
      <c r="F238" s="298"/>
      <c r="G238" s="454"/>
      <c r="H238" s="207"/>
      <c r="I238" s="207"/>
      <c r="J238" s="299"/>
      <c r="K238" s="141"/>
    </row>
    <row r="239" spans="1:11" ht="15.95" customHeight="1">
      <c r="A239" s="296">
        <v>122</v>
      </c>
      <c r="B239" s="297" t="s">
        <v>274</v>
      </c>
      <c r="C239" s="207">
        <v>3</v>
      </c>
      <c r="D239" s="207"/>
      <c r="E239" s="357"/>
      <c r="F239" s="298">
        <f>SUM(C239:E239)</f>
        <v>3</v>
      </c>
      <c r="G239" s="299">
        <f>+F239-J239</f>
        <v>0</v>
      </c>
      <c r="H239" s="207">
        <v>3</v>
      </c>
      <c r="I239" s="207"/>
      <c r="J239" s="299">
        <f>SUM(H239:I239)</f>
        <v>3</v>
      </c>
      <c r="K239" s="141"/>
    </row>
    <row r="240" spans="1:11" ht="15.95" customHeight="1">
      <c r="A240" s="296"/>
      <c r="B240" s="297"/>
      <c r="C240" s="207"/>
      <c r="D240" s="207"/>
      <c r="E240" s="357"/>
      <c r="F240" s="298"/>
      <c r="G240" s="454"/>
      <c r="H240" s="207"/>
      <c r="I240" s="207"/>
      <c r="J240" s="299"/>
      <c r="K240" s="141"/>
    </row>
    <row r="241" spans="1:11" ht="15.95" customHeight="1">
      <c r="A241" s="296">
        <v>123</v>
      </c>
      <c r="B241" s="297" t="s">
        <v>276</v>
      </c>
      <c r="C241" s="207">
        <v>16</v>
      </c>
      <c r="D241" s="207"/>
      <c r="E241" s="357"/>
      <c r="F241" s="298">
        <f>SUM(C241:E241)</f>
        <v>16</v>
      </c>
      <c r="G241" s="299">
        <f>+F241-J241</f>
        <v>0</v>
      </c>
      <c r="H241" s="207">
        <v>16</v>
      </c>
      <c r="I241" s="207"/>
      <c r="J241" s="299">
        <f>SUM(H241:I241)</f>
        <v>16</v>
      </c>
      <c r="K241" s="141"/>
    </row>
    <row r="242" spans="1:11" ht="15.95" customHeight="1">
      <c r="A242" s="296"/>
      <c r="B242" s="297"/>
      <c r="C242" s="207"/>
      <c r="D242" s="207"/>
      <c r="E242" s="357"/>
      <c r="F242" s="298"/>
      <c r="G242" s="454"/>
      <c r="H242" s="207"/>
      <c r="I242" s="207"/>
      <c r="J242" s="299"/>
      <c r="K242" s="141"/>
    </row>
    <row r="243" spans="1:11" ht="15.95" customHeight="1">
      <c r="A243" s="296">
        <v>124</v>
      </c>
      <c r="B243" s="297" t="s">
        <v>275</v>
      </c>
      <c r="C243" s="207">
        <v>3</v>
      </c>
      <c r="D243" s="207"/>
      <c r="E243" s="357"/>
      <c r="F243" s="298">
        <f>SUM(C243:E243)</f>
        <v>3</v>
      </c>
      <c r="G243" s="299">
        <f>+F243-J243</f>
        <v>0</v>
      </c>
      <c r="H243" s="207">
        <v>3</v>
      </c>
      <c r="I243" s="207"/>
      <c r="J243" s="299">
        <f>SUM(H243:I243)</f>
        <v>3</v>
      </c>
      <c r="K243" s="141"/>
    </row>
    <row r="244" spans="1:11" ht="15.95" customHeight="1">
      <c r="A244" s="296"/>
      <c r="B244" s="297"/>
      <c r="C244" s="207"/>
      <c r="D244" s="207"/>
      <c r="E244" s="357"/>
      <c r="F244" s="298"/>
      <c r="G244" s="454"/>
      <c r="H244" s="207"/>
      <c r="I244" s="207"/>
      <c r="J244" s="299"/>
      <c r="K244" s="141"/>
    </row>
    <row r="245" spans="1:11" ht="15.95" customHeight="1">
      <c r="A245" s="296">
        <v>125</v>
      </c>
      <c r="B245" s="297" t="s">
        <v>277</v>
      </c>
      <c r="C245" s="207">
        <v>11</v>
      </c>
      <c r="D245" s="207"/>
      <c r="E245" s="357"/>
      <c r="F245" s="298">
        <f>SUM(C245:E245)</f>
        <v>11</v>
      </c>
      <c r="G245" s="299">
        <f>+F245-J245</f>
        <v>0</v>
      </c>
      <c r="H245" s="207">
        <v>11</v>
      </c>
      <c r="I245" s="207"/>
      <c r="J245" s="299">
        <f>SUM(H245:I245)</f>
        <v>11</v>
      </c>
      <c r="K245" s="141"/>
    </row>
    <row r="246" spans="1:11" ht="15.95" customHeight="1">
      <c r="A246" s="296"/>
      <c r="B246" s="297"/>
      <c r="C246" s="207"/>
      <c r="D246" s="207"/>
      <c r="E246" s="357"/>
      <c r="F246" s="298"/>
      <c r="G246" s="454"/>
      <c r="H246" s="207"/>
      <c r="I246" s="207"/>
      <c r="J246" s="299"/>
      <c r="K246" s="141"/>
    </row>
    <row r="247" spans="1:11" ht="15.95" customHeight="1">
      <c r="A247" s="296">
        <v>126</v>
      </c>
      <c r="B247" s="297" t="s">
        <v>287</v>
      </c>
      <c r="C247" s="207">
        <v>5</v>
      </c>
      <c r="D247" s="207"/>
      <c r="E247" s="357"/>
      <c r="F247" s="298">
        <f>SUM(C247:E247)</f>
        <v>5</v>
      </c>
      <c r="G247" s="299">
        <f>+F247-J247</f>
        <v>0</v>
      </c>
      <c r="H247" s="207">
        <v>5</v>
      </c>
      <c r="I247" s="207"/>
      <c r="J247" s="299">
        <f>SUM(H247:I247)</f>
        <v>5</v>
      </c>
      <c r="K247" s="141"/>
    </row>
    <row r="248" spans="1:11" ht="15.95" customHeight="1">
      <c r="A248" s="296"/>
      <c r="B248" s="297"/>
      <c r="C248" s="207"/>
      <c r="D248" s="207"/>
      <c r="E248" s="357"/>
      <c r="F248" s="298"/>
      <c r="G248" s="454"/>
      <c r="H248" s="207"/>
      <c r="I248" s="207"/>
      <c r="J248" s="299"/>
      <c r="K248" s="141"/>
    </row>
    <row r="249" spans="1:11" ht="15.95" customHeight="1">
      <c r="A249" s="296">
        <v>127</v>
      </c>
      <c r="B249" s="297" t="s">
        <v>288</v>
      </c>
      <c r="C249" s="207">
        <v>0</v>
      </c>
      <c r="D249" s="207">
        <v>2</v>
      </c>
      <c r="E249" s="357"/>
      <c r="F249" s="298">
        <f>SUM(C249:E249)</f>
        <v>2</v>
      </c>
      <c r="G249" s="299">
        <f>+F249-J249</f>
        <v>2</v>
      </c>
      <c r="H249" s="207">
        <v>0</v>
      </c>
      <c r="I249" s="207"/>
      <c r="J249" s="299">
        <f>SUM(H249:I249)</f>
        <v>0</v>
      </c>
      <c r="K249" s="141"/>
    </row>
    <row r="250" spans="1:11" ht="15.95" customHeight="1">
      <c r="A250" s="296"/>
      <c r="B250" s="297"/>
      <c r="C250" s="207"/>
      <c r="D250" s="207"/>
      <c r="E250" s="357"/>
      <c r="F250" s="298"/>
      <c r="G250" s="454"/>
      <c r="H250" s="207"/>
      <c r="I250" s="207"/>
      <c r="J250" s="299"/>
      <c r="K250" s="141"/>
    </row>
    <row r="251" spans="1:11" ht="15.95" customHeight="1">
      <c r="A251" s="296">
        <v>128</v>
      </c>
      <c r="B251" s="297" t="s">
        <v>289</v>
      </c>
      <c r="C251" s="207">
        <v>17</v>
      </c>
      <c r="D251" s="207"/>
      <c r="E251" s="357"/>
      <c r="F251" s="298">
        <f>SUM(C251:E251)</f>
        <v>17</v>
      </c>
      <c r="G251" s="299">
        <f>+F251-J251</f>
        <v>0</v>
      </c>
      <c r="H251" s="207">
        <v>17</v>
      </c>
      <c r="I251" s="207"/>
      <c r="J251" s="299">
        <f>SUM(H251:I251)</f>
        <v>17</v>
      </c>
      <c r="K251" s="141"/>
    </row>
    <row r="252" spans="1:11" ht="15.95" customHeight="1">
      <c r="A252" s="296"/>
      <c r="B252" s="297"/>
      <c r="C252" s="207"/>
      <c r="D252" s="207"/>
      <c r="E252" s="357"/>
      <c r="F252" s="298"/>
      <c r="G252" s="454"/>
      <c r="H252" s="207"/>
      <c r="I252" s="207"/>
      <c r="J252" s="299"/>
      <c r="K252" s="141"/>
    </row>
    <row r="253" spans="1:11" ht="15.95" customHeight="1">
      <c r="A253" s="296">
        <v>132</v>
      </c>
      <c r="B253" s="297" t="s">
        <v>303</v>
      </c>
      <c r="C253" s="207">
        <v>34</v>
      </c>
      <c r="D253" s="207">
        <v>2</v>
      </c>
      <c r="E253" s="357"/>
      <c r="F253" s="298">
        <f>SUM(C253:E253)</f>
        <v>36</v>
      </c>
      <c r="G253" s="299">
        <f>+F253-J253</f>
        <v>0</v>
      </c>
      <c r="H253" s="207">
        <v>34</v>
      </c>
      <c r="I253" s="207">
        <v>2</v>
      </c>
      <c r="J253" s="299">
        <f>SUM(H253:I253)</f>
        <v>36</v>
      </c>
      <c r="K253" s="141"/>
    </row>
    <row r="254" spans="1:11" ht="15.95" customHeight="1">
      <c r="A254" s="296"/>
      <c r="B254" s="297"/>
      <c r="C254" s="207"/>
      <c r="D254" s="207"/>
      <c r="E254" s="357"/>
      <c r="F254" s="298"/>
      <c r="G254" s="454"/>
      <c r="H254" s="207"/>
      <c r="I254" s="207"/>
      <c r="J254" s="299"/>
      <c r="K254" s="141"/>
    </row>
    <row r="255" spans="1:11" ht="15.95" customHeight="1">
      <c r="A255" s="296">
        <v>133</v>
      </c>
      <c r="B255" s="297" t="s">
        <v>295</v>
      </c>
      <c r="C255" s="207">
        <v>0</v>
      </c>
      <c r="D255" s="207"/>
      <c r="E255" s="357"/>
      <c r="F255" s="298">
        <f>SUM(C255:E255)</f>
        <v>0</v>
      </c>
      <c r="G255" s="299">
        <f>+F255-J255</f>
        <v>0</v>
      </c>
      <c r="H255" s="207"/>
      <c r="I255" s="207"/>
      <c r="J255" s="299">
        <f>SUM(H255:I255)</f>
        <v>0</v>
      </c>
      <c r="K255" s="141"/>
    </row>
    <row r="256" spans="1:11" ht="15.95" customHeight="1">
      <c r="A256" s="296"/>
      <c r="B256" s="297"/>
      <c r="C256" s="207" t="s">
        <v>684</v>
      </c>
      <c r="D256" s="207"/>
      <c r="E256" s="357"/>
      <c r="F256" s="298"/>
      <c r="G256" s="454"/>
      <c r="H256" s="207"/>
      <c r="I256" s="207"/>
      <c r="J256" s="299"/>
      <c r="K256" s="141"/>
    </row>
    <row r="257" spans="1:11" ht="15.95" customHeight="1">
      <c r="A257" s="296">
        <v>136</v>
      </c>
      <c r="B257" s="297" t="s">
        <v>296</v>
      </c>
      <c r="C257" s="207">
        <v>0</v>
      </c>
      <c r="D257" s="207"/>
      <c r="E257" s="357"/>
      <c r="F257" s="298">
        <f>SUM(C257:E257)</f>
        <v>0</v>
      </c>
      <c r="G257" s="299">
        <f>+F257-J257</f>
        <v>0</v>
      </c>
      <c r="H257" s="207">
        <v>0</v>
      </c>
      <c r="I257" s="207"/>
      <c r="J257" s="299">
        <f>SUM(H257:I257)</f>
        <v>0</v>
      </c>
      <c r="K257" s="141"/>
    </row>
    <row r="258" spans="1:11" ht="15.95" customHeight="1">
      <c r="A258" s="296"/>
      <c r="B258" s="297"/>
      <c r="C258" s="207"/>
      <c r="D258" s="207"/>
      <c r="E258" s="357"/>
      <c r="F258" s="298"/>
      <c r="G258" s="454"/>
      <c r="H258" s="207"/>
      <c r="I258" s="207"/>
      <c r="J258" s="299"/>
      <c r="K258" s="141"/>
    </row>
    <row r="259" spans="1:11" ht="15.95" customHeight="1">
      <c r="A259" s="296">
        <v>137</v>
      </c>
      <c r="B259" s="297" t="s">
        <v>297</v>
      </c>
      <c r="C259" s="207">
        <v>4</v>
      </c>
      <c r="D259" s="207"/>
      <c r="E259" s="357"/>
      <c r="F259" s="298">
        <f>SUM(C259:E259)</f>
        <v>4</v>
      </c>
      <c r="G259" s="299">
        <f>+F259-J259</f>
        <v>0</v>
      </c>
      <c r="H259" s="207">
        <v>4</v>
      </c>
      <c r="I259" s="207"/>
      <c r="J259" s="299">
        <f>SUM(H259:I259)</f>
        <v>4</v>
      </c>
      <c r="K259" s="141"/>
    </row>
    <row r="260" spans="1:11" ht="15.95" customHeight="1">
      <c r="A260" s="296"/>
      <c r="B260" s="297"/>
      <c r="C260" s="207"/>
      <c r="D260" s="207"/>
      <c r="E260" s="357"/>
      <c r="F260" s="298"/>
      <c r="G260" s="454"/>
      <c r="H260" s="207"/>
      <c r="I260" s="207"/>
      <c r="J260" s="299"/>
      <c r="K260" s="141"/>
    </row>
    <row r="261" spans="1:11" ht="15.95" customHeight="1">
      <c r="A261" s="296">
        <v>139</v>
      </c>
      <c r="B261" s="297" t="s">
        <v>298</v>
      </c>
      <c r="C261" s="207">
        <v>1</v>
      </c>
      <c r="D261" s="207"/>
      <c r="E261" s="357"/>
      <c r="F261" s="298">
        <f>SUM(C261:E261)</f>
        <v>1</v>
      </c>
      <c r="G261" s="299">
        <f>+F261-J261</f>
        <v>0</v>
      </c>
      <c r="H261" s="207">
        <v>1</v>
      </c>
      <c r="I261" s="207"/>
      <c r="J261" s="299">
        <f>SUM(H261:I261)</f>
        <v>1</v>
      </c>
      <c r="K261" s="141"/>
    </row>
    <row r="262" spans="1:11" ht="15.95" customHeight="1">
      <c r="A262" s="296"/>
      <c r="B262" s="297"/>
      <c r="C262" s="207"/>
      <c r="D262" s="207"/>
      <c r="E262" s="357"/>
      <c r="F262" s="298"/>
      <c r="G262" s="454"/>
      <c r="H262" s="207"/>
      <c r="I262" s="207"/>
      <c r="J262" s="299"/>
      <c r="K262" s="141"/>
    </row>
    <row r="263" spans="1:11" ht="15.95" customHeight="1">
      <c r="A263" s="296">
        <v>140</v>
      </c>
      <c r="B263" s="297" t="s">
        <v>328</v>
      </c>
      <c r="C263" s="207">
        <v>2</v>
      </c>
      <c r="D263" s="207"/>
      <c r="E263" s="357"/>
      <c r="F263" s="298">
        <f>SUM(C263:E263)</f>
        <v>2</v>
      </c>
      <c r="G263" s="299">
        <f>+F263-J263</f>
        <v>0</v>
      </c>
      <c r="H263" s="207">
        <v>2</v>
      </c>
      <c r="I263" s="207"/>
      <c r="J263" s="299">
        <f>SUM(H263:I263)</f>
        <v>2</v>
      </c>
      <c r="K263" s="141"/>
    </row>
    <row r="264" spans="1:11" ht="15.95" customHeight="1">
      <c r="A264" s="296"/>
      <c r="B264" s="297"/>
      <c r="C264" s="207"/>
      <c r="D264" s="207"/>
      <c r="E264" s="357"/>
      <c r="F264" s="298"/>
      <c r="G264" s="454"/>
      <c r="H264" s="207"/>
      <c r="I264" s="207"/>
      <c r="J264" s="299"/>
      <c r="K264" s="141"/>
    </row>
    <row r="265" spans="1:11" ht="15.95" customHeight="1">
      <c r="A265" s="296">
        <v>142</v>
      </c>
      <c r="B265" s="297" t="s">
        <v>300</v>
      </c>
      <c r="C265" s="207">
        <v>14</v>
      </c>
      <c r="D265" s="207"/>
      <c r="E265" s="357"/>
      <c r="F265" s="298">
        <f>SUM(C265:E265)</f>
        <v>14</v>
      </c>
      <c r="G265" s="299">
        <f>+F265-J265</f>
        <v>0</v>
      </c>
      <c r="H265" s="207">
        <v>14</v>
      </c>
      <c r="I265" s="207"/>
      <c r="J265" s="299">
        <f>SUM(H265:I265)</f>
        <v>14</v>
      </c>
      <c r="K265" s="141"/>
    </row>
    <row r="266" spans="1:11" ht="15.95" customHeight="1">
      <c r="A266" s="296"/>
      <c r="B266" s="297"/>
      <c r="C266" s="207"/>
      <c r="D266" s="207"/>
      <c r="E266" s="357"/>
      <c r="F266" s="298"/>
      <c r="G266" s="454"/>
      <c r="H266" s="207"/>
      <c r="I266" s="207"/>
      <c r="J266" s="299"/>
      <c r="K266" s="141"/>
    </row>
    <row r="267" spans="1:11" ht="15.95" customHeight="1">
      <c r="A267" s="296">
        <v>143</v>
      </c>
      <c r="B267" s="297" t="s">
        <v>299</v>
      </c>
      <c r="C267" s="207">
        <v>8</v>
      </c>
      <c r="D267" s="207"/>
      <c r="E267" s="357"/>
      <c r="F267" s="298">
        <f>SUM(C267:E267)</f>
        <v>8</v>
      </c>
      <c r="G267" s="299">
        <f>+F267-J267</f>
        <v>0</v>
      </c>
      <c r="H267" s="207">
        <v>8</v>
      </c>
      <c r="I267" s="207"/>
      <c r="J267" s="299">
        <f>SUM(H267:I267)</f>
        <v>8</v>
      </c>
      <c r="K267" s="141"/>
    </row>
    <row r="268" spans="1:11" ht="15.95" customHeight="1">
      <c r="A268" s="296"/>
      <c r="B268" s="297"/>
      <c r="C268" s="207"/>
      <c r="D268" s="207"/>
      <c r="E268" s="357"/>
      <c r="F268" s="298"/>
      <c r="G268" s="454"/>
      <c r="H268" s="207"/>
      <c r="I268" s="207"/>
      <c r="J268" s="299"/>
      <c r="K268" s="141"/>
    </row>
    <row r="269" spans="1:11" ht="15.95" customHeight="1">
      <c r="A269" s="296">
        <v>144</v>
      </c>
      <c r="B269" s="297" t="s">
        <v>308</v>
      </c>
      <c r="C269" s="207">
        <v>8</v>
      </c>
      <c r="D269" s="207"/>
      <c r="E269" s="357"/>
      <c r="F269" s="298">
        <f>SUM(C269:E269)</f>
        <v>8</v>
      </c>
      <c r="G269" s="299">
        <f>+F269-J269</f>
        <v>0</v>
      </c>
      <c r="H269" s="207">
        <v>8</v>
      </c>
      <c r="I269" s="207"/>
      <c r="J269" s="299">
        <f>SUM(H269:I269)</f>
        <v>8</v>
      </c>
      <c r="K269" s="141"/>
    </row>
    <row r="270" spans="1:11" ht="15.95" customHeight="1">
      <c r="A270" s="296"/>
      <c r="B270" s="455"/>
      <c r="C270" s="207"/>
      <c r="D270" s="207"/>
      <c r="E270" s="357"/>
      <c r="F270" s="298"/>
      <c r="G270" s="299"/>
      <c r="H270" s="207"/>
      <c r="I270" s="207"/>
      <c r="J270" s="299"/>
      <c r="K270" s="141"/>
    </row>
    <row r="271" spans="1:11" ht="15.95" customHeight="1">
      <c r="A271" s="296">
        <v>146</v>
      </c>
      <c r="B271" s="297" t="s">
        <v>309</v>
      </c>
      <c r="C271" s="207">
        <v>6</v>
      </c>
      <c r="D271" s="207"/>
      <c r="E271" s="357"/>
      <c r="F271" s="298">
        <f>SUM(C271:E271)</f>
        <v>6</v>
      </c>
      <c r="G271" s="299">
        <f>+F271-J271</f>
        <v>0</v>
      </c>
      <c r="H271" s="207">
        <v>6</v>
      </c>
      <c r="I271" s="207"/>
      <c r="J271" s="299">
        <f>SUM(H271:I271)</f>
        <v>6</v>
      </c>
      <c r="K271" s="141"/>
    </row>
    <row r="272" spans="1:11" ht="15.95" customHeight="1">
      <c r="A272" s="296"/>
      <c r="B272" s="456"/>
      <c r="C272" s="207"/>
      <c r="D272" s="207"/>
      <c r="E272" s="357"/>
      <c r="F272" s="298"/>
      <c r="G272" s="299"/>
      <c r="H272" s="207"/>
      <c r="I272" s="207"/>
      <c r="J272" s="299"/>
      <c r="K272" s="141"/>
    </row>
    <row r="273" spans="1:13" ht="15.95" customHeight="1">
      <c r="A273" s="296">
        <v>148</v>
      </c>
      <c r="B273" s="456" t="s">
        <v>310</v>
      </c>
      <c r="C273" s="207">
        <v>10</v>
      </c>
      <c r="D273" s="207"/>
      <c r="E273" s="357"/>
      <c r="F273" s="298">
        <f>SUM(C273:E273)</f>
        <v>10</v>
      </c>
      <c r="G273" s="299">
        <f>+F273-J273</f>
        <v>4</v>
      </c>
      <c r="H273" s="207">
        <v>6</v>
      </c>
      <c r="I273" s="207"/>
      <c r="J273" s="299">
        <f>SUM(H273:I273)</f>
        <v>6</v>
      </c>
      <c r="K273" s="141"/>
    </row>
    <row r="274" spans="1:13" ht="15.95" customHeight="1">
      <c r="A274" s="296"/>
      <c r="B274" s="207"/>
      <c r="C274" s="207"/>
      <c r="D274" s="207"/>
      <c r="E274" s="357"/>
      <c r="F274" s="298"/>
      <c r="G274" s="299"/>
      <c r="H274" s="207"/>
      <c r="I274" s="207"/>
      <c r="J274" s="299"/>
      <c r="K274" s="141"/>
    </row>
    <row r="275" spans="1:13" ht="15.95" customHeight="1">
      <c r="A275" s="296">
        <v>150</v>
      </c>
      <c r="B275" s="456" t="s">
        <v>320</v>
      </c>
      <c r="C275" s="207">
        <v>2</v>
      </c>
      <c r="D275" s="207"/>
      <c r="E275" s="357"/>
      <c r="F275" s="298">
        <f>SUM(C275:E275)</f>
        <v>2</v>
      </c>
      <c r="G275" s="299">
        <f>+F275-J275</f>
        <v>0</v>
      </c>
      <c r="H275" s="207">
        <v>2</v>
      </c>
      <c r="I275" s="207"/>
      <c r="J275" s="299">
        <f>SUM(H275:I275)</f>
        <v>2</v>
      </c>
      <c r="K275" s="141"/>
    </row>
    <row r="276" spans="1:13" ht="15.95" customHeight="1">
      <c r="A276" s="296"/>
      <c r="B276" s="456"/>
      <c r="C276" s="207"/>
      <c r="D276" s="207"/>
      <c r="E276" s="357"/>
      <c r="F276" s="298"/>
      <c r="G276" s="299"/>
      <c r="H276" s="207"/>
      <c r="I276" s="207"/>
      <c r="J276" s="299"/>
      <c r="K276" s="141"/>
    </row>
    <row r="277" spans="1:13" ht="15.95" customHeight="1">
      <c r="A277" s="296">
        <v>152</v>
      </c>
      <c r="B277" s="456" t="s">
        <v>321</v>
      </c>
      <c r="C277" s="207">
        <v>4</v>
      </c>
      <c r="D277" s="207"/>
      <c r="E277" s="357"/>
      <c r="F277" s="298">
        <f>SUM(C277:E277)</f>
        <v>4</v>
      </c>
      <c r="G277" s="299">
        <f>+F277-J277</f>
        <v>0</v>
      </c>
      <c r="H277" s="207">
        <v>4</v>
      </c>
      <c r="I277" s="207"/>
      <c r="J277" s="299">
        <f>SUM(H277:I277)</f>
        <v>4</v>
      </c>
      <c r="K277" s="141"/>
    </row>
    <row r="278" spans="1:13" ht="15.95" customHeight="1">
      <c r="A278" s="296"/>
      <c r="B278" s="456"/>
      <c r="C278" s="207"/>
      <c r="D278" s="207"/>
      <c r="E278" s="357"/>
      <c r="F278" s="298"/>
      <c r="G278" s="299"/>
      <c r="H278" s="207"/>
      <c r="I278" s="207"/>
      <c r="J278" s="299"/>
      <c r="K278" s="141"/>
    </row>
    <row r="279" spans="1:13" ht="15.95" customHeight="1">
      <c r="A279" s="296">
        <v>154</v>
      </c>
      <c r="B279" s="456" t="s">
        <v>322</v>
      </c>
      <c r="C279" s="207">
        <v>2</v>
      </c>
      <c r="D279" s="207"/>
      <c r="E279" s="357"/>
      <c r="F279" s="298">
        <f>SUM(C279:E279)</f>
        <v>2</v>
      </c>
      <c r="G279" s="299">
        <f>+F279-J279</f>
        <v>0</v>
      </c>
      <c r="H279" s="207">
        <v>2</v>
      </c>
      <c r="I279" s="207"/>
      <c r="J279" s="299">
        <f>SUM(H279:I279)</f>
        <v>2</v>
      </c>
      <c r="K279" s="141"/>
    </row>
    <row r="280" spans="1:13" ht="15.95" customHeight="1">
      <c r="A280" s="296"/>
      <c r="B280" s="456"/>
      <c r="C280" s="207"/>
      <c r="D280" s="207"/>
      <c r="E280" s="357"/>
      <c r="F280" s="298"/>
      <c r="G280" s="299"/>
      <c r="H280" s="207"/>
      <c r="I280" s="207"/>
      <c r="J280" s="299"/>
      <c r="K280" s="141"/>
      <c r="M280" s="464"/>
    </row>
    <row r="281" spans="1:13" ht="15.95" customHeight="1">
      <c r="A281" s="296">
        <v>155</v>
      </c>
      <c r="B281" s="456" t="s">
        <v>311</v>
      </c>
      <c r="C281" s="207">
        <v>16</v>
      </c>
      <c r="D281" s="207"/>
      <c r="E281" s="357"/>
      <c r="F281" s="298">
        <f>SUM(C281:E281)</f>
        <v>16</v>
      </c>
      <c r="G281" s="299">
        <f>+F281-J281</f>
        <v>0</v>
      </c>
      <c r="H281" s="207">
        <v>16</v>
      </c>
      <c r="I281" s="207"/>
      <c r="J281" s="299">
        <f>SUM(H281:I281)</f>
        <v>16</v>
      </c>
      <c r="K281" s="141"/>
      <c r="M281" s="464"/>
    </row>
    <row r="282" spans="1:13" ht="15.95" customHeight="1">
      <c r="A282" s="296"/>
      <c r="B282" s="456"/>
      <c r="C282" s="207"/>
      <c r="D282" s="207"/>
      <c r="E282" s="357"/>
      <c r="F282" s="298"/>
      <c r="G282" s="299"/>
      <c r="H282" s="207"/>
      <c r="I282" s="207"/>
      <c r="J282" s="299"/>
      <c r="K282" s="141"/>
    </row>
    <row r="283" spans="1:13" ht="15.95" customHeight="1">
      <c r="A283" s="296">
        <v>156</v>
      </c>
      <c r="B283" s="456" t="s">
        <v>312</v>
      </c>
      <c r="C283" s="207">
        <v>8</v>
      </c>
      <c r="D283" s="207"/>
      <c r="E283" s="357"/>
      <c r="F283" s="298">
        <f>SUM(C283:E283)</f>
        <v>8</v>
      </c>
      <c r="G283" s="299">
        <f>+F283-J283</f>
        <v>0</v>
      </c>
      <c r="H283" s="207">
        <v>8</v>
      </c>
      <c r="I283" s="207"/>
      <c r="J283" s="299">
        <f>SUM(H283:I283)</f>
        <v>8</v>
      </c>
      <c r="K283" s="141"/>
    </row>
    <row r="284" spans="1:13" ht="15.95" customHeight="1">
      <c r="A284" s="296"/>
      <c r="B284" s="456"/>
      <c r="C284" s="207"/>
      <c r="D284" s="207"/>
      <c r="E284" s="357"/>
      <c r="F284" s="298"/>
      <c r="G284" s="299"/>
      <c r="H284" s="207"/>
      <c r="I284" s="207"/>
      <c r="J284" s="299"/>
      <c r="K284" s="141"/>
    </row>
    <row r="285" spans="1:13" ht="15.95" customHeight="1">
      <c r="A285" s="296">
        <v>157</v>
      </c>
      <c r="B285" s="456" t="s">
        <v>318</v>
      </c>
      <c r="C285" s="207">
        <v>0</v>
      </c>
      <c r="D285" s="207"/>
      <c r="E285" s="357"/>
      <c r="F285" s="298">
        <f>SUM(C285:E285)</f>
        <v>0</v>
      </c>
      <c r="G285" s="299">
        <f>+F285-J285</f>
        <v>0</v>
      </c>
      <c r="H285" s="207">
        <v>0</v>
      </c>
      <c r="I285" s="207"/>
      <c r="J285" s="299">
        <f>SUM(H285:I285)</f>
        <v>0</v>
      </c>
      <c r="K285" s="141"/>
    </row>
    <row r="286" spans="1:13" ht="15.95" customHeight="1">
      <c r="A286" s="296"/>
      <c r="B286" s="456"/>
      <c r="C286" s="207"/>
      <c r="D286" s="207"/>
      <c r="E286" s="357"/>
      <c r="F286" s="298"/>
      <c r="G286" s="299"/>
      <c r="H286" s="207"/>
      <c r="I286" s="207"/>
      <c r="J286" s="299"/>
      <c r="K286" s="141"/>
    </row>
    <row r="287" spans="1:13" ht="15.95" customHeight="1">
      <c r="A287" s="296">
        <v>158</v>
      </c>
      <c r="B287" s="456" t="s">
        <v>379</v>
      </c>
      <c r="C287" s="207">
        <v>2</v>
      </c>
      <c r="D287" s="207"/>
      <c r="E287" s="357"/>
      <c r="F287" s="298">
        <f>SUM(C287:E287)</f>
        <v>2</v>
      </c>
      <c r="G287" s="299">
        <f>+F287-J287</f>
        <v>0</v>
      </c>
      <c r="H287" s="207">
        <v>2</v>
      </c>
      <c r="I287" s="207"/>
      <c r="J287" s="299">
        <f>SUM(H287:I287)</f>
        <v>2</v>
      </c>
      <c r="K287" s="141"/>
    </row>
    <row r="288" spans="1:13" ht="15.95" customHeight="1">
      <c r="A288" s="296"/>
      <c r="B288" s="456"/>
      <c r="C288" s="207"/>
      <c r="D288" s="207"/>
      <c r="E288" s="357"/>
      <c r="F288" s="298"/>
      <c r="G288" s="299"/>
      <c r="H288" s="207"/>
      <c r="I288" s="207"/>
      <c r="J288" s="299"/>
      <c r="K288" s="141"/>
    </row>
    <row r="289" spans="1:11" ht="15.95" customHeight="1">
      <c r="A289" s="296">
        <v>160</v>
      </c>
      <c r="B289" s="297" t="s">
        <v>537</v>
      </c>
      <c r="C289" s="207">
        <v>11</v>
      </c>
      <c r="D289" s="207">
        <v>0</v>
      </c>
      <c r="E289" s="357"/>
      <c r="F289" s="298">
        <f>SUM(C289:E289)</f>
        <v>11</v>
      </c>
      <c r="G289" s="299">
        <f>+F289-J289</f>
        <v>0</v>
      </c>
      <c r="H289" s="207">
        <v>11</v>
      </c>
      <c r="I289" s="207">
        <v>0</v>
      </c>
      <c r="J289" s="299">
        <f>SUM(H289:I289)</f>
        <v>11</v>
      </c>
      <c r="K289" s="141"/>
    </row>
    <row r="290" spans="1:11" ht="15.95" customHeight="1">
      <c r="A290" s="296"/>
      <c r="B290" s="297"/>
      <c r="C290" s="207"/>
      <c r="D290" s="207"/>
      <c r="E290" s="357"/>
      <c r="F290" s="298"/>
      <c r="G290" s="299"/>
      <c r="H290" s="207"/>
      <c r="I290" s="207"/>
      <c r="J290" s="299"/>
      <c r="K290" s="141"/>
    </row>
    <row r="291" spans="1:11" ht="15.95" customHeight="1">
      <c r="A291" s="296">
        <v>161</v>
      </c>
      <c r="B291" s="297" t="s">
        <v>424</v>
      </c>
      <c r="C291" s="207">
        <v>4</v>
      </c>
      <c r="D291" s="207"/>
      <c r="E291" s="357"/>
      <c r="F291" s="298">
        <f>SUM(C291:E291)</f>
        <v>4</v>
      </c>
      <c r="G291" s="299">
        <f>+F291-J291</f>
        <v>0</v>
      </c>
      <c r="H291" s="207">
        <v>4</v>
      </c>
      <c r="I291" s="207"/>
      <c r="J291" s="299">
        <f>SUM(H291:I291)</f>
        <v>4</v>
      </c>
      <c r="K291" s="141"/>
    </row>
    <row r="292" spans="1:11" ht="15.95" customHeight="1">
      <c r="A292" s="296"/>
      <c r="B292" s="297"/>
      <c r="C292" s="207"/>
      <c r="D292" s="207"/>
      <c r="E292" s="357"/>
      <c r="F292" s="298"/>
      <c r="G292" s="299"/>
      <c r="H292" s="207"/>
      <c r="I292" s="207"/>
      <c r="J292" s="299"/>
      <c r="K292" s="141"/>
    </row>
    <row r="293" spans="1:11" ht="15.95" customHeight="1">
      <c r="A293" s="296">
        <v>162</v>
      </c>
      <c r="B293" s="297" t="s">
        <v>423</v>
      </c>
      <c r="C293" s="207">
        <v>5</v>
      </c>
      <c r="D293" s="207"/>
      <c r="E293" s="357"/>
      <c r="F293" s="298">
        <f>SUM(C293:E293)</f>
        <v>5</v>
      </c>
      <c r="G293" s="299">
        <f>+F293-J293</f>
        <v>0</v>
      </c>
      <c r="H293" s="207">
        <v>5</v>
      </c>
      <c r="I293" s="207"/>
      <c r="J293" s="299">
        <f>SUM(H293:I293)</f>
        <v>5</v>
      </c>
      <c r="K293" s="141"/>
    </row>
    <row r="294" spans="1:11" ht="15.95" customHeight="1">
      <c r="A294" s="296"/>
      <c r="B294" s="297"/>
      <c r="C294" s="207"/>
      <c r="D294" s="207"/>
      <c r="E294" s="357"/>
      <c r="F294" s="298">
        <f t="shared" ref="F294:F309" si="0">SUM(C294:E294)</f>
        <v>0</v>
      </c>
      <c r="G294" s="299"/>
      <c r="H294" s="207"/>
      <c r="I294" s="207"/>
      <c r="J294" s="299"/>
      <c r="K294" s="141"/>
    </row>
    <row r="295" spans="1:11" ht="15.95" customHeight="1">
      <c r="A295" s="296">
        <v>164</v>
      </c>
      <c r="B295" s="297" t="s">
        <v>544</v>
      </c>
      <c r="C295" s="207"/>
      <c r="D295" s="207">
        <v>1</v>
      </c>
      <c r="E295" s="357"/>
      <c r="F295" s="298">
        <f t="shared" si="0"/>
        <v>1</v>
      </c>
      <c r="G295" s="299">
        <f t="shared" ref="G295:G309" si="1">+F295-J295</f>
        <v>0</v>
      </c>
      <c r="H295" s="207"/>
      <c r="I295" s="207">
        <v>1</v>
      </c>
      <c r="J295" s="299">
        <f t="shared" ref="J295:J309" si="2">SUM(H295:I295)</f>
        <v>1</v>
      </c>
      <c r="K295" s="141"/>
    </row>
    <row r="296" spans="1:11" ht="15.95" customHeight="1">
      <c r="A296" s="296"/>
      <c r="B296" s="297"/>
      <c r="C296" s="207"/>
      <c r="D296" s="207"/>
      <c r="E296" s="357"/>
      <c r="F296" s="298">
        <f t="shared" si="0"/>
        <v>0</v>
      </c>
      <c r="G296" s="299"/>
      <c r="H296" s="207"/>
      <c r="I296" s="207"/>
      <c r="J296" s="299"/>
      <c r="K296" s="141"/>
    </row>
    <row r="297" spans="1:11" ht="15.95" customHeight="1">
      <c r="A297" s="296">
        <v>165</v>
      </c>
      <c r="B297" s="297" t="s">
        <v>545</v>
      </c>
      <c r="C297" s="207"/>
      <c r="D297" s="207">
        <v>3</v>
      </c>
      <c r="E297" s="357"/>
      <c r="F297" s="298">
        <f t="shared" si="0"/>
        <v>3</v>
      </c>
      <c r="G297" s="299">
        <f t="shared" si="1"/>
        <v>0</v>
      </c>
      <c r="H297" s="207"/>
      <c r="I297" s="207">
        <v>3</v>
      </c>
      <c r="J297" s="299">
        <f t="shared" si="2"/>
        <v>3</v>
      </c>
      <c r="K297" s="141"/>
    </row>
    <row r="298" spans="1:11" ht="15.95" customHeight="1">
      <c r="A298" s="296"/>
      <c r="B298" s="297"/>
      <c r="C298" s="207"/>
      <c r="D298" s="207"/>
      <c r="E298" s="357"/>
      <c r="F298" s="298">
        <f t="shared" si="0"/>
        <v>0</v>
      </c>
      <c r="G298" s="299"/>
      <c r="H298" s="207"/>
      <c r="I298" s="207"/>
      <c r="J298" s="299"/>
      <c r="K298" s="141"/>
    </row>
    <row r="299" spans="1:11" ht="15.95" customHeight="1">
      <c r="A299" s="296">
        <v>166</v>
      </c>
      <c r="B299" s="297" t="s">
        <v>546</v>
      </c>
      <c r="C299" s="207"/>
      <c r="D299" s="207">
        <v>3</v>
      </c>
      <c r="E299" s="357"/>
      <c r="F299" s="298">
        <f t="shared" si="0"/>
        <v>3</v>
      </c>
      <c r="G299" s="299">
        <f t="shared" si="1"/>
        <v>0</v>
      </c>
      <c r="H299" s="207"/>
      <c r="I299" s="207">
        <v>3</v>
      </c>
      <c r="J299" s="299">
        <f t="shared" si="2"/>
        <v>3</v>
      </c>
      <c r="K299" s="141"/>
    </row>
    <row r="300" spans="1:11" ht="15.95" customHeight="1">
      <c r="A300" s="296"/>
      <c r="B300" s="297"/>
      <c r="C300" s="207"/>
      <c r="D300" s="207"/>
      <c r="E300" s="357"/>
      <c r="F300" s="298">
        <f t="shared" si="0"/>
        <v>0</v>
      </c>
      <c r="G300" s="299"/>
      <c r="H300" s="207"/>
      <c r="I300" s="207"/>
      <c r="J300" s="299"/>
      <c r="K300" s="141"/>
    </row>
    <row r="301" spans="1:11" ht="15.95" customHeight="1">
      <c r="A301" s="296">
        <v>167</v>
      </c>
      <c r="B301" s="297" t="s">
        <v>790</v>
      </c>
      <c r="C301" s="207"/>
      <c r="D301" s="207">
        <v>0</v>
      </c>
      <c r="E301" s="357">
        <v>10</v>
      </c>
      <c r="F301" s="298">
        <f t="shared" si="0"/>
        <v>10</v>
      </c>
      <c r="G301" s="299">
        <f t="shared" si="1"/>
        <v>0</v>
      </c>
      <c r="H301" s="207">
        <v>0</v>
      </c>
      <c r="I301" s="207">
        <v>10</v>
      </c>
      <c r="J301" s="299">
        <f t="shared" si="2"/>
        <v>10</v>
      </c>
      <c r="K301" s="141"/>
    </row>
    <row r="302" spans="1:11" ht="15.95" customHeight="1">
      <c r="A302" s="296"/>
      <c r="B302" s="297"/>
      <c r="C302" s="207"/>
      <c r="D302" s="207"/>
      <c r="E302" s="357"/>
      <c r="F302" s="298">
        <f t="shared" si="0"/>
        <v>0</v>
      </c>
      <c r="G302" s="299"/>
      <c r="H302" s="207"/>
      <c r="I302" s="207"/>
      <c r="J302" s="299"/>
      <c r="K302" s="141"/>
    </row>
    <row r="303" spans="1:11" ht="15.95" customHeight="1">
      <c r="A303" s="296">
        <v>168</v>
      </c>
      <c r="B303" s="297" t="s">
        <v>547</v>
      </c>
      <c r="C303" s="207">
        <v>2</v>
      </c>
      <c r="D303" s="207">
        <v>4</v>
      </c>
      <c r="E303" s="357"/>
      <c r="F303" s="298">
        <f t="shared" si="0"/>
        <v>6</v>
      </c>
      <c r="G303" s="299">
        <f t="shared" si="1"/>
        <v>0</v>
      </c>
      <c r="H303" s="207">
        <v>2</v>
      </c>
      <c r="I303" s="207">
        <v>4</v>
      </c>
      <c r="J303" s="299">
        <f t="shared" si="2"/>
        <v>6</v>
      </c>
      <c r="K303" s="141"/>
    </row>
    <row r="304" spans="1:11" ht="15.95" customHeight="1">
      <c r="A304" s="296"/>
      <c r="B304" s="297"/>
      <c r="C304" s="207"/>
      <c r="D304" s="207"/>
      <c r="E304" s="357"/>
      <c r="F304" s="298"/>
      <c r="G304" s="299"/>
      <c r="H304" s="207"/>
      <c r="I304" s="207"/>
      <c r="J304" s="299"/>
      <c r="K304" s="141"/>
    </row>
    <row r="305" spans="1:11" ht="15.95" customHeight="1">
      <c r="A305" s="296">
        <v>169</v>
      </c>
      <c r="B305" s="297" t="s">
        <v>548</v>
      </c>
      <c r="C305" s="207">
        <v>16</v>
      </c>
      <c r="D305" s="207">
        <v>4</v>
      </c>
      <c r="E305" s="357"/>
      <c r="F305" s="298">
        <f t="shared" si="0"/>
        <v>20</v>
      </c>
      <c r="G305" s="299">
        <f t="shared" si="1"/>
        <v>0</v>
      </c>
      <c r="H305" s="207">
        <v>16</v>
      </c>
      <c r="I305" s="207">
        <v>4</v>
      </c>
      <c r="J305" s="299">
        <f t="shared" si="2"/>
        <v>20</v>
      </c>
      <c r="K305" s="141"/>
    </row>
    <row r="306" spans="1:11" ht="15.95" customHeight="1">
      <c r="A306" s="296"/>
      <c r="B306" s="297"/>
      <c r="C306" s="207"/>
      <c r="D306" s="207"/>
      <c r="E306" s="357"/>
      <c r="F306" s="298"/>
      <c r="G306" s="299"/>
      <c r="H306" s="207"/>
      <c r="I306" s="207"/>
      <c r="J306" s="299"/>
      <c r="K306" s="141"/>
    </row>
    <row r="307" spans="1:11" ht="15.95" customHeight="1">
      <c r="A307" s="296">
        <v>170</v>
      </c>
      <c r="B307" s="297" t="s">
        <v>549</v>
      </c>
      <c r="C307" s="207">
        <v>1</v>
      </c>
      <c r="D307" s="207"/>
      <c r="E307" s="357"/>
      <c r="F307" s="298">
        <f t="shared" si="0"/>
        <v>1</v>
      </c>
      <c r="G307" s="299">
        <f t="shared" si="1"/>
        <v>0</v>
      </c>
      <c r="H307" s="207">
        <v>1</v>
      </c>
      <c r="I307" s="207"/>
      <c r="J307" s="299">
        <f t="shared" si="2"/>
        <v>1</v>
      </c>
      <c r="K307" s="141"/>
    </row>
    <row r="308" spans="1:11" ht="15.95" customHeight="1">
      <c r="A308" s="296"/>
      <c r="B308" s="297"/>
      <c r="C308" s="207"/>
      <c r="D308" s="207"/>
      <c r="E308" s="357"/>
      <c r="F308" s="298"/>
      <c r="G308" s="299"/>
      <c r="H308" s="207"/>
      <c r="I308" s="207"/>
      <c r="J308" s="299"/>
      <c r="K308" s="141"/>
    </row>
    <row r="309" spans="1:11" ht="15.95" customHeight="1">
      <c r="A309" s="296">
        <v>171</v>
      </c>
      <c r="B309" s="297" t="s">
        <v>550</v>
      </c>
      <c r="C309" s="207">
        <v>2</v>
      </c>
      <c r="D309" s="207"/>
      <c r="E309" s="357"/>
      <c r="F309" s="298">
        <f t="shared" si="0"/>
        <v>2</v>
      </c>
      <c r="G309" s="299">
        <f t="shared" si="1"/>
        <v>0</v>
      </c>
      <c r="H309" s="207">
        <v>2</v>
      </c>
      <c r="I309" s="207"/>
      <c r="J309" s="299">
        <f t="shared" si="2"/>
        <v>2</v>
      </c>
      <c r="K309" s="141"/>
    </row>
    <row r="310" spans="1:11" ht="15.95" customHeight="1">
      <c r="A310" s="296"/>
      <c r="B310" s="297"/>
      <c r="C310" s="207"/>
      <c r="D310" s="207"/>
      <c r="E310" s="357"/>
      <c r="F310" s="298"/>
      <c r="G310" s="299"/>
      <c r="H310" s="207"/>
      <c r="I310" s="207"/>
      <c r="J310" s="299"/>
      <c r="K310" s="141"/>
    </row>
    <row r="311" spans="1:11" ht="15.95" customHeight="1">
      <c r="A311" s="296">
        <v>172</v>
      </c>
      <c r="B311" s="297" t="s">
        <v>789</v>
      </c>
      <c r="C311" s="207"/>
      <c r="D311" s="207"/>
      <c r="E311" s="357">
        <v>1</v>
      </c>
      <c r="F311" s="298">
        <f t="shared" ref="F311" si="3">SUM(C311:E311)</f>
        <v>1</v>
      </c>
      <c r="G311" s="299">
        <f t="shared" ref="G311" si="4">+F311-J311</f>
        <v>1</v>
      </c>
      <c r="H311" s="207">
        <v>0</v>
      </c>
      <c r="I311" s="207"/>
      <c r="J311" s="299">
        <f t="shared" ref="J311:J321" si="5">SUM(H311:I311)</f>
        <v>0</v>
      </c>
      <c r="K311" s="141"/>
    </row>
    <row r="312" spans="1:11" ht="15.95" customHeight="1">
      <c r="A312" s="296"/>
      <c r="B312" s="297"/>
      <c r="C312" s="207"/>
      <c r="D312" s="207"/>
      <c r="E312" s="357"/>
      <c r="F312" s="298"/>
      <c r="G312" s="299"/>
      <c r="H312" s="207"/>
      <c r="I312" s="207"/>
      <c r="J312" s="299"/>
      <c r="K312" s="141"/>
    </row>
    <row r="313" spans="1:11" ht="15.95" customHeight="1">
      <c r="A313" s="296">
        <v>173</v>
      </c>
      <c r="B313" s="297" t="s">
        <v>785</v>
      </c>
      <c r="C313" s="207">
        <v>0</v>
      </c>
      <c r="D313" s="207">
        <v>0</v>
      </c>
      <c r="E313" s="357">
        <v>2</v>
      </c>
      <c r="F313" s="298">
        <f t="shared" ref="F313:F319" si="6">SUM(C313:E313)</f>
        <v>2</v>
      </c>
      <c r="G313" s="299">
        <f t="shared" ref="G313:G321" si="7">+F313-J313</f>
        <v>2</v>
      </c>
      <c r="H313" s="207">
        <v>0</v>
      </c>
      <c r="I313" s="207"/>
      <c r="J313" s="299">
        <f t="shared" si="5"/>
        <v>0</v>
      </c>
      <c r="K313" s="141"/>
    </row>
    <row r="314" spans="1:11" ht="15.95" customHeight="1">
      <c r="A314" s="296"/>
      <c r="B314" s="297"/>
      <c r="C314" s="207"/>
      <c r="D314" s="207"/>
      <c r="E314" s="357"/>
      <c r="F314" s="298">
        <v>0</v>
      </c>
      <c r="G314" s="299"/>
      <c r="H314" s="207"/>
      <c r="I314" s="207"/>
      <c r="J314" s="299">
        <f t="shared" si="5"/>
        <v>0</v>
      </c>
      <c r="K314" s="141"/>
    </row>
    <row r="315" spans="1:11" ht="15.95" customHeight="1">
      <c r="A315" s="296">
        <v>174</v>
      </c>
      <c r="B315" s="297" t="s">
        <v>786</v>
      </c>
      <c r="C315" s="207"/>
      <c r="D315" s="207"/>
      <c r="E315" s="357">
        <v>2</v>
      </c>
      <c r="F315" s="298">
        <f t="shared" si="6"/>
        <v>2</v>
      </c>
      <c r="G315" s="299">
        <f t="shared" si="7"/>
        <v>2</v>
      </c>
      <c r="H315" s="207">
        <v>0</v>
      </c>
      <c r="I315" s="207"/>
      <c r="J315" s="299">
        <f t="shared" si="5"/>
        <v>0</v>
      </c>
      <c r="K315" s="141"/>
    </row>
    <row r="316" spans="1:11" ht="15.95" customHeight="1">
      <c r="A316" s="296"/>
      <c r="B316" s="297"/>
      <c r="C316" s="207"/>
      <c r="D316" s="207"/>
      <c r="E316" s="357"/>
      <c r="F316" s="298">
        <f t="shared" si="6"/>
        <v>0</v>
      </c>
      <c r="G316" s="299"/>
      <c r="H316" s="207"/>
      <c r="I316" s="207"/>
      <c r="J316" s="299">
        <f t="shared" si="5"/>
        <v>0</v>
      </c>
      <c r="K316" s="141"/>
    </row>
    <row r="317" spans="1:11" ht="15.95" customHeight="1">
      <c r="A317" s="296">
        <v>175</v>
      </c>
      <c r="B317" s="297" t="s">
        <v>787</v>
      </c>
      <c r="C317" s="207"/>
      <c r="D317" s="207"/>
      <c r="E317" s="357">
        <v>2</v>
      </c>
      <c r="F317" s="298">
        <f t="shared" si="6"/>
        <v>2</v>
      </c>
      <c r="G317" s="299">
        <f t="shared" si="7"/>
        <v>2</v>
      </c>
      <c r="H317" s="207">
        <v>0</v>
      </c>
      <c r="I317" s="207"/>
      <c r="J317" s="299">
        <f t="shared" si="5"/>
        <v>0</v>
      </c>
      <c r="K317" s="141"/>
    </row>
    <row r="318" spans="1:11" ht="15.95" customHeight="1">
      <c r="A318" s="296"/>
      <c r="B318" s="297"/>
      <c r="C318" s="207"/>
      <c r="D318" s="207"/>
      <c r="E318" s="357"/>
      <c r="F318" s="298"/>
      <c r="G318" s="299"/>
      <c r="H318" s="207"/>
      <c r="I318" s="207"/>
      <c r="J318" s="299"/>
      <c r="K318" s="141"/>
    </row>
    <row r="319" spans="1:11" ht="15.95" customHeight="1">
      <c r="A319" s="296">
        <v>176</v>
      </c>
      <c r="B319" s="297" t="s">
        <v>788</v>
      </c>
      <c r="C319" s="207"/>
      <c r="D319" s="207"/>
      <c r="E319" s="357">
        <v>1</v>
      </c>
      <c r="F319" s="298">
        <f t="shared" si="6"/>
        <v>1</v>
      </c>
      <c r="G319" s="299">
        <f t="shared" si="7"/>
        <v>1</v>
      </c>
      <c r="H319" s="207">
        <v>0</v>
      </c>
      <c r="I319" s="207">
        <v>0</v>
      </c>
      <c r="J319" s="299">
        <f t="shared" si="5"/>
        <v>0</v>
      </c>
      <c r="K319" s="141"/>
    </row>
    <row r="320" spans="1:11" ht="15.95" customHeight="1">
      <c r="A320" s="296"/>
      <c r="B320" s="297"/>
      <c r="C320" s="207"/>
      <c r="D320" s="207"/>
      <c r="E320" s="357"/>
      <c r="F320" s="298"/>
      <c r="G320" s="299"/>
      <c r="H320" s="207"/>
      <c r="I320" s="207"/>
      <c r="J320" s="299"/>
      <c r="K320" s="141"/>
    </row>
    <row r="321" spans="1:11" ht="15.95" customHeight="1">
      <c r="A321" s="296">
        <v>177</v>
      </c>
      <c r="B321" s="297" t="s">
        <v>792</v>
      </c>
      <c r="C321" s="207"/>
      <c r="D321" s="207"/>
      <c r="E321" s="357">
        <v>2</v>
      </c>
      <c r="F321" s="298">
        <v>2</v>
      </c>
      <c r="G321" s="299">
        <f t="shared" si="7"/>
        <v>2</v>
      </c>
      <c r="H321" s="207">
        <v>0</v>
      </c>
      <c r="I321" s="207"/>
      <c r="J321" s="299">
        <f t="shared" si="5"/>
        <v>0</v>
      </c>
      <c r="K321" s="141"/>
    </row>
    <row r="322" spans="1:11" ht="21" customHeight="1">
      <c r="A322" s="457"/>
      <c r="B322" s="458" t="s">
        <v>36</v>
      </c>
      <c r="C322" s="459">
        <f>SUM(C11:C321)</f>
        <v>2113.1999999999998</v>
      </c>
      <c r="D322" s="459">
        <f t="shared" ref="D322:J322" si="8">SUM(D11:D321)</f>
        <v>92.05</v>
      </c>
      <c r="E322" s="459">
        <f t="shared" si="8"/>
        <v>470</v>
      </c>
      <c r="F322" s="459">
        <f t="shared" si="8"/>
        <v>2675.25</v>
      </c>
      <c r="G322" s="459">
        <f t="shared" si="8"/>
        <v>368.8</v>
      </c>
      <c r="H322" s="459">
        <f t="shared" si="8"/>
        <v>2220.1999999999998</v>
      </c>
      <c r="I322" s="459">
        <f t="shared" si="8"/>
        <v>101.25</v>
      </c>
      <c r="J322" s="459">
        <f t="shared" si="8"/>
        <v>2321.4499999999998</v>
      </c>
      <c r="K322" s="141"/>
    </row>
    <row r="323" spans="1:11">
      <c r="A323" s="455"/>
      <c r="B323" s="832"/>
      <c r="C323" s="832"/>
      <c r="D323" s="832"/>
      <c r="E323" s="832"/>
      <c r="F323" s="832"/>
      <c r="G323" s="832"/>
      <c r="H323" s="832"/>
      <c r="I323" s="832"/>
      <c r="J323" s="832"/>
      <c r="K323" s="141"/>
    </row>
    <row r="324" spans="1:11">
      <c r="K324" s="141"/>
    </row>
    <row r="325" spans="1:11">
      <c r="C325" s="833"/>
      <c r="D325" s="833"/>
      <c r="E325" s="118"/>
      <c r="G325" s="303"/>
      <c r="K325" s="141"/>
    </row>
    <row r="326" spans="1:11">
      <c r="G326" s="303"/>
      <c r="K326" s="141"/>
    </row>
    <row r="327" spans="1:11">
      <c r="G327" s="304"/>
      <c r="K327" s="141"/>
    </row>
    <row r="328" spans="1:11">
      <c r="G328" s="118"/>
      <c r="K328" s="141"/>
    </row>
    <row r="330" spans="1:11">
      <c r="G330" s="118"/>
      <c r="H330" s="118"/>
    </row>
    <row r="331" spans="1:11">
      <c r="G331" s="305"/>
    </row>
    <row r="339" spans="5:5">
      <c r="E339" s="119"/>
    </row>
  </sheetData>
  <mergeCells count="5">
    <mergeCell ref="A4:J4"/>
    <mergeCell ref="A5:J5"/>
    <mergeCell ref="C6:D6"/>
    <mergeCell ref="B323:J323"/>
    <mergeCell ref="C325:D325"/>
  </mergeCells>
  <printOptions gridLines="1"/>
  <pageMargins left="0.17" right="0.17" top="0.18" bottom="0.2" header="0.17" footer="0.17"/>
  <pageSetup paperSize="9" scale="60" orientation="portrait" r:id="rId1"/>
  <headerFooter alignWithMargins="0">
    <oddFooter>&amp;L of&amp;RPage  No - 9 to 13 of 17</oddFooter>
  </headerFooter>
  <rowBreaks count="3" manualBreakCount="3">
    <brk id="87" max="9" man="1"/>
    <brk id="167" max="9" man="1"/>
    <brk id="23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14</vt:i4>
      </vt:variant>
    </vt:vector>
  </HeadingPairs>
  <TitlesOfParts>
    <vt:vector size="27" baseType="lpstr">
      <vt:lpstr>WIP-1 </vt:lpstr>
      <vt:lpstr>WIP-2</vt:lpstr>
      <vt:lpstr>WIP-3</vt:lpstr>
      <vt:lpstr>TFS (I) </vt:lpstr>
      <vt:lpstr>TFS (II) </vt:lpstr>
      <vt:lpstr>PVC</vt:lpstr>
      <vt:lpstr>LAC</vt:lpstr>
      <vt:lpstr>VAR &amp; SIL</vt:lpstr>
      <vt:lpstr>INKS</vt:lpstr>
      <vt:lpstr>PACKING</vt:lpstr>
      <vt:lpstr>POWER &amp; OIL</vt:lpstr>
      <vt:lpstr>Consum</vt:lpstr>
      <vt:lpstr>Butyle,silver size &amp; Epoxy</vt:lpstr>
      <vt:lpstr>'Butyle,silver size &amp; Epoxy'!Print_Area</vt:lpstr>
      <vt:lpstr>Consum!Print_Area</vt:lpstr>
      <vt:lpstr>INKS!Print_Area</vt:lpstr>
      <vt:lpstr>LAC!Print_Area</vt:lpstr>
      <vt:lpstr>PACKING!Print_Area</vt:lpstr>
      <vt:lpstr>'POWER &amp; OIL'!Print_Area</vt:lpstr>
      <vt:lpstr>PVC!Print_Area</vt:lpstr>
      <vt:lpstr>'TFS (I) '!Print_Area</vt:lpstr>
      <vt:lpstr>'TFS (II) '!Print_Area</vt:lpstr>
      <vt:lpstr>'VAR &amp; SIL'!Print_Area</vt:lpstr>
      <vt:lpstr>'WIP-1 '!Print_Area</vt:lpstr>
      <vt:lpstr>'WIP-2'!Print_Area</vt:lpstr>
      <vt:lpstr>'WIP-3'!Print_Area</vt:lpstr>
      <vt:lpstr>INKS!Print_Titles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Laxmi</dc:creator>
  <cp:lastModifiedBy>darshan</cp:lastModifiedBy>
  <cp:lastPrinted>2013-12-05T11:04:43Z</cp:lastPrinted>
  <dcterms:created xsi:type="dcterms:W3CDTF">1996-10-14T23:33:28Z</dcterms:created>
  <dcterms:modified xsi:type="dcterms:W3CDTF">2013-12-13T11:38:03Z</dcterms:modified>
</cp:coreProperties>
</file>