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60" yWindow="45" windowWidth="11340" windowHeight="5265" tabRatio="939" firstSheet="6" activeTab="15"/>
  </bookViews>
  <sheets>
    <sheet name="COSTOFPROJECT" sheetId="20" r:id="rId1"/>
    <sheet name="LANDBLDG" sheetId="17" r:id="rId2"/>
    <sheet name="PLANT&amp;MACHINERY" sheetId="18" r:id="rId3"/>
    <sheet name="Sheet1" sheetId="27" r:id="rId4"/>
    <sheet name="INSTCAPACITY" sheetId="19" r:id="rId5"/>
    <sheet name="SALESREVENUE" sheetId="3" r:id="rId6"/>
    <sheet name="POWERCOST" sheetId="7" r:id="rId7"/>
    <sheet name="MANPOWER" sheetId="5" r:id="rId8"/>
    <sheet name="DEPRECATION" sheetId="8" r:id="rId9"/>
    <sheet name="INTERESTCAL" sheetId="6" r:id="rId10"/>
    <sheet name="WCAPITAL" sheetId="12" r:id="rId11"/>
    <sheet name="PROFITABILITY" sheetId="13" r:id="rId12"/>
    <sheet name="BEP" sheetId="9" r:id="rId13"/>
    <sheet name="DCR" sheetId="10" r:id="rId14"/>
    <sheet name="PAYBACK" sheetId="23" r:id="rId15"/>
    <sheet name="CASHFLOW" sheetId="2" r:id="rId16"/>
    <sheet name="Ratio's" sheetId="28" r:id="rId17"/>
    <sheet name="BALANCE SHEET" sheetId="24" r:id="rId18"/>
    <sheet name="Sheet3" sheetId="29" r:id="rId19"/>
    <sheet name="Sheet2" sheetId="30" r:id="rId20"/>
  </sheets>
  <externalReferences>
    <externalReference r:id="rId21"/>
    <externalReference r:id="rId22"/>
  </externalReferences>
  <definedNames>
    <definedName name="_xlnm.Print_Area" localSheetId="17">'BALANCE SHEET'!$A$1:$J$39</definedName>
    <definedName name="_xlnm.Print_Area" localSheetId="12">BEP!$A$1:$G$36</definedName>
    <definedName name="_xlnm.Print_Area" localSheetId="15">CASHFLOW!$A$1:$J$34</definedName>
    <definedName name="_xlnm.Print_Area" localSheetId="0">COSTOFPROJECT!$A$1:$D$26</definedName>
    <definedName name="_xlnm.Print_Area" localSheetId="13">DCR!$A$1:$G$20</definedName>
    <definedName name="_xlnm.Print_Area" localSheetId="8">DEPRECATION!$A$1:$F$15</definedName>
    <definedName name="_xlnm.Print_Area" localSheetId="4">INSTCAPACITY!$A$1:$H$32</definedName>
    <definedName name="_xlnm.Print_Area" localSheetId="9">INTERESTCAL!$H$1:$O$95</definedName>
    <definedName name="_xlnm.Print_Area" localSheetId="1">LANDBLDG!$A$1:$G$16</definedName>
    <definedName name="_xlnm.Print_Area" localSheetId="7">MANPOWER!$A$1:$F$22</definedName>
    <definedName name="_xlnm.Print_Area" localSheetId="14">PAYBACK!$A$1:$E$18</definedName>
    <definedName name="_xlnm.Print_Area" localSheetId="2">'PLANT&amp;MACHINERY'!$A$1:$E$30</definedName>
    <definedName name="_xlnm.Print_Area" localSheetId="6">POWERCOST!$A$1:$I$17</definedName>
    <definedName name="_xlnm.Print_Area" localSheetId="11">PROFITABILITY!#REF!</definedName>
    <definedName name="_xlnm.Print_Area" localSheetId="18">Sheet3!$A$1:$J$519</definedName>
    <definedName name="_xlnm.Print_Area" localSheetId="10">WCAPITAL!$A$1:$P$35</definedName>
  </definedNames>
  <calcPr calcId="124519"/>
</workbook>
</file>

<file path=xl/calcChain.xml><?xml version="1.0" encoding="utf-8"?>
<calcChain xmlns="http://schemas.openxmlformats.org/spreadsheetml/2006/main">
  <c r="G7" i="17"/>
  <c r="E29" i="18"/>
  <c r="G16" i="17"/>
  <c r="G11"/>
  <c r="C21" i="3"/>
  <c r="F21"/>
  <c r="F26"/>
  <c r="C19"/>
  <c r="F19"/>
  <c r="C20"/>
  <c r="F20"/>
  <c r="C22"/>
  <c r="F22"/>
  <c r="C23"/>
  <c r="F23"/>
  <c r="C24"/>
  <c r="F24"/>
  <c r="C7"/>
  <c r="F7"/>
  <c r="F31"/>
  <c r="F33" s="1"/>
  <c r="D11" i="13" s="1"/>
  <c r="C13" i="5"/>
  <c r="C15"/>
  <c r="G7" i="7"/>
  <c r="H7"/>
  <c r="H15"/>
  <c r="H17"/>
  <c r="E30" i="18"/>
  <c r="D5" i="8"/>
  <c r="F14" i="5"/>
  <c r="F12"/>
  <c r="F11"/>
  <c r="F13"/>
  <c r="F7"/>
  <c r="F8"/>
  <c r="F9"/>
  <c r="F10"/>
  <c r="F6" i="20"/>
  <c r="D4"/>
  <c r="F4"/>
  <c r="E18" i="19"/>
  <c r="C5" i="3"/>
  <c r="F5"/>
  <c r="C9"/>
  <c r="F9" s="1"/>
  <c r="F11" s="1"/>
  <c r="E15" i="13"/>
  <c r="D13"/>
  <c r="E13"/>
  <c r="F39" i="3"/>
  <c r="F43"/>
  <c r="G18" i="13"/>
  <c r="E10" i="12"/>
  <c r="E15"/>
  <c r="F15"/>
  <c r="G15"/>
  <c r="E5" i="8"/>
  <c r="E6"/>
  <c r="C6" i="24"/>
  <c r="D22" i="2"/>
  <c r="C11"/>
  <c r="C9"/>
  <c r="E22"/>
  <c r="F18" i="13"/>
  <c r="K18" i="12"/>
  <c r="F22" i="2"/>
  <c r="I15" i="13"/>
  <c r="N12" i="12" s="1"/>
  <c r="G15" i="13"/>
  <c r="G22" i="2"/>
  <c r="C13" i="24"/>
  <c r="D13"/>
  <c r="H27"/>
  <c r="H22" i="2"/>
  <c r="D36" i="24"/>
  <c r="E36"/>
  <c r="D37"/>
  <c r="F346" i="29"/>
  <c r="B5"/>
  <c r="D7"/>
  <c r="G7"/>
  <c r="G347" s="1"/>
  <c r="H7"/>
  <c r="H141" s="1"/>
  <c r="H212" s="1"/>
  <c r="I7"/>
  <c r="J7"/>
  <c r="D8"/>
  <c r="D142" s="1"/>
  <c r="D213" s="1"/>
  <c r="F8"/>
  <c r="F82" s="1"/>
  <c r="G8"/>
  <c r="H8"/>
  <c r="I8"/>
  <c r="I82" s="1"/>
  <c r="J8"/>
  <c r="J279" s="1"/>
  <c r="D11"/>
  <c r="E11"/>
  <c r="D16"/>
  <c r="D420" s="1"/>
  <c r="D19"/>
  <c r="D27" s="1"/>
  <c r="E19"/>
  <c r="M19"/>
  <c r="P19"/>
  <c r="P26"/>
  <c r="M20"/>
  <c r="P20"/>
  <c r="D21"/>
  <c r="D219" s="1"/>
  <c r="E21"/>
  <c r="E219" s="1"/>
  <c r="M21"/>
  <c r="P21"/>
  <c r="D22"/>
  <c r="E22"/>
  <c r="M22"/>
  <c r="P22"/>
  <c r="D23"/>
  <c r="E23"/>
  <c r="M23"/>
  <c r="P23"/>
  <c r="D24"/>
  <c r="E24"/>
  <c r="M24"/>
  <c r="P24"/>
  <c r="D25"/>
  <c r="E25"/>
  <c r="F25"/>
  <c r="H25"/>
  <c r="I25"/>
  <c r="J25"/>
  <c r="M25"/>
  <c r="P25"/>
  <c r="D26"/>
  <c r="E26"/>
  <c r="M26"/>
  <c r="D28"/>
  <c r="E28"/>
  <c r="D30"/>
  <c r="D152" s="1"/>
  <c r="D311" s="1"/>
  <c r="D317" s="1"/>
  <c r="D323" s="1"/>
  <c r="E30"/>
  <c r="E152" s="1"/>
  <c r="D32"/>
  <c r="E32"/>
  <c r="D34"/>
  <c r="E34"/>
  <c r="E154" s="1"/>
  <c r="D38"/>
  <c r="E38"/>
  <c r="D39"/>
  <c r="E39"/>
  <c r="D43"/>
  <c r="D42" s="1"/>
  <c r="D444" s="1"/>
  <c r="D447" s="1"/>
  <c r="E43"/>
  <c r="E42" s="1"/>
  <c r="E45" s="1"/>
  <c r="E430" s="1"/>
  <c r="D50"/>
  <c r="E50"/>
  <c r="F50"/>
  <c r="G50"/>
  <c r="G56"/>
  <c r="G491"/>
  <c r="H50"/>
  <c r="I50"/>
  <c r="J50"/>
  <c r="D55"/>
  <c r="E55"/>
  <c r="E56"/>
  <c r="F55"/>
  <c r="G55"/>
  <c r="H55"/>
  <c r="I55"/>
  <c r="J55"/>
  <c r="F56"/>
  <c r="F491"/>
  <c r="I56"/>
  <c r="J56"/>
  <c r="D58"/>
  <c r="E58"/>
  <c r="F80"/>
  <c r="F81"/>
  <c r="G81"/>
  <c r="D85"/>
  <c r="E85"/>
  <c r="E87" s="1"/>
  <c r="D87"/>
  <c r="F89"/>
  <c r="G89"/>
  <c r="G98" s="1"/>
  <c r="H89"/>
  <c r="H98" s="1"/>
  <c r="I89"/>
  <c r="I98" s="1"/>
  <c r="J89"/>
  <c r="J98" s="1"/>
  <c r="D90"/>
  <c r="E90"/>
  <c r="E98" s="1"/>
  <c r="D92"/>
  <c r="E92"/>
  <c r="D97"/>
  <c r="E97"/>
  <c r="F97"/>
  <c r="G97"/>
  <c r="H97"/>
  <c r="I97"/>
  <c r="J97"/>
  <c r="C98"/>
  <c r="D98"/>
  <c r="D102"/>
  <c r="D454" s="1"/>
  <c r="D455" s="1"/>
  <c r="D106"/>
  <c r="D110"/>
  <c r="D498" s="1"/>
  <c r="E110"/>
  <c r="D113"/>
  <c r="E113"/>
  <c r="D114"/>
  <c r="E114"/>
  <c r="F140"/>
  <c r="F141"/>
  <c r="G141"/>
  <c r="G212" s="1"/>
  <c r="I142"/>
  <c r="I213" s="1"/>
  <c r="D145"/>
  <c r="D313" s="1"/>
  <c r="E145"/>
  <c r="D147"/>
  <c r="E147"/>
  <c r="F147"/>
  <c r="G147"/>
  <c r="H147"/>
  <c r="I147"/>
  <c r="J147"/>
  <c r="D148"/>
  <c r="D229" s="1"/>
  <c r="E148"/>
  <c r="E229" s="1"/>
  <c r="D154"/>
  <c r="D159"/>
  <c r="D314" s="1"/>
  <c r="E159"/>
  <c r="D160"/>
  <c r="D234" s="1"/>
  <c r="D162"/>
  <c r="F162"/>
  <c r="D163"/>
  <c r="E163"/>
  <c r="G163"/>
  <c r="H163"/>
  <c r="I163"/>
  <c r="J163"/>
  <c r="D164"/>
  <c r="E165"/>
  <c r="E453" s="1"/>
  <c r="E458" s="1"/>
  <c r="D165"/>
  <c r="D453" s="1"/>
  <c r="D458" s="1"/>
  <c r="F168"/>
  <c r="G168"/>
  <c r="G174"/>
  <c r="G297" s="1"/>
  <c r="H168"/>
  <c r="H174" s="1"/>
  <c r="H297" s="1"/>
  <c r="I168"/>
  <c r="D174"/>
  <c r="E174"/>
  <c r="E297"/>
  <c r="F174"/>
  <c r="I174"/>
  <c r="J297" s="1"/>
  <c r="D176"/>
  <c r="D179"/>
  <c r="E179"/>
  <c r="F179"/>
  <c r="G179"/>
  <c r="H292"/>
  <c r="H179"/>
  <c r="I179"/>
  <c r="J179"/>
  <c r="F211"/>
  <c r="F212"/>
  <c r="D216"/>
  <c r="E216"/>
  <c r="F216"/>
  <c r="G216"/>
  <c r="H216"/>
  <c r="I216"/>
  <c r="J216"/>
  <c r="E217"/>
  <c r="N217"/>
  <c r="O217"/>
  <c r="E445"/>
  <c r="D218"/>
  <c r="E218"/>
  <c r="F218"/>
  <c r="G218"/>
  <c r="H218"/>
  <c r="I218"/>
  <c r="J218"/>
  <c r="D227"/>
  <c r="E227"/>
  <c r="F227"/>
  <c r="G227"/>
  <c r="H227"/>
  <c r="I227"/>
  <c r="J227"/>
  <c r="F277"/>
  <c r="F278"/>
  <c r="G278"/>
  <c r="J278"/>
  <c r="H279"/>
  <c r="D283"/>
  <c r="D291"/>
  <c r="F292"/>
  <c r="G292"/>
  <c r="I292"/>
  <c r="J292"/>
  <c r="D297"/>
  <c r="D299"/>
  <c r="E299"/>
  <c r="F299"/>
  <c r="G299"/>
  <c r="H299"/>
  <c r="I299"/>
  <c r="J299"/>
  <c r="D303"/>
  <c r="D309" s="1"/>
  <c r="D322" s="1"/>
  <c r="D324" s="1"/>
  <c r="D312"/>
  <c r="F347"/>
  <c r="I348"/>
  <c r="J348"/>
  <c r="F353"/>
  <c r="G353"/>
  <c r="H353"/>
  <c r="I353"/>
  <c r="J353"/>
  <c r="F359"/>
  <c r="C374"/>
  <c r="C375"/>
  <c r="C377"/>
  <c r="C382"/>
  <c r="C384"/>
  <c r="C389"/>
  <c r="C391"/>
  <c r="F417"/>
  <c r="F487"/>
  <c r="J417"/>
  <c r="J487" s="1"/>
  <c r="D418"/>
  <c r="D488" s="1"/>
  <c r="H418"/>
  <c r="F432"/>
  <c r="G432"/>
  <c r="H432"/>
  <c r="I432"/>
  <c r="J432"/>
  <c r="D445"/>
  <c r="B487"/>
  <c r="H488"/>
  <c r="I491"/>
  <c r="J491"/>
  <c r="J168"/>
  <c r="J174"/>
  <c r="I27" i="24"/>
  <c r="J27"/>
  <c r="C37"/>
  <c r="C5" i="28"/>
  <c r="D5"/>
  <c r="E5"/>
  <c r="F5"/>
  <c r="G5"/>
  <c r="C26"/>
  <c r="D26"/>
  <c r="E26"/>
  <c r="F26"/>
  <c r="G26"/>
  <c r="D7" i="2"/>
  <c r="E7"/>
  <c r="F7"/>
  <c r="G7"/>
  <c r="H7"/>
  <c r="I7"/>
  <c r="J7"/>
  <c r="E16"/>
  <c r="F16"/>
  <c r="G16"/>
  <c r="H16"/>
  <c r="I16"/>
  <c r="J16"/>
  <c r="I22"/>
  <c r="J22"/>
  <c r="J24"/>
  <c r="F14" i="23"/>
  <c r="C5" i="9"/>
  <c r="D57"/>
  <c r="D5"/>
  <c r="E57" s="1"/>
  <c r="E5"/>
  <c r="F5"/>
  <c r="G57" s="1"/>
  <c r="G5"/>
  <c r="C6"/>
  <c r="D6"/>
  <c r="E6"/>
  <c r="F6"/>
  <c r="G6"/>
  <c r="C16"/>
  <c r="E16"/>
  <c r="F16"/>
  <c r="G16"/>
  <c r="C21"/>
  <c r="C23"/>
  <c r="D23"/>
  <c r="E23"/>
  <c r="F23"/>
  <c r="G23"/>
  <c r="C28"/>
  <c r="E28"/>
  <c r="F28"/>
  <c r="G28"/>
  <c r="C29"/>
  <c r="D29"/>
  <c r="E29"/>
  <c r="F29"/>
  <c r="G29"/>
  <c r="F57"/>
  <c r="C59"/>
  <c r="C60"/>
  <c r="C62"/>
  <c r="C67"/>
  <c r="C69"/>
  <c r="C74"/>
  <c r="C76"/>
  <c r="C83"/>
  <c r="E8" i="13"/>
  <c r="F8"/>
  <c r="G8"/>
  <c r="H8"/>
  <c r="I8"/>
  <c r="J8"/>
  <c r="E9"/>
  <c r="F9"/>
  <c r="G9"/>
  <c r="H9"/>
  <c r="I9"/>
  <c r="J9"/>
  <c r="C22" i="9"/>
  <c r="E16" i="13"/>
  <c r="H13" i="12"/>
  <c r="F16" i="13"/>
  <c r="D28" i="9"/>
  <c r="E20" i="13"/>
  <c r="G25" i="29"/>
  <c r="I23" i="13"/>
  <c r="J23"/>
  <c r="C8" i="12"/>
  <c r="E13"/>
  <c r="F13" s="1"/>
  <c r="I15"/>
  <c r="J15" s="1"/>
  <c r="L15"/>
  <c r="M15"/>
  <c r="E17"/>
  <c r="H17"/>
  <c r="J17"/>
  <c r="I17"/>
  <c r="K17"/>
  <c r="F22"/>
  <c r="G22"/>
  <c r="I22"/>
  <c r="J22" s="1"/>
  <c r="L22"/>
  <c r="M22"/>
  <c r="F32"/>
  <c r="I32"/>
  <c r="L32"/>
  <c r="O32"/>
  <c r="H14" i="6"/>
  <c r="H15"/>
  <c r="H16"/>
  <c r="H17"/>
  <c r="H18"/>
  <c r="H19"/>
  <c r="L14"/>
  <c r="C16"/>
  <c r="E16"/>
  <c r="G19"/>
  <c r="H20"/>
  <c r="H21"/>
  <c r="H22"/>
  <c r="H23"/>
  <c r="H24"/>
  <c r="H25"/>
  <c r="H26"/>
  <c r="H27"/>
  <c r="H28"/>
  <c r="H29"/>
  <c r="H30"/>
  <c r="D29"/>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C26" i="3"/>
  <c r="C33"/>
  <c r="A1" i="20"/>
  <c r="A1" i="17" s="1"/>
  <c r="A1" i="18" s="1"/>
  <c r="D28" i="20"/>
  <c r="D7" i="27"/>
  <c r="E7"/>
  <c r="J18" i="13"/>
  <c r="I18"/>
  <c r="J15"/>
  <c r="D16" i="9"/>
  <c r="G22" i="29"/>
  <c r="D11" i="9"/>
  <c r="I22" i="29"/>
  <c r="I355"/>
  <c r="F11" i="9"/>
  <c r="E15"/>
  <c r="G355" i="29"/>
  <c r="F98"/>
  <c r="F244" s="1"/>
  <c r="I93" i="6"/>
  <c r="F106" i="29"/>
  <c r="C5" i="8"/>
  <c r="G11" i="13"/>
  <c r="E11"/>
  <c r="F11"/>
  <c r="H11"/>
  <c r="I11"/>
  <c r="J11"/>
  <c r="F15" i="9"/>
  <c r="N18" i="12"/>
  <c r="O18" s="1"/>
  <c r="E21" i="9"/>
  <c r="G16" i="13"/>
  <c r="K13" i="12"/>
  <c r="E491" i="29"/>
  <c r="L18" i="12"/>
  <c r="M18"/>
  <c r="L17"/>
  <c r="M17"/>
  <c r="D6" i="8"/>
  <c r="D7"/>
  <c r="D16" i="6"/>
  <c r="C17"/>
  <c r="D17"/>
  <c r="J13" i="12"/>
  <c r="I13"/>
  <c r="N15"/>
  <c r="N17"/>
  <c r="E292" i="29"/>
  <c r="D292"/>
  <c r="D107"/>
  <c r="D15" i="13"/>
  <c r="F15"/>
  <c r="H15"/>
  <c r="E7" i="8"/>
  <c r="F15" i="5"/>
  <c r="H18" i="13"/>
  <c r="G15" i="9" s="1"/>
  <c r="D18" i="13"/>
  <c r="D21" i="9"/>
  <c r="H12" i="12"/>
  <c r="E13" i="29"/>
  <c r="E230" s="1"/>
  <c r="E226"/>
  <c r="H82"/>
  <c r="H142"/>
  <c r="H213" s="1"/>
  <c r="H348"/>
  <c r="J81"/>
  <c r="J141"/>
  <c r="J212" s="1"/>
  <c r="J347"/>
  <c r="D278"/>
  <c r="D417"/>
  <c r="D487" s="1"/>
  <c r="D81"/>
  <c r="D141"/>
  <c r="D212" s="1"/>
  <c r="H56"/>
  <c r="D56"/>
  <c r="E18" i="13"/>
  <c r="C11" i="3"/>
  <c r="D6" i="13" s="1"/>
  <c r="D8" i="20"/>
  <c r="D29" i="29"/>
  <c r="D31" s="1"/>
  <c r="D220" s="1"/>
  <c r="F297"/>
  <c r="F13" i="3"/>
  <c r="D33" i="29"/>
  <c r="D35" s="1"/>
  <c r="I12" i="13"/>
  <c r="H18" i="12"/>
  <c r="D15" i="9"/>
  <c r="E15" i="29"/>
  <c r="E189" s="1"/>
  <c r="I12" i="12"/>
  <c r="E18"/>
  <c r="C15" i="9"/>
  <c r="F18" i="5"/>
  <c r="F16"/>
  <c r="K12" i="12"/>
  <c r="H22" i="29"/>
  <c r="H355"/>
  <c r="E11" i="9"/>
  <c r="L13" i="12"/>
  <c r="M13"/>
  <c r="P18"/>
  <c r="H6"/>
  <c r="E12" i="13"/>
  <c r="D9" i="9"/>
  <c r="H491" i="29"/>
  <c r="J22"/>
  <c r="J355"/>
  <c r="G11" i="9"/>
  <c r="P15" i="12"/>
  <c r="O15"/>
  <c r="C18" i="6"/>
  <c r="E17"/>
  <c r="F16"/>
  <c r="J12" i="13"/>
  <c r="F12"/>
  <c r="E9" i="9"/>
  <c r="K6" i="12"/>
  <c r="H30" i="13"/>
  <c r="J30"/>
  <c r="J27" s="1"/>
  <c r="F22" i="29"/>
  <c r="E12" i="12"/>
  <c r="C11" i="9"/>
  <c r="F21"/>
  <c r="N13" i="12"/>
  <c r="H16" i="13"/>
  <c r="F9" i="9"/>
  <c r="D491" i="29"/>
  <c r="F8" i="20"/>
  <c r="E8" i="8"/>
  <c r="E9" s="1"/>
  <c r="E10" s="1"/>
  <c r="O17" i="12"/>
  <c r="P17" s="1"/>
  <c r="D18" i="6"/>
  <c r="D19"/>
  <c r="C12" i="10"/>
  <c r="H12" i="13"/>
  <c r="G9" i="9"/>
  <c r="E11" i="8"/>
  <c r="G21" i="9"/>
  <c r="I16" i="13"/>
  <c r="J16"/>
  <c r="F12" i="12"/>
  <c r="G12" s="1"/>
  <c r="J24" i="29"/>
  <c r="J356"/>
  <c r="G10" i="9"/>
  <c r="K7" i="12"/>
  <c r="K8" s="1"/>
  <c r="L6"/>
  <c r="K9"/>
  <c r="H24" i="29"/>
  <c r="H356" s="1"/>
  <c r="E10" i="9"/>
  <c r="D10"/>
  <c r="H9" i="12"/>
  <c r="G24" i="29"/>
  <c r="D14" i="13"/>
  <c r="F19" i="5"/>
  <c r="C19" i="6"/>
  <c r="E18"/>
  <c r="H7" i="12"/>
  <c r="H8"/>
  <c r="G30" i="29"/>
  <c r="I6" i="12"/>
  <c r="J6"/>
  <c r="I18"/>
  <c r="J18" s="1"/>
  <c r="D12" i="10"/>
  <c r="D20" i="6"/>
  <c r="D21"/>
  <c r="F355" i="29"/>
  <c r="J19" i="13"/>
  <c r="G7" i="9"/>
  <c r="L12" i="12"/>
  <c r="M12" s="1"/>
  <c r="F18"/>
  <c r="G18"/>
  <c r="G152" i="29"/>
  <c r="H30"/>
  <c r="H28"/>
  <c r="E12" i="10"/>
  <c r="D22" i="6"/>
  <c r="D23"/>
  <c r="H32" i="12"/>
  <c r="E31" i="24"/>
  <c r="J7" i="12"/>
  <c r="J32" s="1"/>
  <c r="I9"/>
  <c r="J9"/>
  <c r="M9"/>
  <c r="L9"/>
  <c r="F18" i="6"/>
  <c r="G356" i="29"/>
  <c r="K32" i="12"/>
  <c r="F31" i="24"/>
  <c r="H90" i="29" s="1"/>
  <c r="M7" i="12"/>
  <c r="M32"/>
  <c r="I8"/>
  <c r="C20" i="6"/>
  <c r="E19"/>
  <c r="E16" i="28"/>
  <c r="E20" i="6"/>
  <c r="C21"/>
  <c r="G90" i="29"/>
  <c r="D16" i="28"/>
  <c r="F12" i="10"/>
  <c r="D24" i="6"/>
  <c r="D25"/>
  <c r="G12" i="10"/>
  <c r="F20" i="6"/>
  <c r="E21"/>
  <c r="C22"/>
  <c r="C23"/>
  <c r="E22"/>
  <c r="E23"/>
  <c r="F22"/>
  <c r="C24"/>
  <c r="C25"/>
  <c r="E24"/>
  <c r="E25"/>
  <c r="C26"/>
  <c r="F24"/>
  <c r="C27"/>
  <c r="E26"/>
  <c r="E27"/>
  <c r="C28"/>
  <c r="F26"/>
  <c r="C29"/>
  <c r="E29"/>
  <c r="E28"/>
  <c r="F28"/>
  <c r="D12" i="13" l="1"/>
  <c r="E6" i="12"/>
  <c r="C9" i="9"/>
  <c r="I28" i="29"/>
  <c r="I30"/>
  <c r="H152"/>
  <c r="E12" i="8"/>
  <c r="E13" s="1"/>
  <c r="D6" i="24"/>
  <c r="C9"/>
  <c r="M6" i="12"/>
  <c r="E14" i="13"/>
  <c r="F23" i="29"/>
  <c r="E11" i="12"/>
  <c r="C13" i="9"/>
  <c r="H19" i="13"/>
  <c r="J11" i="29"/>
  <c r="H27" i="13"/>
  <c r="F30"/>
  <c r="E30"/>
  <c r="I30"/>
  <c r="G30"/>
  <c r="D30"/>
  <c r="G5" i="8"/>
  <c r="C6"/>
  <c r="F6" s="1"/>
  <c r="D21" i="13" s="1"/>
  <c r="E27" i="29"/>
  <c r="E29" s="1"/>
  <c r="E31" s="1"/>
  <c r="E33" s="1"/>
  <c r="E35" s="1"/>
  <c r="O25" s="1"/>
  <c r="E232"/>
  <c r="D226"/>
  <c r="D13"/>
  <c r="G418"/>
  <c r="G488" s="1"/>
  <c r="G82"/>
  <c r="I81"/>
  <c r="I278"/>
  <c r="I141"/>
  <c r="I212" s="1"/>
  <c r="B415"/>
  <c r="B485" s="1"/>
  <c r="B276"/>
  <c r="E13" i="24"/>
  <c r="C28" i="28"/>
  <c r="O12" i="12"/>
  <c r="P12" s="1"/>
  <c r="J12"/>
  <c r="J8"/>
  <c r="O13"/>
  <c r="P13" s="1"/>
  <c r="G12" i="13"/>
  <c r="N6" i="12"/>
  <c r="G17"/>
  <c r="F17"/>
  <c r="E37" i="24"/>
  <c r="F36"/>
  <c r="F10" i="12"/>
  <c r="G10" s="1"/>
  <c r="F13" i="13"/>
  <c r="D22" i="9"/>
  <c r="H10" i="12"/>
  <c r="I297" i="29"/>
  <c r="L8" i="12"/>
  <c r="D9" i="8"/>
  <c r="D8"/>
  <c r="F7" i="27"/>
  <c r="F12" s="1"/>
  <c r="F13" s="1"/>
  <c r="F14" i="20"/>
  <c r="D19" s="1"/>
  <c r="G13" i="12"/>
  <c r="D296" i="29"/>
  <c r="D99"/>
  <c r="E303"/>
  <c r="E309" s="1"/>
  <c r="E322" s="1"/>
  <c r="D193"/>
  <c r="D434"/>
  <c r="D501" s="1"/>
  <c r="D435"/>
  <c r="D502" s="1"/>
  <c r="G244"/>
  <c r="E188"/>
  <c r="J244"/>
  <c r="G417"/>
  <c r="G487" s="1"/>
  <c r="I279"/>
  <c r="D244"/>
  <c r="E314"/>
  <c r="E115"/>
  <c r="E182" s="1"/>
  <c r="E433" s="1"/>
  <c r="E500" s="1"/>
  <c r="D82"/>
  <c r="E187"/>
  <c r="E312"/>
  <c r="D108"/>
  <c r="I418"/>
  <c r="I488" s="1"/>
  <c r="D279"/>
  <c r="D115"/>
  <c r="D182" s="1"/>
  <c r="I417"/>
  <c r="I487" s="1"/>
  <c r="H347"/>
  <c r="F279"/>
  <c r="E223"/>
  <c r="E313"/>
  <c r="E194"/>
  <c r="E499"/>
  <c r="E67"/>
  <c r="E287"/>
  <c r="E421"/>
  <c r="E186"/>
  <c r="E489"/>
  <c r="E495" s="1"/>
  <c r="E505"/>
  <c r="E315"/>
  <c r="E504"/>
  <c r="E437"/>
  <c r="E507" s="1"/>
  <c r="E306"/>
  <c r="E293"/>
  <c r="E288"/>
  <c r="E198"/>
  <c r="E65"/>
  <c r="E308"/>
  <c r="E164"/>
  <c r="E316"/>
  <c r="E68"/>
  <c r="E425" s="1"/>
  <c r="E305"/>
  <c r="E282"/>
  <c r="E289" s="1"/>
  <c r="E307"/>
  <c r="E294"/>
  <c r="E64"/>
  <c r="O214"/>
  <c r="E66"/>
  <c r="E423" s="1"/>
  <c r="E422" s="1"/>
  <c r="E492" s="1"/>
  <c r="E284"/>
  <c r="E244"/>
  <c r="E99"/>
  <c r="D238"/>
  <c r="D243"/>
  <c r="D236"/>
  <c r="D237"/>
  <c r="D239"/>
  <c r="E220"/>
  <c r="F291"/>
  <c r="F300" s="1"/>
  <c r="F320" s="1"/>
  <c r="E69"/>
  <c r="E426" s="1"/>
  <c r="E497" s="1"/>
  <c r="E439"/>
  <c r="E224"/>
  <c r="E304"/>
  <c r="D223"/>
  <c r="D40"/>
  <c r="N20"/>
  <c r="D221"/>
  <c r="H244"/>
  <c r="N25"/>
  <c r="F16"/>
  <c r="F420" s="1"/>
  <c r="N24"/>
  <c r="N23"/>
  <c r="N22"/>
  <c r="N21"/>
  <c r="D180"/>
  <c r="D45"/>
  <c r="D430" s="1"/>
  <c r="E498"/>
  <c r="J142"/>
  <c r="J213" s="1"/>
  <c r="H81"/>
  <c r="D286"/>
  <c r="D232"/>
  <c r="I347"/>
  <c r="G142"/>
  <c r="G213" s="1"/>
  <c r="G279"/>
  <c r="D183"/>
  <c r="D246" s="1"/>
  <c r="E444"/>
  <c r="E447" s="1"/>
  <c r="D508"/>
  <c r="D438"/>
  <c r="D506" s="1"/>
  <c r="H417"/>
  <c r="H487" s="1"/>
  <c r="G348"/>
  <c r="E311"/>
  <c r="E317" s="1"/>
  <c r="E323" s="1"/>
  <c r="I244"/>
  <c r="F348"/>
  <c r="H278"/>
  <c r="E160"/>
  <c r="F142"/>
  <c r="F213" s="1"/>
  <c r="J82"/>
  <c r="D217"/>
  <c r="N19"/>
  <c r="N26" s="1"/>
  <c r="B210"/>
  <c r="J418"/>
  <c r="J488" s="1"/>
  <c r="F418"/>
  <c r="F488" s="1"/>
  <c r="A1" i="27"/>
  <c r="A1" i="19"/>
  <c r="A1" i="3" s="1"/>
  <c r="B1" i="7" s="1"/>
  <c r="A1" i="5" s="1"/>
  <c r="A1" i="8" s="1"/>
  <c r="B345" i="29"/>
  <c r="B139"/>
  <c r="B79"/>
  <c r="E14" i="8" l="1"/>
  <c r="E15" s="1"/>
  <c r="N7" i="12"/>
  <c r="N8" s="1"/>
  <c r="O6"/>
  <c r="P6" s="1"/>
  <c r="C7" i="10"/>
  <c r="C9" i="23" s="1"/>
  <c r="F26" i="29"/>
  <c r="D20" i="24"/>
  <c r="C26" i="9"/>
  <c r="D8" i="2"/>
  <c r="I19" i="13"/>
  <c r="I27"/>
  <c r="J13" i="29"/>
  <c r="J15" s="1"/>
  <c r="G19" i="13"/>
  <c r="F7" i="9"/>
  <c r="G27" i="13"/>
  <c r="N21" i="12"/>
  <c r="I11" i="29"/>
  <c r="G14" i="9"/>
  <c r="J38" i="29"/>
  <c r="H11" i="12"/>
  <c r="G23" i="29"/>
  <c r="D13" i="9"/>
  <c r="F14" i="13"/>
  <c r="F110" i="29"/>
  <c r="E6" i="24"/>
  <c r="J28" i="29"/>
  <c r="I152"/>
  <c r="J30"/>
  <c r="C10" i="9"/>
  <c r="E9" i="12"/>
  <c r="F24" i="29"/>
  <c r="D10" i="8"/>
  <c r="D11"/>
  <c r="E21" i="12"/>
  <c r="D27" i="13"/>
  <c r="F11" i="29"/>
  <c r="D19" i="13"/>
  <c r="C7" i="9"/>
  <c r="F27" i="13"/>
  <c r="F19"/>
  <c r="E7" i="9"/>
  <c r="K21" i="12"/>
  <c r="H11" i="29"/>
  <c r="F354"/>
  <c r="C7" i="8"/>
  <c r="F37" i="24"/>
  <c r="G36"/>
  <c r="J10" i="12"/>
  <c r="I10"/>
  <c r="F13" i="24"/>
  <c r="D28" i="28"/>
  <c r="G106" i="29"/>
  <c r="D15"/>
  <c r="D230"/>
  <c r="I24"/>
  <c r="I356" s="1"/>
  <c r="F10" i="9"/>
  <c r="N9" i="12"/>
  <c r="O4" i="6"/>
  <c r="C10" i="2"/>
  <c r="D22" i="20"/>
  <c r="D23"/>
  <c r="K10" i="12"/>
  <c r="G13" i="13"/>
  <c r="E22" i="9"/>
  <c r="E19" i="13"/>
  <c r="H21" i="12"/>
  <c r="G11" i="29"/>
  <c r="G13" s="1"/>
  <c r="G15" s="1"/>
  <c r="D7" i="9"/>
  <c r="E27" i="13"/>
  <c r="J39" i="29"/>
  <c r="G27" i="9"/>
  <c r="G17"/>
  <c r="F11" i="12"/>
  <c r="G11" s="1"/>
  <c r="E8"/>
  <c r="E7"/>
  <c r="E14"/>
  <c r="F30" i="29"/>
  <c r="F6" i="12"/>
  <c r="E431" i="29"/>
  <c r="M8" i="12"/>
  <c r="O22" i="29"/>
  <c r="E191"/>
  <c r="E427"/>
  <c r="E324"/>
  <c r="E195"/>
  <c r="D116"/>
  <c r="N211" s="1"/>
  <c r="E319"/>
  <c r="E493"/>
  <c r="E424"/>
  <c r="D191"/>
  <c r="D194"/>
  <c r="D433"/>
  <c r="D500" s="1"/>
  <c r="D499"/>
  <c r="D427"/>
  <c r="D431"/>
  <c r="D195"/>
  <c r="D247"/>
  <c r="D245"/>
  <c r="D248" s="1"/>
  <c r="E193"/>
  <c r="E435"/>
  <c r="E502" s="1"/>
  <c r="E434"/>
  <c r="E501" s="1"/>
  <c r="O23"/>
  <c r="O19"/>
  <c r="O26" s="1"/>
  <c r="O20"/>
  <c r="E40"/>
  <c r="E41" s="1"/>
  <c r="E46" s="1"/>
  <c r="E221"/>
  <c r="O21"/>
  <c r="O24"/>
  <c r="E508"/>
  <c r="E234"/>
  <c r="E438"/>
  <c r="E506" s="1"/>
  <c r="E180"/>
  <c r="E183"/>
  <c r="E246" s="1"/>
  <c r="D197"/>
  <c r="D440" s="1"/>
  <c r="D196"/>
  <c r="D428"/>
  <c r="D503" s="1"/>
  <c r="D436"/>
  <c r="E283"/>
  <c r="E162"/>
  <c r="E36"/>
  <c r="E37" s="1"/>
  <c r="A9" i="6"/>
  <c r="H1"/>
  <c r="A1" i="12" s="1"/>
  <c r="A1" i="13" s="1"/>
  <c r="A1" i="9" s="1"/>
  <c r="E16" i="8" l="1"/>
  <c r="E17" s="1"/>
  <c r="O8" i="12"/>
  <c r="P8" s="1"/>
  <c r="C8" i="8"/>
  <c r="F8" s="1"/>
  <c r="E21" i="13" s="1"/>
  <c r="C9" i="8"/>
  <c r="K16" i="12"/>
  <c r="E27" i="9"/>
  <c r="H39" i="29"/>
  <c r="E17" i="9"/>
  <c r="D12" i="8"/>
  <c r="D13" s="1"/>
  <c r="I11" i="12"/>
  <c r="J11" s="1"/>
  <c r="I39" i="29"/>
  <c r="F17" i="9"/>
  <c r="F27" s="1"/>
  <c r="N16" i="12"/>
  <c r="E66" i="9"/>
  <c r="E59"/>
  <c r="G13" i="24"/>
  <c r="E28" i="28"/>
  <c r="H106" i="29"/>
  <c r="D66" i="9"/>
  <c r="D59"/>
  <c r="D14"/>
  <c r="H20" i="12"/>
  <c r="G38" i="29"/>
  <c r="J21" i="12"/>
  <c r="J34" s="1"/>
  <c r="H34"/>
  <c r="E26" i="24" s="1"/>
  <c r="I21" i="12"/>
  <c r="I34" s="1"/>
  <c r="N10"/>
  <c r="H13" i="13"/>
  <c r="F22" i="9"/>
  <c r="C11" i="24"/>
  <c r="C14" s="1"/>
  <c r="C15" s="1"/>
  <c r="C18" i="2"/>
  <c r="H38" i="29"/>
  <c r="E14" i="9"/>
  <c r="K20" i="12"/>
  <c r="F13" i="29"/>
  <c r="F15" s="1"/>
  <c r="J152"/>
  <c r="H23"/>
  <c r="H354" s="1"/>
  <c r="E13" i="9"/>
  <c r="K11" i="12"/>
  <c r="G14" i="13"/>
  <c r="N34" i="12"/>
  <c r="G26" i="24" s="1"/>
  <c r="O21" i="12"/>
  <c r="O34" s="1"/>
  <c r="G6"/>
  <c r="H14"/>
  <c r="F14"/>
  <c r="G14" s="1"/>
  <c r="G295" i="29"/>
  <c r="H16"/>
  <c r="H420" s="1"/>
  <c r="G284"/>
  <c r="G350"/>
  <c r="G189"/>
  <c r="G489"/>
  <c r="G288"/>
  <c r="G304"/>
  <c r="G315"/>
  <c r="O9" i="12"/>
  <c r="P9"/>
  <c r="E16" i="29"/>
  <c r="E420" s="1"/>
  <c r="D505"/>
  <c r="D489"/>
  <c r="D495" s="1"/>
  <c r="D282"/>
  <c r="D289" s="1"/>
  <c r="D307"/>
  <c r="D306"/>
  <c r="D439"/>
  <c r="D293"/>
  <c r="D300" s="1"/>
  <c r="D320" s="1"/>
  <c r="D69"/>
  <c r="D426" s="1"/>
  <c r="D497" s="1"/>
  <c r="D316"/>
  <c r="D198"/>
  <c r="D504"/>
  <c r="D67"/>
  <c r="D288"/>
  <c r="D315"/>
  <c r="D188"/>
  <c r="D186"/>
  <c r="D64"/>
  <c r="D437"/>
  <c r="D507" s="1"/>
  <c r="D224"/>
  <c r="D421"/>
  <c r="D189"/>
  <c r="D304"/>
  <c r="D36"/>
  <c r="D37" s="1"/>
  <c r="D287"/>
  <c r="D66"/>
  <c r="D423" s="1"/>
  <c r="D422" s="1"/>
  <c r="D492" s="1"/>
  <c r="D294"/>
  <c r="D308"/>
  <c r="E291"/>
  <c r="E300" s="1"/>
  <c r="D305"/>
  <c r="D284"/>
  <c r="D65"/>
  <c r="D68"/>
  <c r="D425" s="1"/>
  <c r="D187"/>
  <c r="N214"/>
  <c r="H36" i="24"/>
  <c r="G37"/>
  <c r="H13" i="29"/>
  <c r="H15" s="1"/>
  <c r="E16" i="12"/>
  <c r="C17" i="9"/>
  <c r="C27" s="1"/>
  <c r="F39" i="29"/>
  <c r="J489"/>
  <c r="J189"/>
  <c r="J350"/>
  <c r="J284"/>
  <c r="J288"/>
  <c r="J304"/>
  <c r="J315"/>
  <c r="F8" i="12"/>
  <c r="F59" i="9"/>
  <c r="F66"/>
  <c r="E34" i="12"/>
  <c r="D26" i="24" s="1"/>
  <c r="F21" i="12"/>
  <c r="F34" s="1"/>
  <c r="F9"/>
  <c r="G9"/>
  <c r="F498" i="29"/>
  <c r="G354"/>
  <c r="I13"/>
  <c r="I15" s="1"/>
  <c r="G66" i="9"/>
  <c r="G59"/>
  <c r="P7" i="12"/>
  <c r="P32" s="1"/>
  <c r="N32"/>
  <c r="G31" i="24" s="1"/>
  <c r="F152" i="29"/>
  <c r="G28"/>
  <c r="G7" i="12"/>
  <c r="G32" s="1"/>
  <c r="E32"/>
  <c r="D31" i="24" s="1"/>
  <c r="D17" i="9"/>
  <c r="D27" s="1"/>
  <c r="G39" i="29"/>
  <c r="H16" i="12"/>
  <c r="K14"/>
  <c r="M10"/>
  <c r="L10"/>
  <c r="K13" i="6"/>
  <c r="O9"/>
  <c r="L15" s="1"/>
  <c r="K34" i="12"/>
  <c r="F26" i="24" s="1"/>
  <c r="L21" i="12"/>
  <c r="L34" s="1"/>
  <c r="F38" i="29"/>
  <c r="E20" i="12"/>
  <c r="C14" i="9"/>
  <c r="F356" i="29"/>
  <c r="F6" i="24"/>
  <c r="G110" i="29"/>
  <c r="I38"/>
  <c r="N20" i="12"/>
  <c r="F14" i="9"/>
  <c r="F186" i="29"/>
  <c r="D41"/>
  <c r="D46" s="1"/>
  <c r="D490" s="1"/>
  <c r="E20" i="24"/>
  <c r="D57" i="29"/>
  <c r="D59" s="1"/>
  <c r="D429"/>
  <c r="E296"/>
  <c r="E196"/>
  <c r="E436"/>
  <c r="E428"/>
  <c r="E503" s="1"/>
  <c r="E197"/>
  <c r="E440" s="1"/>
  <c r="E57"/>
  <c r="E59" s="1"/>
  <c r="E490"/>
  <c r="E429"/>
  <c r="E239"/>
  <c r="E238"/>
  <c r="E237"/>
  <c r="E243"/>
  <c r="E236"/>
  <c r="A1" i="10"/>
  <c r="A1" i="23" s="1"/>
  <c r="A1" i="2" s="1"/>
  <c r="A1" i="28" s="1"/>
  <c r="A1" i="24" s="1"/>
  <c r="A52" i="9"/>
  <c r="D15" i="8" l="1"/>
  <c r="D14"/>
  <c r="E18"/>
  <c r="E19" s="1"/>
  <c r="K23" i="12"/>
  <c r="G498" i="29"/>
  <c r="E9" i="28"/>
  <c r="H148" i="29"/>
  <c r="E320"/>
  <c r="E321" s="1"/>
  <c r="E325" s="1"/>
  <c r="E301"/>
  <c r="F9" i="28"/>
  <c r="H26" i="24"/>
  <c r="I148" i="29"/>
  <c r="L16" i="12"/>
  <c r="M16" s="1"/>
  <c r="M13" i="6"/>
  <c r="K14"/>
  <c r="N13"/>
  <c r="F16" i="28"/>
  <c r="H31" i="24"/>
  <c r="I90" i="29"/>
  <c r="G73" i="9"/>
  <c r="F80"/>
  <c r="I16" i="29"/>
  <c r="I420" s="1"/>
  <c r="H189"/>
  <c r="H288"/>
  <c r="H295"/>
  <c r="H284"/>
  <c r="H350"/>
  <c r="H489"/>
  <c r="H315"/>
  <c r="H304"/>
  <c r="G381"/>
  <c r="G388"/>
  <c r="G374"/>
  <c r="G148"/>
  <c r="D9" i="28"/>
  <c r="E80" i="9"/>
  <c r="L16" i="6"/>
  <c r="L17" s="1"/>
  <c r="L18" s="1"/>
  <c r="L19" s="1"/>
  <c r="L20" s="1"/>
  <c r="L21" s="1"/>
  <c r="L22" s="1"/>
  <c r="L23" s="1"/>
  <c r="L24" s="1"/>
  <c r="L25" s="1"/>
  <c r="J16" i="12"/>
  <c r="I16"/>
  <c r="H19"/>
  <c r="G80" i="9"/>
  <c r="F73"/>
  <c r="J388" i="29"/>
  <c r="J374"/>
  <c r="J381"/>
  <c r="M11" i="12"/>
  <c r="L11"/>
  <c r="L20"/>
  <c r="M20" s="1"/>
  <c r="J20"/>
  <c r="I20"/>
  <c r="D73" i="9"/>
  <c r="O16" i="12"/>
  <c r="P16" s="1"/>
  <c r="E8" i="2"/>
  <c r="G26" i="29"/>
  <c r="D26" i="9"/>
  <c r="D7" i="10"/>
  <c r="C10" i="23" s="1"/>
  <c r="G21" i="12"/>
  <c r="G34" s="1"/>
  <c r="G8"/>
  <c r="P21"/>
  <c r="P34" s="1"/>
  <c r="K33"/>
  <c r="F28" i="24" s="1"/>
  <c r="H34" i="29"/>
  <c r="M14" i="12"/>
  <c r="L14"/>
  <c r="C9" i="28"/>
  <c r="F148" i="29"/>
  <c r="D493"/>
  <c r="D424"/>
  <c r="I14" i="12"/>
  <c r="H31"/>
  <c r="I13" i="13"/>
  <c r="G22" i="9"/>
  <c r="E73"/>
  <c r="O20" i="12"/>
  <c r="P20" s="1"/>
  <c r="H110" i="29"/>
  <c r="G6" i="24"/>
  <c r="G20" i="12"/>
  <c r="F20"/>
  <c r="F90" i="29"/>
  <c r="C16" i="28"/>
  <c r="I284" i="29"/>
  <c r="I489"/>
  <c r="I189"/>
  <c r="I288"/>
  <c r="I350"/>
  <c r="I295"/>
  <c r="J16"/>
  <c r="J420" s="1"/>
  <c r="I315"/>
  <c r="I304"/>
  <c r="G16" i="12"/>
  <c r="F16"/>
  <c r="E19"/>
  <c r="I36" i="24"/>
  <c r="H37"/>
  <c r="D319" i="29"/>
  <c r="D321" s="1"/>
  <c r="D325" s="1"/>
  <c r="D301"/>
  <c r="H14" i="13"/>
  <c r="N11" i="12"/>
  <c r="F13" i="9"/>
  <c r="I23" i="29"/>
  <c r="I354" s="1"/>
  <c r="F284"/>
  <c r="F350"/>
  <c r="F489"/>
  <c r="F288"/>
  <c r="G16"/>
  <c r="G420" s="1"/>
  <c r="F295"/>
  <c r="F189"/>
  <c r="F315"/>
  <c r="F304"/>
  <c r="F164"/>
  <c r="O10" i="12"/>
  <c r="P10"/>
  <c r="D80" i="9"/>
  <c r="I106" i="29"/>
  <c r="F28" i="28"/>
  <c r="H13" i="24"/>
  <c r="C10" i="8"/>
  <c r="F10" s="1"/>
  <c r="F21" i="13" s="1"/>
  <c r="C11" i="8"/>
  <c r="F20" i="24"/>
  <c r="M21" i="12"/>
  <c r="M34" s="1"/>
  <c r="K19"/>
  <c r="E247" i="29"/>
  <c r="E245"/>
  <c r="E248" s="1"/>
  <c r="E60"/>
  <c r="E443" s="1"/>
  <c r="E62"/>
  <c r="E494"/>
  <c r="D494"/>
  <c r="D60"/>
  <c r="D443" s="1"/>
  <c r="D62"/>
  <c r="F388" l="1"/>
  <c r="F381"/>
  <c r="F374"/>
  <c r="G13" i="9"/>
  <c r="I14" i="13"/>
  <c r="J14" s="1"/>
  <c r="J23" i="29"/>
  <c r="J354" s="1"/>
  <c r="J36" i="24"/>
  <c r="J37" s="1"/>
  <c r="I37"/>
  <c r="E25"/>
  <c r="H159" i="29"/>
  <c r="E10" i="28"/>
  <c r="I19" i="12"/>
  <c r="J19" s="1"/>
  <c r="H23"/>
  <c r="L26" i="6"/>
  <c r="L27" s="1"/>
  <c r="L28" s="1"/>
  <c r="L29" s="1"/>
  <c r="L30" s="1"/>
  <c r="L31" s="1"/>
  <c r="L32" s="1"/>
  <c r="L33" s="1"/>
  <c r="L34" s="1"/>
  <c r="L35" s="1"/>
  <c r="L36" s="1"/>
  <c r="L37" s="1"/>
  <c r="G226" i="29"/>
  <c r="G229"/>
  <c r="G230" s="1"/>
  <c r="G312"/>
  <c r="G306"/>
  <c r="I31" i="24"/>
  <c r="J31" s="1"/>
  <c r="J90" i="29"/>
  <c r="G16" i="28"/>
  <c r="J148" i="29"/>
  <c r="G9" i="28"/>
  <c r="I26" i="24"/>
  <c r="J26" s="1"/>
  <c r="H229" i="29"/>
  <c r="H230" s="1"/>
  <c r="H312"/>
  <c r="H226"/>
  <c r="D16" i="8"/>
  <c r="D17" s="1"/>
  <c r="J106" i="29"/>
  <c r="G28" i="28"/>
  <c r="I13" i="24"/>
  <c r="J13" s="1"/>
  <c r="J14" s="1"/>
  <c r="O11" i="12"/>
  <c r="P11"/>
  <c r="N23"/>
  <c r="G23" i="2" s="1"/>
  <c r="N19" i="12"/>
  <c r="N14"/>
  <c r="H498" i="29"/>
  <c r="J13" i="13"/>
  <c r="F306" i="29"/>
  <c r="F229"/>
  <c r="F312"/>
  <c r="F226"/>
  <c r="H154"/>
  <c r="I32"/>
  <c r="H360"/>
  <c r="I359" s="1"/>
  <c r="H388"/>
  <c r="H381"/>
  <c r="H374"/>
  <c r="M14" i="6"/>
  <c r="N14"/>
  <c r="K15"/>
  <c r="I229" i="29"/>
  <c r="I230" s="1"/>
  <c r="I312"/>
  <c r="I226"/>
  <c r="E7" i="10"/>
  <c r="C11" i="23" s="1"/>
  <c r="H26" i="29"/>
  <c r="E26" i="9"/>
  <c r="F8" i="2"/>
  <c r="G164" i="29"/>
  <c r="F283"/>
  <c r="I388"/>
  <c r="I374"/>
  <c r="I381"/>
  <c r="I110"/>
  <c r="H6" i="24"/>
  <c r="J14" i="12"/>
  <c r="J23" s="1"/>
  <c r="I84" i="6" s="1"/>
  <c r="P24"/>
  <c r="C11" i="10" s="1"/>
  <c r="I306" i="29"/>
  <c r="H33" i="12"/>
  <c r="E28" i="24" s="1"/>
  <c r="H437" i="29"/>
  <c r="H507" s="1"/>
  <c r="M19" i="12"/>
  <c r="M23" s="1"/>
  <c r="I85" i="6" s="1"/>
  <c r="L19" i="12"/>
  <c r="L23" s="1"/>
  <c r="C12" i="8"/>
  <c r="F12" s="1"/>
  <c r="G21" i="13" s="1"/>
  <c r="G19" i="12"/>
  <c r="F19"/>
  <c r="E23"/>
  <c r="D23" i="2" s="1"/>
  <c r="E31" i="12"/>
  <c r="E33"/>
  <c r="D28" i="24" s="1"/>
  <c r="F34" i="29"/>
  <c r="L33" i="12"/>
  <c r="L31"/>
  <c r="L35" s="1"/>
  <c r="G23"/>
  <c r="I83" i="6" s="1"/>
  <c r="H306" i="29"/>
  <c r="F23" i="2"/>
  <c r="J295" i="29"/>
  <c r="G34"/>
  <c r="K31" i="12"/>
  <c r="D450" i="29"/>
  <c r="D449"/>
  <c r="E449"/>
  <c r="E450"/>
  <c r="D63"/>
  <c r="D496" s="1"/>
  <c r="D285"/>
  <c r="E63"/>
  <c r="E496" s="1"/>
  <c r="E285"/>
  <c r="E32" i="24" l="1"/>
  <c r="M84" i="6"/>
  <c r="E25" i="13" s="1"/>
  <c r="F32" i="24"/>
  <c r="M85" i="6"/>
  <c r="F25" i="13" s="1"/>
  <c r="D18" i="8"/>
  <c r="D19" s="1"/>
  <c r="K35" i="12"/>
  <c r="F25" i="24"/>
  <c r="F7" i="10"/>
  <c r="C12" i="23" s="1"/>
  <c r="I26" i="29"/>
  <c r="F26" i="9"/>
  <c r="G8" i="2"/>
  <c r="I6" i="24"/>
  <c r="J110" i="29"/>
  <c r="D32" i="24"/>
  <c r="M83" i="6"/>
  <c r="D25" i="13" s="1"/>
  <c r="F159" i="29"/>
  <c r="C10" i="28"/>
  <c r="G33" i="12"/>
  <c r="G31"/>
  <c r="D24" i="2"/>
  <c r="E96" i="29" s="1"/>
  <c r="O19" i="12"/>
  <c r="P19" s="1"/>
  <c r="P23" s="1"/>
  <c r="I86" i="6" s="1"/>
  <c r="F154" i="29"/>
  <c r="G32"/>
  <c r="G19" s="1"/>
  <c r="F19"/>
  <c r="F360"/>
  <c r="G359" s="1"/>
  <c r="F439"/>
  <c r="F64"/>
  <c r="F31" i="12"/>
  <c r="F35" s="1"/>
  <c r="F33"/>
  <c r="F23"/>
  <c r="D25" s="1"/>
  <c r="D10" i="20" s="1"/>
  <c r="D14" s="1"/>
  <c r="I498" i="29"/>
  <c r="N33" i="12"/>
  <c r="G28" i="24" s="1"/>
  <c r="I34" i="29"/>
  <c r="P14" i="12"/>
  <c r="O14"/>
  <c r="N31"/>
  <c r="D8" i="28"/>
  <c r="G20" i="24"/>
  <c r="I33" i="12"/>
  <c r="M33"/>
  <c r="E23" i="2"/>
  <c r="I31" i="12"/>
  <c r="M31"/>
  <c r="M35" s="1"/>
  <c r="P36" i="6"/>
  <c r="D11" i="10" s="1"/>
  <c r="I23" i="12"/>
  <c r="E35"/>
  <c r="D25" i="24"/>
  <c r="J33" i="12"/>
  <c r="J31"/>
  <c r="H164" i="29"/>
  <c r="G283"/>
  <c r="G360"/>
  <c r="H359" s="1"/>
  <c r="G154"/>
  <c r="H311" s="1"/>
  <c r="H32"/>
  <c r="D10" i="28"/>
  <c r="G159" i="29"/>
  <c r="K16" i="6"/>
  <c r="N15"/>
  <c r="M15"/>
  <c r="H223" i="29"/>
  <c r="H224" s="1"/>
  <c r="H305"/>
  <c r="H198"/>
  <c r="J312"/>
  <c r="J229"/>
  <c r="J230" s="1"/>
  <c r="J226"/>
  <c r="J306"/>
  <c r="L38" i="6"/>
  <c r="L39" s="1"/>
  <c r="L40" s="1"/>
  <c r="L41" s="1"/>
  <c r="L42" s="1"/>
  <c r="L43" s="1"/>
  <c r="L44" s="1"/>
  <c r="L45" s="1"/>
  <c r="L46" s="1"/>
  <c r="L47" s="1"/>
  <c r="L48" s="1"/>
  <c r="L49" s="1"/>
  <c r="H314" i="29"/>
  <c r="H308"/>
  <c r="C13" i="8"/>
  <c r="H35" i="12"/>
  <c r="M86" i="6" l="1"/>
  <c r="G25" i="13" s="1"/>
  <c r="I87" i="6"/>
  <c r="G32" i="24"/>
  <c r="G352" i="29"/>
  <c r="G358" s="1"/>
  <c r="G361" s="1"/>
  <c r="G232"/>
  <c r="G27"/>
  <c r="G29" s="1"/>
  <c r="G31" s="1"/>
  <c r="G217"/>
  <c r="G439"/>
  <c r="G64"/>
  <c r="J34"/>
  <c r="I154"/>
  <c r="J32"/>
  <c r="I360"/>
  <c r="J359" s="1"/>
  <c r="I19"/>
  <c r="I439" s="1"/>
  <c r="I64"/>
  <c r="D12" i="2"/>
  <c r="C17" i="28"/>
  <c r="C18" s="1"/>
  <c r="F85" i="29"/>
  <c r="F87" s="1"/>
  <c r="L50" i="6"/>
  <c r="L51" s="1"/>
  <c r="L52" s="1"/>
  <c r="L53" s="1"/>
  <c r="L54" s="1"/>
  <c r="L55" s="1"/>
  <c r="L56" s="1"/>
  <c r="L57" s="1"/>
  <c r="L58" s="1"/>
  <c r="L59" s="1"/>
  <c r="L60" s="1"/>
  <c r="L61" s="1"/>
  <c r="P60"/>
  <c r="E17" i="28"/>
  <c r="E18" s="1"/>
  <c r="F12" i="2"/>
  <c r="H85" i="29"/>
  <c r="H87" s="1"/>
  <c r="M16" i="6"/>
  <c r="N16"/>
  <c r="K17"/>
  <c r="I164" i="29"/>
  <c r="H283"/>
  <c r="O33" i="12"/>
  <c r="O31"/>
  <c r="O35" s="1"/>
  <c r="F27" i="29"/>
  <c r="F29" s="1"/>
  <c r="F31" s="1"/>
  <c r="F352"/>
  <c r="F358" s="1"/>
  <c r="F361" s="1"/>
  <c r="F232"/>
  <c r="F217"/>
  <c r="E102"/>
  <c r="P217"/>
  <c r="F445" s="1"/>
  <c r="F294"/>
  <c r="F314"/>
  <c r="F308"/>
  <c r="J498"/>
  <c r="E12" i="9"/>
  <c r="E18" s="1"/>
  <c r="H42" i="29"/>
  <c r="G314"/>
  <c r="G308"/>
  <c r="H19"/>
  <c r="C8" i="28"/>
  <c r="N35" i="12"/>
  <c r="G25" i="24"/>
  <c r="F10" i="28"/>
  <c r="H28" i="24"/>
  <c r="I159" i="29"/>
  <c r="E8" i="28"/>
  <c r="E12" i="2"/>
  <c r="D17" i="28"/>
  <c r="D18" s="1"/>
  <c r="G85" i="29"/>
  <c r="G87" s="1"/>
  <c r="J35" i="12"/>
  <c r="P48" i="6"/>
  <c r="O23" i="12"/>
  <c r="I35"/>
  <c r="E11" i="10"/>
  <c r="E24" i="2"/>
  <c r="F96" i="29" s="1"/>
  <c r="E14" i="20"/>
  <c r="C5" i="23"/>
  <c r="C7" s="1"/>
  <c r="F305" i="29"/>
  <c r="F223"/>
  <c r="F224" s="1"/>
  <c r="F311"/>
  <c r="F317" s="1"/>
  <c r="F323" s="1"/>
  <c r="F198"/>
  <c r="F437"/>
  <c r="F507" s="1"/>
  <c r="G42"/>
  <c r="D12" i="9"/>
  <c r="D18" s="1"/>
  <c r="G311" i="29"/>
  <c r="G223"/>
  <c r="G224" s="1"/>
  <c r="G305"/>
  <c r="G198"/>
  <c r="G437"/>
  <c r="G507" s="1"/>
  <c r="P33" i="12"/>
  <c r="P31"/>
  <c r="F42" i="29"/>
  <c r="C12" i="9"/>
  <c r="C18" s="1"/>
  <c r="J6" i="24"/>
  <c r="C15" i="8"/>
  <c r="C14"/>
  <c r="F14" s="1"/>
  <c r="H21" i="13" s="1"/>
  <c r="G35" i="12"/>
  <c r="E81" i="9" l="1"/>
  <c r="E82" s="1"/>
  <c r="E74"/>
  <c r="E75" s="1"/>
  <c r="E67"/>
  <c r="E68" s="1"/>
  <c r="E60"/>
  <c r="E61" s="1"/>
  <c r="D19"/>
  <c r="G303" i="29"/>
  <c r="G309" s="1"/>
  <c r="G322" s="1"/>
  <c r="G99"/>
  <c r="H316"/>
  <c r="H352"/>
  <c r="H358" s="1"/>
  <c r="H361" s="1"/>
  <c r="H217"/>
  <c r="H27"/>
  <c r="H29" s="1"/>
  <c r="H31" s="1"/>
  <c r="H232"/>
  <c r="I42"/>
  <c r="F12" i="9"/>
  <c r="F18" s="1"/>
  <c r="G7" i="10"/>
  <c r="C13" i="23" s="1"/>
  <c r="J26" i="29"/>
  <c r="J164" s="1"/>
  <c r="J283" s="1"/>
  <c r="G26" i="9"/>
  <c r="H8" i="2"/>
  <c r="D81" i="9"/>
  <c r="D82" s="1"/>
  <c r="D60"/>
  <c r="D61" s="1"/>
  <c r="D67"/>
  <c r="D68" s="1"/>
  <c r="D74"/>
  <c r="D75" s="1"/>
  <c r="C19"/>
  <c r="F11" i="10"/>
  <c r="F24" i="2"/>
  <c r="F220" i="29"/>
  <c r="F33"/>
  <c r="F35" s="1"/>
  <c r="I283"/>
  <c r="H303"/>
  <c r="H309" s="1"/>
  <c r="H322" s="1"/>
  <c r="H99"/>
  <c r="I316"/>
  <c r="L62" i="6"/>
  <c r="L63" s="1"/>
  <c r="L64" s="1"/>
  <c r="L65" s="1"/>
  <c r="L66" s="1"/>
  <c r="L67" s="1"/>
  <c r="L68" s="1"/>
  <c r="L69" s="1"/>
  <c r="L70" s="1"/>
  <c r="L71" s="1"/>
  <c r="L72" s="1"/>
  <c r="L73" s="1"/>
  <c r="M87"/>
  <c r="H25" i="13" s="1"/>
  <c r="H32" i="24"/>
  <c r="H20"/>
  <c r="I20" s="1"/>
  <c r="C16" i="8"/>
  <c r="F16" s="1"/>
  <c r="I21" i="13" s="1"/>
  <c r="C17" i="8"/>
  <c r="M17" i="6"/>
  <c r="N17"/>
  <c r="K18"/>
  <c r="F81" i="9"/>
  <c r="F82" s="1"/>
  <c r="F67"/>
  <c r="F68" s="1"/>
  <c r="F60"/>
  <c r="F61" s="1"/>
  <c r="F74"/>
  <c r="F75" s="1"/>
  <c r="E19"/>
  <c r="E107" i="29"/>
  <c r="E454"/>
  <c r="E455" s="1"/>
  <c r="F382"/>
  <c r="F383" s="1"/>
  <c r="F375"/>
  <c r="F376" s="1"/>
  <c r="F389"/>
  <c r="F390" s="1"/>
  <c r="F362"/>
  <c r="G220"/>
  <c r="G33"/>
  <c r="G35" s="1"/>
  <c r="I85"/>
  <c r="I87" s="1"/>
  <c r="F17" i="28"/>
  <c r="F18" s="1"/>
  <c r="G12" i="2"/>
  <c r="H64" i="29"/>
  <c r="C19" i="24"/>
  <c r="C20" i="2"/>
  <c r="H25" i="24"/>
  <c r="F8" i="28"/>
  <c r="F99" i="29"/>
  <c r="F303"/>
  <c r="F309" s="1"/>
  <c r="F322" s="1"/>
  <c r="F324" s="1"/>
  <c r="G316"/>
  <c r="F316"/>
  <c r="I311"/>
  <c r="I223"/>
  <c r="I224" s="1"/>
  <c r="I437"/>
  <c r="I507" s="1"/>
  <c r="I305"/>
  <c r="I198"/>
  <c r="I28" i="24"/>
  <c r="J28" s="1"/>
  <c r="G10" i="28"/>
  <c r="J159" i="29"/>
  <c r="Q217"/>
  <c r="G445" s="1"/>
  <c r="G294"/>
  <c r="I314"/>
  <c r="I308"/>
  <c r="I217"/>
  <c r="I232"/>
  <c r="I352"/>
  <c r="I358" s="1"/>
  <c r="I361" s="1"/>
  <c r="I27"/>
  <c r="I29" s="1"/>
  <c r="I31" s="1"/>
  <c r="J154"/>
  <c r="J439"/>
  <c r="J64"/>
  <c r="J360"/>
  <c r="J19"/>
  <c r="G389"/>
  <c r="G390" s="1"/>
  <c r="G382"/>
  <c r="G383" s="1"/>
  <c r="G375"/>
  <c r="G376" s="1"/>
  <c r="G362"/>
  <c r="P35" i="12"/>
  <c r="H439" i="29"/>
  <c r="I375" l="1"/>
  <c r="I376" s="1"/>
  <c r="I382"/>
  <c r="I383" s="1"/>
  <c r="I389"/>
  <c r="I390" s="1"/>
  <c r="I362"/>
  <c r="J314"/>
  <c r="J308"/>
  <c r="L74" i="6"/>
  <c r="P75" s="1"/>
  <c r="I220" i="29"/>
  <c r="I33"/>
  <c r="I35" s="1"/>
  <c r="F193"/>
  <c r="F434"/>
  <c r="F501" s="1"/>
  <c r="F435"/>
  <c r="F502" s="1"/>
  <c r="F163"/>
  <c r="C28" i="2"/>
  <c r="C30" s="1"/>
  <c r="C31" s="1"/>
  <c r="R25" i="29"/>
  <c r="R20"/>
  <c r="G221"/>
  <c r="R22"/>
  <c r="R21"/>
  <c r="G40"/>
  <c r="R24"/>
  <c r="R23"/>
  <c r="G36"/>
  <c r="R19"/>
  <c r="R26" s="1"/>
  <c r="M18" i="6"/>
  <c r="K19"/>
  <c r="N18"/>
  <c r="I8" i="2"/>
  <c r="H375" i="29"/>
  <c r="H376" s="1"/>
  <c r="H382"/>
  <c r="H383" s="1"/>
  <c r="H389"/>
  <c r="H390" s="1"/>
  <c r="H362"/>
  <c r="P72" i="6"/>
  <c r="E286" i="29"/>
  <c r="E108"/>
  <c r="E116" s="1"/>
  <c r="O211" s="1"/>
  <c r="J352"/>
  <c r="J358" s="1"/>
  <c r="J361" s="1"/>
  <c r="J27"/>
  <c r="J29" s="1"/>
  <c r="J31" s="1"/>
  <c r="J217"/>
  <c r="J232"/>
  <c r="J305"/>
  <c r="J223"/>
  <c r="J224" s="1"/>
  <c r="J311"/>
  <c r="J437"/>
  <c r="J507" s="1"/>
  <c r="J198"/>
  <c r="I25" i="24"/>
  <c r="G8" i="28"/>
  <c r="I303" i="29"/>
  <c r="I309" s="1"/>
  <c r="I322" s="1"/>
  <c r="I99"/>
  <c r="C18" i="8"/>
  <c r="F18" s="1"/>
  <c r="J21" i="13" s="1"/>
  <c r="G12" i="9"/>
  <c r="G18" s="1"/>
  <c r="J42" i="29"/>
  <c r="I25" i="13"/>
  <c r="H193" i="29"/>
  <c r="H434"/>
  <c r="H501" s="1"/>
  <c r="H435"/>
  <c r="H502" s="1"/>
  <c r="Q20"/>
  <c r="Q22"/>
  <c r="F221"/>
  <c r="Q21"/>
  <c r="F40"/>
  <c r="Q25"/>
  <c r="Q23"/>
  <c r="Q24"/>
  <c r="F36"/>
  <c r="Q19"/>
  <c r="G11" i="10"/>
  <c r="G24" i="2"/>
  <c r="G67" i="9"/>
  <c r="G68" s="1"/>
  <c r="G60"/>
  <c r="G61" s="1"/>
  <c r="G81"/>
  <c r="G82" s="1"/>
  <c r="G74"/>
  <c r="G75" s="1"/>
  <c r="F19"/>
  <c r="D19" i="24"/>
  <c r="C21"/>
  <c r="C23" s="1"/>
  <c r="J85" i="29"/>
  <c r="J87" s="1"/>
  <c r="I32" i="24"/>
  <c r="H12" i="2"/>
  <c r="G17" i="28"/>
  <c r="G18" s="1"/>
  <c r="G96" i="29"/>
  <c r="H220"/>
  <c r="H33"/>
  <c r="H35" s="1"/>
  <c r="G435"/>
  <c r="G502" s="1"/>
  <c r="G434"/>
  <c r="G501" s="1"/>
  <c r="G193"/>
  <c r="J20" i="24"/>
  <c r="H40" i="29" l="1"/>
  <c r="H221"/>
  <c r="H36"/>
  <c r="J303"/>
  <c r="J309" s="1"/>
  <c r="J322" s="1"/>
  <c r="J99"/>
  <c r="J32" i="24"/>
  <c r="J12" i="2" s="1"/>
  <c r="I12"/>
  <c r="F37" i="29"/>
  <c r="F421"/>
  <c r="F41"/>
  <c r="J25" i="13"/>
  <c r="J26" i="2" s="1"/>
  <c r="I26"/>
  <c r="J8"/>
  <c r="J29" i="13"/>
  <c r="J31" s="1"/>
  <c r="G162" i="29"/>
  <c r="F296"/>
  <c r="F287"/>
  <c r="I40"/>
  <c r="I221"/>
  <c r="I36"/>
  <c r="D21" i="24"/>
  <c r="E19"/>
  <c r="J382" i="29"/>
  <c r="J383" s="1"/>
  <c r="J389"/>
  <c r="J390" s="1"/>
  <c r="J375"/>
  <c r="J376" s="1"/>
  <c r="J362"/>
  <c r="M19" i="6"/>
  <c r="N19"/>
  <c r="K20"/>
  <c r="D29" i="2"/>
  <c r="C29" i="24"/>
  <c r="C30" s="1"/>
  <c r="C33" s="1"/>
  <c r="I29" i="13"/>
  <c r="I31" s="1"/>
  <c r="Q26" i="29"/>
  <c r="C19" i="8"/>
  <c r="H24" i="2"/>
  <c r="G19" i="9"/>
  <c r="I434" i="29"/>
  <c r="I501" s="1"/>
  <c r="I193"/>
  <c r="I435"/>
  <c r="I502" s="1"/>
  <c r="J25" i="24"/>
  <c r="J33" i="29"/>
  <c r="J35" s="1"/>
  <c r="J220"/>
  <c r="G37"/>
  <c r="G421"/>
  <c r="C38" i="24"/>
  <c r="C41" s="1"/>
  <c r="R217" i="29"/>
  <c r="H445" s="1"/>
  <c r="H294"/>
  <c r="H96"/>
  <c r="G41"/>
  <c r="J316"/>
  <c r="J221" l="1"/>
  <c r="J40"/>
  <c r="J36"/>
  <c r="I6" i="2"/>
  <c r="I18" s="1"/>
  <c r="I33" i="13"/>
  <c r="I35" s="1"/>
  <c r="I37" s="1"/>
  <c r="H162" i="29"/>
  <c r="G296"/>
  <c r="G287"/>
  <c r="J193"/>
  <c r="J434"/>
  <c r="J501" s="1"/>
  <c r="J435"/>
  <c r="J502" s="1"/>
  <c r="I37"/>
  <c r="I421"/>
  <c r="M20" i="6"/>
  <c r="K21"/>
  <c r="N20"/>
  <c r="H41" i="29"/>
  <c r="S217"/>
  <c r="I445" s="1"/>
  <c r="I294"/>
  <c r="I96"/>
  <c r="D23" i="24"/>
  <c r="F165" i="29"/>
  <c r="H37"/>
  <c r="H421"/>
  <c r="E21" i="24"/>
  <c r="F19"/>
  <c r="I41" i="29"/>
  <c r="J33" i="13"/>
  <c r="J35" s="1"/>
  <c r="J37" s="1"/>
  <c r="J6" i="2"/>
  <c r="J18" s="1"/>
  <c r="J37" i="29" l="1"/>
  <c r="J421"/>
  <c r="F453"/>
  <c r="G165"/>
  <c r="E23" i="24"/>
  <c r="M21" i="6"/>
  <c r="N21"/>
  <c r="K22"/>
  <c r="I42" i="13"/>
  <c r="I39"/>
  <c r="I40" s="1"/>
  <c r="I38"/>
  <c r="I27" i="2" s="1"/>
  <c r="J39" i="13"/>
  <c r="J40" s="1"/>
  <c r="J38"/>
  <c r="J27" i="2" s="1"/>
  <c r="J28" s="1"/>
  <c r="J42" i="13"/>
  <c r="F21" i="24"/>
  <c r="G19"/>
  <c r="T217" i="29"/>
  <c r="J445" s="1"/>
  <c r="J294"/>
  <c r="I162"/>
  <c r="H296"/>
  <c r="H287"/>
  <c r="J41"/>
  <c r="J30" i="2"/>
  <c r="J162" i="29" l="1"/>
  <c r="I296"/>
  <c r="I287"/>
  <c r="H19" i="24"/>
  <c r="G21"/>
  <c r="M22" i="6"/>
  <c r="N22"/>
  <c r="K23"/>
  <c r="G453" i="29"/>
  <c r="F23" i="24"/>
  <c r="H165" i="29"/>
  <c r="H453" l="1"/>
  <c r="M23" i="6"/>
  <c r="N23"/>
  <c r="K24"/>
  <c r="I19" i="24"/>
  <c r="H21"/>
  <c r="J296" i="29"/>
  <c r="J287"/>
  <c r="I165"/>
  <c r="G23" i="24"/>
  <c r="N24" i="6" l="1"/>
  <c r="O24" s="1"/>
  <c r="D23" i="13" s="1"/>
  <c r="M24" i="6"/>
  <c r="D11" i="24" s="1"/>
  <c r="K25" i="6"/>
  <c r="I21" i="24"/>
  <c r="I23" s="1"/>
  <c r="J19"/>
  <c r="J21" s="1"/>
  <c r="J23" s="1"/>
  <c r="I453" i="29"/>
  <c r="J165"/>
  <c r="H23" i="24"/>
  <c r="J453" i="29" l="1"/>
  <c r="C25" i="28"/>
  <c r="C30" s="1"/>
  <c r="D14" i="24"/>
  <c r="F102" i="29"/>
  <c r="D26" i="2"/>
  <c r="C8" i="10"/>
  <c r="C13" s="1"/>
  <c r="C14" s="1"/>
  <c r="F43" i="29"/>
  <c r="C24" i="9"/>
  <c r="C30" s="1"/>
  <c r="D29" i="13"/>
  <c r="D31" s="1"/>
  <c r="N25" i="6"/>
  <c r="K26"/>
  <c r="M25"/>
  <c r="K27" l="1"/>
  <c r="N26"/>
  <c r="M26"/>
  <c r="F454" i="29"/>
  <c r="F107"/>
  <c r="D83" i="9"/>
  <c r="D84" s="1"/>
  <c r="D76"/>
  <c r="D77" s="1"/>
  <c r="C32"/>
  <c r="D69"/>
  <c r="D70" s="1"/>
  <c r="D62"/>
  <c r="D63" s="1"/>
  <c r="C36"/>
  <c r="F444" i="29"/>
  <c r="F447" s="1"/>
  <c r="F45"/>
  <c r="D33" i="13"/>
  <c r="D35" s="1"/>
  <c r="D37" s="1"/>
  <c r="D6" i="2"/>
  <c r="D18" s="1"/>
  <c r="D42" i="13" l="1"/>
  <c r="D38"/>
  <c r="D39" s="1"/>
  <c r="F286" i="29"/>
  <c r="F108"/>
  <c r="P214"/>
  <c r="M27" i="6"/>
  <c r="N27"/>
  <c r="K28"/>
  <c r="F505" i="29"/>
  <c r="F364"/>
  <c r="F46"/>
  <c r="C34" i="9"/>
  <c r="C33"/>
  <c r="F455" i="29"/>
  <c r="F458"/>
  <c r="B9" i="23" l="1"/>
  <c r="D9" s="1"/>
  <c r="E9" s="1"/>
  <c r="D40" i="13"/>
  <c r="F490" i="29"/>
  <c r="F57"/>
  <c r="F429"/>
  <c r="F66"/>
  <c r="M28" i="6"/>
  <c r="N28"/>
  <c r="K29"/>
  <c r="D27" i="2"/>
  <c r="D28" s="1"/>
  <c r="D30" s="1"/>
  <c r="D31" s="1"/>
  <c r="F58" i="29"/>
  <c r="F366"/>
  <c r="F367" s="1"/>
  <c r="F369"/>
  <c r="F370" s="1"/>
  <c r="F391"/>
  <c r="F392" s="1"/>
  <c r="F377"/>
  <c r="F378" s="1"/>
  <c r="F384"/>
  <c r="F385" s="1"/>
  <c r="D7" i="24" l="1"/>
  <c r="C6" i="10"/>
  <c r="C9" s="1"/>
  <c r="D29" i="24"/>
  <c r="E29" i="2"/>
  <c r="N29" i="6"/>
  <c r="K30"/>
  <c r="M29"/>
  <c r="F59" i="29"/>
  <c r="F65"/>
  <c r="F423" s="1"/>
  <c r="F422" s="1"/>
  <c r="F492" s="1"/>
  <c r="F67"/>
  <c r="F430"/>
  <c r="F60" l="1"/>
  <c r="F494"/>
  <c r="F495" s="1"/>
  <c r="F62"/>
  <c r="F282"/>
  <c r="F289" s="1"/>
  <c r="F68"/>
  <c r="F425" s="1"/>
  <c r="C16" i="10"/>
  <c r="F111" i="29"/>
  <c r="F115" s="1"/>
  <c r="D9" i="24"/>
  <c r="M30" i="6"/>
  <c r="K31"/>
  <c r="N30"/>
  <c r="F424" i="29"/>
  <c r="F493"/>
  <c r="C11" i="28"/>
  <c r="C13" s="1"/>
  <c r="C20" s="1"/>
  <c r="F145" i="29"/>
  <c r="D30" i="24"/>
  <c r="D33" s="1"/>
  <c r="D38" s="1"/>
  <c r="N31" i="6" l="1"/>
  <c r="K32"/>
  <c r="M31"/>
  <c r="F182" i="29"/>
  <c r="F285"/>
  <c r="F293"/>
  <c r="F188"/>
  <c r="F116"/>
  <c r="F443"/>
  <c r="F69"/>
  <c r="F426" s="1"/>
  <c r="F497" s="1"/>
  <c r="C32" i="28"/>
  <c r="C34" s="1"/>
  <c r="D15" i="24"/>
  <c r="D41" s="1"/>
  <c r="F63" i="29"/>
  <c r="F496" s="1"/>
  <c r="F187"/>
  <c r="F160"/>
  <c r="F313"/>
  <c r="F307"/>
  <c r="F319"/>
  <c r="F321" s="1"/>
  <c r="F325" s="1"/>
  <c r="F301"/>
  <c r="M32" i="6" l="1"/>
  <c r="N32"/>
  <c r="K33"/>
  <c r="F450" i="29"/>
  <c r="F449"/>
  <c r="F234"/>
  <c r="F438"/>
  <c r="F506" s="1"/>
  <c r="F183"/>
  <c r="F246" s="1"/>
  <c r="F508"/>
  <c r="F180"/>
  <c r="F427"/>
  <c r="F431"/>
  <c r="F499"/>
  <c r="F194"/>
  <c r="F191"/>
  <c r="G186" s="1"/>
  <c r="F195"/>
  <c r="F433"/>
  <c r="F500" s="1"/>
  <c r="P211"/>
  <c r="F197" l="1"/>
  <c r="F440" s="1"/>
  <c r="F196"/>
  <c r="F428"/>
  <c r="F503" s="1"/>
  <c r="F436"/>
  <c r="F504"/>
  <c r="F237"/>
  <c r="F239"/>
  <c r="F243"/>
  <c r="F238"/>
  <c r="F236"/>
  <c r="M33" i="6"/>
  <c r="N33"/>
  <c r="K34"/>
  <c r="N34" l="1"/>
  <c r="M34"/>
  <c r="K35"/>
  <c r="F247" i="29"/>
  <c r="F245"/>
  <c r="F248" s="1"/>
  <c r="N35" i="6" l="1"/>
  <c r="K36"/>
  <c r="M35"/>
  <c r="K37" l="1"/>
  <c r="M36"/>
  <c r="E11" i="24" s="1"/>
  <c r="N36" i="6"/>
  <c r="O36" s="1"/>
  <c r="E23" i="13" s="1"/>
  <c r="K38" i="6" l="1"/>
  <c r="M37"/>
  <c r="N37"/>
  <c r="E14" i="24"/>
  <c r="G102" i="29"/>
  <c r="D25" i="28"/>
  <c r="D30" s="1"/>
  <c r="D24" i="9"/>
  <c r="D30" s="1"/>
  <c r="E26" i="2"/>
  <c r="D8" i="10"/>
  <c r="D13" s="1"/>
  <c r="D14" s="1"/>
  <c r="G43" i="29"/>
  <c r="E29" i="13"/>
  <c r="E31" s="1"/>
  <c r="N38" i="6" l="1"/>
  <c r="M38"/>
  <c r="K39"/>
  <c r="G444" i="29"/>
  <c r="G447" s="1"/>
  <c r="G45"/>
  <c r="G454"/>
  <c r="G107"/>
  <c r="E76" i="9"/>
  <c r="E77" s="1"/>
  <c r="E83"/>
  <c r="E84" s="1"/>
  <c r="E62"/>
  <c r="E63" s="1"/>
  <c r="D32"/>
  <c r="E69"/>
  <c r="E70" s="1"/>
  <c r="D36"/>
  <c r="E6" i="2"/>
  <c r="E18" s="1"/>
  <c r="E33" i="13"/>
  <c r="E35" s="1"/>
  <c r="E37" s="1"/>
  <c r="D34" i="9" l="1"/>
  <c r="D33"/>
  <c r="E38" i="13"/>
  <c r="E39"/>
  <c r="E42"/>
  <c r="G364" i="29"/>
  <c r="G505"/>
  <c r="G46"/>
  <c r="M39" i="6"/>
  <c r="N39"/>
  <c r="K40"/>
  <c r="G286" i="29"/>
  <c r="G108"/>
  <c r="Q214"/>
  <c r="G455"/>
  <c r="G458"/>
  <c r="M40" i="6" l="1"/>
  <c r="N40"/>
  <c r="K41"/>
  <c r="G369" i="29"/>
  <c r="G370" s="1"/>
  <c r="G366"/>
  <c r="G367" s="1"/>
  <c r="G384"/>
  <c r="G385" s="1"/>
  <c r="G377"/>
  <c r="G378" s="1"/>
  <c r="G391"/>
  <c r="G392" s="1"/>
  <c r="E40" i="13"/>
  <c r="B10" i="23"/>
  <c r="D10" s="1"/>
  <c r="E10" s="1"/>
  <c r="G490" i="29"/>
  <c r="G57"/>
  <c r="G429"/>
  <c r="G66"/>
  <c r="G58"/>
  <c r="E27" i="2"/>
  <c r="E28" s="1"/>
  <c r="E30" s="1"/>
  <c r="E31" s="1"/>
  <c r="G59" i="29" l="1"/>
  <c r="G65"/>
  <c r="G423" s="1"/>
  <c r="G422" s="1"/>
  <c r="G492" s="1"/>
  <c r="G67"/>
  <c r="G430"/>
  <c r="E29" i="24"/>
  <c r="F29" i="2"/>
  <c r="D6" i="10"/>
  <c r="D9" s="1"/>
  <c r="E7" i="24"/>
  <c r="K42" i="6"/>
  <c r="N41"/>
  <c r="M41"/>
  <c r="N42" l="1"/>
  <c r="M42"/>
  <c r="K43"/>
  <c r="G111" i="29"/>
  <c r="G115" s="1"/>
  <c r="E9" i="24"/>
  <c r="G494" i="29"/>
  <c r="G495" s="1"/>
  <c r="G60"/>
  <c r="G62"/>
  <c r="G282"/>
  <c r="G289" s="1"/>
  <c r="G68"/>
  <c r="G425" s="1"/>
  <c r="G291"/>
  <c r="D11" i="28"/>
  <c r="D13" s="1"/>
  <c r="D20" s="1"/>
  <c r="G145" i="29"/>
  <c r="E30" i="24"/>
  <c r="E33" s="1"/>
  <c r="E38" s="1"/>
  <c r="D16" i="10"/>
  <c r="G424" i="29"/>
  <c r="G493"/>
  <c r="G443" l="1"/>
  <c r="G69"/>
  <c r="G426" s="1"/>
  <c r="G497" s="1"/>
  <c r="G63"/>
  <c r="G496" s="1"/>
  <c r="G187"/>
  <c r="G160"/>
  <c r="G313"/>
  <c r="G317" s="1"/>
  <c r="G323" s="1"/>
  <c r="G324" s="1"/>
  <c r="G307"/>
  <c r="G319"/>
  <c r="E15" i="24"/>
  <c r="E41" s="1"/>
  <c r="E42" s="1"/>
  <c r="D32" i="28"/>
  <c r="D34" s="1"/>
  <c r="M43" i="6"/>
  <c r="K44"/>
  <c r="N43"/>
  <c r="G285" i="29"/>
  <c r="G182"/>
  <c r="G293"/>
  <c r="G300" s="1"/>
  <c r="G188"/>
  <c r="G116"/>
  <c r="G320" l="1"/>
  <c r="G301"/>
  <c r="G449"/>
  <c r="G450"/>
  <c r="M44" i="6"/>
  <c r="K45"/>
  <c r="N44"/>
  <c r="G508" i="29"/>
  <c r="G234"/>
  <c r="G438"/>
  <c r="G506" s="1"/>
  <c r="G183"/>
  <c r="G246" s="1"/>
  <c r="G180"/>
  <c r="G321"/>
  <c r="G325" s="1"/>
  <c r="G431"/>
  <c r="G194"/>
  <c r="G427"/>
  <c r="G499"/>
  <c r="G191"/>
  <c r="H186" s="1"/>
  <c r="G195"/>
  <c r="G433"/>
  <c r="G500" s="1"/>
  <c r="Q211"/>
  <c r="G238" l="1"/>
  <c r="G236"/>
  <c r="G239"/>
  <c r="G237"/>
  <c r="G243"/>
  <c r="M45" i="6"/>
  <c r="N45"/>
  <c r="K46"/>
  <c r="G436" i="29"/>
  <c r="G196"/>
  <c r="G197"/>
  <c r="G440" s="1"/>
  <c r="G428"/>
  <c r="G503" s="1"/>
  <c r="G504"/>
  <c r="G247" l="1"/>
  <c r="G245"/>
  <c r="G248" s="1"/>
  <c r="N46" i="6"/>
  <c r="K47"/>
  <c r="M46"/>
  <c r="N47" l="1"/>
  <c r="M47"/>
  <c r="K48"/>
  <c r="N48" l="1"/>
  <c r="O48" s="1"/>
  <c r="F23" i="13" s="1"/>
  <c r="K49" i="6"/>
  <c r="M48"/>
  <c r="F11" i="24" s="1"/>
  <c r="M49" i="6" l="1"/>
  <c r="K50"/>
  <c r="N49"/>
  <c r="F26" i="2"/>
  <c r="H43" i="29"/>
  <c r="E24" i="9"/>
  <c r="E30" s="1"/>
  <c r="E8" i="10"/>
  <c r="E13" s="1"/>
  <c r="E14" s="1"/>
  <c r="F29" i="13"/>
  <c r="F31" s="1"/>
  <c r="H102" i="29"/>
  <c r="F14" i="24"/>
  <c r="E25" i="28"/>
  <c r="E30" s="1"/>
  <c r="H107" i="29" l="1"/>
  <c r="H454"/>
  <c r="F76" i="9"/>
  <c r="F77" s="1"/>
  <c r="F69"/>
  <c r="F70" s="1"/>
  <c r="E32"/>
  <c r="F62"/>
  <c r="F63" s="1"/>
  <c r="F83"/>
  <c r="F84" s="1"/>
  <c r="E36"/>
  <c r="M50" i="6"/>
  <c r="K51"/>
  <c r="N50"/>
  <c r="H444" i="29"/>
  <c r="H447" s="1"/>
  <c r="H45"/>
  <c r="F33" i="13"/>
  <c r="F35" s="1"/>
  <c r="F37" s="1"/>
  <c r="F6" i="2"/>
  <c r="F18" s="1"/>
  <c r="H286" i="29" l="1"/>
  <c r="H108"/>
  <c r="R214"/>
  <c r="K52" i="6"/>
  <c r="M51"/>
  <c r="N51"/>
  <c r="H455" i="29"/>
  <c r="H458"/>
  <c r="H505"/>
  <c r="H364"/>
  <c r="H46"/>
  <c r="E34" i="9"/>
  <c r="E33"/>
  <c r="F38" i="13"/>
  <c r="F42"/>
  <c r="F27" i="2" l="1"/>
  <c r="F28" s="1"/>
  <c r="F30" s="1"/>
  <c r="F31" s="1"/>
  <c r="H58" i="29"/>
  <c r="F39" i="13"/>
  <c r="H429" i="29"/>
  <c r="H490"/>
  <c r="H57"/>
  <c r="H66"/>
  <c r="N52" i="6"/>
  <c r="M52"/>
  <c r="K53"/>
  <c r="H369" i="29"/>
  <c r="H370" s="1"/>
  <c r="H366"/>
  <c r="H367" s="1"/>
  <c r="H391"/>
  <c r="H392" s="1"/>
  <c r="H377"/>
  <c r="H378" s="1"/>
  <c r="H384"/>
  <c r="H385" s="1"/>
  <c r="F40" i="13" l="1"/>
  <c r="B11" i="23"/>
  <c r="D11" s="1"/>
  <c r="E11" s="1"/>
  <c r="F29" i="24"/>
  <c r="G29" i="2"/>
  <c r="M53" i="6"/>
  <c r="K54"/>
  <c r="N53"/>
  <c r="H59" i="29"/>
  <c r="H65"/>
  <c r="H423" s="1"/>
  <c r="H422" s="1"/>
  <c r="H492" s="1"/>
  <c r="H67"/>
  <c r="H430"/>
  <c r="H424" l="1"/>
  <c r="H493"/>
  <c r="E6" i="10"/>
  <c r="E9" s="1"/>
  <c r="F7" i="24"/>
  <c r="E11" i="28"/>
  <c r="E13" s="1"/>
  <c r="E20" s="1"/>
  <c r="H145" i="29"/>
  <c r="F30" i="24"/>
  <c r="F33" s="1"/>
  <c r="F38" s="1"/>
  <c r="M54" i="6"/>
  <c r="N54"/>
  <c r="K55"/>
  <c r="H494" i="29"/>
  <c r="H495" s="1"/>
  <c r="H60"/>
  <c r="H62"/>
  <c r="H291"/>
  <c r="H68"/>
  <c r="H425" s="1"/>
  <c r="H282"/>
  <c r="H289" s="1"/>
  <c r="H319" l="1"/>
  <c r="H443"/>
  <c r="H69"/>
  <c r="H426" s="1"/>
  <c r="H497" s="1"/>
  <c r="H111"/>
  <c r="H115" s="1"/>
  <c r="F9" i="24"/>
  <c r="H63" i="29"/>
  <c r="H496" s="1"/>
  <c r="H187"/>
  <c r="H307"/>
  <c r="H160"/>
  <c r="H313"/>
  <c r="H317" s="1"/>
  <c r="H323" s="1"/>
  <c r="H324" s="1"/>
  <c r="N55" i="6"/>
  <c r="M55"/>
  <c r="K56"/>
  <c r="E16" i="10"/>
  <c r="H182" i="29" l="1"/>
  <c r="H285"/>
  <c r="H188"/>
  <c r="H293"/>
  <c r="H300" s="1"/>
  <c r="H116"/>
  <c r="R211" s="1"/>
  <c r="H450"/>
  <c r="H449"/>
  <c r="N56" i="6"/>
  <c r="M56"/>
  <c r="K57"/>
  <c r="H438" i="29"/>
  <c r="H506" s="1"/>
  <c r="H234"/>
  <c r="H508"/>
  <c r="H183"/>
  <c r="H246" s="1"/>
  <c r="H180"/>
  <c r="E32" i="28"/>
  <c r="E34" s="1"/>
  <c r="F15" i="24"/>
  <c r="F41" s="1"/>
  <c r="F42" s="1"/>
  <c r="H499" i="29" l="1"/>
  <c r="H191"/>
  <c r="I186" s="1"/>
  <c r="H194"/>
  <c r="H427"/>
  <c r="H431"/>
  <c r="H433"/>
  <c r="H500" s="1"/>
  <c r="H195"/>
  <c r="K58" i="6"/>
  <c r="N57"/>
  <c r="M57"/>
  <c r="H196" i="29"/>
  <c r="H197"/>
  <c r="H440" s="1"/>
  <c r="H428"/>
  <c r="H503" s="1"/>
  <c r="H436"/>
  <c r="H504"/>
  <c r="H237"/>
  <c r="H239"/>
  <c r="H238"/>
  <c r="H243"/>
  <c r="H236"/>
  <c r="H320"/>
  <c r="H321" s="1"/>
  <c r="H325" s="1"/>
  <c r="H301"/>
  <c r="H247" l="1"/>
  <c r="H245"/>
  <c r="H248" s="1"/>
  <c r="N58" i="6"/>
  <c r="K59"/>
  <c r="M58"/>
  <c r="N59" l="1"/>
  <c r="M59"/>
  <c r="K60"/>
  <c r="N60" l="1"/>
  <c r="O60" s="1"/>
  <c r="G23" i="13" s="1"/>
  <c r="M60" i="6"/>
  <c r="G11" i="24" s="1"/>
  <c r="K61" i="6"/>
  <c r="F25" i="28" l="1"/>
  <c r="F30" s="1"/>
  <c r="G14" i="24"/>
  <c r="I102" i="29"/>
  <c r="G26" i="2"/>
  <c r="F8" i="10"/>
  <c r="F13" s="1"/>
  <c r="F14" s="1"/>
  <c r="I43" i="29"/>
  <c r="F24" i="9"/>
  <c r="F30" s="1"/>
  <c r="G29" i="13"/>
  <c r="G31" s="1"/>
  <c r="K62" i="6"/>
  <c r="N61"/>
  <c r="M61"/>
  <c r="I444" i="29" l="1"/>
  <c r="I447" s="1"/>
  <c r="I45"/>
  <c r="G69" i="9"/>
  <c r="G70" s="1"/>
  <c r="G76"/>
  <c r="G77" s="1"/>
  <c r="G62"/>
  <c r="G63" s="1"/>
  <c r="F32"/>
  <c r="G83"/>
  <c r="G84" s="1"/>
  <c r="F36"/>
  <c r="I107" i="29"/>
  <c r="I454"/>
  <c r="N62" i="6"/>
  <c r="K63"/>
  <c r="M62"/>
  <c r="G33" i="13"/>
  <c r="G35" s="1"/>
  <c r="G37" s="1"/>
  <c r="G6" i="2"/>
  <c r="G18" s="1"/>
  <c r="N63" i="6" l="1"/>
  <c r="K64"/>
  <c r="M63"/>
  <c r="I505" i="29"/>
  <c r="I364"/>
  <c r="I46"/>
  <c r="I455"/>
  <c r="I458"/>
  <c r="F34" i="9"/>
  <c r="F33"/>
  <c r="G38" i="13"/>
  <c r="G39"/>
  <c r="G42"/>
  <c r="I286" i="29"/>
  <c r="I108"/>
  <c r="S214"/>
  <c r="I369" l="1"/>
  <c r="I370" s="1"/>
  <c r="I366"/>
  <c r="I367" s="1"/>
  <c r="I384"/>
  <c r="I385" s="1"/>
  <c r="I377"/>
  <c r="I378" s="1"/>
  <c r="I391"/>
  <c r="I392" s="1"/>
  <c r="M64" i="6"/>
  <c r="N64"/>
  <c r="K65"/>
  <c r="B12" i="23"/>
  <c r="D12" s="1"/>
  <c r="E12" s="1"/>
  <c r="G40" i="13"/>
  <c r="I57" i="29"/>
  <c r="I429"/>
  <c r="I490"/>
  <c r="I66"/>
  <c r="G27" i="2"/>
  <c r="G28" s="1"/>
  <c r="G30" s="1"/>
  <c r="G31" s="1"/>
  <c r="I58" i="29"/>
  <c r="F6" i="10" l="1"/>
  <c r="F9" s="1"/>
  <c r="G7" i="24"/>
  <c r="I59" i="29"/>
  <c r="I67"/>
  <c r="I65"/>
  <c r="I423" s="1"/>
  <c r="I422" s="1"/>
  <c r="I492" s="1"/>
  <c r="I430"/>
  <c r="H29" i="2"/>
  <c r="G29" i="24"/>
  <c r="K66" i="6"/>
  <c r="M65"/>
  <c r="N65"/>
  <c r="I424" i="29" l="1"/>
  <c r="I493"/>
  <c r="I111"/>
  <c r="I115" s="1"/>
  <c r="G9" i="24"/>
  <c r="F16" i="10"/>
  <c r="N66" i="6"/>
  <c r="M66"/>
  <c r="K67"/>
  <c r="F11" i="28"/>
  <c r="F13" s="1"/>
  <c r="F20" s="1"/>
  <c r="I145" i="29"/>
  <c r="G30" i="24"/>
  <c r="G33" s="1"/>
  <c r="G38" s="1"/>
  <c r="I60" i="29"/>
  <c r="I62"/>
  <c r="I494"/>
  <c r="I495" s="1"/>
  <c r="I282"/>
  <c r="I289" s="1"/>
  <c r="I291"/>
  <c r="I68"/>
  <c r="I425" s="1"/>
  <c r="I63" l="1"/>
  <c r="I496" s="1"/>
  <c r="I187"/>
  <c r="G15" i="24"/>
  <c r="G41" s="1"/>
  <c r="G42" s="1"/>
  <c r="F32" i="28"/>
  <c r="F34" s="1"/>
  <c r="I160" i="29"/>
  <c r="I313"/>
  <c r="I317" s="1"/>
  <c r="I323" s="1"/>
  <c r="I324" s="1"/>
  <c r="I307"/>
  <c r="I319"/>
  <c r="K68" i="6"/>
  <c r="N67"/>
  <c r="M67"/>
  <c r="I182" i="29"/>
  <c r="I285"/>
  <c r="I188"/>
  <c r="I293"/>
  <c r="I116"/>
  <c r="I443"/>
  <c r="I69"/>
  <c r="I426" s="1"/>
  <c r="I497" s="1"/>
  <c r="I300"/>
  <c r="I320" s="1"/>
  <c r="K69" i="6" l="1"/>
  <c r="N68"/>
  <c r="M68"/>
  <c r="I301" i="29"/>
  <c r="I499"/>
  <c r="I427"/>
  <c r="I431"/>
  <c r="I194"/>
  <c r="I191"/>
  <c r="J186" s="1"/>
  <c r="I195"/>
  <c r="I433"/>
  <c r="I500" s="1"/>
  <c r="I438"/>
  <c r="I506" s="1"/>
  <c r="I234"/>
  <c r="I508"/>
  <c r="I183"/>
  <c r="I246" s="1"/>
  <c r="I180"/>
  <c r="I450"/>
  <c r="I449"/>
  <c r="I321"/>
  <c r="I325" s="1"/>
  <c r="I428" l="1"/>
  <c r="I503" s="1"/>
  <c r="I196"/>
  <c r="I197"/>
  <c r="I440" s="1"/>
  <c r="I436"/>
  <c r="I504"/>
  <c r="I239"/>
  <c r="I238"/>
  <c r="I237"/>
  <c r="I243"/>
  <c r="I236"/>
  <c r="K70" i="6"/>
  <c r="M69"/>
  <c r="N69"/>
  <c r="S211" i="29"/>
  <c r="I245" l="1"/>
  <c r="I248" s="1"/>
  <c r="I247"/>
  <c r="K71" i="6"/>
  <c r="N70"/>
  <c r="M70"/>
  <c r="M71" l="1"/>
  <c r="N71"/>
  <c r="K72"/>
  <c r="M72" l="1"/>
  <c r="H11" i="24" s="1"/>
  <c r="N72" i="6"/>
  <c r="O72" s="1"/>
  <c r="H23" i="13" s="1"/>
  <c r="K73" i="6"/>
  <c r="J43" i="29" l="1"/>
  <c r="G24" i="9"/>
  <c r="G30" s="1"/>
  <c r="H26" i="2"/>
  <c r="G8" i="10"/>
  <c r="G13" s="1"/>
  <c r="G14" s="1"/>
  <c r="H14" s="1"/>
  <c r="H29" i="13"/>
  <c r="H31" s="1"/>
  <c r="H14" i="24"/>
  <c r="G25" i="28"/>
  <c r="G30" s="1"/>
  <c r="K74" i="6"/>
  <c r="N73"/>
  <c r="M73"/>
  <c r="H33" i="13" l="1"/>
  <c r="H35" s="1"/>
  <c r="H37" s="1"/>
  <c r="H6" i="2"/>
  <c r="H18" s="1"/>
  <c r="J444" i="29"/>
  <c r="J447" s="1"/>
  <c r="J45"/>
  <c r="K75" i="6"/>
  <c r="M74"/>
  <c r="N74"/>
  <c r="G32" i="9"/>
  <c r="G36"/>
  <c r="M75" i="6" l="1"/>
  <c r="I11" i="24" s="1"/>
  <c r="N75" i="6"/>
  <c r="O75" s="1"/>
  <c r="H42" i="13"/>
  <c r="H38"/>
  <c r="H39" s="1"/>
  <c r="G34" i="9"/>
  <c r="G33"/>
  <c r="J505" i="29"/>
  <c r="J364"/>
  <c r="J46"/>
  <c r="H40" i="13" l="1"/>
  <c r="B13" i="23"/>
  <c r="D13" s="1"/>
  <c r="E13" s="1"/>
  <c r="F13" s="1"/>
  <c r="F16" s="1"/>
  <c r="I14" i="24"/>
  <c r="I24" i="2"/>
  <c r="H27"/>
  <c r="H28" s="1"/>
  <c r="H30" s="1"/>
  <c r="H31" s="1"/>
  <c r="J58" i="29"/>
  <c r="J366"/>
  <c r="J367" s="1"/>
  <c r="J369"/>
  <c r="J370" s="1"/>
  <c r="J391"/>
  <c r="J392" s="1"/>
  <c r="J384"/>
  <c r="J385" s="1"/>
  <c r="J377"/>
  <c r="J378" s="1"/>
  <c r="J490"/>
  <c r="J429"/>
  <c r="J57"/>
  <c r="J66"/>
  <c r="G6" i="10" l="1"/>
  <c r="G9" s="1"/>
  <c r="H7" i="24"/>
  <c r="I29" i="2"/>
  <c r="H29" i="24"/>
  <c r="J59" i="29"/>
  <c r="J65"/>
  <c r="J423" s="1"/>
  <c r="J422" s="1"/>
  <c r="J492" s="1"/>
  <c r="J67"/>
  <c r="J430"/>
  <c r="J96"/>
  <c r="J102" s="1"/>
  <c r="I28" i="2"/>
  <c r="I30" s="1"/>
  <c r="G16" i="10" l="1"/>
  <c r="H9"/>
  <c r="C17" s="1"/>
  <c r="I7" i="24"/>
  <c r="J111" i="29"/>
  <c r="J115" s="1"/>
  <c r="H9" i="24"/>
  <c r="J493" i="29"/>
  <c r="J424"/>
  <c r="I31" i="2"/>
  <c r="J60" i="29"/>
  <c r="J494"/>
  <c r="J495" s="1"/>
  <c r="J62"/>
  <c r="J282"/>
  <c r="J289" s="1"/>
  <c r="J68"/>
  <c r="J425" s="1"/>
  <c r="J291"/>
  <c r="J107"/>
  <c r="J454"/>
  <c r="G11" i="28"/>
  <c r="G13" s="1"/>
  <c r="G20" s="1"/>
  <c r="C21" s="1"/>
  <c r="J145" i="29"/>
  <c r="H30" i="24"/>
  <c r="H33" s="1"/>
  <c r="H38" s="1"/>
  <c r="J443" i="29" l="1"/>
  <c r="J69"/>
  <c r="J426" s="1"/>
  <c r="J497" s="1"/>
  <c r="J313"/>
  <c r="J317" s="1"/>
  <c r="J323" s="1"/>
  <c r="J324" s="1"/>
  <c r="J160"/>
  <c r="J307"/>
  <c r="H15" i="24"/>
  <c r="H41" s="1"/>
  <c r="H42" s="1"/>
  <c r="G32" i="28"/>
  <c r="G34" s="1"/>
  <c r="J286" i="29"/>
  <c r="J108"/>
  <c r="J116" s="1"/>
  <c r="T214"/>
  <c r="J63"/>
  <c r="J496" s="1"/>
  <c r="J187"/>
  <c r="J7" i="24"/>
  <c r="J9" s="1"/>
  <c r="J15" s="1"/>
  <c r="J41" s="1"/>
  <c r="I9"/>
  <c r="I15" s="1"/>
  <c r="I41" s="1"/>
  <c r="J455" i="29"/>
  <c r="J458"/>
  <c r="J319"/>
  <c r="I29" i="24"/>
  <c r="I30" s="1"/>
  <c r="I33" s="1"/>
  <c r="I38" s="1"/>
  <c r="J29" i="2"/>
  <c r="J31" s="1"/>
  <c r="J29" i="24" s="1"/>
  <c r="J30" s="1"/>
  <c r="J33" s="1"/>
  <c r="J38" s="1"/>
  <c r="J182" i="29"/>
  <c r="J285"/>
  <c r="J293"/>
  <c r="J188"/>
  <c r="J300"/>
  <c r="J320" s="1"/>
  <c r="J499" l="1"/>
  <c r="J191"/>
  <c r="J427"/>
  <c r="J194"/>
  <c r="J431"/>
  <c r="J433"/>
  <c r="J500" s="1"/>
  <c r="J195"/>
  <c r="J450"/>
  <c r="J449"/>
  <c r="J321"/>
  <c r="J325" s="1"/>
  <c r="J301"/>
  <c r="J508"/>
  <c r="J234"/>
  <c r="J183"/>
  <c r="J246" s="1"/>
  <c r="J438"/>
  <c r="J506" s="1"/>
  <c r="J180"/>
  <c r="J196" l="1"/>
  <c r="J197"/>
  <c r="J440" s="1"/>
  <c r="J428"/>
  <c r="J503" s="1"/>
  <c r="J436"/>
  <c r="J504"/>
  <c r="J243"/>
  <c r="J236"/>
  <c r="J237"/>
  <c r="J239"/>
  <c r="J238"/>
  <c r="T211"/>
  <c r="J245" l="1"/>
  <c r="J248" s="1"/>
  <c r="J247"/>
</calcChain>
</file>

<file path=xl/comments1.xml><?xml version="1.0" encoding="utf-8"?>
<comments xmlns="http://schemas.openxmlformats.org/spreadsheetml/2006/main">
  <authors>
    <author>ANIL DESHPANDE.</author>
  </authors>
  <commentList>
    <comment ref="C58" authorId="0">
      <text>
        <r>
          <rPr>
            <b/>
            <sz val="11"/>
            <color indexed="81"/>
            <rFont val="Tahoma"/>
            <family val="2"/>
          </rPr>
          <t>You can insert any percentage here</t>
        </r>
      </text>
    </comment>
    <comment ref="C65" authorId="0">
      <text>
        <r>
          <rPr>
            <b/>
            <sz val="11"/>
            <color indexed="81"/>
            <rFont val="Tahoma"/>
            <family val="2"/>
          </rPr>
          <t>You can insert any percentage here</t>
        </r>
      </text>
    </comment>
    <comment ref="C72" authorId="0">
      <text>
        <r>
          <rPr>
            <b/>
            <sz val="11"/>
            <color indexed="81"/>
            <rFont val="Tahoma"/>
            <family val="2"/>
          </rPr>
          <t>You can insert any percentage here</t>
        </r>
      </text>
    </comment>
    <comment ref="C79" authorId="0">
      <text>
        <r>
          <rPr>
            <b/>
            <sz val="11"/>
            <color indexed="81"/>
            <rFont val="Tahoma"/>
            <family val="2"/>
          </rPr>
          <t>You can insert any percentage here</t>
        </r>
      </text>
    </comment>
  </commentList>
</comments>
</file>

<file path=xl/comments2.xml><?xml version="1.0" encoding="utf-8"?>
<comments xmlns="http://schemas.openxmlformats.org/spreadsheetml/2006/main">
  <authors>
    <author>ANIL DESHPANDE.</author>
  </authors>
  <commentList>
    <comment ref="B5" authorId="0">
      <text>
        <r>
          <rPr>
            <b/>
            <sz val="11"/>
            <color indexed="81"/>
            <rFont val="Tahoma"/>
            <family val="2"/>
          </rPr>
          <t>Insert the name in cell C5 only. Otherwise it will not be printed.</t>
        </r>
        <r>
          <rPr>
            <sz val="11"/>
            <color indexed="81"/>
            <rFont val="Tahoma"/>
            <family val="2"/>
          </rPr>
          <t xml:space="preserve">
</t>
        </r>
      </text>
    </comment>
    <comment ref="F6" authorId="0">
      <text>
        <r>
          <rPr>
            <b/>
            <sz val="12"/>
            <color indexed="81"/>
            <rFont val="Tahoma"/>
            <family val="2"/>
          </rPr>
          <t>You can change this to Crores, Lacs, Thousands.</t>
        </r>
      </text>
    </comment>
    <comment ref="C28" authorId="0">
      <text>
        <r>
          <rPr>
            <b/>
            <sz val="11"/>
            <color indexed="81"/>
            <rFont val="Tahoma"/>
            <family val="2"/>
          </rPr>
          <t>Only 1st year opening stock of WIP &amp; FG will be accepted. For the remaining years, they will be taken from closing stocks of previous year</t>
        </r>
        <r>
          <rPr>
            <sz val="11"/>
            <color indexed="81"/>
            <rFont val="Tahoma"/>
            <family val="2"/>
          </rPr>
          <t xml:space="preserve">
</t>
        </r>
      </text>
    </comment>
    <comment ref="B42" authorId="0">
      <text>
        <r>
          <rPr>
            <sz val="12"/>
            <color indexed="81"/>
            <rFont val="Tahoma"/>
            <family val="2"/>
          </rPr>
          <t xml:space="preserve">If interest is not to be calculated,  feed the same in row 72,73,74 below. Otherwise the programme will calculate as per the rate provided. (the rate may be zero for non interest loans)
</t>
        </r>
      </text>
    </comment>
    <comment ref="B73" authorId="0">
      <text>
        <r>
          <rPr>
            <sz val="12"/>
            <color indexed="81"/>
            <rFont val="Tahoma"/>
            <family val="2"/>
          </rPr>
          <t xml:space="preserve">When interests are actuals and not to be calculated, feed them here
</t>
        </r>
      </text>
    </comment>
    <comment ref="C111" authorId="0">
      <text>
        <r>
          <rPr>
            <b/>
            <sz val="11"/>
            <color indexed="81"/>
            <rFont val="Tahoma"/>
            <family val="2"/>
          </rPr>
          <t>For operational convenience, from 2nd year onwards, retained profit is automatically added to the P&amp;L Surplus.General reserves are not disturbed. Ensure that both of them put together are as per the balance sheet.</t>
        </r>
      </text>
    </comment>
    <comment ref="C114" authorId="0">
      <text>
        <r>
          <rPr>
            <b/>
            <sz val="11"/>
            <color indexed="81"/>
            <rFont val="Tahoma"/>
            <family val="2"/>
          </rPr>
          <t>Type the P&amp;L balance only for the first year. For oher years, retained profits shall be automatically added</t>
        </r>
      </text>
    </comment>
    <comment ref="C164" authorId="0">
      <text>
        <r>
          <rPr>
            <sz val="12"/>
            <color indexed="81"/>
            <rFont val="Tahoma"/>
            <family val="2"/>
          </rPr>
          <t xml:space="preserve">Only first year accumulated depreciation need be provided. 2nd year onwords it will be calculated
</t>
        </r>
      </text>
    </comment>
    <comment ref="M217" authorId="0">
      <text>
        <r>
          <rPr>
            <b/>
            <sz val="12"/>
            <color indexed="81"/>
            <rFont val="Tahoma"/>
            <family val="2"/>
          </rPr>
          <t>To calculate DSCR, the first year repayment will have to be provided.</t>
        </r>
        <r>
          <rPr>
            <sz val="8"/>
            <color indexed="81"/>
            <rFont val="Tahoma"/>
          </rPr>
          <t xml:space="preserve">
</t>
        </r>
      </text>
    </comment>
    <comment ref="C354" authorId="0">
      <text>
        <r>
          <rPr>
            <b/>
            <sz val="10"/>
            <color indexed="81"/>
            <rFont val="Tahoma"/>
            <family val="2"/>
          </rPr>
          <t>You can change the percentage depending on the unit</t>
        </r>
        <r>
          <rPr>
            <sz val="10"/>
            <color indexed="81"/>
            <rFont val="Tahoma"/>
            <family val="2"/>
          </rPr>
          <t xml:space="preserve">
</t>
        </r>
      </text>
    </comment>
    <comment ref="C373" authorId="0">
      <text>
        <r>
          <rPr>
            <b/>
            <sz val="11"/>
            <color indexed="81"/>
            <rFont val="Tahoma"/>
            <family val="2"/>
          </rPr>
          <t>You can insert any percentage here</t>
        </r>
      </text>
    </comment>
    <comment ref="C380" authorId="0">
      <text>
        <r>
          <rPr>
            <b/>
            <sz val="11"/>
            <color indexed="81"/>
            <rFont val="Tahoma"/>
            <family val="2"/>
          </rPr>
          <t>You can insert any percentage here</t>
        </r>
      </text>
    </comment>
    <comment ref="C387" authorId="0">
      <text>
        <r>
          <rPr>
            <b/>
            <sz val="11"/>
            <color indexed="81"/>
            <rFont val="Tahoma"/>
            <family val="2"/>
          </rPr>
          <t>You can insert any percentage here</t>
        </r>
      </text>
    </comment>
    <comment ref="C443" authorId="0">
      <text>
        <r>
          <rPr>
            <b/>
            <sz val="12"/>
            <color indexed="81"/>
            <rFont val="Tahoma"/>
            <family val="2"/>
          </rPr>
          <t>Provide repayment  schedule in row number 185 to 188 so that it is automatically taken for calculation of DSCR</t>
        </r>
      </text>
    </comment>
  </commentList>
</comments>
</file>

<file path=xl/sharedStrings.xml><?xml version="1.0" encoding="utf-8"?>
<sst xmlns="http://schemas.openxmlformats.org/spreadsheetml/2006/main" count="997" uniqueCount="734">
  <si>
    <t>Decrease in LTLS</t>
  </si>
  <si>
    <t>Period Days</t>
  </si>
  <si>
    <t>OPERATING YEAR</t>
  </si>
  <si>
    <t>MARGIN MONEY FOR WORKING CAPITAL</t>
  </si>
  <si>
    <t>6th Year</t>
  </si>
  <si>
    <t>7th Year</t>
  </si>
  <si>
    <t>6st Year</t>
  </si>
  <si>
    <t>7st Year</t>
  </si>
  <si>
    <t xml:space="preserve">        i) Administrative Exp 50%</t>
  </si>
  <si>
    <t xml:space="preserve">       g) Admn. Expenses 50%</t>
  </si>
  <si>
    <t>6th</t>
  </si>
  <si>
    <t>7th</t>
  </si>
  <si>
    <t>LESS SUBSIDY</t>
  </si>
  <si>
    <t>Sr.No.</t>
  </si>
  <si>
    <t>Particulars</t>
  </si>
  <si>
    <t>A</t>
  </si>
  <si>
    <t>B</t>
  </si>
  <si>
    <t>C</t>
  </si>
  <si>
    <t>D</t>
  </si>
  <si>
    <t>E</t>
  </si>
  <si>
    <t>Manufacturing Expenses</t>
  </si>
  <si>
    <t>Raw Material</t>
  </si>
  <si>
    <t>Repairs &amp; Maintenance</t>
  </si>
  <si>
    <t>Packing Expenses</t>
  </si>
  <si>
    <t>Depreciation</t>
  </si>
  <si>
    <t>Total ( E )</t>
  </si>
  <si>
    <t>Sales Receipt</t>
  </si>
  <si>
    <t>Retained Profit</t>
  </si>
  <si>
    <t>Sr.No</t>
  </si>
  <si>
    <t>1st</t>
  </si>
  <si>
    <t>2nd</t>
  </si>
  <si>
    <t>3rd</t>
  </si>
  <si>
    <t>4th</t>
  </si>
  <si>
    <t>5th</t>
  </si>
  <si>
    <t>Sources of funds</t>
  </si>
  <si>
    <t>a)</t>
  </si>
  <si>
    <t>Funds from Operations</t>
  </si>
  <si>
    <t>Net Profit Before taxes with Int. added back but after Depr. &amp; IAR</t>
  </si>
  <si>
    <t>Capital</t>
  </si>
  <si>
    <t>Increase in Long term Loan</t>
  </si>
  <si>
    <t>Increase LTL</t>
  </si>
  <si>
    <t>Increase in Bank Borrow. For working capital</t>
  </si>
  <si>
    <t>Increase in defferred payment facilities</t>
  </si>
  <si>
    <t>Sales of fixed assets/investment</t>
  </si>
  <si>
    <t>Govt.Subsidies</t>
  </si>
  <si>
    <t>Total (A)</t>
  </si>
  <si>
    <t>Disposal of Funds</t>
  </si>
  <si>
    <t>Increase in capital expnd.</t>
  </si>
  <si>
    <t>Prelm. &amp; Pre-op Exp</t>
  </si>
  <si>
    <t>Increase in working capital requirement</t>
  </si>
  <si>
    <t>CALCULATION OF INSTALLED 100% CAPACITY</t>
  </si>
  <si>
    <t>Decrease in long term loans</t>
  </si>
  <si>
    <t>Interest</t>
  </si>
  <si>
    <t>Taxation</t>
  </si>
  <si>
    <t>Total ( B)</t>
  </si>
  <si>
    <t>Opening Balance of cash</t>
  </si>
  <si>
    <t>Net Surplus( A-B)</t>
  </si>
  <si>
    <t>Closing balance of cash</t>
  </si>
  <si>
    <t>MT</t>
  </si>
  <si>
    <t>Total</t>
  </si>
  <si>
    <t xml:space="preserve">Sales revenue at installed capacity (Rs. in Lacs) </t>
  </si>
  <si>
    <t>Name of the item</t>
  </si>
  <si>
    <t>Requirement</t>
  </si>
  <si>
    <t>Value ( In Lacs)</t>
  </si>
  <si>
    <t>Total Salary Per Annum (Rs. In Lacs.)</t>
  </si>
  <si>
    <t>A. Interest on Term Loan from Financial Institution.</t>
  </si>
  <si>
    <t>I) Amt. Of Loan ( Rs.)</t>
  </si>
  <si>
    <t>Operating Year</t>
  </si>
  <si>
    <t>Break up Year</t>
  </si>
  <si>
    <t>Half Yearly</t>
  </si>
  <si>
    <t>Installment</t>
  </si>
  <si>
    <t>1st Year</t>
  </si>
  <si>
    <t>1st Half</t>
  </si>
  <si>
    <t>2nd Half</t>
  </si>
  <si>
    <t>3rd Year</t>
  </si>
  <si>
    <t>4th Year</t>
  </si>
  <si>
    <t>5th Year</t>
  </si>
  <si>
    <t>Year</t>
  </si>
  <si>
    <t>Amount of Bank Borrowing</t>
  </si>
  <si>
    <t>Rate of Interest</t>
  </si>
  <si>
    <t>Amount of Interest</t>
  </si>
  <si>
    <t>C. Interest on L T L ( unsecured deposits)</t>
  </si>
  <si>
    <t>Total Expenses on power &amp; Fuel ( Rs. In Lacs)</t>
  </si>
  <si>
    <t>Particular</t>
  </si>
  <si>
    <t>Building</t>
  </si>
  <si>
    <t>Machinery</t>
  </si>
  <si>
    <t>Value of Asset include construction.</t>
  </si>
  <si>
    <t>At capacity utilization ( % )</t>
  </si>
  <si>
    <t>Sales Receipts</t>
  </si>
  <si>
    <t>Variable Costs</t>
  </si>
  <si>
    <t xml:space="preserve">        a) Raw Material</t>
  </si>
  <si>
    <t xml:space="preserve">        b) Consumable Stores/Spares</t>
  </si>
  <si>
    <t xml:space="preserve">        c) Power &amp; Fuel</t>
  </si>
  <si>
    <t xml:space="preserve">        d) Interest on working capital /  borrowings</t>
  </si>
  <si>
    <t xml:space="preserve">        e) Direct Wages</t>
  </si>
  <si>
    <t xml:space="preserve">        f) Sales Expenses</t>
  </si>
  <si>
    <t xml:space="preserve">        g) Packing Expenses</t>
  </si>
  <si>
    <t xml:space="preserve">        h) Misc. Factory Expenses</t>
  </si>
  <si>
    <t>Total of Variable Costs</t>
  </si>
  <si>
    <t>Surplus [ A – B ]</t>
  </si>
  <si>
    <t>Fixed Costs:</t>
  </si>
  <si>
    <t xml:space="preserve">       a) repair &amp; Maintenance</t>
  </si>
  <si>
    <t xml:space="preserve">       b) Indirect Salaries ( Mgt &amp; Supervisory)</t>
  </si>
  <si>
    <t xml:space="preserve">       c) Director’s Remuneration</t>
  </si>
  <si>
    <t xml:space="preserve">       d) Intt. On Term Loan</t>
  </si>
  <si>
    <t xml:space="preserve">       e) Intt.on LTL</t>
  </si>
  <si>
    <t xml:space="preserve">       f) Depreciation</t>
  </si>
  <si>
    <t xml:space="preserve">       h) Taxes &amp; Insurance</t>
  </si>
  <si>
    <t>Total of Fixed Costs</t>
  </si>
  <si>
    <t>(a) Break even Point at utilized capacity ( D/C X  100)</t>
  </si>
  <si>
    <t>(b)Break even Point at installed capacity</t>
  </si>
  <si>
    <t>Funds Available for Servicing Debts</t>
  </si>
  <si>
    <t>1) Retained Profits</t>
  </si>
  <si>
    <t>2) Depreciation</t>
  </si>
  <si>
    <t>3) Intt. On Term Loan</t>
  </si>
  <si>
    <t>Total [ A ]</t>
  </si>
  <si>
    <t>Debts to be Serviced</t>
  </si>
  <si>
    <t>2) Intt. On term Loan</t>
  </si>
  <si>
    <t>Total [ B ]</t>
  </si>
  <si>
    <t>Average D.S.C.R. ( A/B)</t>
  </si>
  <si>
    <t>2ND Year</t>
  </si>
  <si>
    <t>Amt. Reqd</t>
  </si>
  <si>
    <t>Margin Money</t>
  </si>
  <si>
    <t>Bank Borr.</t>
  </si>
  <si>
    <t>Actual Amt. Reqd.</t>
  </si>
  <si>
    <t>Consumables</t>
  </si>
  <si>
    <t>Light, Power &amp; Fuel</t>
  </si>
  <si>
    <t>Repair &amp; Maintenance</t>
  </si>
  <si>
    <t>Stock of goods in process</t>
  </si>
  <si>
    <t>Taxes &amp; Insurance</t>
  </si>
  <si>
    <t>Admn. Expenses</t>
  </si>
  <si>
    <t>Misc.Factory Expenses</t>
  </si>
  <si>
    <t>Stock of finished goods</t>
  </si>
  <si>
    <t>Sales Expenses</t>
  </si>
  <si>
    <t>Outstanding Debtors</t>
  </si>
  <si>
    <t>Others ( Contigencies)</t>
  </si>
  <si>
    <t xml:space="preserve">Margin Money to be taken towards scheme: </t>
  </si>
  <si>
    <t>Installed Capacity</t>
  </si>
  <si>
    <t>Util.of rated capacity</t>
  </si>
  <si>
    <t>No. of Shifts /day</t>
  </si>
  <si>
    <t>No. of working days/year</t>
  </si>
  <si>
    <t>Power &amp; Fuel</t>
  </si>
  <si>
    <t>Rent, Taxes &amp; Insurance</t>
  </si>
  <si>
    <t>a) on term loan</t>
  </si>
  <si>
    <t>b) on LTL</t>
  </si>
  <si>
    <t>c) on bank Borr. For w capital</t>
  </si>
  <si>
    <t>Mgt.Remn</t>
  </si>
  <si>
    <t>Operating Profit</t>
  </si>
  <si>
    <t>&lt;Less&gt;Inst. Allowance Reserve</t>
  </si>
  <si>
    <t>Profit Before Tax (after IAR)</t>
  </si>
  <si>
    <t>Net Taxable Income</t>
  </si>
  <si>
    <t>Net Profit after Tax</t>
  </si>
  <si>
    <t>PARTICULARS</t>
  </si>
  <si>
    <t>UOM</t>
  </si>
  <si>
    <t>SR.NO.</t>
  </si>
  <si>
    <t>DESCRIPTION</t>
  </si>
  <si>
    <t>SALES REVENUE</t>
  </si>
  <si>
    <t xml:space="preserve">ii) Rate if Interest ( % per annum) </t>
  </si>
  <si>
    <t>TOTAL DEP</t>
  </si>
  <si>
    <t>PARTICULAR</t>
  </si>
  <si>
    <t>RATE PER MT.</t>
  </si>
  <si>
    <t>TOTAL</t>
  </si>
  <si>
    <t>P.A.</t>
  </si>
  <si>
    <t xml:space="preserve">Total Interest </t>
  </si>
  <si>
    <t>2st Year</t>
  </si>
  <si>
    <t>in lacs</t>
  </si>
  <si>
    <t xml:space="preserve">Amount Outstanding  </t>
  </si>
  <si>
    <t>3st Year</t>
  </si>
  <si>
    <t>4st Year</t>
  </si>
  <si>
    <t>5st Year</t>
  </si>
  <si>
    <t>SALARY &amp; WAGES INDIRECT/DIRECT FOR THE MONTH</t>
  </si>
  <si>
    <t>Incremental Rate p.a.</t>
  </si>
  <si>
    <t>2 nd Year</t>
  </si>
  <si>
    <t xml:space="preserve">A </t>
  </si>
  <si>
    <t xml:space="preserve">B </t>
  </si>
  <si>
    <t xml:space="preserve">C </t>
  </si>
  <si>
    <t>PACKING MATERIAL COST</t>
  </si>
  <si>
    <t>NO</t>
  </si>
  <si>
    <t>RATE PER UNIT</t>
  </si>
  <si>
    <t>B. Interest on Bank Borrowings for working capital</t>
  </si>
  <si>
    <t>Amount of LTL Rs. Lac.</t>
  </si>
  <si>
    <t>Less: IT rebate U/S 80HH (for identified backward areas.)</t>
  </si>
  <si>
    <t>Less: IT rebate U/S 80I</t>
  </si>
  <si>
    <t xml:space="preserve">    Less trade or. available</t>
  </si>
  <si>
    <t>Wages &amp; salaries Indirect</t>
  </si>
  <si>
    <t xml:space="preserve">                           Direct</t>
  </si>
  <si>
    <t>Bank Margin  ( % )</t>
  </si>
  <si>
    <t>W.D.V.</t>
  </si>
  <si>
    <t>2nd Year</t>
  </si>
  <si>
    <t xml:space="preserve">Depreciation Rate </t>
  </si>
  <si>
    <t>Adm.Exp% of sales</t>
  </si>
  <si>
    <t>Prlim.Expenses  written off</t>
  </si>
  <si>
    <t>4 th Year</t>
  </si>
  <si>
    <t>Non cash items: investt.Allowance rebate</t>
  </si>
  <si>
    <t>TO BE CHECK IT SHOULD BE ZERO</t>
  </si>
  <si>
    <t>MEANS OF FINANCE</t>
  </si>
  <si>
    <t>SR NO</t>
  </si>
  <si>
    <t>RATE</t>
  </si>
  <si>
    <t>AMOUNT</t>
  </si>
  <si>
    <t>DETAILS OF PLANT AND MACHINERY WITH COST &amp; SOURCES OF SUPPLY</t>
  </si>
  <si>
    <t>NAME OF THE MACHINERY</t>
  </si>
  <si>
    <t>NOS</t>
  </si>
  <si>
    <t>COST OF PROJECT</t>
  </si>
  <si>
    <t>LAND</t>
  </si>
  <si>
    <t>BUILDING</t>
  </si>
  <si>
    <t>PLANT &amp; MACHINERY</t>
  </si>
  <si>
    <t>TERM LOAN FROM BANK</t>
  </si>
  <si>
    <t xml:space="preserve">Tax to Be Lavied @ % </t>
  </si>
  <si>
    <t>GROSS TOTAL</t>
  </si>
  <si>
    <t>AMOUNT RS LACS</t>
  </si>
  <si>
    <t>AREA</t>
  </si>
  <si>
    <t>Selling exp.% of  sales</t>
  </si>
  <si>
    <t>Consumables &amp; stores % of Raw Material</t>
  </si>
  <si>
    <t xml:space="preserve">Misc Factory exp </t>
  </si>
  <si>
    <t>Rs. In lacs</t>
  </si>
  <si>
    <t>INTEREST CALCULATIONS</t>
  </si>
  <si>
    <t>DEPRECIATION</t>
  </si>
  <si>
    <t>STATEMENTS OF PRODUCTION SALES &amp; ANNUAL PROFITABILITY ( Rs. In Lacs</t>
  </si>
  <si>
    <t>WORKING CAPITAL REQUIREMENTS</t>
  </si>
  <si>
    <t>CASH FLOW STATEMENT</t>
  </si>
  <si>
    <t>CALCULATION OF BREAK EVEN POINT</t>
  </si>
  <si>
    <t>CALCULATION OF D.S.C.R.</t>
  </si>
  <si>
    <t>Annexure:III</t>
  </si>
  <si>
    <t>Net profit %</t>
  </si>
  <si>
    <t>STOCK</t>
  </si>
  <si>
    <t>CREDITORS</t>
  </si>
  <si>
    <t>PAYABLES</t>
  </si>
  <si>
    <t>DRS</t>
  </si>
  <si>
    <t>DETAILS OF  LAND &amp; BUILDING  &amp;  OTHER CIVIL WORK</t>
  </si>
  <si>
    <t>LTL'S Unsecured loan</t>
  </si>
  <si>
    <t>PAY BACK PERIOD</t>
  </si>
  <si>
    <t>PROJECT COST:</t>
  </si>
  <si>
    <t>YEAR</t>
  </si>
  <si>
    <t>PROFIT AFTER TAX</t>
  </si>
  <si>
    <t>DEPRECAITION</t>
  </si>
  <si>
    <t>CASH ACCRUALS</t>
  </si>
  <si>
    <t>CUMMULATIVE</t>
  </si>
  <si>
    <t>PAY BACK PERIOD =</t>
  </si>
  <si>
    <t>DETAILS OF STAFFING PATTERN, SALARIES P.M. &amp; P.A. &amp; OTHER BENEFITS TO STAFF</t>
  </si>
  <si>
    <t>RAW MATERIAL REQUIREMENT,RATE &amp; COST</t>
  </si>
  <si>
    <t xml:space="preserve">       i) Prel exp</t>
  </si>
  <si>
    <t>AMOUNT Rs. LACS</t>
  </si>
  <si>
    <t>BALANCE SHEET</t>
  </si>
  <si>
    <t>SHARE HOLDERS FUND</t>
  </si>
  <si>
    <t>Reserve and surplus</t>
  </si>
  <si>
    <t>BORROWED FUNDS</t>
  </si>
  <si>
    <t>Term loan Form Bank</t>
  </si>
  <si>
    <t>Other Secured Loans</t>
  </si>
  <si>
    <t>Unsecured Loans</t>
  </si>
  <si>
    <t>APPLICATION OF FUNDS</t>
  </si>
  <si>
    <t>FIXED ASSETS</t>
  </si>
  <si>
    <t>GROSS BLOCK</t>
  </si>
  <si>
    <t>Less: Acc Depreciation</t>
  </si>
  <si>
    <t>Net Block</t>
  </si>
  <si>
    <t>Capital work in progress</t>
  </si>
  <si>
    <t>CURRENT ASSETS</t>
  </si>
  <si>
    <t>Inventory</t>
  </si>
  <si>
    <t>Sundry Debtors</t>
  </si>
  <si>
    <t>Loans and advances</t>
  </si>
  <si>
    <t>Other current Assets</t>
  </si>
  <si>
    <t>Cash and Bank Balance</t>
  </si>
  <si>
    <t>LESS Sundry creditors and Other liabilities</t>
  </si>
  <si>
    <t>LESS Working Capital Loan</t>
  </si>
  <si>
    <t>Net Curent Assets</t>
  </si>
  <si>
    <t>Government subsidy</t>
  </si>
  <si>
    <t>NON CURENT ASSETS</t>
  </si>
  <si>
    <t>Investment</t>
  </si>
  <si>
    <t>Misc Expenses</t>
  </si>
  <si>
    <t>TOTAL ASSETS</t>
  </si>
  <si>
    <t>Preliminery and preoperative Exp w/o</t>
  </si>
  <si>
    <t>Other current Assets Advance to suppliers</t>
  </si>
  <si>
    <t xml:space="preserve"> </t>
  </si>
  <si>
    <t xml:space="preserve">  </t>
  </si>
  <si>
    <t xml:space="preserve">SALES </t>
  </si>
  <si>
    <t>SHARE CAPITAL</t>
  </si>
  <si>
    <t xml:space="preserve">Land </t>
  </si>
  <si>
    <t xml:space="preserve">     a) Plant and machinery  area  </t>
  </si>
  <si>
    <t xml:space="preserve">     b) Rawmateral Storage  area  </t>
  </si>
  <si>
    <t>Mt</t>
  </si>
  <si>
    <t>TOTAL (A)</t>
  </si>
  <si>
    <t>D.S.C.R.</t>
  </si>
  <si>
    <t>Raw For Sodium Methoxide</t>
  </si>
  <si>
    <t xml:space="preserve">Methonol  </t>
  </si>
  <si>
    <t>Coastic Flax</t>
  </si>
  <si>
    <t>TOTAL (B)</t>
  </si>
  <si>
    <t>3. AVAILABILITY OF TERM LOAN FROM BANK AS PER NORMS</t>
  </si>
  <si>
    <t>S. N.</t>
  </si>
  <si>
    <t>MARGIN (%)</t>
  </si>
  <si>
    <t>VALUE (Rs.)</t>
  </si>
  <si>
    <t>MARGIN (Rs.)</t>
  </si>
  <si>
    <t>LOAN (Rs.)</t>
  </si>
  <si>
    <t>ASSISTANCE REQUIRED FROM BANK</t>
  </si>
  <si>
    <t>&lt;&gt;</t>
  </si>
  <si>
    <t xml:space="preserve">QTY. </t>
  </si>
  <si>
    <t>Kg</t>
  </si>
  <si>
    <t>Calculation of Electricity Consumption Per Year</t>
  </si>
  <si>
    <t>Equipment</t>
  </si>
  <si>
    <t>Monthly</t>
  </si>
  <si>
    <t>Yearly</t>
  </si>
  <si>
    <t>On Machine</t>
  </si>
  <si>
    <t>Operator</t>
  </si>
  <si>
    <t>Total amount</t>
  </si>
  <si>
    <t>Total  Annual Salary</t>
  </si>
  <si>
    <t>CURRENT RATIO</t>
  </si>
  <si>
    <t>S.N</t>
  </si>
  <si>
    <t>STOCK ON HAND</t>
  </si>
  <si>
    <t>RECEIVABLES</t>
  </si>
  <si>
    <t>OTHER CURRENT ASSETS</t>
  </si>
  <si>
    <t>CASH AND BANK BALANCE</t>
  </si>
  <si>
    <t>CURRENT LAIBILITIES</t>
  </si>
  <si>
    <t>SUNDRY CREDITORS</t>
  </si>
  <si>
    <t>DEBT EQUITY RATIO</t>
  </si>
  <si>
    <t>DEBT- Term Loan Propesed</t>
  </si>
  <si>
    <t>Term Loan - Existing</t>
  </si>
  <si>
    <t>Unsecured Loan - From Bank</t>
  </si>
  <si>
    <t>Unsecured Laon - From Friend and Relatives</t>
  </si>
  <si>
    <t xml:space="preserve">TOTAL </t>
  </si>
  <si>
    <t>EQUITY (PROPRIETOR' CAPITAL)</t>
  </si>
  <si>
    <t>DEBT EQUITY RATIO (A/B)</t>
  </si>
  <si>
    <t>Sensitivity Analysis</t>
  </si>
  <si>
    <t xml:space="preserve">  If Sales go down by</t>
  </si>
  <si>
    <t>Sales (when down by)</t>
  </si>
  <si>
    <t>Veriable costs if sales go down by</t>
  </si>
  <si>
    <t>Contribution</t>
  </si>
  <si>
    <t xml:space="preserve">  If RM cost goes up by</t>
  </si>
  <si>
    <t>Sales</t>
  </si>
  <si>
    <t>Veriable cost( RM goes up by)</t>
  </si>
  <si>
    <t xml:space="preserve">  If Other Veriable costs up by</t>
  </si>
  <si>
    <t>Other Veriable Cost  up by</t>
  </si>
  <si>
    <t xml:space="preserve">  If Sale price down by </t>
  </si>
  <si>
    <t xml:space="preserve">Other Veriable Cost  </t>
  </si>
  <si>
    <t xml:space="preserve">    -- Break even Point In sales</t>
  </si>
  <si>
    <t xml:space="preserve">BEP % to sales If Sales go down by </t>
  </si>
  <si>
    <t>BEP In sales</t>
  </si>
  <si>
    <t>BEP % to sale if RM cost goes up by</t>
  </si>
  <si>
    <t>BEP % to salel If Variable Expn. Go up by</t>
  </si>
  <si>
    <t>CALCULATION OF SENSITIVITY ANALYSIS</t>
  </si>
  <si>
    <t>CALCULATION OF INTEREST ON TERM LOAN</t>
  </si>
  <si>
    <t xml:space="preserve">Loan  </t>
  </si>
  <si>
    <t>Repayment term</t>
  </si>
  <si>
    <t>60 Months</t>
  </si>
  <si>
    <t xml:space="preserve">Repayment commencement </t>
  </si>
  <si>
    <t>Rate of interest</t>
  </si>
  <si>
    <t>No. of installment</t>
  </si>
  <si>
    <t>S.n</t>
  </si>
  <si>
    <t>Months</t>
  </si>
  <si>
    <t>Years</t>
  </si>
  <si>
    <t>Opening Balance</t>
  </si>
  <si>
    <t>Closing Balance</t>
  </si>
  <si>
    <t xml:space="preserve">Interest </t>
  </si>
  <si>
    <t>First</t>
  </si>
  <si>
    <t>Second</t>
  </si>
  <si>
    <t>Third</t>
  </si>
  <si>
    <t>Fourh</t>
  </si>
  <si>
    <t>Fifth</t>
  </si>
  <si>
    <t xml:space="preserve">1) Instalments of Loan       </t>
  </si>
  <si>
    <t xml:space="preserve">PRODUCTION CALCULATION </t>
  </si>
  <si>
    <t>Production Capacity Of the Machine</t>
  </si>
  <si>
    <t>Production Per Month =</t>
  </si>
  <si>
    <t>Production Per Year =</t>
  </si>
  <si>
    <t>Salary P.M.</t>
  </si>
  <si>
    <t>BEP% of sales If sales price down by</t>
  </si>
  <si>
    <t>Sixth</t>
  </si>
  <si>
    <t>3 month</t>
  </si>
  <si>
    <t xml:space="preserve">Prelim. </t>
  </si>
  <si>
    <t>RATE PER MTR.</t>
  </si>
  <si>
    <t>ASSESSMENT OF WORKING CAPITAL REQUIREMENTS</t>
  </si>
  <si>
    <t>OPERATING STATEMENT</t>
  </si>
  <si>
    <t xml:space="preserve">       Rupees in lacs</t>
  </si>
  <si>
    <t>Operating months</t>
  </si>
  <si>
    <t>Operating statement</t>
  </si>
  <si>
    <t>i. Domestic sale</t>
  </si>
  <si>
    <t>ii.Export sale</t>
  </si>
  <si>
    <t>Total gross sales</t>
  </si>
  <si>
    <t>Less : Excise duty</t>
  </si>
  <si>
    <t>Net sales (1-2)</t>
  </si>
  <si>
    <t>Growth in sales</t>
  </si>
  <si>
    <t>Cost of sales</t>
  </si>
  <si>
    <t>a. Raw material (Imported )</t>
  </si>
  <si>
    <t>b. Raw material (Indigenous)</t>
  </si>
  <si>
    <t>c. Packing Material</t>
  </si>
  <si>
    <t>5a</t>
  </si>
  <si>
    <t>Job Work</t>
  </si>
  <si>
    <t>Power &amp; fuel</t>
  </si>
  <si>
    <t>Direct labour</t>
  </si>
  <si>
    <t>Milgin other exp.</t>
  </si>
  <si>
    <t xml:space="preserve">Depreciation </t>
  </si>
  <si>
    <t>Sub Total</t>
  </si>
  <si>
    <t>Add: Opening stock of raw material</t>
  </si>
  <si>
    <t>Deduct : Closing stock of raw material</t>
  </si>
  <si>
    <t xml:space="preserve">Cost of production </t>
  </si>
  <si>
    <t>Add: Opening stock of  goods</t>
  </si>
  <si>
    <t>Deduct : Closing stock of  goods</t>
  </si>
  <si>
    <t>Sub Total (Total cost of sales)</t>
  </si>
  <si>
    <t>Gross profit</t>
  </si>
  <si>
    <t>Gross profit/ Sales</t>
  </si>
  <si>
    <t>Selling  &amp; Admn.expenses</t>
  </si>
  <si>
    <t>Administrative expenses</t>
  </si>
  <si>
    <t xml:space="preserve">Sub Total </t>
  </si>
  <si>
    <t xml:space="preserve">Operating profit before interest </t>
  </si>
  <si>
    <t>a.Interest on CC</t>
  </si>
  <si>
    <t xml:space="preserve">b.Interest on TL </t>
  </si>
  <si>
    <t xml:space="preserve">c.Other interests </t>
  </si>
  <si>
    <t>Total interest</t>
  </si>
  <si>
    <t>Operating profit after interest</t>
  </si>
  <si>
    <t>Add: Other non operating income</t>
  </si>
  <si>
    <t>a.Interest/Dividend/Royalties etc..</t>
  </si>
  <si>
    <t>b.Other income</t>
  </si>
  <si>
    <t>Deduct other non operating expenses</t>
  </si>
  <si>
    <t>b.Other expenses</t>
  </si>
  <si>
    <t>c.Intangibles written off  -1</t>
  </si>
  <si>
    <t>Net of other non operating Income/Expenses</t>
  </si>
  <si>
    <t>Profit/(Loss) before tax (PBT)</t>
  </si>
  <si>
    <t>Provision for taxes</t>
  </si>
  <si>
    <t>Profit/(Loss) after tax (PAT)</t>
  </si>
  <si>
    <t>Cash accruals</t>
  </si>
  <si>
    <t>Drawing/ Dividend</t>
  </si>
  <si>
    <t xml:space="preserve">Retained profit </t>
  </si>
  <si>
    <t>Retained cash profits</t>
  </si>
  <si>
    <t>RM content in sales</t>
  </si>
  <si>
    <t>PBDIT/Sales</t>
  </si>
  <si>
    <t>Operating profit/Sales</t>
  </si>
  <si>
    <t>PBT/Sales</t>
  </si>
  <si>
    <t>PAT/Sales</t>
  </si>
  <si>
    <t>Cash accruals/ Sales</t>
  </si>
  <si>
    <t>Interest on CC.</t>
  </si>
  <si>
    <t xml:space="preserve">Interest on TL </t>
  </si>
  <si>
    <t xml:space="preserve">Other interests </t>
  </si>
  <si>
    <t>ANALYSIS OF BALANCE SHEET</t>
  </si>
  <si>
    <t>LIABILITIES</t>
  </si>
  <si>
    <t>CURRENT LIABILITIES</t>
  </si>
  <si>
    <t>Short term loans from applicant bank  including BP &amp; BD</t>
  </si>
  <si>
    <t>Short term loans from other banks including BP &amp;BD</t>
  </si>
  <si>
    <t>Sub Total (A)</t>
  </si>
  <si>
    <t>Short term borrowings from others</t>
  </si>
  <si>
    <t>Sundry creditors (trade)</t>
  </si>
  <si>
    <t>Advance payment from customers</t>
  </si>
  <si>
    <t>Net provision for taxation (if positive)</t>
  </si>
  <si>
    <t>Dividend payable</t>
  </si>
  <si>
    <t>Other statutory liabilities (due within one year)</t>
  </si>
  <si>
    <t>Overdue term liabilities</t>
  </si>
  <si>
    <t>Installments of term loan/ DPGs/ Deposits/ debentures due within next year</t>
  </si>
  <si>
    <t>Other current liabilities &amp; provisions (due with in one year)</t>
  </si>
  <si>
    <t>Sub Total (B)</t>
  </si>
  <si>
    <t>TOTAL CURRENT LIABILITIES</t>
  </si>
  <si>
    <t>TERM LIABILITIES</t>
  </si>
  <si>
    <t>Debentures (not maturing within one year)</t>
  </si>
  <si>
    <t>Term loan from bank (less next year installments)</t>
  </si>
  <si>
    <t>Term loan from other banks/Inst.(excluding installment due next year)</t>
  </si>
  <si>
    <t>Deferred payments credits (excluding installment due next year)</t>
  </si>
  <si>
    <t>Term deposits (excluding installment due next year)</t>
  </si>
  <si>
    <t>Other term liabilities</t>
  </si>
  <si>
    <t>TOTAL TERM LIABILITIES</t>
  </si>
  <si>
    <t xml:space="preserve">TOTAL OF OUTSIDE LIABILITIES </t>
  </si>
  <si>
    <t>NET WORTH</t>
  </si>
  <si>
    <t>capital</t>
  </si>
  <si>
    <t>General reserve</t>
  </si>
  <si>
    <t>Revaluation reserve</t>
  </si>
  <si>
    <t>Net Surplus</t>
  </si>
  <si>
    <t>Drawing/ADDITION</t>
  </si>
  <si>
    <t>TOTAL LIABILITIES (18+24)</t>
  </si>
  <si>
    <t>ASSETS</t>
  </si>
  <si>
    <t>Cash &amp; bank balances</t>
  </si>
  <si>
    <t>Govt. &amp; other trustee securities</t>
  </si>
  <si>
    <t>Fixed deposits with banks &amp; Investment</t>
  </si>
  <si>
    <t>Domestic receivables including BP/BD</t>
  </si>
  <si>
    <t>Export receivables including BP/BD)</t>
  </si>
  <si>
    <t>Deferred receivables (due within one year)</t>
  </si>
  <si>
    <t>Imported raw material</t>
  </si>
  <si>
    <t>Indigenous rawmaterial</t>
  </si>
  <si>
    <t>Stock in process</t>
  </si>
  <si>
    <t>Finished goods</t>
  </si>
  <si>
    <t>Imported consumables</t>
  </si>
  <si>
    <t>Indigenous consumables</t>
  </si>
  <si>
    <t>Advances to suppliers</t>
  </si>
  <si>
    <t>Net advance payment of taxes (if positive)</t>
  </si>
  <si>
    <t>Other current assets (Deffered tax assets)</t>
  </si>
  <si>
    <t>TOTAL CURRENT ASSETS</t>
  </si>
  <si>
    <t>Gross block (land &amp; building, machinery)</t>
  </si>
  <si>
    <t>Add: Capital expenditure in wirk-in-process</t>
  </si>
  <si>
    <t>Depreciation to date</t>
  </si>
  <si>
    <t>OTHER NON CURRENT ASSETS</t>
  </si>
  <si>
    <t>a. Investments in sub. cos./ affiliates</t>
  </si>
  <si>
    <t>b. Investment in others</t>
  </si>
  <si>
    <t>c. Advance to suppliers of capital goods &amp; contractors</t>
  </si>
  <si>
    <t>d. Deferred receivables (maturing after a year)</t>
  </si>
  <si>
    <t>e. Other non-current investments</t>
  </si>
  <si>
    <t>f.  Non consumable stores &amp; spares</t>
  </si>
  <si>
    <t>g. Long oustanding dues &amp; other non current assets /dues from directors</t>
  </si>
  <si>
    <t>TOTAL OTHER NON CURRENT ASSETS</t>
  </si>
  <si>
    <t xml:space="preserve">Intangible Assets </t>
  </si>
  <si>
    <t>a. Preliminary expenses</t>
  </si>
  <si>
    <t>b. Deffered revenue expenditures</t>
  </si>
  <si>
    <t>c. Other intangibles (patents, goodwill, etc.)</t>
  </si>
  <si>
    <t>Total Intangible Assets</t>
  </si>
  <si>
    <t>TANGIBLE NET WORTH (TNW)</t>
  </si>
  <si>
    <t>NET WORKING CAPITAL (NWC)</t>
  </si>
  <si>
    <t>Movement of TNW</t>
  </si>
  <si>
    <t>Opening TNW</t>
  </si>
  <si>
    <t>Plough back of profit</t>
  </si>
  <si>
    <t>Increase in capital/reserves</t>
  </si>
  <si>
    <t>Intangibles written off</t>
  </si>
  <si>
    <t>Less Increase in Revaluation Reserve</t>
  </si>
  <si>
    <t>Closing TNW</t>
  </si>
  <si>
    <t>Current Ratio</t>
  </si>
  <si>
    <t>Debt/Equity</t>
  </si>
  <si>
    <t>TOL/Equity</t>
  </si>
  <si>
    <t>Current assets/Tangible assets</t>
  </si>
  <si>
    <t>ROCE(PBDIT incl.other income/TTA)</t>
  </si>
  <si>
    <t>Inentory+Receivables as days of net sales</t>
  </si>
  <si>
    <t>ADDITIONAL INFORMATION</t>
  </si>
  <si>
    <t>a. Arrears of Depreciation</t>
  </si>
  <si>
    <t>b. Contingent Liabilities</t>
  </si>
  <si>
    <t>c. Arrears of Cumulative Dividends</t>
  </si>
  <si>
    <t>d. Gratuity Liability not  Provided for</t>
  </si>
  <si>
    <t>e. Dispute Custom/Excise/ Tax Liabilities</t>
  </si>
  <si>
    <t>f. Other Liabilities not provided for</t>
  </si>
  <si>
    <t>Check Points</t>
  </si>
  <si>
    <t>Difference in Assets &amp; Liabilities</t>
  </si>
  <si>
    <t>Increase in cap.&amp; reserves beyond retained profit</t>
  </si>
  <si>
    <t>Difference in intangibles written off in balance Sheet and shown in P&amp;L account</t>
  </si>
  <si>
    <t>Reductin in TL is less than TL instalments plus overdues</t>
  </si>
  <si>
    <t>Repayment Schedule</t>
  </si>
  <si>
    <t>Term Loan Repayment</t>
  </si>
  <si>
    <t>By default the programme considers the entire net block as security &amp; entire Term Liability for calculation of Security cover. But if a portion of security/ TL is to be considered, give the figures below.</t>
  </si>
  <si>
    <t>Our Term Loan</t>
  </si>
  <si>
    <t>Security Available</t>
  </si>
  <si>
    <t>Collateral security available for TL</t>
  </si>
  <si>
    <t>WORKING CAPITAL / BANK BORROWING ASSESSMENTS</t>
  </si>
  <si>
    <t>WORKING CAPITAL ASSESSMENT</t>
  </si>
  <si>
    <t>Stock of Imported RM -Days Consumption</t>
  </si>
  <si>
    <t>Stock of Indiginous RM - Days Consumption</t>
  </si>
  <si>
    <t>Imported Consumables - (Days Consumption)</t>
  </si>
  <si>
    <t>Indiginous Consumables - (Days Consumption)</t>
  </si>
  <si>
    <t>Stock in process- (Days of  Cost of Production)</t>
  </si>
  <si>
    <t>Finished Goods - (Days Cost of Sales)</t>
  </si>
  <si>
    <t>Total Inventory</t>
  </si>
  <si>
    <t>Total Inventory/Sales (days)</t>
  </si>
  <si>
    <t>Domestic receivables (Days Gross dom.Sales)</t>
  </si>
  <si>
    <t>Export Receivables - (Days Exports)</t>
  </si>
  <si>
    <t>Total Receivables</t>
  </si>
  <si>
    <t>Total Receivables/Gross Sales (days)</t>
  </si>
  <si>
    <t>Creditors - (days Consumption)</t>
  </si>
  <si>
    <t>Total Current Assets</t>
  </si>
  <si>
    <t>Financed by</t>
  </si>
  <si>
    <t>Sundry Cr. % of Current Assets</t>
  </si>
  <si>
    <t>Other Curr. Liab.% of Current Assets</t>
  </si>
  <si>
    <t>Bank Finance % of Current Assets</t>
  </si>
  <si>
    <t>NWC % to Current Assets</t>
  </si>
  <si>
    <t>By MPBS Method</t>
  </si>
  <si>
    <t>Total current assets</t>
  </si>
  <si>
    <t>Other current liabilities</t>
  </si>
  <si>
    <t>Working capital gap</t>
  </si>
  <si>
    <t>Net working capital</t>
  </si>
  <si>
    <t>25% margin over current assets</t>
  </si>
  <si>
    <t>Bank finance</t>
  </si>
  <si>
    <t>FUND FLOW  ANALYSIS</t>
  </si>
  <si>
    <t>FUND FLOW ANALYSIS</t>
  </si>
  <si>
    <t>LONG TERM SOURCES</t>
  </si>
  <si>
    <t>Profit after tax</t>
  </si>
  <si>
    <t>Increase in capital and reserves</t>
  </si>
  <si>
    <t>Increase in term liability</t>
  </si>
  <si>
    <t>Decrease in fixed assets</t>
  </si>
  <si>
    <t>Decrease in other non current assets</t>
  </si>
  <si>
    <t>LONG TERM USES</t>
  </si>
  <si>
    <t>Net loss</t>
  </si>
  <si>
    <t>Increase in intangibles</t>
  </si>
  <si>
    <t>Decrease in capi.and reserves/ Share buyback</t>
  </si>
  <si>
    <t>Term loan repayments</t>
  </si>
  <si>
    <t>Increase in fixed assets</t>
  </si>
  <si>
    <t>Increase in non-current assets</t>
  </si>
  <si>
    <t>Dividend paid/Drawing</t>
  </si>
  <si>
    <t>Surplus/ Deficit</t>
  </si>
  <si>
    <t>SHORT TERM SOURCES</t>
  </si>
  <si>
    <t>Increase in  bank borrowings</t>
  </si>
  <si>
    <t>Increase in other current liability</t>
  </si>
  <si>
    <t>Decrease in inventory</t>
  </si>
  <si>
    <t>Decrease in receivables</t>
  </si>
  <si>
    <t>Decrease in Cash/Deposits/Govt Sec.</t>
  </si>
  <si>
    <t>Decrease in other current assets</t>
  </si>
  <si>
    <t>SHORT TERM USES</t>
  </si>
  <si>
    <t>Increase in inventory</t>
  </si>
  <si>
    <t>Increase in receivables</t>
  </si>
  <si>
    <t>Increase in cash/Deposits/Govt Sec.</t>
  </si>
  <si>
    <t>Increase  in other current assets</t>
  </si>
  <si>
    <t>Decrease in other current liability</t>
  </si>
  <si>
    <t>Decrease in bank borrowings</t>
  </si>
  <si>
    <t>Summary of fund flow analysis</t>
  </si>
  <si>
    <t>Long term sources</t>
  </si>
  <si>
    <t>Long term uses</t>
  </si>
  <si>
    <t>Surplus /Deficit (i-ii)</t>
  </si>
  <si>
    <t xml:space="preserve">Short term sources </t>
  </si>
  <si>
    <t>Short term uses</t>
  </si>
  <si>
    <t>Surplus /Deficit (iii-iv)</t>
  </si>
  <si>
    <t>Difference</t>
  </si>
  <si>
    <t>CALCULATION OF BREAK EVEN LEVELS</t>
  </si>
  <si>
    <t>Veriable %</t>
  </si>
  <si>
    <t>BREAK EVEN POINT</t>
  </si>
  <si>
    <t>Variable cost</t>
  </si>
  <si>
    <t>i.  Raw material</t>
  </si>
  <si>
    <t>ii. Consumables(Job Work)</t>
  </si>
  <si>
    <t>iii.Direct labour</t>
  </si>
  <si>
    <t>iv.Power &amp; fuel</t>
  </si>
  <si>
    <t>v.Selling expenses(Transportation&amp; Milig.)</t>
  </si>
  <si>
    <t>vi.Other variable costs</t>
  </si>
  <si>
    <t>Total variable costs</t>
  </si>
  <si>
    <t>Add: Opening Stock of goods</t>
  </si>
  <si>
    <t>Less: Closing Stock Of Goods</t>
  </si>
  <si>
    <t>Total variable costs of Production</t>
  </si>
  <si>
    <t>Percent of sales</t>
  </si>
  <si>
    <t>Fixed costs</t>
  </si>
  <si>
    <t>Break even level of sales</t>
  </si>
  <si>
    <t>Percentage to sales</t>
  </si>
  <si>
    <t>Cash braeak even of sales</t>
  </si>
  <si>
    <t xml:space="preserve">BEP If Sales go down by </t>
  </si>
  <si>
    <t>% to Sales</t>
  </si>
  <si>
    <t>BEP if RM cost goes up by</t>
  </si>
  <si>
    <t>BEP If Variable Expn. Go up by</t>
  </si>
  <si>
    <t>% Sales</t>
  </si>
  <si>
    <t>RATIO ANALYSIS</t>
  </si>
  <si>
    <t>RATIOS</t>
  </si>
  <si>
    <t>Gross profit ratio</t>
  </si>
  <si>
    <t>PBDIT/sales</t>
  </si>
  <si>
    <t>Operating profits/Sales</t>
  </si>
  <si>
    <t>Sales/Equity</t>
  </si>
  <si>
    <t>Sales / TTA</t>
  </si>
  <si>
    <t>Interest coverage (Interest/PBDIT)</t>
  </si>
  <si>
    <t>PBDIT / Interest (Times)</t>
  </si>
  <si>
    <t>Deferred debt/ Equity</t>
  </si>
  <si>
    <t>12a</t>
  </si>
  <si>
    <t>Debt/ Equaty Ratio</t>
  </si>
  <si>
    <t>Current ratio (CA / CL)</t>
  </si>
  <si>
    <t>Current Ratio excluding TL Instalments</t>
  </si>
  <si>
    <t>CA / TTA (%)</t>
  </si>
  <si>
    <t>Bank borrowings/Current assets</t>
  </si>
  <si>
    <t xml:space="preserve">RM content in sales </t>
  </si>
  <si>
    <t>ROCE(PBDIT incl.Other income/TTA)</t>
  </si>
  <si>
    <t>Debt Service Coverage Ratio Calculations</t>
  </si>
  <si>
    <t>Interest on TL / Deffered Loans</t>
  </si>
  <si>
    <t>Repayment Obligations of TL</t>
  </si>
  <si>
    <t>Repayment of other deffered Loans</t>
  </si>
  <si>
    <t>Total Repayment</t>
  </si>
  <si>
    <t>Net Debt Service Coverage Ratio (DSCR)</t>
  </si>
  <si>
    <t>Gross Debt Service Coverage Ratio (DSCR)</t>
  </si>
  <si>
    <t>Security Coverage Ratio</t>
  </si>
  <si>
    <t>Term Loan outstanding (including instalments)</t>
  </si>
  <si>
    <t>Security Cover avilable (NB-TL/NB)</t>
  </si>
  <si>
    <t>Security cover including Collateral Security</t>
  </si>
  <si>
    <t>Security Cover avilable ((NB+Collaeral-TL)/NB)</t>
  </si>
  <si>
    <t>KEY INDICATORS</t>
  </si>
  <si>
    <t xml:space="preserve">Net Sales </t>
  </si>
  <si>
    <t xml:space="preserve">(Net) Other income </t>
  </si>
  <si>
    <t xml:space="preserve">PBT/Sales </t>
  </si>
  <si>
    <t>PAT</t>
  </si>
  <si>
    <t>PAT/Net Sales</t>
  </si>
  <si>
    <t>Cash Accruals</t>
  </si>
  <si>
    <t>Cash Accruals/Sales</t>
  </si>
  <si>
    <t xml:space="preserve">Paid up Capital </t>
  </si>
  <si>
    <t xml:space="preserve">TNW </t>
  </si>
  <si>
    <t>TOL/TNW</t>
  </si>
  <si>
    <t>C/R</t>
  </si>
  <si>
    <t>C/R excluding T/L instalments due in 1 year</t>
  </si>
  <si>
    <t>Net Sales/TTA (Times)</t>
  </si>
  <si>
    <t>PBT/TTA (%)</t>
  </si>
  <si>
    <t>Operating costs/sales(%)</t>
  </si>
  <si>
    <t>Bank Finance / Current Assets (%)</t>
  </si>
  <si>
    <t>Inv + Rec. /N.S. (DAYS)</t>
  </si>
  <si>
    <t>NWC / CA (%)</t>
  </si>
  <si>
    <t>END OF THE REPORT</t>
  </si>
  <si>
    <t>other Manuf. Exp.</t>
  </si>
  <si>
    <t>CASH CREDIT</t>
  </si>
  <si>
    <t>Sr. No.</t>
  </si>
  <si>
    <t>No.of M/c</t>
  </si>
  <si>
    <t>DETAILS OF POWER &amp; FUEL EXPENSES P.A.</t>
  </si>
  <si>
    <t xml:space="preserve">A: Direct/Indirect Labour </t>
  </si>
  <si>
    <t xml:space="preserve">Re- payment </t>
  </si>
  <si>
    <t>A.</t>
  </si>
  <si>
    <t>S. No</t>
  </si>
  <si>
    <t>BASIS:             PROFIT AFTER TAX</t>
  </si>
  <si>
    <t>Sr. No</t>
  </si>
  <si>
    <t>Const. Period</t>
  </si>
  <si>
    <t>AVERAGE CURRENT RATIO</t>
  </si>
  <si>
    <t>Land</t>
  </si>
  <si>
    <t>Wages &amp; Salaries i) Indirect</t>
  </si>
  <si>
    <t xml:space="preserve">                                 ii) Direct </t>
  </si>
  <si>
    <t>Inccome after 80HH</t>
  </si>
  <si>
    <t>Decrease in Long Term Unsec. Loans</t>
  </si>
  <si>
    <t>Moratorioum Period</t>
  </si>
  <si>
    <t>Debt /Equty Ratio</t>
  </si>
  <si>
    <t xml:space="preserve">Total MT Production At 100% capacity is </t>
  </si>
  <si>
    <t>All plant and machinary in operation</t>
  </si>
  <si>
    <t>MT. Per Annum</t>
  </si>
  <si>
    <t>5 YEARS</t>
  </si>
  <si>
    <t>Properiotor  Capital</t>
  </si>
  <si>
    <t>Sq. Mt</t>
  </si>
  <si>
    <t xml:space="preserve">        C) Office space</t>
  </si>
  <si>
    <t>Supervisor (I.T.I)</t>
  </si>
  <si>
    <t>Skilled worker</t>
  </si>
  <si>
    <t xml:space="preserve">Unskilled worker </t>
  </si>
  <si>
    <t>Marketing assistant</t>
  </si>
  <si>
    <t>Office Assistant</t>
  </si>
  <si>
    <t xml:space="preserve"> Accountant </t>
  </si>
  <si>
    <t>Mixer</t>
  </si>
  <si>
    <t>Foam Genratore</t>
  </si>
  <si>
    <t>Automatic water and chemical doasing system</t>
  </si>
  <si>
    <t xml:space="preserve">Compressore </t>
  </si>
  <si>
    <t>Digital control panel</t>
  </si>
  <si>
    <t>Conveyour belt</t>
  </si>
  <si>
    <t>Hoper</t>
  </si>
  <si>
    <t>Trolley</t>
  </si>
  <si>
    <t>Moulds</t>
  </si>
  <si>
    <t>Platform</t>
  </si>
  <si>
    <t>Cum</t>
  </si>
  <si>
    <t xml:space="preserve">All machines operation's produced 30 cum/per day </t>
  </si>
  <si>
    <t>30 Cum</t>
  </si>
  <si>
    <t>*25 days</t>
  </si>
  <si>
    <t>Cement</t>
  </si>
  <si>
    <t xml:space="preserve">Sand </t>
  </si>
  <si>
    <t>kg</t>
  </si>
  <si>
    <t>Flay Ash</t>
  </si>
  <si>
    <t>Foaming agent</t>
  </si>
  <si>
    <t>liter</t>
  </si>
  <si>
    <t>Other Chemicals</t>
  </si>
  <si>
    <t>Water</t>
  </si>
  <si>
    <t>Total HP</t>
  </si>
  <si>
    <t>Rate per HP</t>
  </si>
  <si>
    <t>Per H.P = Rs.800 per month</t>
  </si>
  <si>
    <t>Avg</t>
  </si>
  <si>
    <t>1st` year</t>
  </si>
  <si>
    <t>Building on rent</t>
  </si>
  <si>
    <t>Packing and transport Exp</t>
  </si>
  <si>
    <t xml:space="preserve">RATE </t>
  </si>
  <si>
    <t>Packing Material and Transpoertation</t>
  </si>
  <si>
    <t>rate as per month/year??? Please mention</t>
  </si>
</sst>
</file>

<file path=xl/styles.xml><?xml version="1.0" encoding="utf-8"?>
<styleSheet xmlns="http://schemas.openxmlformats.org/spreadsheetml/2006/main">
  <numFmts count="9">
    <numFmt numFmtId="43" formatCode="_(* #,##0.00_);_(* \(#,##0.00\);_(* &quot;-&quot;??_);_(@_)"/>
    <numFmt numFmtId="171" formatCode="_-* #,##0.00_-;\-* #,##0.00_-;_-* &quot;-&quot;??_-;_-@_-"/>
    <numFmt numFmtId="172" formatCode="0.000"/>
    <numFmt numFmtId="173" formatCode="0.0"/>
    <numFmt numFmtId="181" formatCode="0.0%"/>
    <numFmt numFmtId="217" formatCode="0.00_);\(0.00\)"/>
    <numFmt numFmtId="218" formatCode="0_);\(0\)"/>
    <numFmt numFmtId="219" formatCode="[$-409]mmm\-yy;@"/>
    <numFmt numFmtId="224" formatCode="_(* #,##0_);_(* \(#,##0\);_(* &quot;-&quot;??_);_(@_)"/>
  </numFmts>
  <fonts count="36">
    <font>
      <sz val="10"/>
      <name val="Arial"/>
    </font>
    <font>
      <sz val="10"/>
      <name val="Arial"/>
    </font>
    <font>
      <sz val="8"/>
      <name val="Arial"/>
    </font>
    <font>
      <b/>
      <sz val="11"/>
      <color indexed="81"/>
      <name val="Tahoma"/>
      <family val="2"/>
    </font>
    <font>
      <sz val="11"/>
      <color indexed="81"/>
      <name val="Tahoma"/>
      <family val="2"/>
    </font>
    <font>
      <b/>
      <sz val="12"/>
      <color indexed="81"/>
      <name val="Tahoma"/>
      <family val="2"/>
    </font>
    <font>
      <sz val="12"/>
      <color indexed="81"/>
      <name val="Tahoma"/>
      <family val="2"/>
    </font>
    <font>
      <sz val="8"/>
      <color indexed="81"/>
      <name val="Tahoma"/>
    </font>
    <font>
      <b/>
      <sz val="10"/>
      <color indexed="81"/>
      <name val="Tahoma"/>
      <family val="2"/>
    </font>
    <font>
      <sz val="10"/>
      <color indexed="81"/>
      <name val="Tahoma"/>
      <family val="2"/>
    </font>
    <font>
      <sz val="10"/>
      <name val="Book Antiqua"/>
      <family val="1"/>
    </font>
    <font>
      <sz val="12"/>
      <name val="Book Antiqua"/>
      <family val="1"/>
    </font>
    <font>
      <b/>
      <sz val="12"/>
      <name val="Book Antiqua"/>
      <family val="1"/>
    </font>
    <font>
      <b/>
      <sz val="10"/>
      <name val="Book Antiqua"/>
      <family val="1"/>
    </font>
    <font>
      <b/>
      <sz val="14"/>
      <name val="Book Antiqua"/>
      <family val="1"/>
    </font>
    <font>
      <sz val="14"/>
      <name val="Book Antiqua"/>
      <family val="1"/>
    </font>
    <font>
      <sz val="11"/>
      <name val="Book Antiqua"/>
      <family val="1"/>
    </font>
    <font>
      <b/>
      <sz val="11"/>
      <name val="Book Antiqua"/>
      <family val="1"/>
    </font>
    <font>
      <u/>
      <sz val="12"/>
      <name val="Book Antiqua"/>
      <family val="1"/>
    </font>
    <font>
      <b/>
      <u/>
      <sz val="11"/>
      <name val="Book Antiqua"/>
      <family val="1"/>
    </font>
    <font>
      <u/>
      <sz val="11"/>
      <name val="Book Antiqua"/>
      <family val="1"/>
    </font>
    <font>
      <u/>
      <sz val="10"/>
      <name val="Book Antiqua"/>
      <family val="1"/>
    </font>
    <font>
      <b/>
      <sz val="18"/>
      <name val="Book Antiqua"/>
      <family val="1"/>
    </font>
    <font>
      <sz val="10"/>
      <color indexed="12"/>
      <name val="Book Antiqua"/>
      <family val="1"/>
    </font>
    <font>
      <sz val="10"/>
      <color indexed="10"/>
      <name val="Book Antiqua"/>
      <family val="1"/>
    </font>
    <font>
      <b/>
      <u/>
      <sz val="10"/>
      <name val="Book Antiqua"/>
      <family val="1"/>
    </font>
    <font>
      <b/>
      <sz val="10"/>
      <color indexed="10"/>
      <name val="Book Antiqua"/>
      <family val="1"/>
    </font>
    <font>
      <sz val="10"/>
      <color indexed="39"/>
      <name val="Book Antiqua"/>
      <family val="1"/>
    </font>
    <font>
      <b/>
      <sz val="10"/>
      <color indexed="29"/>
      <name val="Book Antiqua"/>
      <family val="1"/>
    </font>
    <font>
      <strike/>
      <sz val="10"/>
      <name val="Book Antiqua"/>
      <family val="1"/>
    </font>
    <font>
      <b/>
      <u/>
      <sz val="5"/>
      <name val="Book Antiqua"/>
      <family val="1"/>
    </font>
    <font>
      <sz val="5"/>
      <name val="Book Antiqua"/>
      <family val="1"/>
    </font>
    <font>
      <b/>
      <i/>
      <sz val="20"/>
      <color indexed="10"/>
      <name val="Book Antiqua"/>
      <family val="1"/>
    </font>
    <font>
      <sz val="10"/>
      <name val="Times New Roman"/>
      <family val="1"/>
    </font>
    <font>
      <sz val="11"/>
      <color indexed="8"/>
      <name val="Times New Roman"/>
      <family val="1"/>
    </font>
    <font>
      <sz val="10"/>
      <color rgb="FFFF0000"/>
      <name val="Book Antiqua"/>
      <family val="1"/>
    </font>
  </fonts>
  <fills count="5">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00"/>
        <bgColor indexed="64"/>
      </patternFill>
    </fill>
  </fills>
  <borders count="89">
    <border>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hair">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171" fontId="1" fillId="0" borderId="0" applyFont="0" applyFill="0" applyBorder="0" applyAlignment="0" applyProtection="0"/>
    <xf numFmtId="9" fontId="1" fillId="0" borderId="0" applyFont="0" applyFill="0" applyBorder="0" applyAlignment="0" applyProtection="0"/>
  </cellStyleXfs>
  <cellXfs count="949">
    <xf numFmtId="0" fontId="0" fillId="0" borderId="0" xfId="0"/>
    <xf numFmtId="0" fontId="10" fillId="0" borderId="0" xfId="0" applyFont="1"/>
    <xf numFmtId="2" fontId="10" fillId="0" borderId="0" xfId="0" applyNumberFormat="1" applyFont="1"/>
    <xf numFmtId="0" fontId="11" fillId="0" borderId="0" xfId="0" applyFont="1"/>
    <xf numFmtId="2" fontId="11" fillId="0" borderId="0" xfId="0" applyNumberFormat="1" applyFont="1"/>
    <xf numFmtId="0" fontId="12" fillId="0" borderId="0" xfId="0" applyFont="1"/>
    <xf numFmtId="0" fontId="11" fillId="0" borderId="0" xfId="0" applyFont="1" applyBorder="1"/>
    <xf numFmtId="2" fontId="11" fillId="0" borderId="0" xfId="0" applyNumberFormat="1" applyFont="1" applyBorder="1"/>
    <xf numFmtId="0" fontId="13" fillId="0" borderId="1" xfId="0" applyFont="1" applyBorder="1" applyAlignment="1">
      <alignment horizontal="center"/>
    </xf>
    <xf numFmtId="0" fontId="10" fillId="0" borderId="2" xfId="0" applyFont="1" applyBorder="1"/>
    <xf numFmtId="0" fontId="10" fillId="0" borderId="3" xfId="0" applyFont="1" applyBorder="1"/>
    <xf numFmtId="0" fontId="10" fillId="0" borderId="1" xfId="0" applyFont="1" applyBorder="1"/>
    <xf numFmtId="9" fontId="10" fillId="0" borderId="0" xfId="2" applyFont="1"/>
    <xf numFmtId="0" fontId="13" fillId="0" borderId="1" xfId="0" applyFont="1" applyBorder="1" applyAlignment="1">
      <alignment horizontal="right"/>
    </xf>
    <xf numFmtId="2" fontId="13" fillId="0" borderId="0" xfId="0" applyNumberFormat="1" applyFont="1" applyBorder="1" applyAlignment="1">
      <alignment horizontal="right"/>
    </xf>
    <xf numFmtId="172" fontId="10" fillId="0" borderId="0" xfId="0" applyNumberFormat="1" applyFont="1"/>
    <xf numFmtId="0" fontId="13" fillId="0" borderId="3" xfId="0" applyFont="1" applyBorder="1"/>
    <xf numFmtId="0" fontId="13" fillId="0" borderId="1" xfId="0" applyFont="1" applyBorder="1"/>
    <xf numFmtId="0" fontId="10" fillId="0" borderId="4" xfId="0" applyFont="1" applyBorder="1"/>
    <xf numFmtId="0" fontId="10" fillId="0" borderId="5" xfId="0" applyFont="1" applyBorder="1"/>
    <xf numFmtId="0" fontId="10" fillId="0" borderId="6" xfId="0" applyFont="1" applyBorder="1"/>
    <xf numFmtId="0" fontId="10" fillId="0" borderId="7" xfId="0" applyFont="1" applyBorder="1"/>
    <xf numFmtId="10" fontId="10" fillId="0" borderId="0" xfId="0" applyNumberFormat="1" applyFont="1"/>
    <xf numFmtId="0" fontId="13" fillId="0" borderId="8" xfId="0" applyFont="1" applyBorder="1" applyAlignment="1">
      <alignment horizontal="center"/>
    </xf>
    <xf numFmtId="0" fontId="10" fillId="0" borderId="8" xfId="0" applyFont="1" applyBorder="1"/>
    <xf numFmtId="0" fontId="13" fillId="0" borderId="8" xfId="0" applyFont="1" applyBorder="1" applyAlignment="1">
      <alignment horizontal="right"/>
    </xf>
    <xf numFmtId="0" fontId="13" fillId="0" borderId="8" xfId="0" applyFont="1" applyBorder="1"/>
    <xf numFmtId="2" fontId="13" fillId="0" borderId="8" xfId="0" applyNumberFormat="1" applyFont="1" applyBorder="1"/>
    <xf numFmtId="0" fontId="10" fillId="0" borderId="2" xfId="0" applyFont="1" applyBorder="1" applyAlignment="1">
      <alignment horizontal="center"/>
    </xf>
    <xf numFmtId="0" fontId="13" fillId="0" borderId="0" xfId="0" applyFont="1"/>
    <xf numFmtId="0" fontId="10" fillId="0" borderId="9" xfId="0" applyFont="1" applyBorder="1"/>
    <xf numFmtId="0" fontId="10" fillId="0" borderId="0" xfId="0" applyFont="1" applyBorder="1"/>
    <xf numFmtId="0" fontId="10" fillId="0" borderId="10" xfId="0" applyFont="1" applyBorder="1"/>
    <xf numFmtId="0" fontId="10" fillId="0" borderId="1" xfId="0" applyFont="1" applyBorder="1" applyAlignment="1">
      <alignment horizontal="center"/>
    </xf>
    <xf numFmtId="0" fontId="10" fillId="0" borderId="8"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0" xfId="0" applyFont="1" applyAlignment="1">
      <alignment horizontal="center"/>
    </xf>
    <xf numFmtId="0" fontId="10" fillId="0" borderId="11" xfId="0" applyFont="1" applyBorder="1" applyAlignment="1">
      <alignment horizontal="center"/>
    </xf>
    <xf numFmtId="0" fontId="10" fillId="0" borderId="2" xfId="0" applyFont="1" applyBorder="1" applyAlignment="1">
      <alignment horizontal="right"/>
    </xf>
    <xf numFmtId="0" fontId="16" fillId="0" borderId="0" xfId="0" applyFont="1"/>
    <xf numFmtId="0" fontId="16" fillId="0" borderId="0" xfId="0" applyFont="1" applyBorder="1"/>
    <xf numFmtId="0" fontId="13" fillId="0" borderId="1" xfId="0" applyFont="1" applyBorder="1" applyAlignment="1">
      <alignment horizontal="left" indent="1"/>
    </xf>
    <xf numFmtId="0" fontId="10" fillId="0" borderId="1" xfId="0" applyFont="1" applyBorder="1" applyAlignment="1">
      <alignment horizontal="left" indent="1"/>
    </xf>
    <xf numFmtId="0" fontId="10" fillId="0" borderId="11" xfId="0" applyFont="1" applyBorder="1"/>
    <xf numFmtId="0" fontId="10" fillId="0" borderId="12" xfId="0" applyFont="1" applyBorder="1"/>
    <xf numFmtId="0" fontId="10" fillId="0" borderId="13" xfId="0" applyFont="1" applyBorder="1"/>
    <xf numFmtId="0" fontId="10" fillId="0" borderId="3" xfId="0" applyFont="1" applyBorder="1" applyAlignment="1"/>
    <xf numFmtId="0" fontId="10" fillId="0" borderId="14" xfId="0" applyFont="1" applyBorder="1" applyAlignment="1">
      <alignment horizontal="center"/>
    </xf>
    <xf numFmtId="0" fontId="10" fillId="0" borderId="14" xfId="0" applyFont="1" applyBorder="1" applyAlignment="1">
      <alignment horizontal="center" vertical="top"/>
    </xf>
    <xf numFmtId="171" fontId="10" fillId="0" borderId="14" xfId="1" applyFont="1" applyBorder="1" applyAlignment="1">
      <alignment horizontal="right" vertical="top"/>
    </xf>
    <xf numFmtId="171" fontId="10" fillId="0" borderId="14" xfId="1" applyFont="1" applyBorder="1" applyAlignment="1">
      <alignment horizontal="center" vertical="top"/>
    </xf>
    <xf numFmtId="0" fontId="10" fillId="0" borderId="0" xfId="0" applyFont="1" applyBorder="1" applyAlignment="1">
      <alignment horizontal="justify" vertical="top"/>
    </xf>
    <xf numFmtId="2" fontId="10" fillId="0" borderId="14" xfId="0" applyNumberFormat="1" applyFont="1" applyBorder="1" applyAlignment="1">
      <alignment horizontal="right" vertical="top"/>
    </xf>
    <xf numFmtId="9" fontId="10" fillId="0" borderId="3" xfId="0" applyNumberFormat="1" applyFont="1" applyBorder="1" applyAlignment="1">
      <alignment horizontal="center"/>
    </xf>
    <xf numFmtId="0" fontId="10" fillId="0" borderId="15" xfId="0" applyFont="1" applyBorder="1" applyAlignment="1">
      <alignment horizontal="center"/>
    </xf>
    <xf numFmtId="0" fontId="12" fillId="0" borderId="3" xfId="0" applyFont="1" applyBorder="1" applyAlignment="1">
      <alignment horizontal="center"/>
    </xf>
    <xf numFmtId="0" fontId="10" fillId="0" borderId="16" xfId="0" applyFont="1" applyBorder="1" applyAlignment="1">
      <alignment horizontal="center"/>
    </xf>
    <xf numFmtId="0" fontId="10" fillId="0" borderId="14" xfId="0" applyFont="1" applyBorder="1"/>
    <xf numFmtId="9" fontId="10" fillId="0" borderId="14" xfId="0" applyNumberFormat="1" applyFont="1" applyBorder="1"/>
    <xf numFmtId="217" fontId="10" fillId="0" borderId="14" xfId="0" applyNumberFormat="1" applyFont="1" applyBorder="1"/>
    <xf numFmtId="2" fontId="10" fillId="0" borderId="14" xfId="0" applyNumberFormat="1" applyFont="1" applyBorder="1"/>
    <xf numFmtId="2" fontId="10" fillId="0" borderId="11" xfId="0" applyNumberFormat="1" applyFont="1" applyBorder="1"/>
    <xf numFmtId="2" fontId="10" fillId="0" borderId="8" xfId="0" applyNumberFormat="1" applyFont="1" applyBorder="1"/>
    <xf numFmtId="0" fontId="10" fillId="0" borderId="17" xfId="0" applyFont="1" applyBorder="1" applyAlignment="1">
      <alignment horizontal="center"/>
    </xf>
    <xf numFmtId="0" fontId="10" fillId="0" borderId="0" xfId="0" applyFont="1" applyBorder="1" applyAlignment="1">
      <alignment horizontal="left" indent="1"/>
    </xf>
    <xf numFmtId="171" fontId="17" fillId="0" borderId="3" xfId="1" applyFont="1" applyBorder="1" applyAlignment="1"/>
    <xf numFmtId="0" fontId="12" fillId="0" borderId="15"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3" xfId="0" applyFont="1" applyBorder="1" applyAlignment="1">
      <alignment vertical="center"/>
    </xf>
    <xf numFmtId="0" fontId="10" fillId="0" borderId="11" xfId="0" applyFont="1" applyBorder="1" applyAlignment="1">
      <alignment vertical="center"/>
    </xf>
    <xf numFmtId="0" fontId="10" fillId="0" borderId="3" xfId="0" applyFont="1" applyBorder="1" applyAlignment="1">
      <alignment horizontal="center" vertical="center" wrapText="1"/>
    </xf>
    <xf numFmtId="0" fontId="10" fillId="0" borderId="17" xfId="0" applyFont="1" applyBorder="1"/>
    <xf numFmtId="0" fontId="10" fillId="0" borderId="21" xfId="0" applyFont="1" applyBorder="1"/>
    <xf numFmtId="0" fontId="11" fillId="0" borderId="21" xfId="0" applyFont="1" applyBorder="1"/>
    <xf numFmtId="0" fontId="11" fillId="0" borderId="18" xfId="0" applyFont="1" applyBorder="1"/>
    <xf numFmtId="0" fontId="16" fillId="0" borderId="17" xfId="0" applyFont="1" applyBorder="1"/>
    <xf numFmtId="0" fontId="16" fillId="0" borderId="21" xfId="0" applyFont="1" applyBorder="1"/>
    <xf numFmtId="0" fontId="19" fillId="0" borderId="17" xfId="0" applyFont="1" applyBorder="1" applyAlignment="1">
      <alignment horizontal="left" indent="1"/>
    </xf>
    <xf numFmtId="0" fontId="16" fillId="0" borderId="17" xfId="0" applyFont="1" applyBorder="1" applyAlignment="1">
      <alignment horizontal="left" indent="1"/>
    </xf>
    <xf numFmtId="0" fontId="20" fillId="0" borderId="17" xfId="0" applyFont="1" applyBorder="1" applyAlignment="1">
      <alignment horizontal="left" indent="1"/>
    </xf>
    <xf numFmtId="0" fontId="16" fillId="0" borderId="17" xfId="0" applyFont="1" applyBorder="1" applyAlignment="1">
      <alignment horizontal="left" vertical="top" indent="1"/>
    </xf>
    <xf numFmtId="0" fontId="16" fillId="0" borderId="0" xfId="0" applyFont="1" applyBorder="1" applyAlignment="1">
      <alignment vertical="top"/>
    </xf>
    <xf numFmtId="0" fontId="17" fillId="0" borderId="17" xfId="0" applyFont="1" applyBorder="1" applyAlignment="1">
      <alignment horizontal="left" vertical="top" indent="1"/>
    </xf>
    <xf numFmtId="0" fontId="16" fillId="0" borderId="0" xfId="0" applyFont="1" applyBorder="1" applyAlignment="1">
      <alignment horizontal="left" vertical="top"/>
    </xf>
    <xf numFmtId="0" fontId="17" fillId="0" borderId="0" xfId="0" applyFont="1" applyBorder="1"/>
    <xf numFmtId="0" fontId="17" fillId="0" borderId="0" xfId="0" applyFont="1" applyBorder="1" applyAlignment="1">
      <alignment vertical="top"/>
    </xf>
    <xf numFmtId="0" fontId="16" fillId="0" borderId="17" xfId="0" applyFont="1" applyBorder="1" applyAlignment="1">
      <alignment vertical="top"/>
    </xf>
    <xf numFmtId="0" fontId="20" fillId="0" borderId="17" xfId="0" applyFont="1" applyBorder="1" applyAlignment="1">
      <alignment vertical="top"/>
    </xf>
    <xf numFmtId="0" fontId="17" fillId="0" borderId="17" xfId="0" applyFont="1" applyBorder="1" applyAlignment="1">
      <alignment horizontal="center" vertical="top"/>
    </xf>
    <xf numFmtId="0" fontId="16" fillId="0" borderId="18" xfId="0" applyFont="1" applyBorder="1"/>
    <xf numFmtId="0" fontId="16" fillId="0" borderId="19" xfId="0" applyFont="1" applyBorder="1"/>
    <xf numFmtId="0" fontId="16" fillId="0" borderId="19" xfId="0" applyFont="1" applyBorder="1" applyAlignment="1">
      <alignment vertical="top"/>
    </xf>
    <xf numFmtId="0" fontId="16" fillId="0" borderId="20" xfId="0" applyFont="1" applyBorder="1"/>
    <xf numFmtId="0" fontId="13" fillId="0" borderId="9" xfId="0" applyFont="1" applyBorder="1" applyAlignment="1">
      <alignment horizontal="right"/>
    </xf>
    <xf numFmtId="0" fontId="13" fillId="0" borderId="0" xfId="0" applyFont="1" applyBorder="1" applyAlignment="1">
      <alignment horizontal="right"/>
    </xf>
    <xf numFmtId="0" fontId="10" fillId="0" borderId="22" xfId="0" applyFont="1" applyBorder="1"/>
    <xf numFmtId="0" fontId="10" fillId="0" borderId="16" xfId="0" applyFont="1" applyBorder="1"/>
    <xf numFmtId="0" fontId="10" fillId="0" borderId="23" xfId="0" applyFont="1" applyBorder="1"/>
    <xf numFmtId="2" fontId="10" fillId="0" borderId="16" xfId="0" applyNumberFormat="1" applyFont="1" applyBorder="1"/>
    <xf numFmtId="2" fontId="10" fillId="0" borderId="23" xfId="0" applyNumberFormat="1" applyFont="1" applyBorder="1"/>
    <xf numFmtId="1" fontId="10" fillId="0" borderId="16" xfId="0" applyNumberFormat="1" applyFont="1" applyBorder="1"/>
    <xf numFmtId="9" fontId="10" fillId="0" borderId="0" xfId="0" applyNumberFormat="1" applyFont="1"/>
    <xf numFmtId="0" fontId="10" fillId="0" borderId="24" xfId="0" applyFont="1" applyBorder="1"/>
    <xf numFmtId="2" fontId="10" fillId="0" borderId="14" xfId="0" applyNumberFormat="1" applyFont="1" applyBorder="1" applyAlignment="1"/>
    <xf numFmtId="1" fontId="10" fillId="0" borderId="14" xfId="0" applyNumberFormat="1" applyFont="1" applyBorder="1"/>
    <xf numFmtId="1" fontId="10" fillId="0" borderId="14" xfId="0" applyNumberFormat="1" applyFont="1" applyBorder="1" applyAlignment="1"/>
    <xf numFmtId="2" fontId="10" fillId="0" borderId="25" xfId="0" applyNumberFormat="1" applyFont="1" applyBorder="1"/>
    <xf numFmtId="0" fontId="10" fillId="0" borderId="15" xfId="0" applyFont="1" applyBorder="1"/>
    <xf numFmtId="2" fontId="10" fillId="0" borderId="26" xfId="0" applyNumberFormat="1" applyFont="1" applyBorder="1"/>
    <xf numFmtId="0" fontId="10" fillId="0" borderId="27" xfId="0" applyFont="1" applyBorder="1"/>
    <xf numFmtId="0" fontId="10" fillId="0" borderId="6" xfId="0" applyFont="1" applyBorder="1" applyAlignment="1">
      <alignment horizontal="justify" vertical="top"/>
    </xf>
    <xf numFmtId="1" fontId="10" fillId="0" borderId="6" xfId="0" applyNumberFormat="1" applyFont="1" applyBorder="1"/>
    <xf numFmtId="2" fontId="10" fillId="0" borderId="28" xfId="0" applyNumberFormat="1" applyFont="1" applyBorder="1"/>
    <xf numFmtId="0" fontId="10" fillId="0" borderId="16" xfId="0" applyFont="1" applyBorder="1" applyAlignment="1">
      <alignment horizontal="justify" vertical="justify"/>
    </xf>
    <xf numFmtId="1" fontId="10" fillId="0" borderId="3" xfId="0" applyNumberFormat="1" applyFont="1" applyBorder="1"/>
    <xf numFmtId="2" fontId="10" fillId="0" borderId="3" xfId="0" applyNumberFormat="1" applyFont="1" applyBorder="1"/>
    <xf numFmtId="0" fontId="10" fillId="0" borderId="3" xfId="0" applyFont="1" applyBorder="1" applyAlignment="1">
      <alignment horizontal="justify" vertical="top"/>
    </xf>
    <xf numFmtId="0" fontId="13" fillId="0" borderId="19" xfId="0" applyFont="1" applyBorder="1" applyAlignment="1"/>
    <xf numFmtId="0" fontId="13" fillId="0" borderId="19" xfId="0" applyFont="1" applyBorder="1" applyAlignment="1">
      <alignment horizontal="right"/>
    </xf>
    <xf numFmtId="2" fontId="10" fillId="0" borderId="0" xfId="0" applyNumberFormat="1" applyFont="1" applyBorder="1"/>
    <xf numFmtId="0" fontId="10" fillId="0" borderId="29" xfId="0" applyFont="1" applyBorder="1"/>
    <xf numFmtId="0" fontId="10" fillId="0" borderId="20" xfId="0" applyFont="1" applyBorder="1"/>
    <xf numFmtId="2" fontId="10" fillId="0" borderId="15" xfId="0" applyNumberFormat="1" applyFont="1" applyBorder="1"/>
    <xf numFmtId="0" fontId="10" fillId="0" borderId="30" xfId="0" applyFont="1" applyBorder="1"/>
    <xf numFmtId="0" fontId="10" fillId="0" borderId="31" xfId="0" applyFont="1" applyBorder="1"/>
    <xf numFmtId="0" fontId="10" fillId="0" borderId="31" xfId="0" applyFont="1" applyBorder="1" applyAlignment="1">
      <alignment horizontal="center"/>
    </xf>
    <xf numFmtId="0" fontId="10" fillId="0" borderId="32" xfId="0" applyFont="1" applyBorder="1"/>
    <xf numFmtId="171" fontId="10" fillId="0" borderId="32" xfId="1" applyFont="1" applyBorder="1"/>
    <xf numFmtId="171" fontId="10" fillId="0" borderId="32" xfId="1" applyFont="1" applyBorder="1" applyAlignment="1">
      <alignment horizontal="center"/>
    </xf>
    <xf numFmtId="0" fontId="10" fillId="0" borderId="33" xfId="0" applyFont="1" applyBorder="1"/>
    <xf numFmtId="2" fontId="10" fillId="0" borderId="31" xfId="0" applyNumberFormat="1" applyFont="1" applyBorder="1"/>
    <xf numFmtId="0" fontId="10" fillId="0" borderId="32" xfId="0" applyFont="1" applyBorder="1" applyAlignment="1">
      <alignment horizontal="center"/>
    </xf>
    <xf numFmtId="2" fontId="10" fillId="0" borderId="32" xfId="0" applyNumberFormat="1" applyFont="1" applyBorder="1"/>
    <xf numFmtId="0" fontId="10" fillId="0" borderId="33" xfId="0" applyFont="1" applyBorder="1" applyAlignment="1">
      <alignment horizontal="center"/>
    </xf>
    <xf numFmtId="2" fontId="10" fillId="0" borderId="33" xfId="0" applyNumberFormat="1" applyFont="1" applyBorder="1"/>
    <xf numFmtId="2" fontId="10" fillId="0" borderId="21" xfId="0" applyNumberFormat="1" applyFont="1" applyBorder="1"/>
    <xf numFmtId="0" fontId="10" fillId="0" borderId="18" xfId="0" applyFont="1" applyBorder="1"/>
    <xf numFmtId="0" fontId="10" fillId="0" borderId="19" xfId="0" applyFont="1" applyBorder="1"/>
    <xf numFmtId="2" fontId="10" fillId="0" borderId="20" xfId="0" applyNumberFormat="1" applyFont="1" applyBorder="1"/>
    <xf numFmtId="0" fontId="10" fillId="0" borderId="31" xfId="0" applyFont="1" applyBorder="1" applyAlignment="1">
      <alignment horizontal="justify" vertical="top"/>
    </xf>
    <xf numFmtId="1" fontId="10" fillId="0" borderId="31" xfId="0" applyNumberFormat="1" applyFont="1" applyBorder="1"/>
    <xf numFmtId="0" fontId="13" fillId="0" borderId="0" xfId="0" applyFont="1" applyBorder="1" applyAlignment="1"/>
    <xf numFmtId="0" fontId="18" fillId="0" borderId="0" xfId="0" applyFont="1" applyBorder="1" applyAlignment="1">
      <alignment horizontal="left" vertical="top"/>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0" fontId="10" fillId="0" borderId="0" xfId="0" applyFont="1" applyBorder="1" applyAlignment="1">
      <alignment horizontal="right" vertical="top"/>
    </xf>
    <xf numFmtId="0" fontId="10" fillId="0" borderId="34" xfId="0" applyFont="1" applyBorder="1"/>
    <xf numFmtId="0" fontId="10" fillId="0" borderId="35" xfId="0" applyFont="1" applyBorder="1"/>
    <xf numFmtId="0" fontId="10" fillId="0" borderId="35" xfId="0" applyFont="1" applyBorder="1" applyAlignment="1">
      <alignment horizontal="right" vertical="top"/>
    </xf>
    <xf numFmtId="0" fontId="10" fillId="0" borderId="29" xfId="0" applyFont="1" applyBorder="1" applyAlignment="1">
      <alignment horizontal="right" vertical="top"/>
    </xf>
    <xf numFmtId="0" fontId="10" fillId="0" borderId="21" xfId="0" applyFont="1" applyBorder="1" applyAlignment="1">
      <alignment horizontal="right" vertical="top"/>
    </xf>
    <xf numFmtId="0" fontId="11" fillId="0" borderId="17" xfId="0" applyFont="1" applyBorder="1" applyAlignment="1">
      <alignment horizontal="center" vertical="top"/>
    </xf>
    <xf numFmtId="0" fontId="11" fillId="0" borderId="36"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38" xfId="0" applyFont="1" applyBorder="1" applyAlignment="1">
      <alignment horizontal="center" vertical="top"/>
    </xf>
    <xf numFmtId="0" fontId="11" fillId="0" borderId="39" xfId="0" applyFont="1" applyBorder="1" applyAlignment="1">
      <alignment horizontal="left" vertical="top" indent="1"/>
    </xf>
    <xf numFmtId="0" fontId="11" fillId="0" borderId="39" xfId="0" applyFont="1" applyBorder="1" applyAlignment="1">
      <alignment horizontal="center" vertical="top"/>
    </xf>
    <xf numFmtId="0" fontId="12" fillId="0" borderId="38" xfId="0" applyFont="1" applyBorder="1" applyAlignment="1">
      <alignment horizontal="center" vertical="top"/>
    </xf>
    <xf numFmtId="0" fontId="12" fillId="0" borderId="39" xfId="0" applyFont="1" applyBorder="1" applyAlignment="1">
      <alignment horizontal="center" vertical="top"/>
    </xf>
    <xf numFmtId="0" fontId="11" fillId="0" borderId="39" xfId="0" applyFont="1" applyBorder="1" applyAlignment="1">
      <alignment vertical="top"/>
    </xf>
    <xf numFmtId="0" fontId="12" fillId="0" borderId="39" xfId="0" applyFont="1" applyBorder="1" applyAlignment="1">
      <alignment horizontal="center"/>
    </xf>
    <xf numFmtId="0" fontId="12" fillId="0" borderId="40" xfId="0" applyFont="1" applyBorder="1" applyAlignment="1">
      <alignment horizontal="center"/>
    </xf>
    <xf numFmtId="0" fontId="12" fillId="0" borderId="41" xfId="0" applyFont="1" applyBorder="1" applyAlignment="1">
      <alignment horizontal="center" vertical="top"/>
    </xf>
    <xf numFmtId="0" fontId="18" fillId="0" borderId="42" xfId="0" applyFont="1" applyBorder="1" applyAlignment="1">
      <alignment vertical="top"/>
    </xf>
    <xf numFmtId="0" fontId="11" fillId="0" borderId="42" xfId="0" applyFont="1" applyBorder="1" applyAlignment="1">
      <alignment vertical="top"/>
    </xf>
    <xf numFmtId="0" fontId="11" fillId="0" borderId="42" xfId="0" applyFont="1" applyBorder="1" applyAlignment="1">
      <alignment horizontal="center" vertical="top"/>
    </xf>
    <xf numFmtId="0" fontId="11" fillId="0" borderId="42" xfId="0" applyFont="1" applyBorder="1" applyAlignment="1">
      <alignment horizontal="center"/>
    </xf>
    <xf numFmtId="0" fontId="11" fillId="0" borderId="43" xfId="0" applyFont="1" applyBorder="1" applyAlignment="1">
      <alignment horizontal="center"/>
    </xf>
    <xf numFmtId="0" fontId="12" fillId="0" borderId="3" xfId="0" applyFont="1" applyBorder="1"/>
    <xf numFmtId="2" fontId="11" fillId="0" borderId="3" xfId="0" applyNumberFormat="1" applyFont="1" applyBorder="1"/>
    <xf numFmtId="0" fontId="16" fillId="0" borderId="0" xfId="0" applyFont="1" applyBorder="1" applyAlignment="1">
      <alignment horizontal="left" indent="1"/>
    </xf>
    <xf numFmtId="0" fontId="11" fillId="0" borderId="44" xfId="0" applyFont="1" applyBorder="1" applyAlignment="1">
      <alignment horizontal="center" vertical="center" wrapText="1"/>
    </xf>
    <xf numFmtId="0" fontId="11" fillId="0" borderId="36" xfId="0" applyFont="1" applyBorder="1" applyAlignment="1">
      <alignment horizontal="center" vertical="center"/>
    </xf>
    <xf numFmtId="0" fontId="11" fillId="0" borderId="1" xfId="0" applyFont="1" applyBorder="1" applyAlignment="1">
      <alignment vertical="top" wrapText="1"/>
    </xf>
    <xf numFmtId="0" fontId="11" fillId="0" borderId="8" xfId="0" applyFont="1" applyBorder="1" applyAlignment="1">
      <alignment vertical="top" wrapText="1"/>
    </xf>
    <xf numFmtId="0" fontId="11" fillId="0" borderId="1" xfId="0" applyFont="1" applyBorder="1" applyAlignment="1">
      <alignment horizontal="center" vertical="top" wrapText="1"/>
    </xf>
    <xf numFmtId="0" fontId="11" fillId="0" borderId="8" xfId="0" applyFont="1" applyBorder="1" applyAlignment="1">
      <alignment horizontal="center"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11" fillId="0" borderId="1" xfId="0" applyFont="1" applyBorder="1" applyAlignment="1">
      <alignment horizontal="right" vertical="top" wrapText="1"/>
    </xf>
    <xf numFmtId="0" fontId="11" fillId="0" borderId="8" xfId="0" applyFont="1" applyBorder="1" applyAlignment="1">
      <alignment horizontal="right" vertical="top" wrapText="1"/>
    </xf>
    <xf numFmtId="9" fontId="10" fillId="0" borderId="0" xfId="0" applyNumberFormat="1" applyFont="1" applyBorder="1"/>
    <xf numFmtId="0" fontId="13" fillId="0" borderId="34" xfId="0" applyFont="1" applyBorder="1" applyAlignment="1">
      <alignment horizontal="right"/>
    </xf>
    <xf numFmtId="0" fontId="13" fillId="0" borderId="35" xfId="0" applyFont="1" applyBorder="1" applyAlignment="1">
      <alignment horizontal="right"/>
    </xf>
    <xf numFmtId="0" fontId="13" fillId="0" borderId="29" xfId="0" applyFont="1" applyBorder="1" applyAlignment="1">
      <alignment horizontal="left"/>
    </xf>
    <xf numFmtId="0" fontId="11" fillId="0" borderId="3" xfId="0" applyFont="1" applyBorder="1" applyAlignment="1">
      <alignment vertical="top" wrapText="1"/>
    </xf>
    <xf numFmtId="0" fontId="12" fillId="0" borderId="1" xfId="0" applyFont="1" applyBorder="1" applyAlignment="1">
      <alignment vertical="top" wrapText="1"/>
    </xf>
    <xf numFmtId="0" fontId="12" fillId="0" borderId="3" xfId="0" applyFont="1" applyBorder="1" applyAlignment="1">
      <alignment vertical="top" wrapText="1"/>
    </xf>
    <xf numFmtId="9" fontId="10" fillId="0" borderId="21" xfId="0" applyNumberFormat="1" applyFont="1" applyBorder="1"/>
    <xf numFmtId="0" fontId="11" fillId="0" borderId="11" xfId="0" applyFont="1" applyBorder="1" applyAlignment="1">
      <alignment vertical="top" wrapText="1"/>
    </xf>
    <xf numFmtId="0" fontId="11" fillId="0" borderId="11" xfId="0" applyFont="1" applyBorder="1" applyAlignment="1">
      <alignment horizontal="center" vertical="top" wrapText="1"/>
    </xf>
    <xf numFmtId="9" fontId="10" fillId="0" borderId="3" xfId="0" applyNumberFormat="1" applyFont="1" applyBorder="1"/>
    <xf numFmtId="0" fontId="13" fillId="0" borderId="29" xfId="0" applyFont="1" applyBorder="1" applyAlignment="1">
      <alignment horizontal="right"/>
    </xf>
    <xf numFmtId="0" fontId="10" fillId="0" borderId="15" xfId="0" applyFont="1" applyBorder="1" applyAlignment="1">
      <alignment horizontal="center" vertical="center"/>
    </xf>
    <xf numFmtId="0" fontId="10" fillId="0" borderId="36" xfId="0" applyFont="1" applyBorder="1" applyAlignment="1">
      <alignment horizontal="left"/>
    </xf>
    <xf numFmtId="2" fontId="10" fillId="0" borderId="36" xfId="0" applyNumberFormat="1" applyFont="1" applyBorder="1"/>
    <xf numFmtId="0" fontId="10" fillId="0" borderId="41" xfId="0" applyFont="1" applyBorder="1" applyAlignment="1">
      <alignment horizontal="center" vertical="center"/>
    </xf>
    <xf numFmtId="0" fontId="10" fillId="0" borderId="42" xfId="0" applyFont="1" applyBorder="1" applyAlignment="1">
      <alignment horizontal="left"/>
    </xf>
    <xf numFmtId="2" fontId="10" fillId="0" borderId="42" xfId="0" applyNumberFormat="1" applyFont="1" applyBorder="1"/>
    <xf numFmtId="2" fontId="10" fillId="0" borderId="43" xfId="0" applyNumberFormat="1" applyFont="1" applyBorder="1" applyAlignment="1">
      <alignment horizontal="center" vertical="center"/>
    </xf>
    <xf numFmtId="2" fontId="11" fillId="0" borderId="21" xfId="0" applyNumberFormat="1" applyFont="1" applyBorder="1"/>
    <xf numFmtId="0" fontId="12" fillId="0" borderId="9" xfId="0" applyFont="1" applyBorder="1" applyAlignment="1">
      <alignment vertical="center"/>
    </xf>
    <xf numFmtId="0" fontId="10"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4" fontId="10" fillId="0" borderId="0" xfId="0" applyNumberFormat="1" applyFont="1" applyAlignment="1">
      <alignment vertical="center"/>
    </xf>
    <xf numFmtId="0" fontId="12" fillId="0" borderId="0" xfId="0" applyFont="1" applyAlignment="1">
      <alignment horizontal="justify" vertical="center"/>
    </xf>
    <xf numFmtId="2" fontId="12" fillId="0" borderId="0" xfId="0" applyNumberFormat="1" applyFont="1" applyAlignment="1">
      <alignment horizontal="right" vertical="center"/>
    </xf>
    <xf numFmtId="2" fontId="10" fillId="0" borderId="0" xfId="0" applyNumberFormat="1" applyFont="1" applyAlignment="1">
      <alignment vertical="center"/>
    </xf>
    <xf numFmtId="0" fontId="12" fillId="0" borderId="0" xfId="0" applyFont="1" applyAlignment="1">
      <alignment horizontal="right" vertical="center"/>
    </xf>
    <xf numFmtId="219" fontId="12" fillId="0" borderId="0" xfId="0" applyNumberFormat="1" applyFont="1" applyAlignment="1">
      <alignment vertical="center"/>
    </xf>
    <xf numFmtId="10" fontId="12" fillId="0" borderId="0" xfId="0" applyNumberFormat="1" applyFont="1" applyAlignment="1">
      <alignment horizontal="right" vertical="center"/>
    </xf>
    <xf numFmtId="0" fontId="13" fillId="0" borderId="45" xfId="0" applyFont="1" applyBorder="1" applyAlignment="1">
      <alignment horizontal="left" vertical="center"/>
    </xf>
    <xf numFmtId="0" fontId="10" fillId="0" borderId="46" xfId="0" applyFont="1" applyBorder="1" applyAlignment="1">
      <alignment horizontal="right" vertical="center"/>
    </xf>
    <xf numFmtId="0" fontId="13" fillId="0" borderId="46" xfId="0" applyFont="1" applyBorder="1" applyAlignment="1">
      <alignment horizontal="right" vertical="center"/>
    </xf>
    <xf numFmtId="0" fontId="10" fillId="0" borderId="47" xfId="0" applyFont="1" applyBorder="1" applyAlignment="1">
      <alignment horizontal="right" vertical="center"/>
    </xf>
    <xf numFmtId="1" fontId="12" fillId="0" borderId="0" xfId="0" applyNumberFormat="1" applyFont="1" applyAlignment="1">
      <alignment horizontal="right" vertical="center"/>
    </xf>
    <xf numFmtId="0" fontId="10" fillId="0" borderId="0" xfId="0" applyFont="1" applyBorder="1" applyAlignment="1">
      <alignment vertical="center"/>
    </xf>
    <xf numFmtId="0" fontId="10" fillId="0" borderId="10" xfId="0" applyFont="1" applyBorder="1" applyAlignment="1">
      <alignment vertical="center"/>
    </xf>
    <xf numFmtId="0" fontId="10" fillId="0" borderId="9" xfId="0" applyFont="1" applyBorder="1" applyAlignment="1">
      <alignment vertical="center"/>
    </xf>
    <xf numFmtId="3" fontId="10" fillId="0" borderId="0" xfId="0" applyNumberFormat="1" applyFont="1" applyBorder="1" applyAlignment="1">
      <alignment vertical="center"/>
    </xf>
    <xf numFmtId="0" fontId="11" fillId="0" borderId="15" xfId="0" applyFont="1" applyBorder="1" applyAlignment="1">
      <alignment vertical="center"/>
    </xf>
    <xf numFmtId="0" fontId="11" fillId="0" borderId="3" xfId="0" applyFont="1" applyBorder="1" applyAlignment="1">
      <alignment vertical="center"/>
    </xf>
    <xf numFmtId="10" fontId="10" fillId="0" borderId="0" xfId="0" applyNumberFormat="1" applyFont="1" applyBorder="1" applyAlignment="1">
      <alignment vertical="center"/>
    </xf>
    <xf numFmtId="0" fontId="11" fillId="0" borderId="17" xfId="0" applyNumberFormat="1" applyFont="1" applyBorder="1" applyAlignment="1">
      <alignment vertical="center"/>
    </xf>
    <xf numFmtId="219" fontId="11" fillId="0" borderId="14" xfId="0" applyNumberFormat="1" applyFont="1" applyBorder="1" applyAlignment="1">
      <alignment vertical="center"/>
    </xf>
    <xf numFmtId="0" fontId="11" fillId="0" borderId="14" xfId="0" applyFont="1" applyBorder="1" applyAlignment="1">
      <alignment vertical="center"/>
    </xf>
    <xf numFmtId="2" fontId="11" fillId="0" borderId="21" xfId="0" applyNumberFormat="1" applyFont="1" applyBorder="1" applyAlignment="1">
      <alignment vertical="center"/>
    </xf>
    <xf numFmtId="2" fontId="11" fillId="0" borderId="14" xfId="0" applyNumberFormat="1" applyFont="1" applyBorder="1" applyAlignment="1">
      <alignment vertical="center"/>
    </xf>
    <xf numFmtId="0" fontId="10" fillId="0" borderId="16" xfId="0" applyFont="1" applyBorder="1" applyAlignment="1">
      <alignment vertical="center"/>
    </xf>
    <xf numFmtId="0" fontId="10" fillId="0" borderId="3" xfId="0" applyFont="1" applyBorder="1" applyAlignment="1">
      <alignment horizontal="center" vertical="center"/>
    </xf>
    <xf numFmtId="0" fontId="10" fillId="0" borderId="26" xfId="0" applyFont="1" applyBorder="1" applyAlignment="1">
      <alignment horizontal="center" vertical="center"/>
    </xf>
    <xf numFmtId="0" fontId="10" fillId="0" borderId="4" xfId="0" applyFont="1" applyBorder="1" applyAlignment="1">
      <alignment horizontal="center" vertical="center"/>
    </xf>
    <xf numFmtId="2" fontId="10" fillId="0" borderId="3" xfId="0" applyNumberFormat="1" applyFont="1" applyBorder="1" applyAlignment="1">
      <alignment horizontal="center" vertical="center"/>
    </xf>
    <xf numFmtId="0" fontId="18" fillId="0" borderId="14" xfId="0" applyFont="1" applyBorder="1" applyAlignment="1">
      <alignment vertical="center"/>
    </xf>
    <xf numFmtId="2" fontId="18" fillId="0" borderId="14" xfId="0" applyNumberFormat="1" applyFont="1" applyBorder="1" applyAlignment="1">
      <alignment vertical="center"/>
    </xf>
    <xf numFmtId="0" fontId="11" fillId="0" borderId="48" xfId="0" applyNumberFormat="1" applyFont="1" applyBorder="1" applyAlignment="1">
      <alignment vertical="center"/>
    </xf>
    <xf numFmtId="219" fontId="11" fillId="0" borderId="49" xfId="0" applyNumberFormat="1" applyFont="1" applyBorder="1" applyAlignment="1">
      <alignment vertical="center"/>
    </xf>
    <xf numFmtId="0" fontId="18" fillId="0" borderId="49" xfId="0" applyFont="1" applyBorder="1" applyAlignment="1">
      <alignment vertical="center"/>
    </xf>
    <xf numFmtId="2" fontId="11" fillId="0" borderId="50" xfId="0" applyNumberFormat="1" applyFont="1" applyBorder="1" applyAlignment="1">
      <alignment vertical="center"/>
    </xf>
    <xf numFmtId="2" fontId="11" fillId="0" borderId="49" xfId="0" applyNumberFormat="1" applyFont="1" applyBorder="1" applyAlignment="1">
      <alignment vertical="center"/>
    </xf>
    <xf numFmtId="2" fontId="10" fillId="0" borderId="0" xfId="0" applyNumberFormat="1" applyFont="1" applyBorder="1" applyAlignment="1">
      <alignment vertical="center"/>
    </xf>
    <xf numFmtId="0" fontId="11" fillId="0" borderId="49" xfId="0" applyFont="1" applyBorder="1" applyAlignment="1">
      <alignment vertical="center"/>
    </xf>
    <xf numFmtId="0" fontId="10" fillId="0" borderId="0" xfId="0" applyFont="1" applyBorder="1" applyAlignment="1">
      <alignment horizontal="right" vertical="center"/>
    </xf>
    <xf numFmtId="0" fontId="11" fillId="0" borderId="16" xfId="0" applyFont="1" applyBorder="1" applyAlignment="1">
      <alignment horizontal="center" vertical="center"/>
    </xf>
    <xf numFmtId="0" fontId="11" fillId="0" borderId="16" xfId="0" applyFont="1" applyBorder="1" applyAlignment="1">
      <alignment horizontal="center" vertical="center" wrapText="1"/>
    </xf>
    <xf numFmtId="0" fontId="12" fillId="0" borderId="0" xfId="0" applyFont="1" applyBorder="1" applyAlignment="1">
      <alignment vertical="center"/>
    </xf>
    <xf numFmtId="0" fontId="10" fillId="0" borderId="38" xfId="0" applyFont="1" applyBorder="1" applyAlignment="1">
      <alignment horizontal="center" vertical="center"/>
    </xf>
    <xf numFmtId="2" fontId="10" fillId="0" borderId="40" xfId="0" applyNumberFormat="1" applyFont="1" applyBorder="1" applyAlignment="1">
      <alignment horizontal="center" vertical="center"/>
    </xf>
    <xf numFmtId="0" fontId="10" fillId="0" borderId="51" xfId="0" applyFont="1" applyBorder="1" applyAlignment="1">
      <alignment horizontal="center" vertical="center"/>
    </xf>
    <xf numFmtId="2" fontId="10" fillId="0" borderId="52" xfId="0" applyNumberFormat="1" applyFont="1" applyBorder="1" applyAlignment="1">
      <alignment horizontal="center" vertical="center"/>
    </xf>
    <xf numFmtId="2" fontId="10" fillId="0" borderId="43" xfId="0" applyNumberFormat="1" applyFont="1" applyBorder="1" applyAlignment="1">
      <alignment vertical="center"/>
    </xf>
    <xf numFmtId="2" fontId="10" fillId="0" borderId="53" xfId="0" applyNumberFormat="1" applyFont="1" applyBorder="1"/>
    <xf numFmtId="10" fontId="10" fillId="0" borderId="3" xfId="0" applyNumberFormat="1" applyFont="1" applyBorder="1"/>
    <xf numFmtId="2" fontId="23" fillId="0" borderId="3" xfId="0" applyNumberFormat="1" applyFont="1" applyBorder="1"/>
    <xf numFmtId="181" fontId="10" fillId="0" borderId="3" xfId="0" applyNumberFormat="1" applyFont="1" applyBorder="1"/>
    <xf numFmtId="2" fontId="13" fillId="0" borderId="3" xfId="0" applyNumberFormat="1" applyFont="1" applyBorder="1"/>
    <xf numFmtId="2" fontId="24" fillId="0" borderId="3" xfId="0" applyNumberFormat="1" applyFont="1" applyBorder="1"/>
    <xf numFmtId="0" fontId="10" fillId="0" borderId="3" xfId="0" applyFont="1" applyBorder="1" applyAlignment="1">
      <alignment horizontal="left" indent="1"/>
    </xf>
    <xf numFmtId="9" fontId="10" fillId="0" borderId="3" xfId="2" applyFont="1" applyBorder="1" applyAlignment="1">
      <alignment horizontal="left" indent="1"/>
    </xf>
    <xf numFmtId="0" fontId="13" fillId="0" borderId="3" xfId="0" applyFont="1" applyBorder="1" applyAlignment="1">
      <alignment horizontal="left" indent="1"/>
    </xf>
    <xf numFmtId="0" fontId="10" fillId="0" borderId="0" xfId="0" applyFont="1" applyBorder="1" applyAlignment="1">
      <alignment horizontal="right"/>
    </xf>
    <xf numFmtId="0" fontId="13" fillId="0" borderId="0" xfId="0" applyFont="1" applyBorder="1" applyAlignment="1">
      <alignment horizontal="left"/>
    </xf>
    <xf numFmtId="0" fontId="12" fillId="0" borderId="0" xfId="0" applyFont="1" applyBorder="1" applyAlignment="1"/>
    <xf numFmtId="0" fontId="13" fillId="0" borderId="0" xfId="0" applyFont="1" applyBorder="1"/>
    <xf numFmtId="2" fontId="13" fillId="0" borderId="0" xfId="0" applyNumberFormat="1" applyFont="1"/>
    <xf numFmtId="2" fontId="13" fillId="0" borderId="0" xfId="0" applyNumberFormat="1" applyFont="1" applyFill="1" applyBorder="1"/>
    <xf numFmtId="0" fontId="13" fillId="0" borderId="0" xfId="0" applyFont="1" applyFill="1" applyBorder="1" applyAlignment="1">
      <alignment horizontal="left"/>
    </xf>
    <xf numFmtId="9" fontId="10" fillId="0" borderId="0" xfId="0" applyNumberFormat="1" applyFont="1" applyFill="1" applyBorder="1" applyAlignment="1" applyProtection="1">
      <alignment horizontal="left"/>
      <protection locked="0"/>
    </xf>
    <xf numFmtId="2" fontId="10" fillId="0" borderId="0" xfId="0" applyNumberFormat="1" applyFont="1" applyFill="1" applyBorder="1" applyAlignment="1"/>
    <xf numFmtId="0" fontId="10" fillId="0" borderId="0" xfId="0" applyFont="1" applyFill="1" applyBorder="1" applyAlignment="1">
      <alignment horizontal="left"/>
    </xf>
    <xf numFmtId="9" fontId="10" fillId="0" borderId="0" xfId="0" applyNumberFormat="1" applyFont="1" applyFill="1" applyBorder="1" applyAlignment="1" applyProtection="1">
      <alignment horizontal="left"/>
    </xf>
    <xf numFmtId="171" fontId="10" fillId="0" borderId="0" xfId="1" quotePrefix="1" applyFont="1" applyFill="1" applyBorder="1" applyAlignment="1"/>
    <xf numFmtId="9" fontId="10" fillId="0" borderId="0" xfId="0" applyNumberFormat="1" applyFont="1" applyFill="1" applyBorder="1" applyAlignment="1">
      <alignment horizontal="left"/>
    </xf>
    <xf numFmtId="171" fontId="10" fillId="0" borderId="0" xfId="1" applyFont="1" applyFill="1" applyBorder="1" applyAlignment="1"/>
    <xf numFmtId="171" fontId="13" fillId="0" borderId="0" xfId="1" quotePrefix="1" applyFont="1" applyFill="1" applyBorder="1" applyAlignment="1"/>
    <xf numFmtId="218" fontId="10" fillId="0" borderId="0" xfId="0" applyNumberFormat="1" applyFont="1" applyFill="1" applyBorder="1" applyAlignment="1" applyProtection="1">
      <alignment horizontal="left"/>
    </xf>
    <xf numFmtId="9" fontId="10" fillId="0" borderId="0" xfId="0" quotePrefix="1" applyNumberFormat="1" applyFont="1" applyFill="1" applyBorder="1" applyAlignment="1"/>
    <xf numFmtId="218" fontId="10" fillId="0" borderId="0" xfId="0" applyNumberFormat="1" applyFont="1" applyFill="1" applyBorder="1" applyAlignment="1" applyProtection="1">
      <alignment horizontal="left"/>
      <protection locked="0"/>
    </xf>
    <xf numFmtId="171" fontId="10" fillId="0" borderId="0" xfId="0" quotePrefix="1" applyNumberFormat="1" applyFont="1" applyFill="1" applyBorder="1" applyAlignment="1"/>
    <xf numFmtId="2" fontId="10" fillId="0" borderId="0" xfId="0" applyNumberFormat="1" applyFont="1" applyFill="1" applyBorder="1" applyAlignment="1">
      <alignment horizontal="center"/>
    </xf>
    <xf numFmtId="0" fontId="15" fillId="0" borderId="18" xfId="0" applyFont="1" applyBorder="1"/>
    <xf numFmtId="0" fontId="15" fillId="0" borderId="19" xfId="0" applyFont="1" applyBorder="1"/>
    <xf numFmtId="0" fontId="15" fillId="0" borderId="20" xfId="0" applyFont="1" applyBorder="1"/>
    <xf numFmtId="0" fontId="11" fillId="0" borderId="44" xfId="0" applyFont="1" applyBorder="1" applyAlignment="1">
      <alignment horizontal="center"/>
    </xf>
    <xf numFmtId="0" fontId="11" fillId="0" borderId="36" xfId="0" applyFont="1" applyBorder="1"/>
    <xf numFmtId="0" fontId="11" fillId="0" borderId="37" xfId="0" applyFont="1" applyBorder="1"/>
    <xf numFmtId="0" fontId="11" fillId="0" borderId="38" xfId="0" applyFont="1" applyBorder="1" applyAlignment="1">
      <alignment horizontal="center"/>
    </xf>
    <xf numFmtId="0" fontId="11" fillId="0" borderId="39" xfId="0" applyFont="1" applyBorder="1"/>
    <xf numFmtId="2" fontId="11" fillId="0" borderId="39" xfId="0" applyNumberFormat="1" applyFont="1" applyBorder="1"/>
    <xf numFmtId="2" fontId="11" fillId="0" borderId="40" xfId="0" applyNumberFormat="1" applyFont="1" applyBorder="1"/>
    <xf numFmtId="0" fontId="11" fillId="0" borderId="40" xfId="0" applyFont="1" applyBorder="1"/>
    <xf numFmtId="0" fontId="11" fillId="0" borderId="38" xfId="0" applyFont="1" applyBorder="1"/>
    <xf numFmtId="0" fontId="11" fillId="0" borderId="41" xfId="0" applyFont="1" applyBorder="1"/>
    <xf numFmtId="0" fontId="11" fillId="0" borderId="36" xfId="0" applyFont="1" applyBorder="1" applyAlignment="1">
      <alignment horizontal="left" indent="1"/>
    </xf>
    <xf numFmtId="0" fontId="11" fillId="0" borderId="39" xfId="0" applyFont="1" applyBorder="1" applyAlignment="1">
      <alignment horizontal="left" indent="1"/>
    </xf>
    <xf numFmtId="2" fontId="11" fillId="0" borderId="39" xfId="0" applyNumberFormat="1" applyFont="1" applyBorder="1" applyAlignment="1">
      <alignment horizontal="left" indent="1"/>
    </xf>
    <xf numFmtId="0" fontId="11" fillId="0" borderId="42" xfId="0" applyFont="1" applyBorder="1" applyAlignment="1">
      <alignment horizontal="left" indent="1"/>
    </xf>
    <xf numFmtId="0" fontId="11" fillId="0" borderId="19" xfId="0" applyFont="1" applyBorder="1" applyAlignment="1">
      <alignment horizontal="left" indent="1"/>
    </xf>
    <xf numFmtId="2" fontId="12" fillId="0" borderId="42" xfId="0" applyNumberFormat="1" applyFont="1" applyBorder="1"/>
    <xf numFmtId="2" fontId="12" fillId="0" borderId="43" xfId="0" applyNumberFormat="1" applyFont="1" applyBorder="1"/>
    <xf numFmtId="0" fontId="12" fillId="0" borderId="42" xfId="0" applyFont="1" applyBorder="1" applyAlignment="1">
      <alignment horizontal="center"/>
    </xf>
    <xf numFmtId="0" fontId="12" fillId="0" borderId="43" xfId="0" applyFont="1" applyBorder="1" applyAlignment="1">
      <alignment horizontal="center"/>
    </xf>
    <xf numFmtId="2" fontId="11" fillId="0" borderId="0" xfId="0" applyNumberFormat="1" applyFont="1" applyBorder="1" applyAlignment="1">
      <alignment horizontal="left"/>
    </xf>
    <xf numFmtId="0" fontId="13" fillId="0" borderId="29" xfId="0" applyFont="1" applyBorder="1"/>
    <xf numFmtId="0" fontId="13" fillId="0" borderId="21" xfId="0" applyFont="1" applyBorder="1"/>
    <xf numFmtId="0" fontId="11" fillId="0" borderId="17" xfId="0" applyFont="1" applyBorder="1"/>
    <xf numFmtId="0" fontId="11" fillId="0" borderId="31" xfId="0" applyFont="1" applyBorder="1" applyAlignment="1">
      <alignment horizontal="center"/>
    </xf>
    <xf numFmtId="2" fontId="11" fillId="0" borderId="31" xfId="0" applyNumberFormat="1" applyFont="1" applyBorder="1" applyAlignment="1">
      <alignment horizontal="center"/>
    </xf>
    <xf numFmtId="0" fontId="11" fillId="0" borderId="32" xfId="0" applyFont="1" applyBorder="1" applyAlignment="1">
      <alignment horizontal="center"/>
    </xf>
    <xf numFmtId="2" fontId="11" fillId="0" borderId="32" xfId="0" applyNumberFormat="1" applyFont="1" applyBorder="1" applyAlignment="1">
      <alignment horizontal="center"/>
    </xf>
    <xf numFmtId="0" fontId="11" fillId="0" borderId="33" xfId="0" applyFont="1" applyBorder="1"/>
    <xf numFmtId="2" fontId="11" fillId="0" borderId="33" xfId="0" applyNumberFormat="1" applyFont="1" applyBorder="1"/>
    <xf numFmtId="0" fontId="10" fillId="0" borderId="8" xfId="0" applyFont="1" applyBorder="1" applyAlignment="1">
      <alignment horizontal="center" vertical="center"/>
    </xf>
    <xf numFmtId="0" fontId="13" fillId="0" borderId="31" xfId="0" applyFont="1" applyBorder="1"/>
    <xf numFmtId="0" fontId="10" fillId="0" borderId="54" xfId="0" applyFont="1" applyBorder="1"/>
    <xf numFmtId="0" fontId="10" fillId="0" borderId="53" xfId="0" applyFont="1" applyBorder="1"/>
    <xf numFmtId="0" fontId="10" fillId="0" borderId="32" xfId="0" applyFont="1" applyBorder="1" applyAlignment="1">
      <alignment horizontal="center" vertical="center"/>
    </xf>
    <xf numFmtId="0" fontId="13" fillId="0" borderId="32" xfId="0" applyFont="1" applyBorder="1"/>
    <xf numFmtId="2" fontId="13" fillId="0" borderId="32" xfId="0" applyNumberFormat="1" applyFont="1" applyBorder="1"/>
    <xf numFmtId="0" fontId="10" fillId="0" borderId="55" xfId="0" applyFont="1" applyBorder="1" applyAlignment="1">
      <alignment horizontal="center"/>
    </xf>
    <xf numFmtId="2" fontId="10" fillId="0" borderId="55" xfId="0" applyNumberFormat="1" applyFont="1" applyBorder="1"/>
    <xf numFmtId="2" fontId="10" fillId="0" borderId="56" xfId="0" applyNumberFormat="1" applyFont="1" applyBorder="1"/>
    <xf numFmtId="0" fontId="10" fillId="0" borderId="57" xfId="0" applyFont="1" applyBorder="1" applyAlignment="1">
      <alignment horizontal="center"/>
    </xf>
    <xf numFmtId="2" fontId="10" fillId="0" borderId="57" xfId="0" applyNumberFormat="1" applyFont="1" applyBorder="1"/>
    <xf numFmtId="2" fontId="10" fillId="0" borderId="58" xfId="0" applyNumberFormat="1" applyFont="1" applyBorder="1"/>
    <xf numFmtId="0" fontId="10" fillId="0" borderId="32" xfId="0" applyFont="1" applyBorder="1" applyAlignment="1">
      <alignment horizontal="left" indent="1"/>
    </xf>
    <xf numFmtId="0" fontId="10" fillId="0" borderId="32" xfId="0" applyFont="1" applyBorder="1" applyAlignment="1">
      <alignment horizontal="left" vertical="justify" indent="1"/>
    </xf>
    <xf numFmtId="0" fontId="10" fillId="0" borderId="55" xfId="0" applyFont="1" applyBorder="1" applyAlignment="1">
      <alignment horizontal="left" indent="1"/>
    </xf>
    <xf numFmtId="0" fontId="10" fillId="0" borderId="57" xfId="0" applyFont="1" applyBorder="1" applyAlignment="1">
      <alignment horizontal="left" indent="1"/>
    </xf>
    <xf numFmtId="0" fontId="10" fillId="0" borderId="33" xfId="0" applyFont="1" applyBorder="1" applyAlignment="1">
      <alignment horizontal="left" indent="1"/>
    </xf>
    <xf numFmtId="0" fontId="13" fillId="0" borderId="57" xfId="0" applyFont="1" applyBorder="1" applyAlignment="1">
      <alignment horizontal="left"/>
    </xf>
    <xf numFmtId="0" fontId="13" fillId="0" borderId="35" xfId="0" applyFont="1" applyBorder="1" applyAlignment="1">
      <alignment vertical="top"/>
    </xf>
    <xf numFmtId="0" fontId="13" fillId="0" borderId="29" xfId="0" applyFont="1" applyBorder="1" applyAlignment="1">
      <alignment vertical="top"/>
    </xf>
    <xf numFmtId="0" fontId="13" fillId="0" borderId="11" xfId="0" applyFont="1" applyBorder="1"/>
    <xf numFmtId="2" fontId="13" fillId="0" borderId="33" xfId="0" applyNumberFormat="1" applyFont="1" applyBorder="1"/>
    <xf numFmtId="0" fontId="10" fillId="0" borderId="31" xfId="0" applyFont="1" applyBorder="1" applyAlignment="1">
      <alignment horizontal="left" indent="1"/>
    </xf>
    <xf numFmtId="0" fontId="13" fillId="0" borderId="33" xfId="0" applyFont="1" applyBorder="1" applyAlignment="1">
      <alignment horizontal="center"/>
    </xf>
    <xf numFmtId="0" fontId="13" fillId="0" borderId="33" xfId="0" applyFont="1" applyBorder="1" applyAlignment="1">
      <alignment horizontal="left" indent="1"/>
    </xf>
    <xf numFmtId="173" fontId="10" fillId="0" borderId="34" xfId="0" applyNumberFormat="1" applyFont="1" applyBorder="1"/>
    <xf numFmtId="0" fontId="10" fillId="0" borderId="32" xfId="0" applyFont="1" applyBorder="1" applyAlignment="1">
      <alignment horizontal="left" indent="2"/>
    </xf>
    <xf numFmtId="2" fontId="13" fillId="0" borderId="11" xfId="0" applyNumberFormat="1" applyFont="1" applyBorder="1"/>
    <xf numFmtId="0" fontId="12" fillId="0" borderId="31" xfId="0" applyFont="1" applyBorder="1"/>
    <xf numFmtId="0" fontId="13" fillId="0" borderId="32" xfId="0" applyFont="1" applyBorder="1" applyAlignment="1">
      <alignment horizontal="left" indent="1"/>
    </xf>
    <xf numFmtId="0" fontId="13" fillId="0" borderId="33" xfId="0" applyFont="1" applyBorder="1"/>
    <xf numFmtId="1" fontId="25" fillId="0" borderId="0" xfId="0" applyNumberFormat="1"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Alignment="1">
      <alignment vertical="center"/>
    </xf>
    <xf numFmtId="1" fontId="30" fillId="0" borderId="0" xfId="0" applyNumberFormat="1" applyFont="1" applyFill="1" applyBorder="1" applyAlignment="1">
      <alignment horizontal="center" vertical="center"/>
    </xf>
    <xf numFmtId="0" fontId="31" fillId="0" borderId="0" xfId="0" applyFont="1" applyFill="1" applyBorder="1" applyAlignment="1">
      <alignment vertical="center"/>
    </xf>
    <xf numFmtId="0" fontId="31" fillId="0" borderId="0" xfId="0" applyFont="1" applyFill="1" applyAlignment="1">
      <alignmen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2" fontId="10" fillId="0" borderId="0" xfId="0" applyNumberFormat="1" applyFont="1" applyFill="1" applyBorder="1" applyAlignment="1">
      <alignment vertical="center"/>
    </xf>
    <xf numFmtId="0" fontId="10" fillId="0" borderId="59" xfId="0" applyFont="1" applyFill="1" applyBorder="1" applyAlignment="1">
      <alignment horizontal="left" vertical="center"/>
    </xf>
    <xf numFmtId="2" fontId="10" fillId="0" borderId="59" xfId="0" applyNumberFormat="1" applyFont="1" applyFill="1" applyBorder="1" applyAlignment="1">
      <alignment vertical="center"/>
    </xf>
    <xf numFmtId="0" fontId="10" fillId="0" borderId="59" xfId="0" applyFont="1" applyFill="1" applyBorder="1" applyAlignment="1">
      <alignment vertical="center"/>
    </xf>
    <xf numFmtId="2" fontId="10" fillId="0" borderId="15" xfId="0" applyNumberFormat="1" applyFont="1" applyFill="1" applyBorder="1" applyAlignment="1" applyProtection="1">
      <alignment horizontal="center" vertical="center"/>
      <protection locked="0"/>
    </xf>
    <xf numFmtId="2" fontId="10" fillId="0" borderId="0" xfId="0" applyNumberFormat="1" applyFont="1" applyFill="1" applyBorder="1" applyAlignment="1" applyProtection="1">
      <alignment horizontal="center" vertical="center"/>
      <protection locked="0"/>
    </xf>
    <xf numFmtId="1" fontId="10" fillId="0" borderId="17" xfId="0" applyNumberFormat="1" applyFont="1" applyFill="1" applyBorder="1" applyAlignment="1">
      <alignment horizontal="center" vertical="center"/>
    </xf>
    <xf numFmtId="1" fontId="10" fillId="0" borderId="0" xfId="0" applyNumberFormat="1" applyFont="1" applyFill="1" applyBorder="1" applyAlignment="1" applyProtection="1">
      <alignment horizontal="center" vertical="center"/>
      <protection locked="0"/>
    </xf>
    <xf numFmtId="1" fontId="10" fillId="0" borderId="14" xfId="0" applyNumberFormat="1" applyFont="1" applyFill="1" applyBorder="1" applyAlignment="1">
      <alignment horizontal="center" vertical="center"/>
    </xf>
    <xf numFmtId="0" fontId="13" fillId="0" borderId="0" xfId="0" applyFont="1" applyFill="1" applyBorder="1" applyAlignment="1">
      <alignment horizontal="left" vertical="center"/>
    </xf>
    <xf numFmtId="0" fontId="10" fillId="0" borderId="21" xfId="0" applyFont="1" applyFill="1" applyBorder="1" applyAlignment="1">
      <alignment horizontal="left" vertical="center"/>
    </xf>
    <xf numFmtId="1" fontId="10" fillId="0" borderId="14" xfId="0" applyNumberFormat="1" applyFont="1" applyFill="1" applyBorder="1" applyAlignment="1" applyProtection="1">
      <alignment vertical="center"/>
      <protection hidden="1"/>
    </xf>
    <xf numFmtId="1" fontId="10" fillId="0" borderId="0" xfId="0" applyNumberFormat="1" applyFont="1" applyFill="1" applyBorder="1" applyAlignment="1" applyProtection="1">
      <alignment vertical="center"/>
      <protection hidden="1"/>
    </xf>
    <xf numFmtId="43" fontId="10" fillId="0" borderId="8" xfId="1" applyNumberFormat="1" applyFont="1" applyFill="1" applyBorder="1" applyAlignment="1" applyProtection="1">
      <alignment vertical="center"/>
    </xf>
    <xf numFmtId="43" fontId="10" fillId="0" borderId="0" xfId="1" applyNumberFormat="1" applyFont="1" applyFill="1" applyBorder="1" applyAlignment="1" applyProtection="1">
      <alignment vertical="center"/>
    </xf>
    <xf numFmtId="43" fontId="10" fillId="0" borderId="6" xfId="1" applyNumberFormat="1" applyFont="1" applyFill="1" applyBorder="1" applyAlignment="1" applyProtection="1">
      <alignment vertical="center"/>
      <protection locked="0"/>
    </xf>
    <xf numFmtId="43" fontId="10" fillId="0" borderId="0" xfId="1" applyNumberFormat="1" applyFont="1" applyFill="1" applyBorder="1" applyAlignment="1" applyProtection="1">
      <alignment vertical="center"/>
      <protection locked="0"/>
    </xf>
    <xf numFmtId="43" fontId="10" fillId="0" borderId="15" xfId="1" applyNumberFormat="1" applyFont="1" applyFill="1" applyBorder="1" applyAlignment="1">
      <alignment vertical="center"/>
    </xf>
    <xf numFmtId="43" fontId="10" fillId="0" borderId="0" xfId="1" applyNumberFormat="1" applyFont="1" applyFill="1" applyBorder="1" applyAlignment="1">
      <alignment vertical="center"/>
    </xf>
    <xf numFmtId="43" fontId="10" fillId="0" borderId="13" xfId="1" applyNumberFormat="1" applyFont="1" applyFill="1" applyBorder="1" applyAlignment="1" applyProtection="1">
      <alignment vertical="center"/>
      <protection locked="0"/>
    </xf>
    <xf numFmtId="43" fontId="13" fillId="0" borderId="20" xfId="1" applyNumberFormat="1" applyFont="1" applyFill="1" applyBorder="1" applyAlignment="1">
      <alignment vertical="center"/>
    </xf>
    <xf numFmtId="43" fontId="13" fillId="0" borderId="0" xfId="1" applyNumberFormat="1" applyFont="1" applyFill="1" applyBorder="1" applyAlignment="1">
      <alignment vertical="center"/>
    </xf>
    <xf numFmtId="0" fontId="10" fillId="0" borderId="0" xfId="0" applyFont="1" applyFill="1" applyBorder="1" applyAlignment="1">
      <alignment horizontal="left" vertical="center" wrapText="1"/>
    </xf>
    <xf numFmtId="9" fontId="10" fillId="0" borderId="3" xfId="0" applyNumberFormat="1" applyFont="1" applyFill="1" applyBorder="1" applyAlignment="1">
      <alignment vertical="center"/>
    </xf>
    <xf numFmtId="9" fontId="10" fillId="0" borderId="0" xfId="0" applyNumberFormat="1" applyFont="1" applyFill="1" applyBorder="1" applyAlignment="1">
      <alignment vertical="center"/>
    </xf>
    <xf numFmtId="0" fontId="10" fillId="0" borderId="3" xfId="0" applyFont="1" applyFill="1" applyBorder="1" applyAlignment="1">
      <alignment vertical="center"/>
    </xf>
    <xf numFmtId="0" fontId="10" fillId="0" borderId="0" xfId="0" applyFont="1" applyFill="1" applyBorder="1" applyAlignment="1" applyProtection="1">
      <alignment vertical="center"/>
      <protection locked="0"/>
    </xf>
    <xf numFmtId="43" fontId="10" fillId="0" borderId="8" xfId="1" applyNumberFormat="1" applyFont="1" applyFill="1" applyBorder="1" applyAlignment="1" applyProtection="1">
      <alignment vertical="center"/>
      <protection locked="0"/>
    </xf>
    <xf numFmtId="43" fontId="10" fillId="0" borderId="0" xfId="0" applyNumberFormat="1" applyFont="1" applyFill="1" applyBorder="1" applyAlignment="1">
      <alignment vertical="center"/>
    </xf>
    <xf numFmtId="171" fontId="10" fillId="0" borderId="13" xfId="1" applyFont="1" applyFill="1" applyBorder="1" applyAlignment="1" applyProtection="1">
      <alignment vertical="center"/>
      <protection locked="0"/>
    </xf>
    <xf numFmtId="171" fontId="10" fillId="0" borderId="0" xfId="1" applyFont="1" applyFill="1" applyBorder="1" applyAlignment="1" applyProtection="1">
      <alignment vertical="center"/>
      <protection locked="0"/>
    </xf>
    <xf numFmtId="171" fontId="13" fillId="0" borderId="20" xfId="1" applyFont="1" applyFill="1" applyBorder="1" applyAlignment="1">
      <alignment vertical="center"/>
    </xf>
    <xf numFmtId="171" fontId="13" fillId="0" borderId="0" xfId="1" applyFont="1" applyFill="1" applyBorder="1" applyAlignment="1">
      <alignment vertical="center"/>
    </xf>
    <xf numFmtId="171" fontId="10" fillId="0" borderId="6" xfId="1" applyFont="1" applyFill="1" applyBorder="1" applyAlignment="1">
      <alignment vertical="center"/>
    </xf>
    <xf numFmtId="171" fontId="10" fillId="0" borderId="0" xfId="1" applyFont="1" applyFill="1" applyBorder="1" applyAlignment="1">
      <alignment vertical="center"/>
    </xf>
    <xf numFmtId="171" fontId="10" fillId="0" borderId="20" xfId="1" applyFont="1" applyFill="1" applyBorder="1" applyAlignment="1" applyProtection="1">
      <alignment vertical="center"/>
      <protection hidden="1"/>
    </xf>
    <xf numFmtId="171" fontId="10" fillId="0" borderId="0" xfId="1" applyFont="1" applyFill="1" applyBorder="1" applyAlignment="1" applyProtection="1">
      <alignment vertical="center"/>
      <protection hidden="1"/>
    </xf>
    <xf numFmtId="171" fontId="13" fillId="0" borderId="8" xfId="1" applyFont="1" applyFill="1" applyBorder="1" applyAlignment="1" applyProtection="1">
      <alignment vertical="center"/>
      <protection hidden="1"/>
    </xf>
    <xf numFmtId="171" fontId="13" fillId="0" borderId="0" xfId="1" applyFont="1" applyFill="1" applyBorder="1" applyAlignment="1" applyProtection="1">
      <alignment vertical="center"/>
      <protection hidden="1"/>
    </xf>
    <xf numFmtId="9" fontId="10" fillId="0" borderId="8" xfId="0" applyNumberFormat="1" applyFont="1" applyFill="1" applyBorder="1" applyAlignment="1" applyProtection="1">
      <alignment vertical="center"/>
      <protection hidden="1"/>
    </xf>
    <xf numFmtId="9" fontId="10" fillId="0" borderId="0" xfId="0" applyNumberFormat="1" applyFont="1" applyFill="1" applyBorder="1" applyAlignment="1" applyProtection="1">
      <alignment vertical="center"/>
      <protection hidden="1"/>
    </xf>
    <xf numFmtId="171" fontId="10" fillId="0" borderId="8" xfId="1" applyFont="1" applyFill="1" applyBorder="1" applyAlignment="1" applyProtection="1">
      <alignment vertical="center"/>
      <protection locked="0"/>
    </xf>
    <xf numFmtId="171" fontId="13" fillId="0" borderId="13" xfId="1" applyFont="1" applyFill="1" applyBorder="1" applyAlignment="1">
      <alignment vertical="center"/>
    </xf>
    <xf numFmtId="171" fontId="10" fillId="0" borderId="20" xfId="1" applyFont="1" applyFill="1" applyBorder="1" applyAlignment="1">
      <alignment vertical="center"/>
    </xf>
    <xf numFmtId="10" fontId="10" fillId="0" borderId="21" xfId="0" applyNumberFormat="1" applyFont="1" applyFill="1" applyBorder="1" applyAlignment="1" applyProtection="1">
      <alignment horizontal="left" vertical="center"/>
      <protection locked="0"/>
    </xf>
    <xf numFmtId="171" fontId="10" fillId="0" borderId="16" xfId="1" applyFont="1" applyFill="1" applyBorder="1" applyAlignment="1" applyProtection="1">
      <alignment vertical="center"/>
      <protection hidden="1"/>
    </xf>
    <xf numFmtId="171" fontId="10" fillId="0" borderId="6" xfId="1" applyFont="1" applyFill="1" applyBorder="1" applyAlignment="1" applyProtection="1">
      <alignment vertical="center"/>
      <protection hidden="1"/>
    </xf>
    <xf numFmtId="171" fontId="13" fillId="0" borderId="60" xfId="1" applyFont="1" applyFill="1" applyBorder="1" applyAlignment="1" applyProtection="1">
      <alignment vertical="center"/>
      <protection hidden="1"/>
    </xf>
    <xf numFmtId="171" fontId="10" fillId="0" borderId="3" xfId="1" applyFont="1" applyFill="1" applyBorder="1" applyAlignment="1">
      <alignment vertical="center"/>
    </xf>
    <xf numFmtId="171" fontId="10" fillId="0" borderId="3" xfId="1" applyFont="1" applyFill="1" applyBorder="1" applyAlignment="1" applyProtection="1">
      <alignment vertical="center"/>
      <protection locked="0"/>
    </xf>
    <xf numFmtId="171" fontId="10" fillId="0" borderId="6" xfId="1" applyFont="1" applyFill="1" applyBorder="1" applyAlignment="1" applyProtection="1">
      <alignment vertical="center"/>
      <protection locked="0"/>
    </xf>
    <xf numFmtId="171" fontId="10" fillId="0" borderId="15" xfId="1" applyFont="1" applyFill="1" applyBorder="1" applyAlignment="1">
      <alignment vertical="center"/>
    </xf>
    <xf numFmtId="171" fontId="10" fillId="0" borderId="61" xfId="1" applyFont="1" applyFill="1" applyBorder="1" applyAlignment="1">
      <alignment vertical="center"/>
    </xf>
    <xf numFmtId="171" fontId="13" fillId="0" borderId="21" xfId="1" applyFont="1" applyFill="1" applyBorder="1" applyAlignment="1">
      <alignment vertical="center"/>
    </xf>
    <xf numFmtId="43" fontId="10" fillId="0" borderId="13" xfId="0" applyNumberFormat="1" applyFont="1" applyFill="1" applyBorder="1" applyAlignment="1" applyProtection="1">
      <alignment vertical="center"/>
      <protection locked="0"/>
    </xf>
    <xf numFmtId="43" fontId="10" fillId="0" borderId="0" xfId="0" applyNumberFormat="1" applyFont="1" applyFill="1" applyBorder="1" applyAlignment="1" applyProtection="1">
      <alignment vertical="center"/>
      <protection locked="0"/>
    </xf>
    <xf numFmtId="171" fontId="10" fillId="0" borderId="8" xfId="1" applyFont="1" applyFill="1" applyBorder="1" applyAlignment="1">
      <alignment vertical="center"/>
    </xf>
    <xf numFmtId="10" fontId="10" fillId="0" borderId="3" xfId="0" quotePrefix="1" applyNumberFormat="1" applyFont="1" applyFill="1" applyBorder="1" applyAlignment="1">
      <alignment vertical="center"/>
    </xf>
    <xf numFmtId="10" fontId="10" fillId="0" borderId="0" xfId="0" quotePrefix="1" applyNumberFormat="1" applyFont="1" applyFill="1" applyBorder="1" applyAlignment="1">
      <alignment vertical="center"/>
    </xf>
    <xf numFmtId="1" fontId="10" fillId="0" borderId="15" xfId="0" applyNumberFormat="1" applyFont="1" applyFill="1" applyBorder="1" applyAlignment="1">
      <alignment horizontal="center" vertical="center"/>
    </xf>
    <xf numFmtId="0" fontId="10" fillId="0" borderId="19" xfId="0" applyFont="1" applyFill="1" applyBorder="1" applyAlignment="1">
      <alignment horizontal="left" vertical="center"/>
    </xf>
    <xf numFmtId="0" fontId="10" fillId="0" borderId="20" xfId="0" applyFont="1" applyFill="1" applyBorder="1" applyAlignment="1">
      <alignment horizontal="left" vertical="center"/>
    </xf>
    <xf numFmtId="1" fontId="10" fillId="0" borderId="0" xfId="0" applyNumberFormat="1" applyFont="1" applyFill="1" applyBorder="1" applyAlignment="1">
      <alignment horizontal="center" vertical="center"/>
    </xf>
    <xf numFmtId="0" fontId="10" fillId="0" borderId="62" xfId="0" applyFont="1" applyFill="1" applyBorder="1" applyAlignment="1">
      <alignment horizontal="left" vertical="center"/>
    </xf>
    <xf numFmtId="0" fontId="10" fillId="0" borderId="46" xfId="0" applyFont="1" applyFill="1" applyBorder="1" applyAlignment="1">
      <alignment horizontal="left" vertical="center"/>
    </xf>
    <xf numFmtId="0" fontId="10" fillId="0" borderId="63" xfId="0" applyFont="1" applyFill="1" applyBorder="1" applyAlignment="1" applyProtection="1">
      <alignment vertical="center"/>
      <protection locked="0"/>
    </xf>
    <xf numFmtId="0" fontId="10" fillId="0" borderId="17" xfId="0" applyFont="1" applyFill="1" applyBorder="1" applyAlignment="1">
      <alignment horizontal="left" vertical="center"/>
    </xf>
    <xf numFmtId="0" fontId="10" fillId="0" borderId="3" xfId="0" applyFont="1" applyFill="1" applyBorder="1" applyAlignment="1" applyProtection="1">
      <alignment vertical="center"/>
      <protection locked="0"/>
    </xf>
    <xf numFmtId="0" fontId="10" fillId="0" borderId="64" xfId="0" applyFont="1" applyFill="1" applyBorder="1" applyAlignment="1">
      <alignment horizontal="left" vertical="center"/>
    </xf>
    <xf numFmtId="0" fontId="10" fillId="0" borderId="6" xfId="0" applyFont="1" applyFill="1" applyBorder="1" applyAlignment="1" applyProtection="1">
      <alignment vertical="center"/>
      <protection locked="0"/>
    </xf>
    <xf numFmtId="0" fontId="25" fillId="0" borderId="0"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60" xfId="0" applyFont="1" applyFill="1" applyBorder="1" applyAlignment="1">
      <alignment horizontal="left" vertical="center"/>
    </xf>
    <xf numFmtId="0" fontId="10" fillId="0" borderId="6"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0" fontId="13" fillId="0" borderId="17" xfId="0" applyFont="1" applyFill="1" applyBorder="1" applyAlignment="1">
      <alignment horizontal="left" vertical="center"/>
    </xf>
    <xf numFmtId="0" fontId="10" fillId="0" borderId="15" xfId="0" applyFont="1" applyFill="1" applyBorder="1" applyAlignment="1">
      <alignment vertical="center"/>
    </xf>
    <xf numFmtId="0" fontId="10" fillId="0" borderId="17" xfId="0" applyFont="1" applyFill="1" applyBorder="1" applyAlignment="1">
      <alignment horizontal="left" vertical="center" wrapText="1"/>
    </xf>
    <xf numFmtId="171" fontId="13" fillId="0" borderId="3" xfId="1" applyFont="1" applyFill="1" applyBorder="1" applyAlignment="1">
      <alignment vertical="center"/>
    </xf>
    <xf numFmtId="171" fontId="13" fillId="0" borderId="8" xfId="1" applyFont="1" applyFill="1" applyBorder="1" applyAlignment="1">
      <alignment vertical="center"/>
    </xf>
    <xf numFmtId="171" fontId="13" fillId="0" borderId="65" xfId="1" applyFont="1" applyFill="1" applyBorder="1" applyAlignment="1">
      <alignment vertical="center"/>
    </xf>
    <xf numFmtId="171" fontId="13" fillId="0" borderId="15" xfId="1" applyFont="1" applyFill="1" applyBorder="1" applyAlignment="1">
      <alignment vertical="center"/>
    </xf>
    <xf numFmtId="171" fontId="10" fillId="0" borderId="0" xfId="1" applyFont="1" applyFill="1" applyAlignment="1">
      <alignment vertical="center"/>
    </xf>
    <xf numFmtId="0" fontId="13" fillId="0" borderId="18" xfId="0" applyFont="1" applyFill="1" applyBorder="1" applyAlignment="1">
      <alignment horizontal="left" vertical="center"/>
    </xf>
    <xf numFmtId="0" fontId="10" fillId="0" borderId="15" xfId="0" applyFont="1" applyFill="1" applyBorder="1" applyAlignment="1">
      <alignment horizontal="center" vertical="center"/>
    </xf>
    <xf numFmtId="171" fontId="10" fillId="0" borderId="3" xfId="1" applyFont="1" applyFill="1" applyBorder="1" applyAlignment="1" applyProtection="1">
      <alignment vertical="center"/>
      <protection hidden="1"/>
    </xf>
    <xf numFmtId="171" fontId="10" fillId="0" borderId="8" xfId="1" applyFont="1" applyFill="1" applyBorder="1" applyAlignment="1" applyProtection="1">
      <alignment vertical="center"/>
      <protection hidden="1"/>
    </xf>
    <xf numFmtId="171" fontId="10" fillId="0" borderId="1" xfId="1" applyFont="1" applyFill="1" applyBorder="1" applyAlignment="1">
      <alignment vertical="center"/>
    </xf>
    <xf numFmtId="0" fontId="10" fillId="0" borderId="14" xfId="0" applyFont="1" applyFill="1" applyBorder="1" applyAlignment="1">
      <alignment horizontal="center" vertical="center"/>
    </xf>
    <xf numFmtId="2" fontId="10" fillId="0" borderId="3" xfId="0" applyNumberFormat="1" applyFont="1" applyFill="1" applyBorder="1" applyAlignment="1" applyProtection="1">
      <alignment vertical="center"/>
      <protection locked="0"/>
    </xf>
    <xf numFmtId="0" fontId="10" fillId="0" borderId="17" xfId="0" applyFont="1" applyFill="1" applyBorder="1" applyAlignment="1">
      <alignment horizontal="center" vertical="center"/>
    </xf>
    <xf numFmtId="171" fontId="10" fillId="0" borderId="3" xfId="1" applyFont="1" applyFill="1" applyBorder="1" applyAlignment="1" applyProtection="1">
      <alignment vertical="center"/>
    </xf>
    <xf numFmtId="171" fontId="10" fillId="0" borderId="0" xfId="1" applyFont="1" applyFill="1" applyBorder="1" applyAlignment="1" applyProtection="1">
      <alignment vertical="center"/>
    </xf>
    <xf numFmtId="171" fontId="10" fillId="0" borderId="8" xfId="1" applyFont="1" applyFill="1" applyBorder="1" applyAlignment="1" applyProtection="1">
      <alignment vertical="center"/>
    </xf>
    <xf numFmtId="171" fontId="13" fillId="0" borderId="8" xfId="1" applyFont="1" applyFill="1" applyBorder="1" applyAlignment="1" applyProtection="1">
      <alignment vertical="center"/>
    </xf>
    <xf numFmtId="171" fontId="13" fillId="0" borderId="0" xfId="1" applyFont="1" applyFill="1" applyBorder="1" applyAlignment="1" applyProtection="1">
      <alignment vertical="center"/>
    </xf>
    <xf numFmtId="171" fontId="10" fillId="0" borderId="8" xfId="1" quotePrefix="1" applyFont="1" applyFill="1" applyBorder="1" applyAlignment="1">
      <alignment vertical="center"/>
    </xf>
    <xf numFmtId="171" fontId="10" fillId="0" borderId="0" xfId="1" quotePrefix="1" applyFont="1" applyFill="1" applyBorder="1" applyAlignment="1">
      <alignment vertical="center"/>
    </xf>
    <xf numFmtId="0" fontId="10" fillId="0" borderId="21" xfId="0" applyFont="1" applyFill="1" applyBorder="1" applyAlignment="1">
      <alignment horizontal="left" vertical="center" wrapText="1"/>
    </xf>
    <xf numFmtId="224" fontId="10" fillId="0" borderId="8" xfId="1" quotePrefix="1" applyNumberFormat="1" applyFont="1" applyFill="1" applyBorder="1" applyAlignment="1">
      <alignment vertical="center"/>
    </xf>
    <xf numFmtId="224" fontId="10" fillId="0" borderId="0" xfId="1" quotePrefix="1" applyNumberFormat="1" applyFont="1" applyFill="1" applyBorder="1" applyAlignment="1">
      <alignment vertical="center"/>
    </xf>
    <xf numFmtId="0" fontId="10" fillId="0" borderId="16" xfId="0" applyFont="1" applyFill="1" applyBorder="1" applyAlignment="1">
      <alignment vertical="center"/>
    </xf>
    <xf numFmtId="0" fontId="10" fillId="0" borderId="15" xfId="0" applyFont="1" applyFill="1" applyBorder="1" applyAlignment="1" applyProtection="1">
      <alignment vertical="center"/>
      <protection locked="0"/>
    </xf>
    <xf numFmtId="1" fontId="10" fillId="2" borderId="45" xfId="0" applyNumberFormat="1" applyFont="1" applyFill="1" applyBorder="1" applyAlignment="1">
      <alignment horizontal="center" vertical="center"/>
    </xf>
    <xf numFmtId="171" fontId="10" fillId="2" borderId="63" xfId="1" applyFont="1" applyFill="1" applyBorder="1" applyAlignment="1">
      <alignment vertical="center"/>
    </xf>
    <xf numFmtId="171" fontId="10" fillId="2" borderId="66" xfId="1" applyFont="1" applyFill="1" applyBorder="1" applyAlignment="1">
      <alignment vertical="center"/>
    </xf>
    <xf numFmtId="171" fontId="10" fillId="2" borderId="67" xfId="1" applyFont="1" applyFill="1" applyBorder="1" applyAlignment="1">
      <alignment vertical="center"/>
    </xf>
    <xf numFmtId="171" fontId="10" fillId="2" borderId="0" xfId="1" applyFont="1" applyFill="1" applyBorder="1" applyAlignment="1">
      <alignment vertical="center"/>
    </xf>
    <xf numFmtId="1" fontId="10" fillId="2" borderId="9" xfId="0" applyNumberFormat="1" applyFont="1" applyFill="1" applyBorder="1" applyAlignment="1">
      <alignment horizontal="center" vertical="center"/>
    </xf>
    <xf numFmtId="0" fontId="10" fillId="2" borderId="17" xfId="0" applyFont="1" applyFill="1" applyBorder="1" applyAlignment="1">
      <alignment horizontal="left" vertical="center"/>
    </xf>
    <xf numFmtId="0" fontId="10" fillId="2" borderId="21" xfId="0" applyFont="1" applyFill="1" applyBorder="1" applyAlignment="1">
      <alignment horizontal="left" vertical="center"/>
    </xf>
    <xf numFmtId="171" fontId="10" fillId="2" borderId="8" xfId="1" applyFont="1" applyFill="1" applyBorder="1" applyAlignment="1" applyProtection="1">
      <alignment vertical="center"/>
      <protection hidden="1"/>
    </xf>
    <xf numFmtId="171" fontId="10" fillId="2" borderId="0" xfId="1" applyFont="1" applyFill="1" applyBorder="1" applyAlignment="1" applyProtection="1">
      <alignment vertical="center"/>
      <protection hidden="1"/>
    </xf>
    <xf numFmtId="0" fontId="10" fillId="2" borderId="17" xfId="0" applyFont="1" applyFill="1" applyBorder="1" applyAlignment="1">
      <alignment horizontal="left" vertical="center" wrapText="1"/>
    </xf>
    <xf numFmtId="171" fontId="10" fillId="2" borderId="16" xfId="1" applyFont="1" applyFill="1" applyBorder="1" applyAlignment="1" applyProtection="1">
      <alignment vertical="center"/>
      <protection hidden="1"/>
    </xf>
    <xf numFmtId="171" fontId="10" fillId="2" borderId="23" xfId="1" applyFont="1" applyFill="1" applyBorder="1" applyAlignment="1" applyProtection="1">
      <alignment vertical="center"/>
      <protection hidden="1"/>
    </xf>
    <xf numFmtId="171" fontId="10" fillId="2" borderId="3" xfId="1" applyFont="1" applyFill="1" applyBorder="1" applyAlignment="1" applyProtection="1">
      <alignment vertical="center"/>
      <protection hidden="1"/>
    </xf>
    <xf numFmtId="171" fontId="10" fillId="2" borderId="4" xfId="1" applyFont="1" applyFill="1" applyBorder="1" applyAlignment="1" applyProtection="1">
      <alignment vertical="center"/>
      <protection hidden="1"/>
    </xf>
    <xf numFmtId="171" fontId="24" fillId="2" borderId="28" xfId="1" applyFont="1" applyFill="1" applyBorder="1" applyAlignment="1">
      <alignment vertical="center"/>
    </xf>
    <xf numFmtId="171" fontId="24" fillId="2" borderId="0" xfId="1" applyFont="1" applyFill="1" applyBorder="1" applyAlignment="1">
      <alignment vertical="center"/>
    </xf>
    <xf numFmtId="1" fontId="10" fillId="2" borderId="0" xfId="0" applyNumberFormat="1" applyFont="1" applyFill="1" applyBorder="1" applyAlignment="1">
      <alignment horizontal="center" vertical="center"/>
    </xf>
    <xf numFmtId="0" fontId="10" fillId="2" borderId="0" xfId="0" applyFont="1" applyFill="1" applyBorder="1" applyAlignment="1">
      <alignment horizontal="left" vertical="center"/>
    </xf>
    <xf numFmtId="0" fontId="10" fillId="2" borderId="0" xfId="0" applyFont="1" applyFill="1" applyBorder="1" applyAlignment="1">
      <alignment vertical="center"/>
    </xf>
    <xf numFmtId="0" fontId="27" fillId="2" borderId="0" xfId="0" applyFont="1" applyFill="1" applyBorder="1" applyAlignment="1">
      <alignment horizontal="left" vertical="center"/>
    </xf>
    <xf numFmtId="0" fontId="10" fillId="2" borderId="3" xfId="0" applyFont="1" applyFill="1" applyBorder="1" applyAlignment="1">
      <alignment vertical="center"/>
    </xf>
    <xf numFmtId="0" fontId="13" fillId="2" borderId="3" xfId="0" applyFont="1" applyFill="1" applyBorder="1" applyAlignment="1">
      <alignment horizontal="left" vertical="center"/>
    </xf>
    <xf numFmtId="171" fontId="13" fillId="2" borderId="3" xfId="1" applyFont="1" applyFill="1" applyBorder="1" applyAlignment="1">
      <alignment vertical="center"/>
    </xf>
    <xf numFmtId="171" fontId="13" fillId="2" borderId="0" xfId="1" applyFont="1" applyFill="1" applyBorder="1" applyAlignment="1">
      <alignment vertical="center"/>
    </xf>
    <xf numFmtId="0" fontId="10" fillId="2" borderId="0" xfId="0" applyFont="1" applyFill="1" applyBorder="1" applyAlignment="1">
      <alignment vertical="center" wrapText="1"/>
    </xf>
    <xf numFmtId="0" fontId="10" fillId="2" borderId="15" xfId="0" applyFont="1" applyFill="1" applyBorder="1" applyAlignment="1">
      <alignment vertical="center" wrapText="1"/>
    </xf>
    <xf numFmtId="2" fontId="10" fillId="2" borderId="3" xfId="0" applyNumberFormat="1" applyFont="1" applyFill="1" applyBorder="1" applyAlignment="1" applyProtection="1">
      <alignment vertical="center"/>
      <protection locked="0"/>
    </xf>
    <xf numFmtId="9" fontId="10" fillId="2" borderId="3" xfId="0" applyNumberFormat="1" applyFont="1" applyFill="1" applyBorder="1" applyAlignment="1">
      <alignment vertical="center"/>
    </xf>
    <xf numFmtId="9" fontId="10" fillId="2" borderId="0" xfId="0" applyNumberFormat="1" applyFont="1" applyFill="1" applyBorder="1" applyAlignment="1">
      <alignmen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2" fontId="10" fillId="2" borderId="0" xfId="0" applyNumberFormat="1" applyFont="1" applyFill="1" applyBorder="1" applyAlignment="1" applyProtection="1">
      <alignment vertical="center"/>
      <protection locked="0"/>
    </xf>
    <xf numFmtId="1" fontId="28" fillId="0" borderId="0" xfId="0" applyNumberFormat="1" applyFont="1" applyFill="1" applyBorder="1" applyAlignment="1">
      <alignment vertical="center"/>
    </xf>
    <xf numFmtId="224" fontId="10" fillId="0" borderId="8" xfId="1" applyNumberFormat="1" applyFont="1" applyFill="1" applyBorder="1" applyAlignment="1">
      <alignment vertical="center"/>
    </xf>
    <xf numFmtId="224" fontId="10" fillId="0" borderId="0" xfId="1" applyNumberFormat="1" applyFont="1" applyFill="1" applyBorder="1" applyAlignment="1">
      <alignment vertical="center"/>
    </xf>
    <xf numFmtId="0" fontId="10" fillId="0" borderId="8" xfId="0" applyFont="1" applyFill="1" applyBorder="1" applyAlignment="1">
      <alignment vertical="center"/>
    </xf>
    <xf numFmtId="10" fontId="10" fillId="0" borderId="8" xfId="0" applyNumberFormat="1" applyFont="1" applyFill="1" applyBorder="1" applyAlignment="1">
      <alignment vertical="center"/>
    </xf>
    <xf numFmtId="10" fontId="10" fillId="0" borderId="0" xfId="0" applyNumberFormat="1" applyFont="1" applyFill="1" applyBorder="1" applyAlignment="1">
      <alignment vertical="center"/>
    </xf>
    <xf numFmtId="10" fontId="10" fillId="0" borderId="29" xfId="0" applyNumberFormat="1" applyFont="1" applyFill="1" applyBorder="1" applyAlignment="1">
      <alignment vertical="center"/>
    </xf>
    <xf numFmtId="10" fontId="13" fillId="0" borderId="11" xfId="0" applyNumberFormat="1" applyFont="1" applyFill="1" applyBorder="1" applyAlignment="1" applyProtection="1">
      <alignment vertical="center"/>
      <protection hidden="1"/>
    </xf>
    <xf numFmtId="10" fontId="13" fillId="0" borderId="3" xfId="0" applyNumberFormat="1" applyFont="1" applyFill="1" applyBorder="1" applyAlignment="1" applyProtection="1">
      <alignment vertical="center"/>
      <protection hidden="1"/>
    </xf>
    <xf numFmtId="10" fontId="13" fillId="0" borderId="0" xfId="0" applyNumberFormat="1" applyFont="1" applyFill="1" applyBorder="1" applyAlignment="1" applyProtection="1">
      <alignment vertical="center"/>
      <protection hidden="1"/>
    </xf>
    <xf numFmtId="10" fontId="13" fillId="0" borderId="16" xfId="0" applyNumberFormat="1" applyFont="1" applyFill="1" applyBorder="1" applyAlignment="1" applyProtection="1">
      <alignment vertical="center"/>
      <protection hidden="1"/>
    </xf>
    <xf numFmtId="10" fontId="13" fillId="0" borderId="20" xfId="0" applyNumberFormat="1" applyFont="1" applyFill="1" applyBorder="1" applyAlignment="1" applyProtection="1">
      <alignment vertical="center"/>
      <protection hidden="1"/>
    </xf>
    <xf numFmtId="224" fontId="10" fillId="0" borderId="3" xfId="1" applyNumberFormat="1" applyFont="1" applyFill="1" applyBorder="1" applyAlignment="1" applyProtection="1">
      <alignment vertical="center"/>
      <protection hidden="1"/>
    </xf>
    <xf numFmtId="224" fontId="10" fillId="0" borderId="0" xfId="1" applyNumberFormat="1" applyFont="1" applyFill="1" applyBorder="1" applyAlignment="1" applyProtection="1">
      <alignment vertical="center"/>
      <protection hidden="1"/>
    </xf>
    <xf numFmtId="0" fontId="13" fillId="0" borderId="0" xfId="0" applyFont="1" applyFill="1" applyBorder="1" applyAlignment="1">
      <alignment vertical="center"/>
    </xf>
    <xf numFmtId="1" fontId="13" fillId="0" borderId="0" xfId="0" applyNumberFormat="1" applyFont="1" applyFill="1" applyBorder="1" applyAlignment="1">
      <alignment vertical="center"/>
    </xf>
    <xf numFmtId="2" fontId="10" fillId="0" borderId="3" xfId="0" applyNumberFormat="1" applyFont="1" applyFill="1" applyBorder="1" applyAlignment="1">
      <alignment vertical="center"/>
    </xf>
    <xf numFmtId="171" fontId="10" fillId="0" borderId="3" xfId="1" quotePrefix="1" applyFont="1" applyFill="1" applyBorder="1" applyAlignment="1">
      <alignment vertical="center"/>
    </xf>
    <xf numFmtId="171" fontId="10" fillId="0" borderId="6" xfId="1" quotePrefix="1" applyFont="1" applyFill="1" applyBorder="1" applyAlignment="1">
      <alignment vertical="center"/>
    </xf>
    <xf numFmtId="0" fontId="10" fillId="3" borderId="19" xfId="0" applyFont="1" applyFill="1" applyBorder="1" applyAlignment="1">
      <alignment horizontal="left" vertical="center"/>
    </xf>
    <xf numFmtId="171" fontId="10" fillId="3" borderId="3" xfId="1" applyFont="1" applyFill="1" applyBorder="1" applyAlignment="1">
      <alignment vertical="center"/>
    </xf>
    <xf numFmtId="0" fontId="29" fillId="0" borderId="0" xfId="0" applyFont="1" applyFill="1" applyBorder="1" applyAlignment="1">
      <alignment horizontal="left" vertical="center"/>
    </xf>
    <xf numFmtId="0" fontId="13" fillId="0" borderId="14" xfId="0" applyFont="1" applyFill="1" applyBorder="1" applyAlignment="1">
      <alignment horizontal="left" vertical="center"/>
    </xf>
    <xf numFmtId="0" fontId="10" fillId="0" borderId="14" xfId="0" applyFont="1" applyFill="1" applyBorder="1" applyAlignment="1">
      <alignment horizontal="left" vertical="center"/>
    </xf>
    <xf numFmtId="0" fontId="10" fillId="0" borderId="15" xfId="0" applyFont="1" applyFill="1" applyBorder="1" applyAlignment="1">
      <alignment horizontal="left" vertical="center"/>
    </xf>
    <xf numFmtId="2" fontId="10" fillId="0" borderId="15" xfId="0" applyNumberFormat="1" applyFont="1" applyFill="1" applyBorder="1" applyAlignment="1">
      <alignment vertical="center"/>
    </xf>
    <xf numFmtId="0" fontId="10" fillId="0" borderId="8" xfId="0" applyFont="1" applyFill="1" applyBorder="1" applyAlignment="1">
      <alignment horizontal="left" vertical="center"/>
    </xf>
    <xf numFmtId="171" fontId="13" fillId="0" borderId="3" xfId="1" quotePrefix="1" applyFont="1" applyFill="1" applyBorder="1" applyAlignment="1">
      <alignment vertical="center"/>
    </xf>
    <xf numFmtId="9" fontId="10" fillId="0" borderId="3" xfId="0" quotePrefix="1" applyNumberFormat="1" applyFont="1" applyFill="1" applyBorder="1" applyAlignment="1">
      <alignment vertical="center"/>
    </xf>
    <xf numFmtId="9" fontId="10" fillId="0" borderId="8" xfId="0" applyNumberFormat="1" applyFont="1" applyFill="1" applyBorder="1" applyAlignment="1" applyProtection="1">
      <alignment horizontal="left" vertical="center"/>
    </xf>
    <xf numFmtId="218" fontId="10" fillId="0" borderId="8" xfId="0" applyNumberFormat="1" applyFont="1" applyFill="1" applyBorder="1" applyAlignment="1" applyProtection="1">
      <alignment horizontal="left" vertical="center"/>
    </xf>
    <xf numFmtId="218" fontId="10" fillId="0" borderId="8" xfId="0" applyNumberFormat="1" applyFont="1" applyFill="1" applyBorder="1" applyAlignment="1" applyProtection="1">
      <alignment horizontal="left" vertical="center"/>
      <protection locked="0"/>
    </xf>
    <xf numFmtId="0" fontId="10" fillId="0" borderId="0" xfId="0" applyFont="1" applyFill="1" applyAlignment="1">
      <alignment horizontal="center" vertical="center"/>
    </xf>
    <xf numFmtId="0" fontId="13" fillId="0" borderId="0" xfId="0" quotePrefix="1" applyFont="1" applyFill="1" applyBorder="1" applyAlignment="1">
      <alignment horizontal="left" vertical="center"/>
    </xf>
    <xf numFmtId="0" fontId="10" fillId="0" borderId="59" xfId="0" applyFont="1" applyFill="1" applyBorder="1" applyAlignment="1">
      <alignment horizontal="center" vertical="center"/>
    </xf>
    <xf numFmtId="0" fontId="13" fillId="0" borderId="59" xfId="0" applyFont="1" applyFill="1" applyBorder="1" applyAlignment="1">
      <alignment horizontal="left" vertical="center"/>
    </xf>
    <xf numFmtId="2" fontId="13" fillId="0" borderId="59" xfId="0" applyNumberFormat="1" applyFont="1" applyFill="1" applyBorder="1" applyAlignment="1">
      <alignment vertical="center"/>
    </xf>
    <xf numFmtId="0" fontId="10" fillId="0" borderId="68" xfId="0" applyFont="1" applyFill="1" applyBorder="1" applyAlignment="1">
      <alignment horizontal="center" vertical="center"/>
    </xf>
    <xf numFmtId="2" fontId="10" fillId="0" borderId="15" xfId="0" applyNumberFormat="1" applyFont="1" applyFill="1" applyBorder="1" applyAlignment="1">
      <alignment horizontal="center" vertical="center"/>
    </xf>
    <xf numFmtId="2" fontId="10" fillId="0" borderId="0" xfId="0" applyNumberFormat="1" applyFont="1" applyFill="1" applyBorder="1" applyAlignment="1">
      <alignment horizontal="center" vertical="center"/>
    </xf>
    <xf numFmtId="0" fontId="10" fillId="0" borderId="64" xfId="0" applyFont="1" applyFill="1" applyBorder="1" applyAlignment="1">
      <alignment horizontal="center" vertical="center"/>
    </xf>
    <xf numFmtId="0" fontId="10" fillId="0" borderId="64" xfId="0" applyFont="1" applyFill="1" applyBorder="1" applyAlignment="1">
      <alignment vertical="center"/>
    </xf>
    <xf numFmtId="2" fontId="10" fillId="0" borderId="19" xfId="0" applyNumberFormat="1" applyFont="1" applyFill="1" applyBorder="1" applyAlignment="1">
      <alignment vertical="center"/>
    </xf>
    <xf numFmtId="9" fontId="10" fillId="0" borderId="8" xfId="0" quotePrefix="1" applyNumberFormat="1" applyFont="1" applyFill="1" applyBorder="1" applyAlignment="1">
      <alignment vertical="center"/>
    </xf>
    <xf numFmtId="9" fontId="10" fillId="0" borderId="0" xfId="0" quotePrefix="1" applyNumberFormat="1" applyFont="1" applyFill="1" applyBorder="1" applyAlignment="1">
      <alignment vertical="center"/>
    </xf>
    <xf numFmtId="10" fontId="10" fillId="0" borderId="8" xfId="0" quotePrefix="1" applyNumberFormat="1" applyFont="1" applyFill="1" applyBorder="1" applyAlignment="1">
      <alignment vertical="center"/>
    </xf>
    <xf numFmtId="224" fontId="10" fillId="0" borderId="3" xfId="1" applyNumberFormat="1" applyFont="1" applyFill="1" applyBorder="1" applyAlignment="1">
      <alignment vertical="center"/>
    </xf>
    <xf numFmtId="10" fontId="10" fillId="0" borderId="3" xfId="0" applyNumberFormat="1" applyFont="1" applyFill="1" applyBorder="1" applyAlignment="1">
      <alignment vertical="center"/>
    </xf>
    <xf numFmtId="10" fontId="10" fillId="0" borderId="16" xfId="0" applyNumberFormat="1" applyFont="1" applyFill="1" applyBorder="1" applyAlignment="1">
      <alignment vertical="center"/>
    </xf>
    <xf numFmtId="218" fontId="10" fillId="0" borderId="17" xfId="0" applyNumberFormat="1" applyFont="1" applyFill="1" applyBorder="1" applyAlignment="1">
      <alignment horizontal="center" vertical="center"/>
    </xf>
    <xf numFmtId="171" fontId="10" fillId="0" borderId="16" xfId="1" applyFont="1" applyFill="1" applyBorder="1" applyAlignment="1">
      <alignment vertical="center"/>
    </xf>
    <xf numFmtId="171" fontId="10" fillId="0" borderId="16" xfId="1" applyFont="1" applyFill="1" applyBorder="1" applyAlignment="1" applyProtection="1">
      <alignment vertical="center"/>
      <protection locked="0"/>
    </xf>
    <xf numFmtId="171" fontId="13" fillId="0" borderId="16" xfId="1" quotePrefix="1" applyFont="1" applyFill="1" applyBorder="1" applyAlignment="1">
      <alignment vertical="center"/>
    </xf>
    <xf numFmtId="171" fontId="13" fillId="0" borderId="0" xfId="1" quotePrefix="1" applyFont="1" applyFill="1" applyBorder="1" applyAlignment="1">
      <alignment vertical="center"/>
    </xf>
    <xf numFmtId="2" fontId="10" fillId="0" borderId="14" xfId="0" applyNumberFormat="1" applyFont="1" applyFill="1" applyBorder="1" applyAlignment="1">
      <alignment vertical="center"/>
    </xf>
    <xf numFmtId="9" fontId="10" fillId="0" borderId="14" xfId="0" applyNumberFormat="1" applyFont="1" applyFill="1" applyBorder="1" applyAlignment="1">
      <alignment vertical="center"/>
    </xf>
    <xf numFmtId="0" fontId="10" fillId="0" borderId="18" xfId="0" applyFont="1" applyFill="1" applyBorder="1" applyAlignment="1">
      <alignment horizontal="center" vertical="center"/>
    </xf>
    <xf numFmtId="0" fontId="10" fillId="0" borderId="18" xfId="0" applyFont="1" applyFill="1" applyBorder="1" applyAlignment="1">
      <alignment horizontal="left" vertical="center"/>
    </xf>
    <xf numFmtId="0" fontId="13" fillId="0" borderId="59" xfId="0" applyFont="1" applyFill="1" applyBorder="1" applyAlignment="1">
      <alignment horizontal="right" vertical="center"/>
    </xf>
    <xf numFmtId="0" fontId="10" fillId="0" borderId="60" xfId="0" applyFont="1" applyFill="1" applyBorder="1" applyAlignment="1">
      <alignment vertical="center"/>
    </xf>
    <xf numFmtId="171" fontId="10" fillId="0" borderId="15" xfId="1" applyFont="1" applyFill="1" applyBorder="1" applyAlignment="1">
      <alignment horizontal="right" vertical="center"/>
    </xf>
    <xf numFmtId="171" fontId="10" fillId="0" borderId="0" xfId="1" applyFont="1" applyFill="1" applyBorder="1" applyAlignment="1">
      <alignment horizontal="right" vertical="center"/>
    </xf>
    <xf numFmtId="171" fontId="10" fillId="0" borderId="3" xfId="1" applyFont="1" applyFill="1" applyBorder="1" applyAlignment="1">
      <alignment horizontal="right" vertical="center"/>
    </xf>
    <xf numFmtId="10" fontId="10" fillId="0" borderId="3" xfId="0" applyNumberFormat="1" applyFont="1" applyFill="1" applyBorder="1" applyAlignment="1">
      <alignment horizontal="right" vertical="center"/>
    </xf>
    <xf numFmtId="10" fontId="10" fillId="0" borderId="0" xfId="0" applyNumberFormat="1" applyFont="1" applyFill="1" applyBorder="1" applyAlignment="1">
      <alignment horizontal="right" vertical="center"/>
    </xf>
    <xf numFmtId="10" fontId="10" fillId="0" borderId="3" xfId="0" quotePrefix="1" applyNumberFormat="1" applyFont="1" applyFill="1" applyBorder="1" applyAlignment="1">
      <alignment horizontal="right" vertical="center"/>
    </xf>
    <xf numFmtId="10" fontId="10" fillId="0" borderId="0" xfId="0" quotePrefix="1" applyNumberFormat="1" applyFont="1" applyFill="1" applyBorder="1" applyAlignment="1">
      <alignment horizontal="right" vertical="center"/>
    </xf>
    <xf numFmtId="224" fontId="10" fillId="0" borderId="3" xfId="1" applyNumberFormat="1" applyFont="1" applyFill="1" applyBorder="1" applyAlignment="1">
      <alignment horizontal="right" vertical="center"/>
    </xf>
    <xf numFmtId="224" fontId="10" fillId="0" borderId="0" xfId="1" applyNumberFormat="1" applyFont="1" applyFill="1" applyBorder="1" applyAlignment="1">
      <alignment horizontal="right" vertical="center"/>
    </xf>
    <xf numFmtId="2" fontId="13" fillId="0" borderId="0" xfId="0" applyNumberFormat="1" applyFont="1" applyFill="1" applyBorder="1" applyAlignment="1" applyProtection="1">
      <alignment vertical="center"/>
      <protection locked="0"/>
    </xf>
    <xf numFmtId="1" fontId="10" fillId="0" borderId="34" xfId="0" applyNumberFormat="1" applyFont="1" applyFill="1" applyBorder="1" applyAlignment="1">
      <alignment horizontal="center" vertical="center"/>
    </xf>
    <xf numFmtId="0" fontId="10" fillId="0" borderId="34" xfId="0" applyFont="1" applyFill="1" applyBorder="1" applyAlignment="1">
      <alignment horizontal="left" vertical="center"/>
    </xf>
    <xf numFmtId="0" fontId="10" fillId="0" borderId="29" xfId="0" applyFont="1" applyFill="1" applyBorder="1" applyAlignment="1">
      <alignment horizontal="left" vertical="center"/>
    </xf>
    <xf numFmtId="2" fontId="10" fillId="0" borderId="3" xfId="0" applyNumberFormat="1" applyFont="1" applyFill="1" applyBorder="1" applyAlignment="1" applyProtection="1">
      <alignment horizontal="center" vertical="center"/>
      <protection locked="0"/>
    </xf>
    <xf numFmtId="1" fontId="10" fillId="0" borderId="18" xfId="0" applyNumberFormat="1" applyFont="1" applyFill="1" applyBorder="1" applyAlignment="1">
      <alignment horizontal="center" vertical="center"/>
    </xf>
    <xf numFmtId="1" fontId="10" fillId="0" borderId="3" xfId="0" applyNumberFormat="1" applyFont="1" applyFill="1" applyBorder="1" applyAlignment="1" applyProtection="1">
      <alignment horizontal="center" vertical="center"/>
      <protection locked="0"/>
    </xf>
    <xf numFmtId="1" fontId="10" fillId="0" borderId="31" xfId="0" applyNumberFormat="1" applyFont="1" applyFill="1" applyBorder="1" applyAlignment="1" applyProtection="1">
      <alignment vertical="center"/>
      <protection hidden="1"/>
    </xf>
    <xf numFmtId="1" fontId="10" fillId="0" borderId="30" xfId="0" applyNumberFormat="1" applyFont="1" applyFill="1" applyBorder="1" applyAlignment="1" applyProtection="1">
      <alignment vertical="center"/>
      <protection hidden="1"/>
    </xf>
    <xf numFmtId="1" fontId="10" fillId="0" borderId="54" xfId="0" applyNumberFormat="1" applyFont="1" applyFill="1" applyBorder="1" applyAlignment="1" applyProtection="1">
      <alignment vertical="center"/>
      <protection hidden="1"/>
    </xf>
    <xf numFmtId="43" fontId="10" fillId="0" borderId="32" xfId="1" applyNumberFormat="1" applyFont="1" applyFill="1" applyBorder="1" applyAlignment="1" applyProtection="1">
      <alignment vertical="center"/>
    </xf>
    <xf numFmtId="43" fontId="10" fillId="0" borderId="53" xfId="1" applyNumberFormat="1" applyFont="1" applyFill="1" applyBorder="1" applyAlignment="1" applyProtection="1">
      <alignment vertical="center"/>
    </xf>
    <xf numFmtId="43" fontId="10" fillId="0" borderId="32" xfId="1" applyNumberFormat="1" applyFont="1" applyFill="1" applyBorder="1" applyAlignment="1" applyProtection="1">
      <alignment vertical="center"/>
      <protection locked="0"/>
    </xf>
    <xf numFmtId="43" fontId="10" fillId="0" borderId="32" xfId="1" applyNumberFormat="1" applyFont="1" applyFill="1" applyBorder="1" applyAlignment="1">
      <alignment vertical="center"/>
    </xf>
    <xf numFmtId="43" fontId="10" fillId="0" borderId="53" xfId="1" applyNumberFormat="1" applyFont="1" applyFill="1" applyBorder="1" applyAlignment="1" applyProtection="1">
      <alignment vertical="center"/>
      <protection locked="0"/>
    </xf>
    <xf numFmtId="43" fontId="13" fillId="0" borderId="32" xfId="1" applyNumberFormat="1" applyFont="1" applyFill="1" applyBorder="1" applyAlignment="1">
      <alignment vertical="center"/>
    </xf>
    <xf numFmtId="43" fontId="13" fillId="0" borderId="53" xfId="1" applyNumberFormat="1" applyFont="1" applyFill="1" applyBorder="1" applyAlignment="1">
      <alignment vertical="center"/>
    </xf>
    <xf numFmtId="9" fontId="10" fillId="0" borderId="32" xfId="0" applyNumberFormat="1" applyFont="1" applyFill="1" applyBorder="1" applyAlignment="1">
      <alignment vertical="center"/>
    </xf>
    <xf numFmtId="0" fontId="10" fillId="0" borderId="32" xfId="0" applyFont="1" applyFill="1" applyBorder="1" applyAlignment="1">
      <alignment vertical="center"/>
    </xf>
    <xf numFmtId="171" fontId="10" fillId="0" borderId="32" xfId="1" applyFont="1" applyFill="1" applyBorder="1" applyAlignment="1" applyProtection="1">
      <alignment vertical="center"/>
      <protection locked="0"/>
    </xf>
    <xf numFmtId="171" fontId="10" fillId="0" borderId="53" xfId="1" applyFont="1" applyFill="1" applyBorder="1" applyAlignment="1" applyProtection="1">
      <alignment vertical="center"/>
      <protection locked="0"/>
    </xf>
    <xf numFmtId="171" fontId="13" fillId="0" borderId="32" xfId="1" applyFont="1" applyFill="1" applyBorder="1" applyAlignment="1">
      <alignment vertical="center"/>
    </xf>
    <xf numFmtId="171" fontId="13" fillId="0" borderId="53" xfId="1" applyFont="1" applyFill="1" applyBorder="1" applyAlignment="1">
      <alignment vertical="center"/>
    </xf>
    <xf numFmtId="171" fontId="10" fillId="0" borderId="32" xfId="1" applyFont="1" applyFill="1" applyBorder="1" applyAlignment="1">
      <alignment vertical="center"/>
    </xf>
    <xf numFmtId="171" fontId="10" fillId="0" borderId="32" xfId="1" applyFont="1" applyFill="1" applyBorder="1" applyAlignment="1" applyProtection="1">
      <alignment vertical="center"/>
      <protection hidden="1"/>
    </xf>
    <xf numFmtId="171" fontId="10" fillId="0" borderId="53" xfId="1" applyFont="1" applyFill="1" applyBorder="1" applyAlignment="1" applyProtection="1">
      <alignment vertical="center"/>
      <protection hidden="1"/>
    </xf>
    <xf numFmtId="171" fontId="13" fillId="0" borderId="32" xfId="1" applyFont="1" applyFill="1" applyBorder="1" applyAlignment="1" applyProtection="1">
      <alignment vertical="center"/>
      <protection hidden="1"/>
    </xf>
    <xf numFmtId="171" fontId="13" fillId="0" borderId="53" xfId="1" applyFont="1" applyFill="1" applyBorder="1" applyAlignment="1" applyProtection="1">
      <alignment vertical="center"/>
      <protection hidden="1"/>
    </xf>
    <xf numFmtId="9" fontId="10" fillId="0" borderId="32" xfId="0" applyNumberFormat="1" applyFont="1" applyFill="1" applyBorder="1" applyAlignment="1" applyProtection="1">
      <alignment vertical="center"/>
      <protection hidden="1"/>
    </xf>
    <xf numFmtId="9" fontId="10" fillId="0" borderId="53" xfId="0" applyNumberFormat="1" applyFont="1" applyFill="1" applyBorder="1" applyAlignment="1" applyProtection="1">
      <alignment vertical="center"/>
      <protection hidden="1"/>
    </xf>
    <xf numFmtId="171" fontId="10" fillId="0" borderId="53" xfId="1" applyFont="1" applyFill="1" applyBorder="1" applyAlignment="1">
      <alignment vertical="center"/>
    </xf>
    <xf numFmtId="43" fontId="10" fillId="0" borderId="32" xfId="0" applyNumberFormat="1" applyFont="1" applyFill="1" applyBorder="1" applyAlignment="1" applyProtection="1">
      <alignment vertical="center"/>
      <protection locked="0"/>
    </xf>
    <xf numFmtId="43" fontId="10" fillId="0" borderId="53" xfId="0" applyNumberFormat="1" applyFont="1" applyFill="1" applyBorder="1" applyAlignment="1" applyProtection="1">
      <alignment vertical="center"/>
      <protection locked="0"/>
    </xf>
    <xf numFmtId="10" fontId="10" fillId="0" borderId="32" xfId="0" quotePrefix="1" applyNumberFormat="1" applyFont="1" applyFill="1" applyBorder="1" applyAlignment="1">
      <alignment vertical="center"/>
    </xf>
    <xf numFmtId="10" fontId="10" fillId="0" borderId="33" xfId="0" quotePrefix="1" applyNumberFormat="1" applyFont="1" applyFill="1" applyBorder="1" applyAlignment="1">
      <alignment vertical="center"/>
    </xf>
    <xf numFmtId="0" fontId="13" fillId="0" borderId="0" xfId="0" applyFont="1" applyFill="1" applyBorder="1" applyAlignment="1">
      <alignment horizontal="left" vertical="center"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0" fillId="0" borderId="19" xfId="0" applyFont="1" applyFill="1" applyBorder="1" applyAlignment="1">
      <alignment horizontal="left" vertical="center" indent="1"/>
    </xf>
    <xf numFmtId="0" fontId="10" fillId="0" borderId="57" xfId="0" applyFont="1" applyFill="1" applyBorder="1" applyAlignment="1">
      <alignment vertical="center"/>
    </xf>
    <xf numFmtId="0" fontId="10" fillId="0" borderId="35" xfId="0" applyFont="1" applyFill="1" applyBorder="1" applyAlignment="1">
      <alignment horizontal="left" vertical="center"/>
    </xf>
    <xf numFmtId="0" fontId="10" fillId="0" borderId="3" xfId="0" applyNumberFormat="1" applyFont="1" applyFill="1" applyBorder="1" applyAlignment="1">
      <alignment horizontal="center" vertical="center"/>
    </xf>
    <xf numFmtId="1" fontId="10" fillId="0" borderId="16" xfId="0" applyNumberFormat="1" applyFont="1" applyFill="1" applyBorder="1" applyAlignment="1">
      <alignment horizontal="center" vertical="center"/>
    </xf>
    <xf numFmtId="0" fontId="13" fillId="0" borderId="34" xfId="0" applyFont="1" applyFill="1" applyBorder="1" applyAlignment="1">
      <alignment horizontal="left" vertical="center"/>
    </xf>
    <xf numFmtId="0" fontId="10" fillId="0" borderId="31" xfId="0" applyFont="1" applyFill="1" applyBorder="1" applyAlignment="1">
      <alignment vertical="center"/>
    </xf>
    <xf numFmtId="171" fontId="10" fillId="0" borderId="55" xfId="1" applyFont="1" applyFill="1" applyBorder="1" applyAlignment="1" applyProtection="1">
      <alignment vertical="center"/>
      <protection locked="0"/>
    </xf>
    <xf numFmtId="171" fontId="13" fillId="0" borderId="31" xfId="1" applyFont="1" applyFill="1" applyBorder="1" applyAlignment="1">
      <alignment vertical="center"/>
    </xf>
    <xf numFmtId="171" fontId="10" fillId="0" borderId="11" xfId="1" applyFont="1" applyFill="1" applyBorder="1" applyAlignment="1" applyProtection="1">
      <alignment vertical="center"/>
      <protection locked="0"/>
    </xf>
    <xf numFmtId="171" fontId="10" fillId="0" borderId="12" xfId="1" applyFont="1" applyFill="1" applyBorder="1" applyAlignment="1" applyProtection="1">
      <alignment vertical="center"/>
      <protection locked="0"/>
    </xf>
    <xf numFmtId="171" fontId="10" fillId="0" borderId="31" xfId="1" applyFont="1" applyFill="1" applyBorder="1" applyAlignment="1">
      <alignment vertical="center"/>
    </xf>
    <xf numFmtId="171" fontId="10" fillId="0" borderId="69" xfId="1" applyFont="1" applyFill="1" applyBorder="1" applyAlignment="1">
      <alignment vertical="center"/>
    </xf>
    <xf numFmtId="171" fontId="10" fillId="0" borderId="29" xfId="1" applyFont="1" applyFill="1" applyBorder="1" applyAlignment="1" applyProtection="1">
      <alignment vertical="center"/>
      <protection locked="0"/>
    </xf>
    <xf numFmtId="171" fontId="10" fillId="0" borderId="56" xfId="1" applyFont="1" applyFill="1" applyBorder="1" applyAlignment="1" applyProtection="1">
      <alignment vertical="center"/>
      <protection locked="0"/>
    </xf>
    <xf numFmtId="171" fontId="13" fillId="0" borderId="57" xfId="1" applyFont="1" applyFill="1" applyBorder="1" applyAlignment="1">
      <alignment vertical="center"/>
    </xf>
    <xf numFmtId="171" fontId="13" fillId="0" borderId="58" xfId="1" applyFont="1" applyFill="1" applyBorder="1" applyAlignment="1">
      <alignment vertical="center"/>
    </xf>
    <xf numFmtId="0" fontId="10" fillId="0" borderId="62" xfId="0" applyFont="1" applyFill="1" applyBorder="1" applyAlignment="1">
      <alignment vertical="center"/>
    </xf>
    <xf numFmtId="0" fontId="10" fillId="0" borderId="70" xfId="0" applyFont="1" applyFill="1" applyBorder="1" applyAlignment="1">
      <alignment vertical="center"/>
    </xf>
    <xf numFmtId="171" fontId="13" fillId="0" borderId="55" xfId="1" applyFont="1" applyFill="1" applyBorder="1" applyAlignment="1">
      <alignment vertical="center"/>
    </xf>
    <xf numFmtId="171" fontId="10" fillId="0" borderId="33" xfId="1" applyFont="1" applyFill="1" applyBorder="1" applyAlignment="1">
      <alignment vertical="center"/>
    </xf>
    <xf numFmtId="171" fontId="10" fillId="0" borderId="71" xfId="1" applyFont="1" applyFill="1" applyBorder="1" applyAlignment="1">
      <alignment vertical="center"/>
    </xf>
    <xf numFmtId="171" fontId="13" fillId="0" borderId="33" xfId="1" applyFont="1" applyFill="1" applyBorder="1" applyAlignment="1">
      <alignment vertical="center"/>
    </xf>
    <xf numFmtId="171" fontId="13" fillId="0" borderId="71" xfId="1" applyFont="1" applyFill="1" applyBorder="1" applyAlignment="1">
      <alignment vertical="center"/>
    </xf>
    <xf numFmtId="2" fontId="10" fillId="0" borderId="32" xfId="0" applyNumberFormat="1" applyFont="1" applyFill="1" applyBorder="1" applyAlignment="1" applyProtection="1">
      <alignment vertical="center"/>
      <protection locked="0"/>
    </xf>
    <xf numFmtId="171" fontId="10" fillId="0" borderId="32" xfId="1" applyFont="1" applyFill="1" applyBorder="1" applyAlignment="1" applyProtection="1">
      <alignment vertical="center"/>
    </xf>
    <xf numFmtId="171" fontId="10" fillId="0" borderId="33" xfId="1" applyFont="1" applyFill="1" applyBorder="1" applyAlignment="1" applyProtection="1">
      <alignment vertical="center"/>
    </xf>
    <xf numFmtId="171" fontId="10" fillId="0" borderId="71" xfId="1" applyFont="1" applyFill="1" applyBorder="1" applyAlignment="1" applyProtection="1">
      <alignment vertical="center"/>
    </xf>
    <xf numFmtId="171" fontId="10" fillId="0" borderId="31" xfId="1" applyFont="1" applyFill="1" applyBorder="1" applyAlignment="1" applyProtection="1">
      <alignment vertical="center"/>
    </xf>
    <xf numFmtId="171" fontId="10" fillId="0" borderId="54" xfId="1" applyFont="1" applyFill="1" applyBorder="1" applyAlignment="1" applyProtection="1">
      <alignment vertical="center"/>
    </xf>
    <xf numFmtId="171" fontId="10" fillId="0" borderId="32" xfId="1" quotePrefix="1" applyFont="1" applyFill="1" applyBorder="1" applyAlignment="1">
      <alignment vertical="center"/>
    </xf>
    <xf numFmtId="171" fontId="10" fillId="0" borderId="53" xfId="1" quotePrefix="1" applyFont="1" applyFill="1" applyBorder="1" applyAlignment="1">
      <alignment vertical="center"/>
    </xf>
    <xf numFmtId="224" fontId="10" fillId="0" borderId="32" xfId="1" quotePrefix="1" applyNumberFormat="1" applyFont="1" applyFill="1" applyBorder="1" applyAlignment="1">
      <alignment vertical="center"/>
    </xf>
    <xf numFmtId="224" fontId="10" fillId="0" borderId="53" xfId="1" quotePrefix="1" applyNumberFormat="1" applyFont="1" applyFill="1" applyBorder="1" applyAlignment="1">
      <alignment vertical="center"/>
    </xf>
    <xf numFmtId="0" fontId="10" fillId="0" borderId="32" xfId="0" applyFont="1" applyFill="1" applyBorder="1" applyAlignment="1" applyProtection="1">
      <alignment vertical="center"/>
      <protection locked="0"/>
    </xf>
    <xf numFmtId="0" fontId="10" fillId="0" borderId="33" xfId="0" applyFont="1" applyFill="1" applyBorder="1" applyAlignment="1" applyProtection="1">
      <alignment vertical="center"/>
      <protection locked="0"/>
    </xf>
    <xf numFmtId="224" fontId="10" fillId="0" borderId="32" xfId="1" applyNumberFormat="1" applyFont="1" applyFill="1" applyBorder="1" applyAlignment="1">
      <alignment vertical="center"/>
    </xf>
    <xf numFmtId="224" fontId="10" fillId="0" borderId="53" xfId="1" applyNumberFormat="1" applyFont="1" applyFill="1" applyBorder="1" applyAlignment="1">
      <alignment vertical="center"/>
    </xf>
    <xf numFmtId="10" fontId="10" fillId="0" borderId="32" xfId="0" applyNumberFormat="1" applyFont="1" applyFill="1" applyBorder="1" applyAlignment="1">
      <alignment vertical="center"/>
    </xf>
    <xf numFmtId="10" fontId="10" fillId="0" borderId="53" xfId="0" applyNumberFormat="1" applyFont="1" applyFill="1" applyBorder="1" applyAlignment="1">
      <alignment vertical="center"/>
    </xf>
    <xf numFmtId="10" fontId="10" fillId="0" borderId="33" xfId="0" applyNumberFormat="1" applyFont="1" applyFill="1" applyBorder="1" applyAlignment="1">
      <alignment vertical="center"/>
    </xf>
    <xf numFmtId="10" fontId="10" fillId="0" borderId="71" xfId="0" applyNumberFormat="1" applyFont="1" applyFill="1" applyBorder="1" applyAlignment="1">
      <alignment vertical="center"/>
    </xf>
    <xf numFmtId="171" fontId="10" fillId="0" borderId="33" xfId="1" applyFont="1" applyFill="1" applyBorder="1" applyAlignment="1" applyProtection="1">
      <alignment vertical="center"/>
      <protection hidden="1"/>
    </xf>
    <xf numFmtId="0" fontId="10" fillId="0" borderId="16" xfId="0" applyNumberFormat="1" applyFont="1" applyFill="1" applyBorder="1" applyAlignment="1">
      <alignment horizontal="center" vertical="center"/>
    </xf>
    <xf numFmtId="2" fontId="10" fillId="0" borderId="38" xfId="0" applyNumberFormat="1" applyFont="1" applyFill="1" applyBorder="1" applyAlignment="1">
      <alignment vertical="center"/>
    </xf>
    <xf numFmtId="2" fontId="10" fillId="0" borderId="39" xfId="0" applyNumberFormat="1" applyFont="1" applyFill="1" applyBorder="1" applyAlignment="1">
      <alignment vertical="center"/>
    </xf>
    <xf numFmtId="2" fontId="10" fillId="0" borderId="40" xfId="0" applyNumberFormat="1" applyFont="1" applyFill="1" applyBorder="1" applyAlignment="1">
      <alignment vertical="center"/>
    </xf>
    <xf numFmtId="171" fontId="10" fillId="0" borderId="38" xfId="1" applyFont="1" applyFill="1" applyBorder="1" applyAlignment="1">
      <alignment vertical="center"/>
    </xf>
    <xf numFmtId="171" fontId="10" fillId="0" borderId="39" xfId="1" applyFont="1" applyFill="1" applyBorder="1" applyAlignment="1">
      <alignment vertical="center"/>
    </xf>
    <xf numFmtId="171" fontId="10" fillId="0" borderId="40" xfId="1" applyFont="1" applyFill="1" applyBorder="1" applyAlignment="1">
      <alignment vertical="center"/>
    </xf>
    <xf numFmtId="171" fontId="10" fillId="0" borderId="38" xfId="1" quotePrefix="1" applyFont="1" applyFill="1" applyBorder="1" applyAlignment="1">
      <alignment vertical="center"/>
    </xf>
    <xf numFmtId="171" fontId="10" fillId="0" borderId="39" xfId="1" quotePrefix="1" applyFont="1" applyFill="1" applyBorder="1" applyAlignment="1">
      <alignment vertical="center"/>
    </xf>
    <xf numFmtId="171" fontId="10" fillId="0" borderId="40" xfId="1" quotePrefix="1" applyFont="1" applyFill="1" applyBorder="1" applyAlignment="1">
      <alignment vertical="center"/>
    </xf>
    <xf numFmtId="171" fontId="10" fillId="0" borderId="41" xfId="1" quotePrefix="1" applyFont="1" applyFill="1" applyBorder="1" applyAlignment="1">
      <alignment vertical="center"/>
    </xf>
    <xf numFmtId="171" fontId="10" fillId="0" borderId="42" xfId="1" quotePrefix="1" applyFont="1" applyFill="1" applyBorder="1" applyAlignment="1">
      <alignment vertical="center"/>
    </xf>
    <xf numFmtId="171" fontId="10" fillId="0" borderId="43" xfId="1" quotePrefix="1" applyFont="1" applyFill="1" applyBorder="1" applyAlignment="1">
      <alignment vertical="center"/>
    </xf>
    <xf numFmtId="2" fontId="10" fillId="0" borderId="44" xfId="0" applyNumberFormat="1" applyFont="1" applyFill="1" applyBorder="1" applyAlignment="1">
      <alignment vertical="center"/>
    </xf>
    <xf numFmtId="2" fontId="10" fillId="0" borderId="36" xfId="0" applyNumberFormat="1" applyFont="1" applyFill="1" applyBorder="1" applyAlignment="1">
      <alignment vertical="center"/>
    </xf>
    <xf numFmtId="2" fontId="10" fillId="0" borderId="37" xfId="0" applyNumberFormat="1" applyFont="1" applyFill="1" applyBorder="1" applyAlignment="1">
      <alignment vertical="center"/>
    </xf>
    <xf numFmtId="171" fontId="10" fillId="0" borderId="41" xfId="1" applyFont="1" applyFill="1" applyBorder="1" applyAlignment="1">
      <alignment vertical="center"/>
    </xf>
    <xf numFmtId="171" fontId="10" fillId="0" borderId="42" xfId="1" applyFont="1" applyFill="1" applyBorder="1" applyAlignment="1">
      <alignment vertical="center"/>
    </xf>
    <xf numFmtId="171" fontId="10" fillId="0" borderId="43" xfId="1" applyFont="1" applyFill="1" applyBorder="1" applyAlignment="1">
      <alignment vertical="center"/>
    </xf>
    <xf numFmtId="171" fontId="13" fillId="0" borderId="44" xfId="1" applyFont="1" applyFill="1" applyBorder="1" applyAlignment="1">
      <alignment vertical="center"/>
    </xf>
    <xf numFmtId="171" fontId="13" fillId="0" borderId="36" xfId="1" applyFont="1" applyFill="1" applyBorder="1" applyAlignment="1">
      <alignment vertical="center"/>
    </xf>
    <xf numFmtId="171" fontId="13" fillId="0" borderId="37" xfId="1" applyFont="1" applyFill="1" applyBorder="1" applyAlignment="1">
      <alignment vertical="center"/>
    </xf>
    <xf numFmtId="171" fontId="10" fillId="0" borderId="33" xfId="1" quotePrefix="1" applyFont="1" applyFill="1" applyBorder="1" applyAlignment="1">
      <alignment vertical="center"/>
    </xf>
    <xf numFmtId="0" fontId="10" fillId="0" borderId="51" xfId="0" applyFont="1" applyFill="1" applyBorder="1" applyAlignment="1">
      <alignment vertical="center"/>
    </xf>
    <xf numFmtId="0" fontId="10" fillId="0" borderId="72" xfId="0" applyFont="1" applyFill="1" applyBorder="1" applyAlignment="1">
      <alignment vertical="center"/>
    </xf>
    <xf numFmtId="0" fontId="10" fillId="0" borderId="52" xfId="0" applyFont="1" applyFill="1" applyBorder="1" applyAlignment="1">
      <alignment vertical="center"/>
    </xf>
    <xf numFmtId="0" fontId="10" fillId="0" borderId="8" xfId="0" applyFont="1" applyFill="1" applyBorder="1" applyAlignment="1">
      <alignment horizontal="center" vertical="center"/>
    </xf>
    <xf numFmtId="0" fontId="10" fillId="0" borderId="8" xfId="0" applyNumberFormat="1" applyFont="1" applyFill="1" applyBorder="1" applyAlignment="1">
      <alignment horizontal="center" vertical="center"/>
    </xf>
    <xf numFmtId="1" fontId="10" fillId="2" borderId="59" xfId="0" applyNumberFormat="1" applyFont="1" applyFill="1" applyBorder="1" applyAlignment="1">
      <alignment horizontal="center" vertical="center"/>
    </xf>
    <xf numFmtId="1" fontId="10" fillId="2" borderId="8" xfId="0" applyNumberFormat="1" applyFont="1" applyFill="1" applyBorder="1" applyAlignment="1">
      <alignment horizontal="center" vertical="center"/>
    </xf>
    <xf numFmtId="1" fontId="10" fillId="2" borderId="29" xfId="0" applyNumberFormat="1" applyFont="1" applyFill="1" applyBorder="1" applyAlignment="1">
      <alignment horizontal="center" vertical="center"/>
    </xf>
    <xf numFmtId="1" fontId="10" fillId="2" borderId="20" xfId="0" applyNumberFormat="1" applyFont="1" applyFill="1" applyBorder="1" applyAlignment="1">
      <alignment horizontal="center" vertical="center"/>
    </xf>
    <xf numFmtId="10" fontId="13" fillId="0" borderId="57" xfId="0" applyNumberFormat="1" applyFont="1" applyFill="1" applyBorder="1" applyAlignment="1" applyProtection="1">
      <alignment vertical="center"/>
      <protection hidden="1"/>
    </xf>
    <xf numFmtId="0" fontId="10" fillId="0" borderId="58" xfId="0" applyFont="1" applyFill="1" applyBorder="1" applyAlignment="1">
      <alignment vertical="center"/>
    </xf>
    <xf numFmtId="2" fontId="13" fillId="0" borderId="0" xfId="0" applyNumberFormat="1" applyFont="1" applyFill="1" applyBorder="1" applyAlignment="1" applyProtection="1">
      <alignment vertical="center"/>
    </xf>
    <xf numFmtId="0" fontId="13" fillId="0" borderId="16" xfId="0" applyFont="1" applyFill="1" applyBorder="1" applyAlignment="1">
      <alignment horizontal="left" vertical="center"/>
    </xf>
    <xf numFmtId="0" fontId="10" fillId="0" borderId="16" xfId="0" applyFont="1" applyFill="1" applyBorder="1" applyAlignment="1">
      <alignment horizontal="left" vertical="center"/>
    </xf>
    <xf numFmtId="2" fontId="10" fillId="0" borderId="16" xfId="0" applyNumberFormat="1" applyFont="1" applyFill="1" applyBorder="1" applyAlignment="1">
      <alignment vertical="center"/>
    </xf>
    <xf numFmtId="0" fontId="10" fillId="0" borderId="15" xfId="0" applyNumberFormat="1" applyFont="1" applyFill="1" applyBorder="1" applyAlignment="1">
      <alignment vertical="center"/>
    </xf>
    <xf numFmtId="0" fontId="10" fillId="0" borderId="31" xfId="0" applyFont="1" applyFill="1" applyBorder="1" applyAlignment="1">
      <alignment horizontal="left" vertical="center"/>
    </xf>
    <xf numFmtId="2" fontId="10" fillId="0" borderId="31" xfId="0" applyNumberFormat="1" applyFont="1" applyFill="1" applyBorder="1" applyAlignment="1">
      <alignment vertical="center"/>
    </xf>
    <xf numFmtId="0" fontId="10" fillId="0" borderId="32" xfId="0" applyFont="1" applyFill="1" applyBorder="1" applyAlignment="1">
      <alignment horizontal="left" vertical="center"/>
    </xf>
    <xf numFmtId="0" fontId="10" fillId="0" borderId="53" xfId="0" applyFont="1" applyFill="1" applyBorder="1" applyAlignment="1">
      <alignment horizontal="left" vertical="center"/>
    </xf>
    <xf numFmtId="10" fontId="10" fillId="0" borderId="32" xfId="0" applyNumberFormat="1" applyFont="1" applyFill="1" applyBorder="1" applyAlignment="1" applyProtection="1">
      <alignment horizontal="right" vertical="center"/>
      <protection locked="0"/>
    </xf>
    <xf numFmtId="10" fontId="10" fillId="0" borderId="53" xfId="0" applyNumberFormat="1" applyFont="1" applyFill="1" applyBorder="1" applyAlignment="1" applyProtection="1">
      <alignment horizontal="left" vertical="center"/>
      <protection locked="0"/>
    </xf>
    <xf numFmtId="0" fontId="10" fillId="0" borderId="33" xfId="0" applyFont="1" applyFill="1" applyBorder="1" applyAlignment="1">
      <alignment horizontal="left" vertical="center"/>
    </xf>
    <xf numFmtId="0" fontId="10" fillId="0" borderId="71" xfId="0" applyFont="1" applyFill="1" applyBorder="1" applyAlignment="1">
      <alignment horizontal="left" vertical="center"/>
    </xf>
    <xf numFmtId="171" fontId="10" fillId="0" borderId="33" xfId="1" applyFont="1" applyFill="1" applyBorder="1" applyAlignment="1" applyProtection="1">
      <alignment vertical="center"/>
      <protection locked="0"/>
    </xf>
    <xf numFmtId="2" fontId="10" fillId="0" borderId="31" xfId="0" applyNumberFormat="1" applyFont="1" applyFill="1" applyBorder="1" applyAlignment="1">
      <alignment horizontal="left" vertical="center"/>
    </xf>
    <xf numFmtId="2" fontId="10" fillId="0" borderId="54" xfId="0" applyNumberFormat="1" applyFont="1" applyFill="1" applyBorder="1" applyAlignment="1">
      <alignment horizontal="left" vertical="center"/>
    </xf>
    <xf numFmtId="2" fontId="10" fillId="0" borderId="32" xfId="0" applyNumberFormat="1" applyFont="1" applyFill="1" applyBorder="1" applyAlignment="1">
      <alignment horizontal="left" vertical="center"/>
    </xf>
    <xf numFmtId="2" fontId="10" fillId="0" borderId="53" xfId="0" applyNumberFormat="1" applyFont="1" applyFill="1" applyBorder="1" applyAlignment="1">
      <alignment horizontal="left" vertical="center"/>
    </xf>
    <xf numFmtId="2" fontId="10" fillId="0" borderId="32" xfId="0" applyNumberFormat="1" applyFont="1" applyFill="1" applyBorder="1" applyAlignment="1">
      <alignment vertical="center"/>
    </xf>
    <xf numFmtId="2" fontId="10" fillId="0" borderId="54" xfId="0" applyNumberFormat="1" applyFont="1" applyFill="1" applyBorder="1" applyAlignment="1">
      <alignment horizontal="right" vertical="center"/>
    </xf>
    <xf numFmtId="2" fontId="10" fillId="0" borderId="53" xfId="0" applyNumberFormat="1" applyFont="1" applyFill="1" applyBorder="1" applyAlignment="1">
      <alignment horizontal="right" vertical="center"/>
    </xf>
    <xf numFmtId="9" fontId="10" fillId="0" borderId="8" xfId="0" applyNumberFormat="1" applyFont="1" applyFill="1" applyBorder="1" applyAlignment="1" applyProtection="1">
      <alignment horizontal="center" vertical="center"/>
    </xf>
    <xf numFmtId="218" fontId="10" fillId="0" borderId="8" xfId="0" applyNumberFormat="1" applyFont="1" applyFill="1" applyBorder="1" applyAlignment="1" applyProtection="1">
      <alignment horizontal="center" vertical="center"/>
    </xf>
    <xf numFmtId="218" fontId="10" fillId="0" borderId="8" xfId="0" applyNumberFormat="1" applyFont="1" applyFill="1" applyBorder="1" applyAlignment="1" applyProtection="1">
      <alignment horizontal="center" vertical="center"/>
      <protection locked="0"/>
    </xf>
    <xf numFmtId="9" fontId="10" fillId="0" borderId="31" xfId="0" applyNumberFormat="1" applyFont="1" applyFill="1" applyBorder="1" applyAlignment="1" applyProtection="1">
      <alignment horizontal="center" vertical="center"/>
      <protection locked="0"/>
    </xf>
    <xf numFmtId="9" fontId="10" fillId="0" borderId="54" xfId="0" applyNumberFormat="1" applyFont="1" applyFill="1" applyBorder="1" applyAlignment="1" applyProtection="1">
      <alignment horizontal="left" vertical="center"/>
      <protection locked="0"/>
    </xf>
    <xf numFmtId="9" fontId="10" fillId="0" borderId="32" xfId="0" applyNumberFormat="1" applyFont="1" applyFill="1" applyBorder="1" applyAlignment="1" applyProtection="1">
      <alignment horizontal="center" vertical="center"/>
    </xf>
    <xf numFmtId="9" fontId="10" fillId="0" borderId="53" xfId="0" applyNumberFormat="1" applyFont="1" applyFill="1" applyBorder="1" applyAlignment="1" applyProtection="1">
      <alignment horizontal="left" vertical="center"/>
    </xf>
    <xf numFmtId="9" fontId="10" fillId="0" borderId="32" xfId="0" applyNumberFormat="1" applyFont="1" applyFill="1" applyBorder="1" applyAlignment="1">
      <alignment horizontal="center" vertical="center"/>
    </xf>
    <xf numFmtId="9" fontId="10" fillId="0" borderId="53" xfId="0" applyNumberFormat="1" applyFont="1" applyFill="1" applyBorder="1" applyAlignment="1">
      <alignment horizontal="left" vertical="center"/>
    </xf>
    <xf numFmtId="9" fontId="10" fillId="0" borderId="33" xfId="0" applyNumberFormat="1" applyFont="1" applyFill="1" applyBorder="1" applyAlignment="1">
      <alignment horizontal="center" vertical="center"/>
    </xf>
    <xf numFmtId="9" fontId="10" fillId="0" borderId="71" xfId="0" applyNumberFormat="1" applyFont="1" applyFill="1" applyBorder="1" applyAlignment="1">
      <alignment horizontal="left" vertical="center"/>
    </xf>
    <xf numFmtId="9" fontId="10" fillId="0" borderId="31" xfId="0" quotePrefix="1" applyNumberFormat="1" applyFont="1" applyFill="1" applyBorder="1" applyAlignment="1">
      <alignment vertical="center"/>
    </xf>
    <xf numFmtId="218" fontId="10" fillId="0" borderId="32" xfId="0" applyNumberFormat="1" applyFont="1" applyFill="1" applyBorder="1" applyAlignment="1" applyProtection="1">
      <alignment horizontal="center" vertical="center"/>
    </xf>
    <xf numFmtId="218" fontId="10" fillId="0" borderId="53" xfId="0" applyNumberFormat="1" applyFont="1" applyFill="1" applyBorder="1" applyAlignment="1" applyProtection="1">
      <alignment horizontal="left" vertical="center"/>
    </xf>
    <xf numFmtId="9" fontId="10" fillId="0" borderId="33" xfId="0" applyNumberFormat="1" applyFont="1" applyFill="1" applyBorder="1" applyAlignment="1" applyProtection="1">
      <alignment horizontal="center" vertical="center"/>
    </xf>
    <xf numFmtId="9" fontId="10" fillId="0" borderId="71" xfId="0" applyNumberFormat="1" applyFont="1" applyFill="1" applyBorder="1" applyAlignment="1" applyProtection="1">
      <alignment horizontal="left" vertical="center"/>
    </xf>
    <xf numFmtId="218" fontId="10" fillId="0" borderId="33" xfId="0" applyNumberFormat="1" applyFont="1" applyFill="1" applyBorder="1" applyAlignment="1" applyProtection="1">
      <alignment horizontal="center" vertical="center"/>
    </xf>
    <xf numFmtId="218" fontId="10" fillId="0" borderId="71" xfId="0" applyNumberFormat="1" applyFont="1" applyFill="1" applyBorder="1" applyAlignment="1" applyProtection="1">
      <alignment horizontal="left" vertical="center"/>
    </xf>
    <xf numFmtId="9" fontId="10" fillId="0" borderId="31" xfId="0" applyNumberFormat="1" applyFont="1" applyFill="1" applyBorder="1" applyAlignment="1">
      <alignment vertical="center"/>
    </xf>
    <xf numFmtId="9" fontId="10" fillId="0" borderId="32" xfId="0" quotePrefix="1" applyNumberFormat="1" applyFont="1" applyFill="1" applyBorder="1" applyAlignment="1">
      <alignment vertical="center"/>
    </xf>
    <xf numFmtId="9" fontId="10" fillId="0" borderId="53" xfId="0" quotePrefix="1" applyNumberFormat="1" applyFont="1" applyFill="1" applyBorder="1" applyAlignment="1">
      <alignment vertical="center"/>
    </xf>
    <xf numFmtId="10" fontId="10" fillId="0" borderId="53" xfId="0" quotePrefix="1" applyNumberFormat="1" applyFont="1" applyFill="1" applyBorder="1" applyAlignment="1">
      <alignment vertical="center"/>
    </xf>
    <xf numFmtId="171" fontId="13" fillId="0" borderId="32" xfId="1" quotePrefix="1" applyFont="1" applyFill="1" applyBorder="1" applyAlignment="1">
      <alignment vertical="center"/>
    </xf>
    <xf numFmtId="9" fontId="10" fillId="0" borderId="33" xfId="0" quotePrefix="1" applyNumberFormat="1" applyFont="1" applyFill="1" applyBorder="1" applyAlignment="1">
      <alignment vertical="center"/>
    </xf>
    <xf numFmtId="0" fontId="10" fillId="0" borderId="21" xfId="0" applyFont="1" applyFill="1" applyBorder="1" applyAlignment="1">
      <alignment vertical="center"/>
    </xf>
    <xf numFmtId="171" fontId="10" fillId="0" borderId="31" xfId="1" applyFont="1" applyFill="1" applyBorder="1" applyAlignment="1">
      <alignment horizontal="right" vertical="center"/>
    </xf>
    <xf numFmtId="171" fontId="10" fillId="0" borderId="32" xfId="1" applyFont="1" applyFill="1" applyBorder="1" applyAlignment="1">
      <alignment horizontal="right" vertical="center"/>
    </xf>
    <xf numFmtId="10" fontId="10" fillId="0" borderId="32" xfId="0" applyNumberFormat="1" applyFont="1" applyFill="1" applyBorder="1" applyAlignment="1">
      <alignment horizontal="right" vertical="center"/>
    </xf>
    <xf numFmtId="10" fontId="10" fillId="0" borderId="32" xfId="0" quotePrefix="1" applyNumberFormat="1" applyFont="1" applyFill="1" applyBorder="1" applyAlignment="1">
      <alignment horizontal="right" vertical="center"/>
    </xf>
    <xf numFmtId="224" fontId="10" fillId="0" borderId="32" xfId="1" applyNumberFormat="1" applyFont="1" applyFill="1" applyBorder="1" applyAlignment="1">
      <alignment horizontal="right" vertical="center"/>
    </xf>
    <xf numFmtId="10" fontId="10" fillId="0" borderId="33" xfId="0" applyNumberFormat="1" applyFont="1" applyFill="1" applyBorder="1" applyAlignment="1">
      <alignment horizontal="right" vertical="center"/>
    </xf>
    <xf numFmtId="0" fontId="10" fillId="0" borderId="1" xfId="0" applyFont="1" applyBorder="1" applyAlignment="1">
      <alignment wrapText="1"/>
    </xf>
    <xf numFmtId="2" fontId="10" fillId="0" borderId="29" xfId="0" applyNumberFormat="1" applyFont="1" applyBorder="1" applyAlignment="1">
      <alignment horizontal="right"/>
    </xf>
    <xf numFmtId="0" fontId="13" fillId="0" borderId="3" xfId="0" applyFont="1" applyBorder="1" applyAlignment="1">
      <alignment horizontal="center"/>
    </xf>
    <xf numFmtId="0" fontId="13" fillId="0" borderId="3" xfId="0" applyFont="1" applyBorder="1" applyAlignment="1">
      <alignment wrapText="1"/>
    </xf>
    <xf numFmtId="2" fontId="10" fillId="0" borderId="3" xfId="0" applyNumberFormat="1" applyFont="1" applyBorder="1" applyAlignment="1">
      <alignment horizontal="right"/>
    </xf>
    <xf numFmtId="2" fontId="13" fillId="0" borderId="3" xfId="0" applyNumberFormat="1" applyFont="1" applyBorder="1" applyAlignment="1">
      <alignment horizontal="right"/>
    </xf>
    <xf numFmtId="0" fontId="10" fillId="0" borderId="17" xfId="0" applyFont="1" applyBorder="1" applyAlignment="1">
      <alignment vertical="center"/>
    </xf>
    <xf numFmtId="0" fontId="10" fillId="0" borderId="21" xfId="0" applyFont="1" applyBorder="1" applyAlignment="1">
      <alignment vertical="center"/>
    </xf>
    <xf numFmtId="0" fontId="10" fillId="0" borderId="31" xfId="0" applyFont="1" applyBorder="1" applyAlignment="1">
      <alignment horizontal="center" vertical="center"/>
    </xf>
    <xf numFmtId="0" fontId="10" fillId="0" borderId="31" xfId="0" applyFont="1" applyBorder="1" applyAlignment="1">
      <alignment vertical="center"/>
    </xf>
    <xf numFmtId="0" fontId="23" fillId="0" borderId="31" xfId="0" applyFont="1" applyBorder="1" applyAlignment="1">
      <alignment vertical="center"/>
    </xf>
    <xf numFmtId="2" fontId="10" fillId="0" borderId="31" xfId="0" applyNumberFormat="1" applyFont="1" applyBorder="1" applyAlignment="1">
      <alignment vertical="center"/>
    </xf>
    <xf numFmtId="2" fontId="10" fillId="0" borderId="3" xfId="0" applyNumberFormat="1" applyFont="1" applyBorder="1" applyAlignment="1">
      <alignment vertical="center"/>
    </xf>
    <xf numFmtId="0" fontId="10" fillId="0" borderId="32" xfId="0" applyFont="1" applyBorder="1" applyAlignment="1">
      <alignment vertical="center"/>
    </xf>
    <xf numFmtId="0" fontId="23" fillId="0" borderId="32" xfId="0" applyFont="1" applyBorder="1" applyAlignment="1">
      <alignment vertical="center"/>
    </xf>
    <xf numFmtId="2" fontId="10" fillId="0" borderId="32" xfId="0" applyNumberFormat="1" applyFont="1" applyBorder="1" applyAlignment="1">
      <alignment vertical="center"/>
    </xf>
    <xf numFmtId="2" fontId="10" fillId="0" borderId="53" xfId="0" applyNumberFormat="1" applyFont="1" applyBorder="1" applyAlignment="1">
      <alignment vertical="center"/>
    </xf>
    <xf numFmtId="2" fontId="10" fillId="0" borderId="21" xfId="0" applyNumberFormat="1"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8" xfId="0" applyFont="1" applyBorder="1" applyAlignment="1">
      <alignment horizontal="center" vertical="center" wrapText="1"/>
    </xf>
    <xf numFmtId="0" fontId="10" fillId="0" borderId="33" xfId="0" applyFont="1" applyBorder="1" applyAlignment="1">
      <alignment vertical="center"/>
    </xf>
    <xf numFmtId="2" fontId="10" fillId="0" borderId="2" xfId="0" applyNumberFormat="1" applyFont="1" applyBorder="1" applyAlignment="1">
      <alignment vertical="center"/>
    </xf>
    <xf numFmtId="0" fontId="10" fillId="0" borderId="1" xfId="0" applyFont="1" applyBorder="1" applyAlignment="1">
      <alignment horizontal="center" vertical="center" wrapText="1"/>
    </xf>
    <xf numFmtId="0" fontId="23" fillId="0" borderId="73" xfId="0" applyFont="1" applyBorder="1" applyAlignment="1">
      <alignment vertical="center"/>
    </xf>
    <xf numFmtId="0" fontId="23" fillId="0" borderId="69" xfId="0" applyFont="1" applyBorder="1" applyAlignment="1">
      <alignment vertical="center"/>
    </xf>
    <xf numFmtId="2" fontId="10" fillId="0" borderId="54" xfId="0" applyNumberFormat="1" applyFont="1" applyBorder="1" applyAlignment="1">
      <alignment vertical="center"/>
    </xf>
    <xf numFmtId="2" fontId="10" fillId="0" borderId="73" xfId="0" applyNumberFormat="1" applyFont="1" applyBorder="1" applyAlignment="1">
      <alignment vertical="center"/>
    </xf>
    <xf numFmtId="2" fontId="10" fillId="0" borderId="69" xfId="0" applyNumberFormat="1" applyFont="1" applyBorder="1" applyAlignment="1">
      <alignment vertical="center"/>
    </xf>
    <xf numFmtId="2" fontId="10" fillId="0" borderId="55" xfId="0" applyNumberFormat="1" applyFont="1" applyBorder="1" applyAlignment="1">
      <alignment vertical="center"/>
    </xf>
    <xf numFmtId="0" fontId="10" fillId="0" borderId="56" xfId="0" applyFont="1" applyBorder="1" applyAlignment="1">
      <alignment vertical="center"/>
    </xf>
    <xf numFmtId="0" fontId="10" fillId="0" borderId="55" xfId="0" applyFont="1" applyBorder="1" applyAlignment="1">
      <alignment vertical="center"/>
    </xf>
    <xf numFmtId="0" fontId="23" fillId="0" borderId="55" xfId="0" applyFont="1" applyBorder="1" applyAlignment="1">
      <alignment vertical="center"/>
    </xf>
    <xf numFmtId="0" fontId="23" fillId="0" borderId="3" xfId="0" applyFont="1" applyBorder="1" applyAlignment="1">
      <alignment vertical="center"/>
    </xf>
    <xf numFmtId="0" fontId="23" fillId="0" borderId="74" xfId="0" applyFont="1" applyBorder="1" applyAlignment="1">
      <alignment vertical="center"/>
    </xf>
    <xf numFmtId="2" fontId="10" fillId="0" borderId="74" xfId="0" applyNumberFormat="1" applyFont="1" applyBorder="1" applyAlignment="1">
      <alignment vertical="center"/>
    </xf>
    <xf numFmtId="0" fontId="12" fillId="0" borderId="35" xfId="0" applyFont="1" applyBorder="1" applyAlignment="1">
      <alignment vertical="center"/>
    </xf>
    <xf numFmtId="0" fontId="10" fillId="0" borderId="35" xfId="0" applyFont="1" applyBorder="1" applyAlignment="1">
      <alignment vertical="center"/>
    </xf>
    <xf numFmtId="0" fontId="10" fillId="0" borderId="29" xfId="0" applyFont="1" applyBorder="1" applyAlignment="1">
      <alignment vertical="center"/>
    </xf>
    <xf numFmtId="43" fontId="10" fillId="0" borderId="32" xfId="1" applyNumberFormat="1" applyFont="1" applyFill="1" applyBorder="1" applyAlignment="1" applyProtection="1">
      <alignment vertical="center"/>
      <protection hidden="1"/>
    </xf>
    <xf numFmtId="171" fontId="11" fillId="0" borderId="49" xfId="1" applyFont="1" applyBorder="1" applyAlignment="1">
      <alignment vertical="center"/>
    </xf>
    <xf numFmtId="0" fontId="10" fillId="0" borderId="11" xfId="0" applyFont="1" applyBorder="1" applyAlignment="1">
      <alignment horizontal="right"/>
    </xf>
    <xf numFmtId="0" fontId="33" fillId="0" borderId="0" xfId="0" applyFont="1"/>
    <xf numFmtId="171" fontId="10" fillId="0" borderId="16" xfId="1" applyFont="1" applyBorder="1" applyAlignment="1">
      <alignment horizontal="right"/>
    </xf>
    <xf numFmtId="171" fontId="10" fillId="0" borderId="0" xfId="0" applyNumberFormat="1" applyFont="1"/>
    <xf numFmtId="0" fontId="22" fillId="0" borderId="0" xfId="0" applyFont="1" applyAlignment="1">
      <alignment vertical="center"/>
    </xf>
    <xf numFmtId="0" fontId="22" fillId="0" borderId="34" xfId="0" applyFont="1" applyBorder="1" applyAlignment="1">
      <alignment vertical="center"/>
    </xf>
    <xf numFmtId="0" fontId="22" fillId="0" borderId="0" xfId="0" applyFont="1"/>
    <xf numFmtId="0" fontId="22" fillId="0" borderId="0" xfId="0" applyFont="1" applyBorder="1" applyAlignment="1">
      <alignment horizontal="left"/>
    </xf>
    <xf numFmtId="0" fontId="22" fillId="0" borderId="34" xfId="0" applyFont="1" applyBorder="1"/>
    <xf numFmtId="0" fontId="22" fillId="0" borderId="34" xfId="0" applyFont="1" applyBorder="1" applyAlignment="1">
      <alignment vertical="top"/>
    </xf>
    <xf numFmtId="0" fontId="22" fillId="0" borderId="35" xfId="0" applyFont="1" applyBorder="1" applyAlignment="1">
      <alignment vertical="top"/>
    </xf>
    <xf numFmtId="0" fontId="22" fillId="0" borderId="0" xfId="0" applyFont="1" applyBorder="1" applyAlignment="1"/>
    <xf numFmtId="0" fontId="22" fillId="0" borderId="35" xfId="0" applyFont="1" applyBorder="1"/>
    <xf numFmtId="0" fontId="22" fillId="0" borderId="34" xfId="0" applyFont="1" applyBorder="1" applyAlignment="1">
      <alignment horizontal="left"/>
    </xf>
    <xf numFmtId="0" fontId="33" fillId="0" borderId="14" xfId="0" applyFont="1" applyBorder="1"/>
    <xf numFmtId="0" fontId="11" fillId="0" borderId="75" xfId="0" applyFont="1" applyBorder="1" applyAlignment="1">
      <alignment horizontal="center" vertical="center"/>
    </xf>
    <xf numFmtId="0" fontId="11" fillId="0" borderId="76" xfId="0" applyFont="1" applyBorder="1" applyAlignment="1">
      <alignment horizontal="center" vertical="center"/>
    </xf>
    <xf numFmtId="0" fontId="11" fillId="0" borderId="3" xfId="0" applyFont="1" applyBorder="1" applyAlignment="1">
      <alignment horizontal="center" vertical="top" wrapText="1"/>
    </xf>
    <xf numFmtId="0" fontId="34" fillId="0" borderId="1" xfId="0" applyFont="1" applyBorder="1"/>
    <xf numFmtId="173" fontId="10" fillId="0" borderId="14" xfId="0" applyNumberFormat="1" applyFont="1" applyBorder="1" applyAlignment="1"/>
    <xf numFmtId="0" fontId="11" fillId="0" borderId="3" xfId="0" applyFont="1" applyBorder="1"/>
    <xf numFmtId="0" fontId="35" fillId="4" borderId="28" xfId="0" applyFont="1" applyFill="1" applyBorder="1"/>
    <xf numFmtId="0" fontId="35" fillId="4" borderId="0" xfId="0" applyFont="1" applyFill="1"/>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29" xfId="0" applyFont="1" applyBorder="1" applyAlignment="1">
      <alignment horizontal="center" vertical="center"/>
    </xf>
    <xf numFmtId="0" fontId="12" fillId="0" borderId="18" xfId="0" applyFont="1" applyBorder="1" applyAlignment="1">
      <alignment horizontal="center"/>
    </xf>
    <xf numFmtId="0" fontId="11" fillId="0" borderId="19" xfId="0" applyFont="1" applyBorder="1" applyAlignment="1">
      <alignment horizontal="center"/>
    </xf>
    <xf numFmtId="0" fontId="11" fillId="0" borderId="20" xfId="0" applyFont="1" applyBorder="1" applyAlignment="1">
      <alignment horizontal="center"/>
    </xf>
    <xf numFmtId="0" fontId="10" fillId="0" borderId="45" xfId="0" applyFont="1" applyBorder="1" applyAlignment="1">
      <alignment horizontal="center" shrinkToFit="1"/>
    </xf>
    <xf numFmtId="0" fontId="10" fillId="0" borderId="46" xfId="0" applyFont="1" applyBorder="1" applyAlignment="1">
      <alignment horizontal="center" shrinkToFit="1"/>
    </xf>
    <xf numFmtId="0" fontId="10" fillId="0" borderId="47" xfId="0" applyFont="1" applyBorder="1" applyAlignment="1">
      <alignment horizontal="center" shrinkToFit="1"/>
    </xf>
    <xf numFmtId="0" fontId="10" fillId="0" borderId="16"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35" fillId="4" borderId="23" xfId="0" applyFont="1" applyFill="1" applyBorder="1" applyAlignment="1">
      <alignment horizontal="center" vertical="center"/>
    </xf>
    <xf numFmtId="0" fontId="35" fillId="4" borderId="25" xfId="0" applyFont="1" applyFill="1" applyBorder="1" applyAlignment="1">
      <alignment horizontal="center" vertical="center"/>
    </xf>
    <xf numFmtId="0" fontId="35" fillId="4" borderId="26" xfId="0" applyFont="1" applyFill="1" applyBorder="1" applyAlignment="1">
      <alignment horizontal="center" vertical="center"/>
    </xf>
    <xf numFmtId="0" fontId="17" fillId="0" borderId="34" xfId="0" applyFont="1" applyBorder="1" applyAlignment="1">
      <alignment horizontal="center"/>
    </xf>
    <xf numFmtId="0" fontId="17" fillId="0" borderId="35" xfId="0" applyFont="1" applyBorder="1"/>
    <xf numFmtId="0" fontId="17" fillId="0" borderId="29" xfId="0" applyFont="1" applyBorder="1"/>
    <xf numFmtId="0" fontId="13" fillId="0" borderId="0" xfId="0" applyFont="1" applyAlignment="1">
      <alignment horizontal="center"/>
    </xf>
    <xf numFmtId="0" fontId="12" fillId="0" borderId="34" xfId="0" applyFont="1" applyBorder="1" applyAlignment="1">
      <alignment horizontal="center" vertical="justify"/>
    </xf>
    <xf numFmtId="0" fontId="12" fillId="0" borderId="35" xfId="0" applyFont="1" applyBorder="1" applyAlignment="1">
      <alignment horizontal="center" vertical="justify"/>
    </xf>
    <xf numFmtId="0" fontId="12" fillId="0" borderId="29" xfId="0" applyFont="1" applyBorder="1" applyAlignment="1">
      <alignment horizontal="center" vertical="justify"/>
    </xf>
    <xf numFmtId="0" fontId="22" fillId="0" borderId="19" xfId="0" applyFont="1" applyBorder="1" applyAlignment="1">
      <alignment horizontal="left" vertical="justify"/>
    </xf>
    <xf numFmtId="0" fontId="12" fillId="0" borderId="3" xfId="0" applyFont="1" applyBorder="1" applyAlignment="1">
      <alignment horizontal="center"/>
    </xf>
    <xf numFmtId="0" fontId="20" fillId="0" borderId="0" xfId="0" applyFont="1" applyBorder="1" applyAlignment="1">
      <alignment horizontal="left" vertical="top"/>
    </xf>
    <xf numFmtId="0" fontId="15" fillId="0" borderId="17" xfId="0" applyFont="1" applyBorder="1" applyAlignment="1">
      <alignment horizontal="center"/>
    </xf>
    <xf numFmtId="0" fontId="15" fillId="0" borderId="0" xfId="0" applyFont="1" applyBorder="1" applyAlignment="1">
      <alignment horizontal="center"/>
    </xf>
    <xf numFmtId="0" fontId="15" fillId="0" borderId="21" xfId="0" applyFont="1" applyBorder="1" applyAlignment="1">
      <alignment horizontal="center"/>
    </xf>
    <xf numFmtId="0" fontId="11" fillId="0" borderId="77" xfId="0" applyFont="1" applyBorder="1" applyAlignment="1">
      <alignment horizontal="center" vertical="center"/>
    </xf>
    <xf numFmtId="0" fontId="11" fillId="0" borderId="75" xfId="0" applyFont="1" applyBorder="1" applyAlignment="1">
      <alignment horizontal="center" vertical="center"/>
    </xf>
    <xf numFmtId="0" fontId="11" fillId="0" borderId="78" xfId="0" applyFont="1" applyBorder="1" applyAlignment="1">
      <alignment horizontal="center" vertical="center"/>
    </xf>
    <xf numFmtId="0" fontId="11" fillId="0" borderId="76" xfId="0" applyFont="1" applyBorder="1" applyAlignment="1">
      <alignment horizontal="center" vertical="center"/>
    </xf>
    <xf numFmtId="0" fontId="11" fillId="0" borderId="1" xfId="0" applyFont="1" applyBorder="1" applyAlignment="1">
      <alignment horizontal="center" vertical="top" wrapText="1"/>
    </xf>
    <xf numFmtId="0" fontId="11" fillId="0" borderId="8" xfId="0" applyFont="1" applyBorder="1" applyAlignment="1">
      <alignment horizontal="center" vertical="top" wrapText="1"/>
    </xf>
    <xf numFmtId="0" fontId="22" fillId="0" borderId="18" xfId="0" applyFont="1" applyBorder="1" applyAlignment="1">
      <alignment horizontal="center" shrinkToFit="1"/>
    </xf>
    <xf numFmtId="0" fontId="22" fillId="0" borderId="19" xfId="0" applyFont="1" applyBorder="1" applyAlignment="1">
      <alignment horizontal="center" shrinkToFit="1"/>
    </xf>
    <xf numFmtId="0" fontId="22" fillId="0" borderId="20" xfId="0" applyFont="1" applyBorder="1" applyAlignment="1">
      <alignment horizontal="center" shrinkToFit="1"/>
    </xf>
    <xf numFmtId="0" fontId="12" fillId="0" borderId="1" xfId="0" applyFont="1" applyBorder="1" applyAlignment="1">
      <alignment horizontal="left"/>
    </xf>
    <xf numFmtId="0" fontId="12" fillId="0" borderId="11" xfId="0" applyFont="1" applyBorder="1" applyAlignment="1">
      <alignment horizontal="left"/>
    </xf>
    <xf numFmtId="0" fontId="12" fillId="0" borderId="8" xfId="0" applyFont="1" applyBorder="1" applyAlignment="1">
      <alignment horizontal="left"/>
    </xf>
    <xf numFmtId="0" fontId="12" fillId="0" borderId="17" xfId="0" applyFont="1" applyBorder="1" applyAlignment="1">
      <alignment horizontal="center"/>
    </xf>
    <xf numFmtId="0" fontId="12" fillId="0" borderId="0" xfId="0" applyFont="1" applyBorder="1" applyAlignment="1">
      <alignment horizontal="center"/>
    </xf>
    <xf numFmtId="0" fontId="12" fillId="0" borderId="21" xfId="0" applyFont="1" applyBorder="1" applyAlignment="1">
      <alignment horizontal="center"/>
    </xf>
    <xf numFmtId="0" fontId="10" fillId="0" borderId="44" xfId="0" applyFont="1" applyBorder="1" applyAlignment="1">
      <alignment horizontal="center" vertical="center"/>
    </xf>
    <xf numFmtId="0" fontId="10" fillId="0" borderId="41" xfId="0" applyFont="1" applyBorder="1" applyAlignment="1">
      <alignment horizontal="center" vertical="center"/>
    </xf>
    <xf numFmtId="2" fontId="10" fillId="0" borderId="37" xfId="0" applyNumberFormat="1" applyFont="1" applyBorder="1" applyAlignment="1">
      <alignment horizontal="center" vertical="center"/>
    </xf>
    <xf numFmtId="2" fontId="10" fillId="0" borderId="43" xfId="0" applyNumberFormat="1" applyFont="1" applyBorder="1" applyAlignment="1">
      <alignment horizontal="center" vertical="center"/>
    </xf>
    <xf numFmtId="10" fontId="10" fillId="0" borderId="87" xfId="0" applyNumberFormat="1" applyFont="1" applyBorder="1" applyAlignment="1">
      <alignment horizontal="center" vertical="center"/>
    </xf>
    <xf numFmtId="10" fontId="10" fillId="0" borderId="88" xfId="0" applyNumberFormat="1" applyFont="1" applyBorder="1" applyAlignment="1">
      <alignment horizontal="center" vertical="center"/>
    </xf>
    <xf numFmtId="0" fontId="10" fillId="0" borderId="2" xfId="0" applyFont="1" applyBorder="1" applyAlignment="1">
      <alignment horizontal="center" vertical="center"/>
    </xf>
    <xf numFmtId="2" fontId="10" fillId="0" borderId="4" xfId="0" applyNumberFormat="1" applyFont="1" applyBorder="1" applyAlignment="1">
      <alignment horizontal="center" vertical="center"/>
    </xf>
    <xf numFmtId="0" fontId="11" fillId="0" borderId="35" xfId="0" applyFont="1" applyBorder="1" applyAlignment="1">
      <alignment horizontal="center" vertical="center" wrapText="1"/>
    </xf>
    <xf numFmtId="0" fontId="11" fillId="0" borderId="29"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2" xfId="0" applyFont="1" applyBorder="1" applyAlignment="1">
      <alignment horizontal="center" vertical="center" wrapText="1"/>
    </xf>
    <xf numFmtId="2" fontId="10" fillId="0" borderId="72" xfId="0" applyNumberFormat="1" applyFont="1" applyBorder="1" applyAlignment="1">
      <alignment horizontal="center" vertical="center"/>
    </xf>
    <xf numFmtId="2" fontId="10" fillId="0" borderId="39" xfId="0" applyNumberFormat="1" applyFont="1" applyBorder="1" applyAlignment="1">
      <alignment horizontal="center" vertical="center"/>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0" xfId="0" applyFont="1" applyBorder="1" applyAlignment="1">
      <alignment horizontal="center" vertical="center"/>
    </xf>
    <xf numFmtId="0" fontId="10" fillId="0" borderId="3" xfId="0" applyFont="1" applyBorder="1" applyAlignment="1">
      <alignment horizontal="center" vertical="center"/>
    </xf>
    <xf numFmtId="9" fontId="10" fillId="0" borderId="42" xfId="0" applyNumberFormat="1" applyFont="1" applyBorder="1" applyAlignment="1">
      <alignment horizontal="center" vertical="center"/>
    </xf>
    <xf numFmtId="2" fontId="10" fillId="0" borderId="41" xfId="0" applyNumberFormat="1" applyFont="1" applyBorder="1" applyAlignment="1">
      <alignment horizontal="center" vertical="center"/>
    </xf>
    <xf numFmtId="2" fontId="10" fillId="0" borderId="42" xfId="0" applyNumberFormat="1" applyFont="1" applyBorder="1" applyAlignment="1">
      <alignment horizontal="center" vertical="center"/>
    </xf>
    <xf numFmtId="0" fontId="10" fillId="0" borderId="4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10" fontId="10" fillId="0" borderId="79" xfId="0" applyNumberFormat="1" applyFont="1" applyBorder="1" applyAlignment="1">
      <alignment horizontal="center" vertical="center"/>
    </xf>
    <xf numFmtId="10" fontId="10" fillId="0" borderId="80" xfId="0" applyNumberFormat="1" applyFont="1" applyBorder="1" applyAlignment="1">
      <alignment horizontal="center" vertical="center"/>
    </xf>
    <xf numFmtId="0" fontId="10" fillId="0" borderId="36" xfId="0" applyFont="1" applyBorder="1" applyAlignment="1">
      <alignment horizontal="center" vertical="center"/>
    </xf>
    <xf numFmtId="0" fontId="10" fillId="0" borderId="39" xfId="0" applyFont="1" applyBorder="1" applyAlignment="1">
      <alignment horizontal="center" vertical="center"/>
    </xf>
    <xf numFmtId="10" fontId="10" fillId="0" borderId="81" xfId="0" applyNumberFormat="1" applyFont="1" applyBorder="1" applyAlignment="1">
      <alignment horizontal="center" vertical="center"/>
    </xf>
    <xf numFmtId="10" fontId="10" fillId="0" borderId="82"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0" xfId="0" applyFont="1" applyBorder="1" applyAlignment="1">
      <alignment horizontal="center" vertical="center"/>
    </xf>
    <xf numFmtId="0" fontId="12" fillId="0" borderId="21"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2" fontId="10" fillId="0" borderId="0" xfId="0" applyNumberFormat="1" applyFont="1" applyBorder="1" applyAlignment="1">
      <alignment horizontal="left"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0" fillId="0" borderId="8" xfId="0" applyFont="1" applyBorder="1" applyAlignment="1">
      <alignment horizontal="left" vertical="center"/>
    </xf>
    <xf numFmtId="0" fontId="12" fillId="0" borderId="1" xfId="0" applyFont="1" applyBorder="1" applyAlignment="1">
      <alignment horizontal="center" shrinkToFit="1"/>
    </xf>
    <xf numFmtId="0" fontId="12" fillId="0" borderId="11" xfId="0" applyFont="1" applyBorder="1" applyAlignment="1">
      <alignment horizontal="center" shrinkToFit="1"/>
    </xf>
    <xf numFmtId="0" fontId="12" fillId="0" borderId="8" xfId="0" applyFont="1" applyBorder="1" applyAlignment="1">
      <alignment horizontal="center" shrinkToFit="1"/>
    </xf>
    <xf numFmtId="0" fontId="12" fillId="0" borderId="0" xfId="0" applyFont="1" applyBorder="1" applyAlignment="1">
      <alignment horizontal="left"/>
    </xf>
    <xf numFmtId="2" fontId="12" fillId="0" borderId="11" xfId="0" applyNumberFormat="1" applyFont="1" applyBorder="1" applyAlignment="1">
      <alignment horizontal="center"/>
    </xf>
    <xf numFmtId="2" fontId="12" fillId="0" borderId="8" xfId="0" applyNumberFormat="1" applyFont="1" applyBorder="1" applyAlignment="1">
      <alignment horizontal="center"/>
    </xf>
    <xf numFmtId="0" fontId="22" fillId="0" borderId="0" xfId="0" applyFont="1" applyBorder="1" applyAlignment="1">
      <alignment horizontal="left"/>
    </xf>
    <xf numFmtId="0" fontId="12" fillId="0" borderId="34" xfId="0" applyFont="1" applyBorder="1" applyAlignment="1">
      <alignment horizontal="center"/>
    </xf>
    <xf numFmtId="0" fontId="12" fillId="0" borderId="35" xfId="0" applyFont="1" applyBorder="1" applyAlignment="1">
      <alignment horizontal="center"/>
    </xf>
    <xf numFmtId="0" fontId="12" fillId="0" borderId="29" xfId="0" applyFont="1" applyBorder="1" applyAlignment="1">
      <alignment horizontal="center"/>
    </xf>
    <xf numFmtId="0" fontId="12" fillId="0" borderId="36" xfId="0" applyFont="1" applyBorder="1" applyAlignment="1">
      <alignment horizontal="center" vertical="center"/>
    </xf>
    <xf numFmtId="0" fontId="12" fillId="0" borderId="42" xfId="0" applyFont="1" applyBorder="1" applyAlignment="1">
      <alignment horizontal="center" vertical="center"/>
    </xf>
    <xf numFmtId="0" fontId="12" fillId="0" borderId="44" xfId="0" applyFont="1" applyBorder="1" applyAlignment="1">
      <alignment horizontal="center" vertical="center"/>
    </xf>
    <xf numFmtId="0" fontId="12" fillId="0" borderId="41" xfId="0" applyFont="1" applyBorder="1" applyAlignment="1">
      <alignment horizontal="center" vertical="center"/>
    </xf>
    <xf numFmtId="0" fontId="12" fillId="0" borderId="36" xfId="0" applyFont="1" applyBorder="1" applyAlignment="1">
      <alignment horizontal="center"/>
    </xf>
    <xf numFmtId="0" fontId="12" fillId="0" borderId="37" xfId="0" applyFont="1" applyBorder="1" applyAlignment="1">
      <alignment horizontal="center"/>
    </xf>
    <xf numFmtId="0" fontId="13" fillId="0" borderId="18" xfId="0" applyFont="1" applyBorder="1" applyAlignment="1">
      <alignment horizontal="center"/>
    </xf>
    <xf numFmtId="0" fontId="13" fillId="0" borderId="19" xfId="0" applyFont="1" applyBorder="1" applyAlignment="1">
      <alignment horizontal="center"/>
    </xf>
    <xf numFmtId="2" fontId="13" fillId="0" borderId="3" xfId="0" applyNumberFormat="1"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10" fillId="0" borderId="17" xfId="0" applyFont="1" applyFill="1" applyBorder="1" applyAlignment="1">
      <alignment horizontal="left" vertical="center" wrapText="1"/>
    </xf>
    <xf numFmtId="0" fontId="10" fillId="0" borderId="21" xfId="0" applyFont="1" applyFill="1" applyBorder="1" applyAlignment="1">
      <alignment horizontal="left" vertical="center"/>
    </xf>
    <xf numFmtId="0" fontId="10" fillId="0" borderId="17" xfId="0" applyFont="1" applyFill="1" applyBorder="1" applyAlignment="1">
      <alignment horizontal="left" vertical="center"/>
    </xf>
    <xf numFmtId="0" fontId="25" fillId="0" borderId="0" xfId="0" applyFont="1" applyFill="1" applyBorder="1" applyAlignment="1">
      <alignment horizontal="center" vertical="center"/>
    </xf>
    <xf numFmtId="1" fontId="25" fillId="0" borderId="0" xfId="0" applyNumberFormat="1" applyFont="1" applyFill="1" applyBorder="1" applyAlignment="1">
      <alignment horizontal="center" vertical="center"/>
    </xf>
    <xf numFmtId="0" fontId="13" fillId="0" borderId="17" xfId="0" applyFont="1" applyFill="1" applyBorder="1" applyAlignment="1">
      <alignment horizontal="left" vertical="center"/>
    </xf>
    <xf numFmtId="0" fontId="10" fillId="0" borderId="21" xfId="0" applyFont="1" applyFill="1" applyBorder="1" applyAlignment="1">
      <alignment horizontal="left" vertical="center" wrapText="1"/>
    </xf>
    <xf numFmtId="0" fontId="13" fillId="0" borderId="21" xfId="0" applyFont="1" applyFill="1" applyBorder="1" applyAlignment="1">
      <alignment horizontal="left" vertical="center"/>
    </xf>
    <xf numFmtId="0" fontId="27" fillId="2" borderId="19" xfId="0" applyFont="1" applyFill="1" applyBorder="1" applyAlignment="1">
      <alignment horizontal="left" vertical="center" wrapText="1"/>
    </xf>
    <xf numFmtId="0" fontId="10" fillId="2" borderId="19" xfId="0" applyFont="1" applyFill="1" applyBorder="1" applyAlignment="1">
      <alignment vertical="center" wrapText="1"/>
    </xf>
    <xf numFmtId="0" fontId="10" fillId="2" borderId="17" xfId="0" applyFont="1" applyFill="1" applyBorder="1" applyAlignment="1">
      <alignment horizontal="left" vertical="center"/>
    </xf>
    <xf numFmtId="0" fontId="10" fillId="2" borderId="21" xfId="0" applyFont="1" applyFill="1" applyBorder="1" applyAlignment="1">
      <alignment horizontal="left" vertical="center"/>
    </xf>
    <xf numFmtId="0" fontId="10" fillId="2" borderId="17" xfId="0" applyFont="1" applyFill="1" applyBorder="1" applyAlignment="1">
      <alignment horizontal="left" vertical="center" wrapText="1"/>
    </xf>
    <xf numFmtId="0" fontId="26" fillId="2" borderId="62" xfId="0" applyFont="1" applyFill="1" applyBorder="1" applyAlignment="1">
      <alignment horizontal="left" vertical="center"/>
    </xf>
    <xf numFmtId="0" fontId="26" fillId="2" borderId="70" xfId="0" applyFont="1" applyFill="1" applyBorder="1" applyAlignment="1">
      <alignment horizontal="left" vertical="center"/>
    </xf>
    <xf numFmtId="0" fontId="10" fillId="0" borderId="19" xfId="0" applyFont="1" applyFill="1" applyBorder="1" applyAlignment="1">
      <alignment horizontal="left" vertical="center"/>
    </xf>
    <xf numFmtId="0" fontId="10" fillId="2" borderId="21" xfId="0" applyFont="1" applyFill="1" applyBorder="1" applyAlignment="1">
      <alignment horizontal="left" vertical="center" wrapText="1"/>
    </xf>
    <xf numFmtId="0" fontId="10" fillId="2" borderId="64" xfId="0" applyFont="1" applyFill="1" applyBorder="1" applyAlignment="1">
      <alignment horizontal="left" vertical="center" wrapText="1"/>
    </xf>
    <xf numFmtId="0" fontId="10" fillId="2" borderId="60" xfId="0" applyFont="1" applyFill="1" applyBorder="1" applyAlignment="1">
      <alignment horizontal="left" vertical="center" wrapText="1"/>
    </xf>
    <xf numFmtId="0" fontId="10" fillId="0" borderId="0" xfId="0" applyFont="1" applyFill="1" applyBorder="1" applyAlignment="1">
      <alignment horizontal="left" vertical="center"/>
    </xf>
    <xf numFmtId="0" fontId="10" fillId="0" borderId="18" xfId="0" applyFont="1" applyFill="1" applyBorder="1" applyAlignment="1">
      <alignment horizontal="left" vertical="center"/>
    </xf>
    <xf numFmtId="0" fontId="10" fillId="0" borderId="20" xfId="0" applyFont="1" applyFill="1" applyBorder="1" applyAlignment="1">
      <alignment horizontal="left" vertical="center"/>
    </xf>
    <xf numFmtId="0" fontId="13" fillId="0" borderId="0" xfId="0" applyFont="1" applyFill="1" applyBorder="1" applyAlignment="1">
      <alignment horizontal="right" vertical="center"/>
    </xf>
    <xf numFmtId="0" fontId="32" fillId="0" borderId="34" xfId="0" applyFont="1" applyFill="1" applyBorder="1" applyAlignment="1">
      <alignment horizontal="center" vertical="center"/>
    </xf>
    <xf numFmtId="0" fontId="32" fillId="0" borderId="35" xfId="0" applyFont="1" applyFill="1" applyBorder="1" applyAlignment="1">
      <alignment horizontal="center" vertical="center"/>
    </xf>
    <xf numFmtId="0" fontId="32" fillId="0" borderId="29"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18" xfId="0" applyFont="1" applyFill="1" applyBorder="1" applyAlignment="1">
      <alignment horizontal="center" vertical="center"/>
    </xf>
    <xf numFmtId="0" fontId="32" fillId="0" borderId="19" xfId="0" applyFont="1" applyFill="1" applyBorder="1" applyAlignment="1">
      <alignment horizontal="center" vertical="center"/>
    </xf>
    <xf numFmtId="0" fontId="32" fillId="0" borderId="20" xfId="0" applyFont="1" applyFill="1" applyBorder="1" applyAlignment="1">
      <alignment horizontal="center" vertical="center"/>
    </xf>
    <xf numFmtId="0" fontId="21" fillId="0" borderId="17" xfId="0" applyFont="1" applyFill="1" applyBorder="1" applyAlignment="1">
      <alignment horizontal="left" vertical="center"/>
    </xf>
    <xf numFmtId="0" fontId="21" fillId="0" borderId="21" xfId="0" applyFont="1" applyFill="1" applyBorder="1" applyAlignment="1">
      <alignment horizontal="left" vertical="center"/>
    </xf>
    <xf numFmtId="0" fontId="13" fillId="0" borderId="0" xfId="0" applyFont="1" applyFill="1" applyBorder="1" applyAlignment="1" applyProtection="1">
      <alignment horizontal="center" vertical="center"/>
      <protection locked="0"/>
    </xf>
    <xf numFmtId="0" fontId="10" fillId="0" borderId="34" xfId="0" applyFont="1" applyFill="1" applyBorder="1" applyAlignment="1">
      <alignment horizontal="left" vertical="center"/>
    </xf>
    <xf numFmtId="0" fontId="10" fillId="0" borderId="29" xfId="0" applyFont="1" applyFill="1" applyBorder="1" applyAlignment="1">
      <alignment horizontal="left" vertical="center"/>
    </xf>
    <xf numFmtId="0" fontId="10" fillId="0" borderId="17" xfId="0" applyFont="1" applyFill="1" applyBorder="1" applyAlignment="1">
      <alignment horizontal="right" vertical="center"/>
    </xf>
    <xf numFmtId="0" fontId="10" fillId="0" borderId="21" xfId="0" applyFont="1" applyFill="1" applyBorder="1" applyAlignment="1">
      <alignment horizontal="right" vertical="center"/>
    </xf>
    <xf numFmtId="0" fontId="10" fillId="0" borderId="18" xfId="0" applyFont="1" applyFill="1" applyBorder="1" applyAlignment="1">
      <alignment horizontal="right" vertical="center"/>
    </xf>
    <xf numFmtId="0" fontId="10" fillId="0" borderId="20" xfId="0" applyFont="1" applyFill="1" applyBorder="1" applyAlignment="1">
      <alignment horizontal="right" vertical="center"/>
    </xf>
  </cellXfs>
  <cellStyles count="3">
    <cellStyle name="Comma" xfId="1" builtinId="3"/>
    <cellStyle name="Normal" xfId="0" builtinId="0"/>
    <cellStyle name="Percent" xfId="2" builtinId="5"/>
  </cellStyles>
  <dxfs count="1">
    <dxf>
      <font>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Chirag\Others\PENDRIVE\IMP%20DOCS\chirag\important%20document\Users\RBG\Downloads\project%20report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count\d\account%20folder\Project%20Report%20&amp;%20other%20documents\CMA%20DATA\abc.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 val="Sheet3"/>
      <sheetName val="Sheet4"/>
      <sheetName val="Sheet5"/>
      <sheetName val="Sheet6"/>
      <sheetName val="Production Sheet"/>
      <sheetName val="Cost Sheet"/>
      <sheetName val="Cost Sheet (2)"/>
      <sheetName val="Cost Sheet 3"/>
      <sheetName val="Cost Sheet4"/>
      <sheetName val="Sheet7"/>
      <sheetName val="Sheet8"/>
      <sheetName val="Sheet9"/>
      <sheetName val="Sheet10"/>
      <sheetName val="Sheet11"/>
    </sheetNames>
    <sheetDataSet>
      <sheetData sheetId="0"/>
      <sheetData sheetId="1"/>
      <sheetData sheetId="2"/>
      <sheetData sheetId="3"/>
      <sheetData sheetId="4"/>
      <sheetData sheetId="5"/>
      <sheetData sheetId="6"/>
      <sheetData sheetId="7"/>
      <sheetData sheetId="8"/>
      <sheetData sheetId="9"/>
      <sheetData sheetId="10"/>
      <sheetData sheetId="11">
        <row r="16">
          <cell r="C16">
            <v>0</v>
          </cell>
          <cell r="D16">
            <v>0</v>
          </cell>
          <cell r="E16">
            <v>0</v>
          </cell>
          <cell r="F16">
            <v>0</v>
          </cell>
          <cell r="G16">
            <v>0</v>
          </cell>
        </row>
      </sheetData>
      <sheetData sheetId="12"/>
      <sheetData sheetId="13"/>
      <sheetData sheetId="1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amp;l"/>
      <sheetName val="bsheet"/>
      <sheetName val="cash flow"/>
      <sheetName val="wc cal"/>
      <sheetName val="fa&amp;dep."/>
      <sheetName val="ratios"/>
      <sheetName val="int.cal."/>
      <sheetName val="CMA"/>
      <sheetName val="base yr data"/>
      <sheetName val="i1"/>
      <sheetName val="emi2"/>
      <sheetName val="cost sheet"/>
    </sheetNames>
    <sheetDataSet>
      <sheetData sheetId="0" refreshError="1"/>
      <sheetData sheetId="1" refreshError="1">
        <row r="40">
          <cell r="E4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G28"/>
  <sheetViews>
    <sheetView workbookViewId="0"/>
  </sheetViews>
  <sheetFormatPr defaultRowHeight="13.5"/>
  <cols>
    <col min="1" max="1" width="10.85546875" style="1" bestFit="1" customWidth="1"/>
    <col min="2" max="2" width="40.7109375" style="1" customWidth="1"/>
    <col min="3" max="3" width="5.42578125" style="1" customWidth="1"/>
    <col min="4" max="4" width="19.7109375" style="1" customWidth="1"/>
    <col min="5" max="16384" width="9.140625" style="1"/>
  </cols>
  <sheetData>
    <row r="1" spans="1:7" ht="23.25">
      <c r="A1" s="779" t="e">
        <f>+#REF!</f>
        <v>#REF!</v>
      </c>
      <c r="C1" s="5"/>
    </row>
    <row r="2" spans="1:7" ht="16.5">
      <c r="A2" s="796" t="s">
        <v>202</v>
      </c>
      <c r="B2" s="797"/>
      <c r="C2" s="797"/>
      <c r="D2" s="798"/>
    </row>
    <row r="3" spans="1:7" ht="15">
      <c r="A3" s="733" t="s">
        <v>196</v>
      </c>
      <c r="B3" s="8" t="s">
        <v>152</v>
      </c>
      <c r="C3" s="23"/>
      <c r="D3" s="734" t="s">
        <v>209</v>
      </c>
    </row>
    <row r="4" spans="1:7">
      <c r="A4" s="35">
        <v>1</v>
      </c>
      <c r="B4" s="11" t="s">
        <v>203</v>
      </c>
      <c r="C4" s="24"/>
      <c r="D4" s="735">
        <f>LANDBLDG!G8/100000</f>
        <v>0</v>
      </c>
      <c r="E4" s="12">
        <v>0.75</v>
      </c>
      <c r="F4" s="1">
        <f>D4*E4</f>
        <v>0</v>
      </c>
    </row>
    <row r="5" spans="1:7">
      <c r="A5" s="35"/>
      <c r="B5" s="11"/>
      <c r="C5" s="24"/>
      <c r="D5" s="735"/>
    </row>
    <row r="6" spans="1:7">
      <c r="A6" s="35">
        <v>2</v>
      </c>
      <c r="B6" s="11" t="s">
        <v>204</v>
      </c>
      <c r="C6" s="24"/>
      <c r="D6" s="735">
        <v>0</v>
      </c>
      <c r="E6" s="12">
        <v>0.75</v>
      </c>
      <c r="F6" s="1">
        <f>D6*E6</f>
        <v>0</v>
      </c>
    </row>
    <row r="7" spans="1:7">
      <c r="A7" s="35"/>
      <c r="B7" s="11"/>
      <c r="C7" s="24"/>
      <c r="D7" s="735"/>
    </row>
    <row r="8" spans="1:7">
      <c r="A8" s="35">
        <v>3</v>
      </c>
      <c r="B8" s="11" t="s">
        <v>205</v>
      </c>
      <c r="C8" s="24"/>
      <c r="D8" s="735">
        <f>'PLANT&amp;MACHINERY'!E29/100000</f>
        <v>16.809999999999999</v>
      </c>
      <c r="E8" s="12">
        <v>0.75</v>
      </c>
      <c r="F8" s="1">
        <f>D8*E8</f>
        <v>12.607499999999998</v>
      </c>
      <c r="G8" s="2"/>
    </row>
    <row r="9" spans="1:7">
      <c r="A9" s="35"/>
      <c r="B9" s="11"/>
      <c r="C9" s="24"/>
      <c r="D9" s="735"/>
    </row>
    <row r="10" spans="1:7">
      <c r="A10" s="35">
        <v>4</v>
      </c>
      <c r="B10" s="731" t="s">
        <v>3</v>
      </c>
      <c r="C10" s="24"/>
      <c r="D10" s="735">
        <f>WCAPITAL!D25</f>
        <v>19.250839374999998</v>
      </c>
    </row>
    <row r="11" spans="1:7">
      <c r="A11" s="35"/>
      <c r="B11" s="11"/>
      <c r="C11" s="24"/>
      <c r="D11" s="735"/>
    </row>
    <row r="12" spans="1:7">
      <c r="A12" s="35">
        <v>5</v>
      </c>
      <c r="B12" s="11" t="s">
        <v>364</v>
      </c>
      <c r="C12" s="24"/>
      <c r="D12" s="735"/>
    </row>
    <row r="13" spans="1:7">
      <c r="A13" s="10"/>
      <c r="B13" s="11"/>
      <c r="C13" s="24"/>
      <c r="D13" s="735"/>
    </row>
    <row r="14" spans="1:7" ht="15">
      <c r="A14" s="10"/>
      <c r="B14" s="13" t="s">
        <v>161</v>
      </c>
      <c r="C14" s="25"/>
      <c r="D14" s="736">
        <f>SUM(D4:D10)</f>
        <v>36.060839375</v>
      </c>
      <c r="E14" s="2">
        <f>D14-D10</f>
        <v>16.810000000000002</v>
      </c>
      <c r="F14" s="14">
        <f>SUM(F4:F10)</f>
        <v>12.607499999999998</v>
      </c>
    </row>
    <row r="15" spans="1:7">
      <c r="A15" s="149"/>
      <c r="B15" s="150"/>
      <c r="C15" s="150"/>
      <c r="D15" s="732"/>
    </row>
    <row r="16" spans="1:7" ht="16.5">
      <c r="A16" s="799" t="s">
        <v>195</v>
      </c>
      <c r="B16" s="800"/>
      <c r="C16" s="800"/>
      <c r="D16" s="801"/>
    </row>
    <row r="17" spans="1:7" ht="15">
      <c r="A17" s="733" t="s">
        <v>196</v>
      </c>
      <c r="B17" s="8" t="s">
        <v>152</v>
      </c>
      <c r="C17" s="23"/>
      <c r="D17" s="734" t="s">
        <v>241</v>
      </c>
    </row>
    <row r="18" spans="1:7">
      <c r="A18" s="35">
        <v>1</v>
      </c>
      <c r="B18" s="11" t="s">
        <v>274</v>
      </c>
      <c r="C18" s="24"/>
      <c r="D18" s="735">
        <v>8</v>
      </c>
    </row>
    <row r="19" spans="1:7">
      <c r="A19" s="35">
        <v>2</v>
      </c>
      <c r="B19" s="11" t="s">
        <v>206</v>
      </c>
      <c r="C19" s="24"/>
      <c r="D19" s="735">
        <f>ROUND(F14,2)</f>
        <v>12.61</v>
      </c>
      <c r="F19" s="15"/>
    </row>
    <row r="20" spans="1:7">
      <c r="A20" s="35">
        <v>3</v>
      </c>
      <c r="B20" s="11" t="s">
        <v>229</v>
      </c>
      <c r="C20" s="24"/>
      <c r="D20" s="735">
        <v>10</v>
      </c>
      <c r="E20" s="2"/>
    </row>
    <row r="21" spans="1:7">
      <c r="A21" s="35"/>
      <c r="B21" s="11"/>
      <c r="C21" s="24"/>
      <c r="D21" s="735"/>
      <c r="E21" s="2"/>
    </row>
    <row r="22" spans="1:7" ht="15">
      <c r="A22" s="10"/>
      <c r="B22" s="17" t="s">
        <v>161</v>
      </c>
      <c r="C22" s="26"/>
      <c r="D22" s="736">
        <f>SUM(D18:D20)</f>
        <v>30.61</v>
      </c>
    </row>
    <row r="23" spans="1:7">
      <c r="A23" s="10"/>
      <c r="B23" s="11" t="s">
        <v>688</v>
      </c>
      <c r="C23" s="24"/>
      <c r="D23" s="735">
        <f>+D19/D18</f>
        <v>1.5762499999999999</v>
      </c>
    </row>
    <row r="24" spans="1:7" ht="15">
      <c r="A24" s="10"/>
      <c r="B24" s="17"/>
      <c r="C24" s="27"/>
      <c r="D24" s="118"/>
      <c r="E24" s="2"/>
      <c r="F24" s="2"/>
      <c r="G24" s="2"/>
    </row>
    <row r="25" spans="1:7" ht="15">
      <c r="A25" s="10"/>
      <c r="B25" s="17"/>
      <c r="C25" s="26"/>
      <c r="D25" s="10"/>
      <c r="E25" s="2"/>
      <c r="F25" s="2"/>
      <c r="G25" s="2"/>
    </row>
    <row r="26" spans="1:7">
      <c r="A26" s="10"/>
      <c r="B26" s="11"/>
      <c r="C26" s="24"/>
      <c r="D26" s="258"/>
    </row>
    <row r="28" spans="1:7">
      <c r="D28" s="22">
        <f>100%-D26</f>
        <v>1</v>
      </c>
    </row>
  </sheetData>
  <mergeCells count="2">
    <mergeCell ref="A2:D2"/>
    <mergeCell ref="A16:D16"/>
  </mergeCells>
  <phoneticPr fontId="0" type="noConversion"/>
  <printOptions horizontalCentered="1"/>
  <pageMargins left="0.74803149606299213" right="0.74803149606299213" top="0.98425196850393704" bottom="0.98425196850393704" header="0.51181102362204722" footer="0.51181102362204722"/>
  <pageSetup orientation="portrait" horizontalDpi="4294967294" verticalDpi="300" r:id="rId1"/>
  <headerFooter alignWithMargins="0"/>
</worksheet>
</file>

<file path=xl/worksheets/sheet10.xml><?xml version="1.0" encoding="utf-8"?>
<worksheet xmlns="http://schemas.openxmlformats.org/spreadsheetml/2006/main" xmlns:r="http://schemas.openxmlformats.org/officeDocument/2006/relationships">
  <sheetPr codeName="Sheet10"/>
  <dimension ref="A1:P94"/>
  <sheetViews>
    <sheetView topLeftCell="G1" workbookViewId="0">
      <selection activeCell="P15" sqref="P15"/>
    </sheetView>
  </sheetViews>
  <sheetFormatPr defaultRowHeight="13.5"/>
  <cols>
    <col min="1" max="1" width="25.42578125" style="205" customWidth="1"/>
    <col min="2" max="2" width="15.42578125" style="205" customWidth="1"/>
    <col min="3" max="3" width="19.140625" style="205" bestFit="1" customWidth="1"/>
    <col min="4" max="4" width="11.5703125" style="205" bestFit="1" customWidth="1"/>
    <col min="5" max="5" width="7.140625" style="205" bestFit="1" customWidth="1"/>
    <col min="6" max="6" width="12.42578125" style="205" bestFit="1" customWidth="1"/>
    <col min="7" max="8" width="9.28515625" style="205" bestFit="1" customWidth="1"/>
    <col min="9" max="10" width="9.140625" style="205"/>
    <col min="11" max="11" width="13.7109375" style="205" bestFit="1" customWidth="1"/>
    <col min="12" max="12" width="11" style="205" bestFit="1" customWidth="1"/>
    <col min="13" max="13" width="13.7109375" style="205" bestFit="1" customWidth="1"/>
    <col min="14" max="14" width="14.7109375" style="205" customWidth="1"/>
    <col min="15" max="15" width="15.5703125" style="205" bestFit="1" customWidth="1"/>
    <col min="16" max="16" width="9.7109375" style="205" bestFit="1" customWidth="1"/>
    <col min="17" max="16384" width="9.140625" style="205"/>
  </cols>
  <sheetData>
    <row r="1" spans="1:15" ht="23.25">
      <c r="H1" s="777" t="e">
        <f>+DEPRECATION!A1</f>
        <v>#REF!</v>
      </c>
    </row>
    <row r="2" spans="1:15" ht="16.5">
      <c r="H2" s="206" t="s">
        <v>676</v>
      </c>
      <c r="I2" s="207" t="s">
        <v>337</v>
      </c>
      <c r="J2" s="207"/>
      <c r="K2" s="207"/>
      <c r="L2" s="207"/>
      <c r="M2" s="208"/>
      <c r="N2" s="208"/>
      <c r="O2" s="208"/>
    </row>
    <row r="3" spans="1:15" ht="15.75">
      <c r="A3" s="209"/>
      <c r="C3" s="210"/>
      <c r="H3" s="208"/>
      <c r="I3" s="208"/>
      <c r="J3" s="208"/>
      <c r="K3" s="208"/>
      <c r="L3" s="208"/>
      <c r="M3" s="208"/>
      <c r="N3" s="208"/>
      <c r="O3" s="208"/>
    </row>
    <row r="4" spans="1:15" ht="16.5">
      <c r="A4" s="209"/>
      <c r="C4" s="210"/>
      <c r="H4" s="207">
        <v>1</v>
      </c>
      <c r="I4" s="211" t="s">
        <v>338</v>
      </c>
      <c r="J4" s="207"/>
      <c r="K4" s="207"/>
      <c r="L4" s="207"/>
      <c r="M4" s="207"/>
      <c r="N4" s="207"/>
      <c r="O4" s="212">
        <f>COSTOFPROJECT!D19</f>
        <v>12.61</v>
      </c>
    </row>
    <row r="5" spans="1:15" ht="16.5">
      <c r="C5" s="213"/>
      <c r="H5" s="207">
        <v>2</v>
      </c>
      <c r="I5" s="207" t="s">
        <v>339</v>
      </c>
      <c r="J5" s="207"/>
      <c r="K5" s="207"/>
      <c r="L5" s="207"/>
      <c r="M5" s="207"/>
      <c r="N5" s="207"/>
      <c r="O5" s="214" t="s">
        <v>340</v>
      </c>
    </row>
    <row r="6" spans="1:15" ht="16.5">
      <c r="H6" s="207">
        <v>3</v>
      </c>
      <c r="I6" s="207" t="s">
        <v>341</v>
      </c>
      <c r="J6" s="207"/>
      <c r="K6" s="207"/>
      <c r="L6" s="207"/>
      <c r="M6" s="207"/>
      <c r="N6" s="207"/>
      <c r="O6" s="215">
        <v>41136</v>
      </c>
    </row>
    <row r="7" spans="1:15" ht="16.5">
      <c r="H7" s="207">
        <v>4</v>
      </c>
      <c r="I7" s="207" t="s">
        <v>342</v>
      </c>
      <c r="J7" s="207"/>
      <c r="K7" s="207"/>
      <c r="L7" s="207"/>
      <c r="M7" s="207"/>
      <c r="N7" s="207"/>
      <c r="O7" s="216">
        <v>0.13</v>
      </c>
    </row>
    <row r="8" spans="1:15" ht="17.25" thickBot="1">
      <c r="G8" s="222"/>
      <c r="H8" s="207">
        <v>5</v>
      </c>
      <c r="I8" s="207" t="s">
        <v>343</v>
      </c>
      <c r="J8" s="207"/>
      <c r="K8" s="207"/>
      <c r="L8" s="207"/>
      <c r="M8" s="207"/>
      <c r="N8" s="207"/>
      <c r="O8" s="214">
        <v>60</v>
      </c>
    </row>
    <row r="9" spans="1:15" ht="16.5">
      <c r="A9" s="217" t="e">
        <f>+DEPRECATION!A1</f>
        <v>#REF!</v>
      </c>
      <c r="B9" s="218"/>
      <c r="C9" s="218"/>
      <c r="D9" s="218"/>
      <c r="E9" s="219"/>
      <c r="F9" s="220"/>
      <c r="G9" s="248"/>
      <c r="H9" s="207">
        <v>6</v>
      </c>
      <c r="I9" s="207" t="s">
        <v>70</v>
      </c>
      <c r="J9" s="207"/>
      <c r="K9" s="207"/>
      <c r="L9" s="207"/>
      <c r="M9" s="207"/>
      <c r="N9" s="207"/>
      <c r="O9" s="221">
        <f>O4/O8</f>
        <v>0.21016666666666667</v>
      </c>
    </row>
    <row r="10" spans="1:15" ht="18.75">
      <c r="A10" s="860" t="s">
        <v>215</v>
      </c>
      <c r="B10" s="861"/>
      <c r="C10" s="861"/>
      <c r="D10" s="861"/>
      <c r="E10" s="861"/>
      <c r="F10" s="862"/>
      <c r="H10" s="207">
        <v>7</v>
      </c>
      <c r="I10" s="207" t="s">
        <v>687</v>
      </c>
      <c r="J10" s="207"/>
      <c r="K10" s="207"/>
      <c r="L10" s="207"/>
      <c r="M10" s="207"/>
      <c r="N10" s="207"/>
      <c r="O10" s="221" t="s">
        <v>363</v>
      </c>
    </row>
    <row r="11" spans="1:15" ht="31.5">
      <c r="A11" s="204" t="s">
        <v>65</v>
      </c>
      <c r="B11" s="222"/>
      <c r="C11" s="222"/>
      <c r="D11" s="222"/>
      <c r="E11" s="222"/>
      <c r="F11" s="223"/>
      <c r="H11" s="249" t="s">
        <v>344</v>
      </c>
      <c r="I11" s="250" t="s">
        <v>345</v>
      </c>
      <c r="J11" s="250" t="s">
        <v>346</v>
      </c>
      <c r="K11" s="250" t="s">
        <v>347</v>
      </c>
      <c r="L11" s="250" t="s">
        <v>675</v>
      </c>
      <c r="M11" s="250" t="s">
        <v>348</v>
      </c>
      <c r="N11" s="847" t="s">
        <v>349</v>
      </c>
      <c r="O11" s="848"/>
    </row>
    <row r="12" spans="1:15" ht="15.75">
      <c r="A12" s="224" t="s">
        <v>66</v>
      </c>
      <c r="B12" s="222"/>
      <c r="C12" s="225">
        <v>0</v>
      </c>
      <c r="D12" s="222"/>
      <c r="E12" s="222"/>
      <c r="F12" s="223"/>
      <c r="H12" s="226"/>
      <c r="I12" s="226"/>
      <c r="J12" s="226"/>
      <c r="K12" s="226"/>
      <c r="L12" s="226"/>
      <c r="M12" s="226"/>
      <c r="N12" s="227" t="s">
        <v>297</v>
      </c>
      <c r="O12" s="227" t="s">
        <v>298</v>
      </c>
    </row>
    <row r="13" spans="1:15" ht="15.75">
      <c r="A13" s="224" t="s">
        <v>157</v>
      </c>
      <c r="B13" s="222"/>
      <c r="C13" s="228">
        <v>0.13</v>
      </c>
      <c r="D13" s="222"/>
      <c r="E13" s="222"/>
      <c r="F13" s="223"/>
      <c r="H13" s="229">
        <v>1</v>
      </c>
      <c r="I13" s="230"/>
      <c r="J13" s="231"/>
      <c r="K13" s="232">
        <f>O4</f>
        <v>12.61</v>
      </c>
      <c r="L13" s="233">
        <v>0</v>
      </c>
      <c r="M13" s="233">
        <f t="shared" ref="M13:M72" si="0">K13-L13</f>
        <v>12.61</v>
      </c>
      <c r="N13" s="233">
        <f>K13*O$7/12</f>
        <v>0.13660833333333333</v>
      </c>
      <c r="O13" s="233"/>
    </row>
    <row r="14" spans="1:15" ht="15.75">
      <c r="A14" s="845" t="s">
        <v>67</v>
      </c>
      <c r="B14" s="805" t="s">
        <v>68</v>
      </c>
      <c r="C14" s="234" t="s">
        <v>166</v>
      </c>
      <c r="D14" s="863" t="s">
        <v>69</v>
      </c>
      <c r="E14" s="863"/>
      <c r="F14" s="236" t="s">
        <v>163</v>
      </c>
      <c r="H14" s="229">
        <f>H13+1</f>
        <v>2</v>
      </c>
      <c r="I14" s="230"/>
      <c r="J14" s="231"/>
      <c r="K14" s="232">
        <f t="shared" ref="K14:K72" si="1">K13-L13</f>
        <v>12.61</v>
      </c>
      <c r="L14" s="233">
        <f t="shared" ref="L14:L72" si="2">L13</f>
        <v>0</v>
      </c>
      <c r="M14" s="233">
        <f t="shared" si="0"/>
        <v>12.61</v>
      </c>
      <c r="N14" s="233">
        <f t="shared" ref="N14:N72" si="3">K14*O$7/12</f>
        <v>0.13660833333333333</v>
      </c>
      <c r="O14" s="233"/>
    </row>
    <row r="15" spans="1:15" ht="15.75">
      <c r="A15" s="845"/>
      <c r="B15" s="807"/>
      <c r="C15" s="196" t="s">
        <v>165</v>
      </c>
      <c r="D15" s="235" t="s">
        <v>70</v>
      </c>
      <c r="E15" s="235" t="s">
        <v>52</v>
      </c>
      <c r="F15" s="237" t="s">
        <v>162</v>
      </c>
      <c r="H15" s="229">
        <f t="shared" ref="H15:H72" si="4">H14+1</f>
        <v>3</v>
      </c>
      <c r="I15" s="230"/>
      <c r="J15" s="231"/>
      <c r="K15" s="232">
        <f t="shared" si="1"/>
        <v>12.61</v>
      </c>
      <c r="L15" s="233">
        <f>+O9</f>
        <v>0.21016666666666667</v>
      </c>
      <c r="M15" s="233">
        <f t="shared" si="0"/>
        <v>12.399833333333333</v>
      </c>
      <c r="N15" s="233">
        <f t="shared" si="3"/>
        <v>0.13660833333333333</v>
      </c>
      <c r="O15" s="233"/>
    </row>
    <row r="16" spans="1:15" ht="15.75">
      <c r="A16" s="845" t="s">
        <v>71</v>
      </c>
      <c r="B16" s="71" t="s">
        <v>72</v>
      </c>
      <c r="C16" s="238">
        <f>+C12/100000</f>
        <v>0</v>
      </c>
      <c r="D16" s="238">
        <f>G19</f>
        <v>0</v>
      </c>
      <c r="E16" s="238">
        <f t="shared" ref="E16:E29" si="5">C16*$C$13/2</f>
        <v>0</v>
      </c>
      <c r="F16" s="846">
        <f>E16+E17</f>
        <v>0</v>
      </c>
      <c r="H16" s="229">
        <f t="shared" si="4"/>
        <v>4</v>
      </c>
      <c r="I16" s="230"/>
      <c r="J16" s="231"/>
      <c r="K16" s="232">
        <f t="shared" si="1"/>
        <v>12.399833333333333</v>
      </c>
      <c r="L16" s="233">
        <f t="shared" si="2"/>
        <v>0.21016666666666667</v>
      </c>
      <c r="M16" s="233">
        <f t="shared" si="0"/>
        <v>12.189666666666668</v>
      </c>
      <c r="N16" s="233">
        <f t="shared" si="3"/>
        <v>0.13433152777777779</v>
      </c>
      <c r="O16" s="233"/>
    </row>
    <row r="17" spans="1:16" ht="15.75">
      <c r="A17" s="845"/>
      <c r="B17" s="71" t="s">
        <v>73</v>
      </c>
      <c r="C17" s="238">
        <f>C16-D16</f>
        <v>0</v>
      </c>
      <c r="D17" s="238">
        <f>G19</f>
        <v>0</v>
      </c>
      <c r="E17" s="238">
        <f t="shared" si="5"/>
        <v>0</v>
      </c>
      <c r="F17" s="846"/>
      <c r="H17" s="229">
        <f t="shared" si="4"/>
        <v>5</v>
      </c>
      <c r="I17" s="230"/>
      <c r="J17" s="231"/>
      <c r="K17" s="232">
        <f t="shared" si="1"/>
        <v>12.189666666666668</v>
      </c>
      <c r="L17" s="233">
        <f t="shared" si="2"/>
        <v>0.21016666666666667</v>
      </c>
      <c r="M17" s="233">
        <f t="shared" si="0"/>
        <v>11.979500000000002</v>
      </c>
      <c r="N17" s="233">
        <f t="shared" si="3"/>
        <v>0.13205472222222223</v>
      </c>
      <c r="O17" s="233"/>
    </row>
    <row r="18" spans="1:16" ht="15.75">
      <c r="A18" s="845" t="s">
        <v>164</v>
      </c>
      <c r="B18" s="71" t="s">
        <v>72</v>
      </c>
      <c r="C18" s="238">
        <f>C17-D17</f>
        <v>0</v>
      </c>
      <c r="D18" s="238">
        <f>D17</f>
        <v>0</v>
      </c>
      <c r="E18" s="238">
        <f t="shared" si="5"/>
        <v>0</v>
      </c>
      <c r="F18" s="846">
        <f>E18+E19</f>
        <v>0</v>
      </c>
      <c r="H18" s="229">
        <f t="shared" si="4"/>
        <v>6</v>
      </c>
      <c r="I18" s="230"/>
      <c r="J18" s="239"/>
      <c r="K18" s="232">
        <f t="shared" si="1"/>
        <v>11.979500000000002</v>
      </c>
      <c r="L18" s="233">
        <f t="shared" si="2"/>
        <v>0.21016666666666667</v>
      </c>
      <c r="M18" s="233">
        <f t="shared" si="0"/>
        <v>11.769333333333336</v>
      </c>
      <c r="N18" s="233">
        <f t="shared" si="3"/>
        <v>0.12977791666666669</v>
      </c>
      <c r="O18" s="240"/>
    </row>
    <row r="19" spans="1:16" ht="15.75">
      <c r="A19" s="845"/>
      <c r="B19" s="71" t="s">
        <v>73</v>
      </c>
      <c r="C19" s="238">
        <f t="shared" ref="C19:C29" si="6">C18-D18</f>
        <v>0</v>
      </c>
      <c r="D19" s="238">
        <f t="shared" ref="D19:D29" si="7">D18</f>
        <v>0</v>
      </c>
      <c r="E19" s="238">
        <f t="shared" si="5"/>
        <v>0</v>
      </c>
      <c r="F19" s="846"/>
      <c r="G19" s="213">
        <f>C16/10</f>
        <v>0</v>
      </c>
      <c r="H19" s="229">
        <f t="shared" si="4"/>
        <v>7</v>
      </c>
      <c r="I19" s="230"/>
      <c r="J19" s="231"/>
      <c r="K19" s="232">
        <f t="shared" si="1"/>
        <v>11.769333333333336</v>
      </c>
      <c r="L19" s="233">
        <f t="shared" si="2"/>
        <v>0.21016666666666667</v>
      </c>
      <c r="M19" s="233">
        <f t="shared" si="0"/>
        <v>11.55916666666667</v>
      </c>
      <c r="N19" s="233">
        <f t="shared" si="3"/>
        <v>0.12750111111111115</v>
      </c>
      <c r="O19" s="233"/>
    </row>
    <row r="20" spans="1:16" ht="15.75">
      <c r="A20" s="845" t="s">
        <v>167</v>
      </c>
      <c r="B20" s="71" t="s">
        <v>72</v>
      </c>
      <c r="C20" s="238">
        <f t="shared" si="6"/>
        <v>0</v>
      </c>
      <c r="D20" s="238">
        <f t="shared" si="7"/>
        <v>0</v>
      </c>
      <c r="E20" s="238">
        <f t="shared" si="5"/>
        <v>0</v>
      </c>
      <c r="F20" s="846">
        <f>E20+E21</f>
        <v>0</v>
      </c>
      <c r="H20" s="229">
        <f t="shared" si="4"/>
        <v>8</v>
      </c>
      <c r="I20" s="230"/>
      <c r="J20" s="231"/>
      <c r="K20" s="232">
        <f t="shared" si="1"/>
        <v>11.55916666666667</v>
      </c>
      <c r="L20" s="233">
        <f t="shared" si="2"/>
        <v>0.21016666666666667</v>
      </c>
      <c r="M20" s="233">
        <f t="shared" si="0"/>
        <v>11.349000000000004</v>
      </c>
      <c r="N20" s="233">
        <f t="shared" si="3"/>
        <v>0.12522430555555561</v>
      </c>
      <c r="O20" s="233"/>
    </row>
    <row r="21" spans="1:16" ht="15.75">
      <c r="A21" s="845"/>
      <c r="B21" s="71" t="s">
        <v>73</v>
      </c>
      <c r="C21" s="238">
        <f t="shared" si="6"/>
        <v>0</v>
      </c>
      <c r="D21" s="238">
        <f t="shared" si="7"/>
        <v>0</v>
      </c>
      <c r="E21" s="238">
        <f t="shared" si="5"/>
        <v>0</v>
      </c>
      <c r="F21" s="846"/>
      <c r="H21" s="229">
        <f t="shared" si="4"/>
        <v>9</v>
      </c>
      <c r="I21" s="230"/>
      <c r="J21" s="231"/>
      <c r="K21" s="232">
        <f t="shared" si="1"/>
        <v>11.349000000000004</v>
      </c>
      <c r="L21" s="233">
        <f t="shared" si="2"/>
        <v>0.21016666666666667</v>
      </c>
      <c r="M21" s="233">
        <f t="shared" si="0"/>
        <v>11.138833333333338</v>
      </c>
      <c r="N21" s="233">
        <f t="shared" si="3"/>
        <v>0.12294750000000004</v>
      </c>
      <c r="O21" s="233"/>
    </row>
    <row r="22" spans="1:16" ht="15.75">
      <c r="A22" s="845" t="s">
        <v>168</v>
      </c>
      <c r="B22" s="71" t="s">
        <v>72</v>
      </c>
      <c r="C22" s="238">
        <f t="shared" si="6"/>
        <v>0</v>
      </c>
      <c r="D22" s="238">
        <f t="shared" si="7"/>
        <v>0</v>
      </c>
      <c r="E22" s="238">
        <f t="shared" si="5"/>
        <v>0</v>
      </c>
      <c r="F22" s="846">
        <f>E22+E23</f>
        <v>0</v>
      </c>
      <c r="H22" s="229">
        <f t="shared" si="4"/>
        <v>10</v>
      </c>
      <c r="I22" s="230"/>
      <c r="J22" s="231"/>
      <c r="K22" s="232">
        <f t="shared" si="1"/>
        <v>11.138833333333338</v>
      </c>
      <c r="L22" s="233">
        <f t="shared" si="2"/>
        <v>0.21016666666666667</v>
      </c>
      <c r="M22" s="233">
        <f t="shared" si="0"/>
        <v>10.928666666666672</v>
      </c>
      <c r="N22" s="233">
        <f t="shared" si="3"/>
        <v>0.1206706944444445</v>
      </c>
      <c r="O22" s="233"/>
    </row>
    <row r="23" spans="1:16" ht="15.75">
      <c r="A23" s="845"/>
      <c r="B23" s="71" t="s">
        <v>73</v>
      </c>
      <c r="C23" s="238">
        <f t="shared" si="6"/>
        <v>0</v>
      </c>
      <c r="D23" s="238">
        <f t="shared" si="7"/>
        <v>0</v>
      </c>
      <c r="E23" s="238">
        <f t="shared" si="5"/>
        <v>0</v>
      </c>
      <c r="F23" s="846"/>
      <c r="H23" s="229">
        <f t="shared" si="4"/>
        <v>11</v>
      </c>
      <c r="I23" s="230"/>
      <c r="J23" s="231"/>
      <c r="K23" s="232">
        <f t="shared" si="1"/>
        <v>10.928666666666672</v>
      </c>
      <c r="L23" s="233">
        <f t="shared" si="2"/>
        <v>0.21016666666666667</v>
      </c>
      <c r="M23" s="233">
        <f t="shared" si="0"/>
        <v>10.718500000000006</v>
      </c>
      <c r="N23" s="233">
        <f t="shared" si="3"/>
        <v>0.11839388888888895</v>
      </c>
      <c r="O23" s="233"/>
    </row>
    <row r="24" spans="1:16" ht="16.5" thickBot="1">
      <c r="A24" s="845" t="s">
        <v>169</v>
      </c>
      <c r="B24" s="71" t="s">
        <v>72</v>
      </c>
      <c r="C24" s="238">
        <f t="shared" si="6"/>
        <v>0</v>
      </c>
      <c r="D24" s="238">
        <f t="shared" si="7"/>
        <v>0</v>
      </c>
      <c r="E24" s="238">
        <f t="shared" si="5"/>
        <v>0</v>
      </c>
      <c r="F24" s="846">
        <f>E24+E25</f>
        <v>0</v>
      </c>
      <c r="H24" s="241">
        <f t="shared" si="4"/>
        <v>12</v>
      </c>
      <c r="I24" s="242"/>
      <c r="J24" s="243" t="s">
        <v>350</v>
      </c>
      <c r="K24" s="244">
        <f t="shared" si="1"/>
        <v>10.718500000000006</v>
      </c>
      <c r="L24" s="245">
        <f t="shared" si="2"/>
        <v>0.21016666666666667</v>
      </c>
      <c r="M24" s="245">
        <f t="shared" si="0"/>
        <v>10.50833333333334</v>
      </c>
      <c r="N24" s="233">
        <f t="shared" si="3"/>
        <v>0.11611708333333341</v>
      </c>
      <c r="O24" s="772">
        <f>SUM(N13:N24)</f>
        <v>1.5368437500000003</v>
      </c>
      <c r="P24" s="213">
        <f>SUM(L13:L24)</f>
        <v>2.1016666666666666</v>
      </c>
    </row>
    <row r="25" spans="1:16" ht="16.5" thickTop="1">
      <c r="A25" s="845"/>
      <c r="B25" s="71" t="s">
        <v>73</v>
      </c>
      <c r="C25" s="238">
        <f t="shared" si="6"/>
        <v>0</v>
      </c>
      <c r="D25" s="238">
        <f t="shared" si="7"/>
        <v>0</v>
      </c>
      <c r="E25" s="238">
        <f t="shared" si="5"/>
        <v>0</v>
      </c>
      <c r="F25" s="846"/>
      <c r="H25" s="229">
        <f t="shared" si="4"/>
        <v>13</v>
      </c>
      <c r="I25" s="230"/>
      <c r="J25" s="231"/>
      <c r="K25" s="232">
        <f t="shared" si="1"/>
        <v>10.50833333333334</v>
      </c>
      <c r="L25" s="233">
        <f t="shared" si="2"/>
        <v>0.21016666666666667</v>
      </c>
      <c r="M25" s="233">
        <f t="shared" si="0"/>
        <v>10.298166666666674</v>
      </c>
      <c r="N25" s="233">
        <f t="shared" si="3"/>
        <v>0.11384027777777785</v>
      </c>
      <c r="O25" s="233"/>
    </row>
    <row r="26" spans="1:16" ht="15.75">
      <c r="A26" s="845" t="s">
        <v>6</v>
      </c>
      <c r="B26" s="71" t="s">
        <v>72</v>
      </c>
      <c r="C26" s="238">
        <f t="shared" si="6"/>
        <v>0</v>
      </c>
      <c r="D26" s="238">
        <v>0</v>
      </c>
      <c r="E26" s="238">
        <f t="shared" si="5"/>
        <v>0</v>
      </c>
      <c r="F26" s="846">
        <f>E26+E27</f>
        <v>0</v>
      </c>
      <c r="H26" s="229">
        <f t="shared" si="4"/>
        <v>14</v>
      </c>
      <c r="I26" s="230"/>
      <c r="J26" s="231"/>
      <c r="K26" s="232">
        <f t="shared" si="1"/>
        <v>10.298166666666674</v>
      </c>
      <c r="L26" s="233">
        <f t="shared" si="2"/>
        <v>0.21016666666666667</v>
      </c>
      <c r="M26" s="233">
        <f t="shared" si="0"/>
        <v>10.088000000000008</v>
      </c>
      <c r="N26" s="233">
        <f t="shared" si="3"/>
        <v>0.11156347222222231</v>
      </c>
      <c r="O26" s="233"/>
    </row>
    <row r="27" spans="1:16" ht="15.75">
      <c r="A27" s="845"/>
      <c r="B27" s="71" t="s">
        <v>73</v>
      </c>
      <c r="C27" s="238">
        <f t="shared" si="6"/>
        <v>0</v>
      </c>
      <c r="D27" s="238">
        <v>0</v>
      </c>
      <c r="E27" s="238">
        <f t="shared" si="5"/>
        <v>0</v>
      </c>
      <c r="F27" s="846"/>
      <c r="H27" s="229">
        <f t="shared" si="4"/>
        <v>15</v>
      </c>
      <c r="I27" s="230"/>
      <c r="J27" s="231"/>
      <c r="K27" s="232">
        <f t="shared" si="1"/>
        <v>10.088000000000008</v>
      </c>
      <c r="L27" s="233">
        <f t="shared" si="2"/>
        <v>0.21016666666666667</v>
      </c>
      <c r="M27" s="233">
        <f t="shared" si="0"/>
        <v>9.8778333333333421</v>
      </c>
      <c r="N27" s="233">
        <f t="shared" si="3"/>
        <v>0.10928666666666675</v>
      </c>
      <c r="O27" s="233"/>
    </row>
    <row r="28" spans="1:16" ht="15.75">
      <c r="A28" s="845" t="s">
        <v>7</v>
      </c>
      <c r="B28" s="71" t="s">
        <v>72</v>
      </c>
      <c r="C28" s="238">
        <f t="shared" si="6"/>
        <v>0</v>
      </c>
      <c r="D28" s="238">
        <v>0</v>
      </c>
      <c r="E28" s="238">
        <f t="shared" si="5"/>
        <v>0</v>
      </c>
      <c r="F28" s="846">
        <f>E28+E29</f>
        <v>0</v>
      </c>
      <c r="H28" s="229">
        <f t="shared" si="4"/>
        <v>16</v>
      </c>
      <c r="I28" s="230"/>
      <c r="J28" s="231"/>
      <c r="K28" s="232">
        <f t="shared" si="1"/>
        <v>9.8778333333333421</v>
      </c>
      <c r="L28" s="233">
        <f t="shared" si="2"/>
        <v>0.21016666666666667</v>
      </c>
      <c r="M28" s="233">
        <f t="shared" si="0"/>
        <v>9.6676666666666762</v>
      </c>
      <c r="N28" s="233">
        <f t="shared" si="3"/>
        <v>0.10700986111111122</v>
      </c>
      <c r="O28" s="233"/>
    </row>
    <row r="29" spans="1:16" ht="15.75">
      <c r="A29" s="845"/>
      <c r="B29" s="71" t="s">
        <v>73</v>
      </c>
      <c r="C29" s="238">
        <f t="shared" si="6"/>
        <v>0</v>
      </c>
      <c r="D29" s="238">
        <f t="shared" si="7"/>
        <v>0</v>
      </c>
      <c r="E29" s="238">
        <f t="shared" si="5"/>
        <v>0</v>
      </c>
      <c r="F29" s="846"/>
      <c r="H29" s="229">
        <f t="shared" si="4"/>
        <v>17</v>
      </c>
      <c r="I29" s="230"/>
      <c r="J29" s="231"/>
      <c r="K29" s="232">
        <f t="shared" si="1"/>
        <v>9.6676666666666762</v>
      </c>
      <c r="L29" s="233">
        <f t="shared" si="2"/>
        <v>0.21016666666666667</v>
      </c>
      <c r="M29" s="233">
        <f t="shared" si="0"/>
        <v>9.4575000000000102</v>
      </c>
      <c r="N29" s="233">
        <f t="shared" si="3"/>
        <v>0.10473305555555566</v>
      </c>
      <c r="O29" s="233"/>
    </row>
    <row r="30" spans="1:16" ht="15.75">
      <c r="A30" s="224"/>
      <c r="B30" s="222"/>
      <c r="C30" s="222"/>
      <c r="D30" s="246"/>
      <c r="E30" s="222"/>
      <c r="F30" s="223"/>
      <c r="H30" s="229">
        <f t="shared" si="4"/>
        <v>18</v>
      </c>
      <c r="I30" s="230"/>
      <c r="J30" s="231"/>
      <c r="K30" s="232">
        <f t="shared" si="1"/>
        <v>9.4575000000000102</v>
      </c>
      <c r="L30" s="233">
        <f t="shared" si="2"/>
        <v>0.21016666666666667</v>
      </c>
      <c r="M30" s="233">
        <f t="shared" si="0"/>
        <v>9.2473333333333443</v>
      </c>
      <c r="N30" s="233">
        <f t="shared" si="3"/>
        <v>0.10245625000000012</v>
      </c>
      <c r="O30" s="240"/>
    </row>
    <row r="31" spans="1:16" ht="15.75">
      <c r="H31" s="229">
        <f t="shared" si="4"/>
        <v>19</v>
      </c>
      <c r="I31" s="230"/>
      <c r="J31" s="231"/>
      <c r="K31" s="232">
        <f t="shared" si="1"/>
        <v>9.2473333333333443</v>
      </c>
      <c r="L31" s="233">
        <f t="shared" si="2"/>
        <v>0.21016666666666667</v>
      </c>
      <c r="M31" s="233">
        <f t="shared" si="0"/>
        <v>9.0371666666666783</v>
      </c>
      <c r="N31" s="233">
        <f t="shared" si="3"/>
        <v>0.10017944444444456</v>
      </c>
      <c r="O31" s="233"/>
    </row>
    <row r="32" spans="1:16" ht="15.75">
      <c r="H32" s="229">
        <f t="shared" si="4"/>
        <v>20</v>
      </c>
      <c r="I32" s="230"/>
      <c r="J32" s="231"/>
      <c r="K32" s="232">
        <f t="shared" si="1"/>
        <v>9.0371666666666783</v>
      </c>
      <c r="L32" s="233">
        <f t="shared" si="2"/>
        <v>0.21016666666666667</v>
      </c>
      <c r="M32" s="233">
        <f t="shared" si="0"/>
        <v>8.8270000000000124</v>
      </c>
      <c r="N32" s="233">
        <f t="shared" si="3"/>
        <v>9.7902638888889018E-2</v>
      </c>
      <c r="O32" s="233"/>
    </row>
    <row r="33" spans="8:16" ht="15.75">
      <c r="H33" s="229">
        <f t="shared" si="4"/>
        <v>21</v>
      </c>
      <c r="I33" s="230"/>
      <c r="J33" s="231"/>
      <c r="K33" s="232">
        <f t="shared" si="1"/>
        <v>8.8270000000000124</v>
      </c>
      <c r="L33" s="233">
        <f t="shared" si="2"/>
        <v>0.21016666666666667</v>
      </c>
      <c r="M33" s="233">
        <f t="shared" si="0"/>
        <v>8.6168333333333464</v>
      </c>
      <c r="N33" s="233">
        <f t="shared" si="3"/>
        <v>9.5625833333333465E-2</v>
      </c>
      <c r="O33" s="233"/>
    </row>
    <row r="34" spans="8:16" ht="15.75">
      <c r="H34" s="229">
        <f t="shared" si="4"/>
        <v>22</v>
      </c>
      <c r="I34" s="230"/>
      <c r="J34" s="231"/>
      <c r="K34" s="232">
        <f t="shared" si="1"/>
        <v>8.6168333333333464</v>
      </c>
      <c r="L34" s="233">
        <f t="shared" si="2"/>
        <v>0.21016666666666667</v>
      </c>
      <c r="M34" s="233">
        <f t="shared" si="0"/>
        <v>8.4066666666666805</v>
      </c>
      <c r="N34" s="233">
        <f t="shared" si="3"/>
        <v>9.3349027777777926E-2</v>
      </c>
      <c r="O34" s="233"/>
    </row>
    <row r="35" spans="8:16" ht="15.75">
      <c r="H35" s="229">
        <f t="shared" si="4"/>
        <v>23</v>
      </c>
      <c r="I35" s="230"/>
      <c r="J35" s="231"/>
      <c r="K35" s="232">
        <f t="shared" si="1"/>
        <v>8.4066666666666805</v>
      </c>
      <c r="L35" s="233">
        <f t="shared" si="2"/>
        <v>0.21016666666666667</v>
      </c>
      <c r="M35" s="233">
        <f t="shared" si="0"/>
        <v>8.1965000000000146</v>
      </c>
      <c r="N35" s="233">
        <f t="shared" si="3"/>
        <v>9.1072222222222374E-2</v>
      </c>
      <c r="O35" s="233"/>
    </row>
    <row r="36" spans="8:16" ht="16.5" thickBot="1">
      <c r="H36" s="241">
        <f t="shared" si="4"/>
        <v>24</v>
      </c>
      <c r="I36" s="242"/>
      <c r="J36" s="243" t="s">
        <v>351</v>
      </c>
      <c r="K36" s="244">
        <f t="shared" si="1"/>
        <v>8.1965000000000146</v>
      </c>
      <c r="L36" s="245">
        <f t="shared" si="2"/>
        <v>0.21016666666666667</v>
      </c>
      <c r="M36" s="245">
        <f t="shared" si="0"/>
        <v>7.9863333333333477</v>
      </c>
      <c r="N36" s="233">
        <f t="shared" si="3"/>
        <v>8.8795416666666835E-2</v>
      </c>
      <c r="O36" s="245">
        <f>SUM(N25:N36)</f>
        <v>1.2158141666666684</v>
      </c>
      <c r="P36" s="213">
        <f>SUM(L25:L36)</f>
        <v>2.5220000000000002</v>
      </c>
    </row>
    <row r="37" spans="8:16" ht="16.5" thickTop="1">
      <c r="H37" s="229">
        <f t="shared" si="4"/>
        <v>25</v>
      </c>
      <c r="I37" s="230"/>
      <c r="J37" s="231"/>
      <c r="K37" s="232">
        <f t="shared" si="1"/>
        <v>7.9863333333333477</v>
      </c>
      <c r="L37" s="233">
        <f t="shared" si="2"/>
        <v>0.21016666666666667</v>
      </c>
      <c r="M37" s="233">
        <f t="shared" si="0"/>
        <v>7.7761666666666809</v>
      </c>
      <c r="N37" s="233">
        <f t="shared" si="3"/>
        <v>8.6518611111111268E-2</v>
      </c>
      <c r="O37" s="233"/>
    </row>
    <row r="38" spans="8:16" ht="15.75">
      <c r="H38" s="229">
        <f t="shared" si="4"/>
        <v>26</v>
      </c>
      <c r="I38" s="230"/>
      <c r="J38" s="231"/>
      <c r="K38" s="232">
        <f t="shared" si="1"/>
        <v>7.7761666666666809</v>
      </c>
      <c r="L38" s="233">
        <f t="shared" si="2"/>
        <v>0.21016666666666667</v>
      </c>
      <c r="M38" s="233">
        <f t="shared" si="0"/>
        <v>7.566000000000014</v>
      </c>
      <c r="N38" s="233">
        <f t="shared" si="3"/>
        <v>8.4241805555555715E-2</v>
      </c>
      <c r="O38" s="233"/>
    </row>
    <row r="39" spans="8:16" ht="15.75">
      <c r="H39" s="229">
        <f t="shared" si="4"/>
        <v>27</v>
      </c>
      <c r="I39" s="230"/>
      <c r="J39" s="231"/>
      <c r="K39" s="232">
        <f t="shared" si="1"/>
        <v>7.566000000000014</v>
      </c>
      <c r="L39" s="233">
        <f t="shared" si="2"/>
        <v>0.21016666666666667</v>
      </c>
      <c r="M39" s="233">
        <f t="shared" si="0"/>
        <v>7.3558333333333472</v>
      </c>
      <c r="N39" s="233">
        <f t="shared" si="3"/>
        <v>8.1965000000000163E-2</v>
      </c>
      <c r="O39" s="233"/>
    </row>
    <row r="40" spans="8:16" ht="15.75">
      <c r="H40" s="229">
        <f t="shared" si="4"/>
        <v>28</v>
      </c>
      <c r="I40" s="230"/>
      <c r="J40" s="231"/>
      <c r="K40" s="232">
        <f t="shared" si="1"/>
        <v>7.3558333333333472</v>
      </c>
      <c r="L40" s="233">
        <f t="shared" si="2"/>
        <v>0.21016666666666667</v>
      </c>
      <c r="M40" s="233">
        <f t="shared" si="0"/>
        <v>7.1456666666666804</v>
      </c>
      <c r="N40" s="233">
        <f t="shared" si="3"/>
        <v>7.9688194444444596E-2</v>
      </c>
      <c r="O40" s="233"/>
    </row>
    <row r="41" spans="8:16" ht="15.75">
      <c r="H41" s="229">
        <f t="shared" si="4"/>
        <v>29</v>
      </c>
      <c r="I41" s="230"/>
      <c r="J41" s="231"/>
      <c r="K41" s="232">
        <f t="shared" si="1"/>
        <v>7.1456666666666804</v>
      </c>
      <c r="L41" s="233">
        <f t="shared" si="2"/>
        <v>0.21016666666666667</v>
      </c>
      <c r="M41" s="233">
        <f t="shared" si="0"/>
        <v>6.9355000000000135</v>
      </c>
      <c r="N41" s="233">
        <f t="shared" si="3"/>
        <v>7.7411388888889043E-2</v>
      </c>
      <c r="O41" s="233"/>
    </row>
    <row r="42" spans="8:16" ht="15.75">
      <c r="H42" s="229">
        <f t="shared" si="4"/>
        <v>30</v>
      </c>
      <c r="I42" s="230"/>
      <c r="J42" s="231"/>
      <c r="K42" s="232">
        <f t="shared" si="1"/>
        <v>6.9355000000000135</v>
      </c>
      <c r="L42" s="233">
        <f t="shared" si="2"/>
        <v>0.21016666666666667</v>
      </c>
      <c r="M42" s="233">
        <f t="shared" si="0"/>
        <v>6.7253333333333467</v>
      </c>
      <c r="N42" s="233">
        <f t="shared" si="3"/>
        <v>7.5134583333333491E-2</v>
      </c>
      <c r="O42" s="240"/>
    </row>
    <row r="43" spans="8:16" ht="15.75">
      <c r="H43" s="229">
        <f t="shared" si="4"/>
        <v>31</v>
      </c>
      <c r="I43" s="230"/>
      <c r="J43" s="231"/>
      <c r="K43" s="232">
        <f t="shared" si="1"/>
        <v>6.7253333333333467</v>
      </c>
      <c r="L43" s="233">
        <f t="shared" si="2"/>
        <v>0.21016666666666667</v>
      </c>
      <c r="M43" s="233">
        <f t="shared" si="0"/>
        <v>6.5151666666666799</v>
      </c>
      <c r="N43" s="233">
        <f t="shared" si="3"/>
        <v>7.2857777777777924E-2</v>
      </c>
      <c r="O43" s="233"/>
    </row>
    <row r="44" spans="8:16" ht="15.75">
      <c r="H44" s="229">
        <f t="shared" si="4"/>
        <v>32</v>
      </c>
      <c r="I44" s="230"/>
      <c r="J44" s="231"/>
      <c r="K44" s="232">
        <f t="shared" si="1"/>
        <v>6.5151666666666799</v>
      </c>
      <c r="L44" s="233">
        <f t="shared" si="2"/>
        <v>0.21016666666666667</v>
      </c>
      <c r="M44" s="233">
        <f t="shared" si="0"/>
        <v>6.305000000000013</v>
      </c>
      <c r="N44" s="233">
        <f t="shared" si="3"/>
        <v>7.0580972222222371E-2</v>
      </c>
      <c r="O44" s="233"/>
    </row>
    <row r="45" spans="8:16" ht="15.75">
      <c r="H45" s="229">
        <f t="shared" si="4"/>
        <v>33</v>
      </c>
      <c r="I45" s="230"/>
      <c r="J45" s="231"/>
      <c r="K45" s="232">
        <f t="shared" si="1"/>
        <v>6.305000000000013</v>
      </c>
      <c r="L45" s="233">
        <f t="shared" si="2"/>
        <v>0.21016666666666667</v>
      </c>
      <c r="M45" s="233">
        <f t="shared" si="0"/>
        <v>6.0948333333333462</v>
      </c>
      <c r="N45" s="233">
        <f t="shared" si="3"/>
        <v>6.8304166666666818E-2</v>
      </c>
      <c r="O45" s="233"/>
    </row>
    <row r="46" spans="8:16" ht="15.75">
      <c r="H46" s="229">
        <f t="shared" si="4"/>
        <v>34</v>
      </c>
      <c r="I46" s="230"/>
      <c r="J46" s="231"/>
      <c r="K46" s="232">
        <f t="shared" si="1"/>
        <v>6.0948333333333462</v>
      </c>
      <c r="L46" s="233">
        <f t="shared" si="2"/>
        <v>0.21016666666666667</v>
      </c>
      <c r="M46" s="233">
        <f t="shared" si="0"/>
        <v>5.8846666666666794</v>
      </c>
      <c r="N46" s="233">
        <f t="shared" si="3"/>
        <v>6.6027361111111252E-2</v>
      </c>
      <c r="O46" s="233"/>
    </row>
    <row r="47" spans="8:16" ht="15.75">
      <c r="H47" s="229">
        <f t="shared" si="4"/>
        <v>35</v>
      </c>
      <c r="I47" s="230"/>
      <c r="J47" s="231"/>
      <c r="K47" s="232">
        <f t="shared" si="1"/>
        <v>5.8846666666666794</v>
      </c>
      <c r="L47" s="233">
        <f t="shared" si="2"/>
        <v>0.21016666666666667</v>
      </c>
      <c r="M47" s="233">
        <f t="shared" si="0"/>
        <v>5.6745000000000125</v>
      </c>
      <c r="N47" s="233">
        <f t="shared" si="3"/>
        <v>6.3750555555555699E-2</v>
      </c>
      <c r="O47" s="233"/>
    </row>
    <row r="48" spans="8:16" ht="16.5" thickBot="1">
      <c r="H48" s="241">
        <f t="shared" si="4"/>
        <v>36</v>
      </c>
      <c r="I48" s="242"/>
      <c r="J48" s="243" t="s">
        <v>352</v>
      </c>
      <c r="K48" s="244">
        <f t="shared" si="1"/>
        <v>5.6745000000000125</v>
      </c>
      <c r="L48" s="245">
        <f t="shared" si="2"/>
        <v>0.21016666666666667</v>
      </c>
      <c r="M48" s="245">
        <f t="shared" si="0"/>
        <v>5.4643333333333457</v>
      </c>
      <c r="N48" s="233">
        <f t="shared" si="3"/>
        <v>6.1473750000000139E-2</v>
      </c>
      <c r="O48" s="245">
        <f>SUM(N37:N48)</f>
        <v>0.88795416666666849</v>
      </c>
      <c r="P48" s="213">
        <f>SUM(L37:L48)</f>
        <v>2.5220000000000002</v>
      </c>
    </row>
    <row r="49" spans="8:16" ht="16.5" thickTop="1">
      <c r="H49" s="229">
        <f t="shared" si="4"/>
        <v>37</v>
      </c>
      <c r="I49" s="230"/>
      <c r="J49" s="231"/>
      <c r="K49" s="232">
        <f t="shared" si="1"/>
        <v>5.4643333333333457</v>
      </c>
      <c r="L49" s="233">
        <f t="shared" si="2"/>
        <v>0.21016666666666667</v>
      </c>
      <c r="M49" s="233">
        <f t="shared" si="0"/>
        <v>5.2541666666666789</v>
      </c>
      <c r="N49" s="233">
        <f t="shared" si="3"/>
        <v>5.9196944444444587E-2</v>
      </c>
      <c r="O49" s="233"/>
    </row>
    <row r="50" spans="8:16" ht="15.75">
      <c r="H50" s="229">
        <f t="shared" si="4"/>
        <v>38</v>
      </c>
      <c r="I50" s="230"/>
      <c r="J50" s="231"/>
      <c r="K50" s="232">
        <f t="shared" si="1"/>
        <v>5.2541666666666789</v>
      </c>
      <c r="L50" s="233">
        <f t="shared" si="2"/>
        <v>0.21016666666666667</v>
      </c>
      <c r="M50" s="233">
        <f t="shared" si="0"/>
        <v>5.044000000000012</v>
      </c>
      <c r="N50" s="233">
        <f t="shared" si="3"/>
        <v>5.6920138888889027E-2</v>
      </c>
      <c r="O50" s="233"/>
    </row>
    <row r="51" spans="8:16" ht="15.75">
      <c r="H51" s="229">
        <f t="shared" si="4"/>
        <v>39</v>
      </c>
      <c r="I51" s="230"/>
      <c r="J51" s="231"/>
      <c r="K51" s="232">
        <f t="shared" si="1"/>
        <v>5.044000000000012</v>
      </c>
      <c r="L51" s="233">
        <f t="shared" si="2"/>
        <v>0.21016666666666667</v>
      </c>
      <c r="M51" s="233">
        <f t="shared" si="0"/>
        <v>4.8338333333333452</v>
      </c>
      <c r="N51" s="233">
        <f t="shared" si="3"/>
        <v>5.4643333333333467E-2</v>
      </c>
      <c r="O51" s="233"/>
    </row>
    <row r="52" spans="8:16" ht="15.75">
      <c r="H52" s="229">
        <f t="shared" si="4"/>
        <v>40</v>
      </c>
      <c r="I52" s="230"/>
      <c r="J52" s="231"/>
      <c r="K52" s="232">
        <f t="shared" si="1"/>
        <v>4.8338333333333452</v>
      </c>
      <c r="L52" s="233">
        <f t="shared" si="2"/>
        <v>0.21016666666666667</v>
      </c>
      <c r="M52" s="233">
        <f t="shared" si="0"/>
        <v>4.6236666666666784</v>
      </c>
      <c r="N52" s="233">
        <f t="shared" si="3"/>
        <v>5.2366527777777915E-2</v>
      </c>
      <c r="O52" s="233"/>
    </row>
    <row r="53" spans="8:16" ht="15.75">
      <c r="H53" s="229">
        <f t="shared" si="4"/>
        <v>41</v>
      </c>
      <c r="I53" s="230"/>
      <c r="J53" s="231"/>
      <c r="K53" s="232">
        <f t="shared" si="1"/>
        <v>4.6236666666666784</v>
      </c>
      <c r="L53" s="233">
        <f t="shared" si="2"/>
        <v>0.21016666666666667</v>
      </c>
      <c r="M53" s="233">
        <f t="shared" si="0"/>
        <v>4.4135000000000115</v>
      </c>
      <c r="N53" s="233">
        <f t="shared" si="3"/>
        <v>5.0089722222222355E-2</v>
      </c>
      <c r="O53" s="233"/>
    </row>
    <row r="54" spans="8:16" ht="15.75">
      <c r="H54" s="229">
        <f t="shared" si="4"/>
        <v>42</v>
      </c>
      <c r="I54" s="230"/>
      <c r="J54" s="231"/>
      <c r="K54" s="232">
        <f t="shared" si="1"/>
        <v>4.4135000000000115</v>
      </c>
      <c r="L54" s="233">
        <f t="shared" si="2"/>
        <v>0.21016666666666667</v>
      </c>
      <c r="M54" s="233">
        <f t="shared" si="0"/>
        <v>4.2033333333333447</v>
      </c>
      <c r="N54" s="233">
        <f t="shared" si="3"/>
        <v>4.7812916666666795E-2</v>
      </c>
      <c r="O54" s="240"/>
    </row>
    <row r="55" spans="8:16" ht="15.75">
      <c r="H55" s="229">
        <f t="shared" si="4"/>
        <v>43</v>
      </c>
      <c r="I55" s="230"/>
      <c r="J55" s="231"/>
      <c r="K55" s="232">
        <f t="shared" si="1"/>
        <v>4.2033333333333447</v>
      </c>
      <c r="L55" s="233">
        <f t="shared" si="2"/>
        <v>0.21016666666666667</v>
      </c>
      <c r="M55" s="233">
        <f t="shared" si="0"/>
        <v>3.9931666666666779</v>
      </c>
      <c r="N55" s="233">
        <f t="shared" si="3"/>
        <v>4.5536111111111242E-2</v>
      </c>
      <c r="O55" s="233"/>
    </row>
    <row r="56" spans="8:16" ht="15.75">
      <c r="H56" s="229">
        <f t="shared" si="4"/>
        <v>44</v>
      </c>
      <c r="I56" s="230"/>
      <c r="J56" s="231"/>
      <c r="K56" s="232">
        <f t="shared" si="1"/>
        <v>3.9931666666666779</v>
      </c>
      <c r="L56" s="233">
        <f t="shared" si="2"/>
        <v>0.21016666666666667</v>
      </c>
      <c r="M56" s="233">
        <f t="shared" si="0"/>
        <v>3.783000000000011</v>
      </c>
      <c r="N56" s="233">
        <f t="shared" si="3"/>
        <v>4.3259305555555683E-2</v>
      </c>
      <c r="O56" s="233"/>
    </row>
    <row r="57" spans="8:16" ht="15.75">
      <c r="H57" s="229">
        <f t="shared" si="4"/>
        <v>45</v>
      </c>
      <c r="I57" s="230"/>
      <c r="J57" s="231"/>
      <c r="K57" s="232">
        <f t="shared" si="1"/>
        <v>3.783000000000011</v>
      </c>
      <c r="L57" s="233">
        <f t="shared" si="2"/>
        <v>0.21016666666666667</v>
      </c>
      <c r="M57" s="233">
        <f t="shared" si="0"/>
        <v>3.5728333333333442</v>
      </c>
      <c r="N57" s="233">
        <f t="shared" si="3"/>
        <v>4.0982500000000123E-2</v>
      </c>
      <c r="O57" s="233"/>
    </row>
    <row r="58" spans="8:16" ht="15.75">
      <c r="H58" s="229">
        <f t="shared" si="4"/>
        <v>46</v>
      </c>
      <c r="I58" s="230"/>
      <c r="J58" s="231"/>
      <c r="K58" s="232">
        <f t="shared" si="1"/>
        <v>3.5728333333333442</v>
      </c>
      <c r="L58" s="233">
        <f t="shared" si="2"/>
        <v>0.21016666666666667</v>
      </c>
      <c r="M58" s="233">
        <f t="shared" si="0"/>
        <v>3.3626666666666774</v>
      </c>
      <c r="N58" s="233">
        <f t="shared" si="3"/>
        <v>3.8705694444444563E-2</v>
      </c>
      <c r="O58" s="233"/>
    </row>
    <row r="59" spans="8:16" ht="15.75">
      <c r="H59" s="229">
        <f t="shared" si="4"/>
        <v>47</v>
      </c>
      <c r="I59" s="230"/>
      <c r="J59" s="231"/>
      <c r="K59" s="232">
        <f t="shared" si="1"/>
        <v>3.3626666666666774</v>
      </c>
      <c r="L59" s="233">
        <f t="shared" si="2"/>
        <v>0.21016666666666667</v>
      </c>
      <c r="M59" s="233">
        <f t="shared" si="0"/>
        <v>3.1525000000000105</v>
      </c>
      <c r="N59" s="233">
        <f t="shared" si="3"/>
        <v>3.6428888888889004E-2</v>
      </c>
      <c r="O59" s="233"/>
    </row>
    <row r="60" spans="8:16" ht="16.5" thickBot="1">
      <c r="H60" s="241">
        <f t="shared" si="4"/>
        <v>48</v>
      </c>
      <c r="I60" s="242"/>
      <c r="J60" s="243" t="s">
        <v>353</v>
      </c>
      <c r="K60" s="244">
        <f t="shared" si="1"/>
        <v>3.1525000000000105</v>
      </c>
      <c r="L60" s="245">
        <f t="shared" si="2"/>
        <v>0.21016666666666667</v>
      </c>
      <c r="M60" s="245">
        <f t="shared" si="0"/>
        <v>2.9423333333333437</v>
      </c>
      <c r="N60" s="233">
        <f t="shared" si="3"/>
        <v>3.4152083333333451E-2</v>
      </c>
      <c r="O60" s="245">
        <f>SUM(N49:N60)</f>
        <v>0.56009416666666811</v>
      </c>
      <c r="P60" s="213">
        <f>SUM(L49:L60)</f>
        <v>2.5220000000000002</v>
      </c>
    </row>
    <row r="61" spans="8:16" ht="16.5" thickTop="1">
      <c r="H61" s="229">
        <f t="shared" si="4"/>
        <v>49</v>
      </c>
      <c r="I61" s="230"/>
      <c r="J61" s="231"/>
      <c r="K61" s="232">
        <f t="shared" si="1"/>
        <v>2.9423333333333437</v>
      </c>
      <c r="L61" s="233">
        <f t="shared" si="2"/>
        <v>0.21016666666666667</v>
      </c>
      <c r="M61" s="233">
        <f t="shared" si="0"/>
        <v>2.7321666666666768</v>
      </c>
      <c r="N61" s="233">
        <f t="shared" si="3"/>
        <v>3.1875277777777891E-2</v>
      </c>
      <c r="O61" s="233"/>
    </row>
    <row r="62" spans="8:16" ht="15.75">
      <c r="H62" s="229">
        <f t="shared" si="4"/>
        <v>50</v>
      </c>
      <c r="I62" s="230"/>
      <c r="J62" s="231"/>
      <c r="K62" s="232">
        <f t="shared" si="1"/>
        <v>2.7321666666666768</v>
      </c>
      <c r="L62" s="233">
        <f t="shared" si="2"/>
        <v>0.21016666666666667</v>
      </c>
      <c r="M62" s="233">
        <f t="shared" si="0"/>
        <v>2.52200000000001</v>
      </c>
      <c r="N62" s="233">
        <f t="shared" si="3"/>
        <v>2.9598472222222335E-2</v>
      </c>
      <c r="O62" s="233"/>
    </row>
    <row r="63" spans="8:16" ht="15.75">
      <c r="H63" s="229">
        <f t="shared" si="4"/>
        <v>51</v>
      </c>
      <c r="I63" s="230"/>
      <c r="J63" s="231"/>
      <c r="K63" s="232">
        <f t="shared" si="1"/>
        <v>2.52200000000001</v>
      </c>
      <c r="L63" s="233">
        <f t="shared" si="2"/>
        <v>0.21016666666666667</v>
      </c>
      <c r="M63" s="233">
        <f t="shared" si="0"/>
        <v>2.3118333333333432</v>
      </c>
      <c r="N63" s="233">
        <f t="shared" si="3"/>
        <v>2.7321666666666775E-2</v>
      </c>
      <c r="O63" s="233"/>
    </row>
    <row r="64" spans="8:16" ht="15.75">
      <c r="H64" s="229">
        <f t="shared" si="4"/>
        <v>52</v>
      </c>
      <c r="I64" s="230"/>
      <c r="J64" s="231"/>
      <c r="K64" s="232">
        <f t="shared" si="1"/>
        <v>2.3118333333333432</v>
      </c>
      <c r="L64" s="233">
        <f t="shared" si="2"/>
        <v>0.21016666666666667</v>
      </c>
      <c r="M64" s="233">
        <f t="shared" si="0"/>
        <v>2.1016666666666763</v>
      </c>
      <c r="N64" s="233">
        <f t="shared" si="3"/>
        <v>2.5044861111111219E-2</v>
      </c>
      <c r="O64" s="233"/>
    </row>
    <row r="65" spans="8:16" ht="15.75">
      <c r="H65" s="229">
        <f t="shared" si="4"/>
        <v>53</v>
      </c>
      <c r="I65" s="230"/>
      <c r="J65" s="231"/>
      <c r="K65" s="232">
        <f t="shared" si="1"/>
        <v>2.1016666666666763</v>
      </c>
      <c r="L65" s="233">
        <f t="shared" si="2"/>
        <v>0.21016666666666667</v>
      </c>
      <c r="M65" s="233">
        <f t="shared" si="0"/>
        <v>1.8915000000000097</v>
      </c>
      <c r="N65" s="233">
        <f t="shared" si="3"/>
        <v>2.2768055555555663E-2</v>
      </c>
      <c r="O65" s="233"/>
    </row>
    <row r="66" spans="8:16" ht="15.75">
      <c r="H66" s="229">
        <f t="shared" si="4"/>
        <v>54</v>
      </c>
      <c r="I66" s="230"/>
      <c r="J66" s="231"/>
      <c r="K66" s="232">
        <f t="shared" si="1"/>
        <v>1.8915000000000097</v>
      </c>
      <c r="L66" s="233">
        <f t="shared" si="2"/>
        <v>0.21016666666666667</v>
      </c>
      <c r="M66" s="233">
        <f t="shared" si="0"/>
        <v>1.6813333333333431</v>
      </c>
      <c r="N66" s="233">
        <f t="shared" si="3"/>
        <v>2.0491250000000107E-2</v>
      </c>
      <c r="O66" s="240"/>
    </row>
    <row r="67" spans="8:16" ht="15.75">
      <c r="H67" s="229">
        <f t="shared" si="4"/>
        <v>55</v>
      </c>
      <c r="I67" s="230"/>
      <c r="J67" s="231"/>
      <c r="K67" s="232">
        <f t="shared" si="1"/>
        <v>1.6813333333333431</v>
      </c>
      <c r="L67" s="233">
        <f t="shared" si="2"/>
        <v>0.21016666666666667</v>
      </c>
      <c r="M67" s="233">
        <f t="shared" si="0"/>
        <v>1.4711666666666765</v>
      </c>
      <c r="N67" s="233">
        <f t="shared" si="3"/>
        <v>1.821444444444455E-2</v>
      </c>
      <c r="O67" s="233"/>
    </row>
    <row r="68" spans="8:16" ht="15.75">
      <c r="H68" s="229">
        <f t="shared" si="4"/>
        <v>56</v>
      </c>
      <c r="I68" s="230"/>
      <c r="J68" s="231"/>
      <c r="K68" s="232">
        <f t="shared" si="1"/>
        <v>1.4711666666666765</v>
      </c>
      <c r="L68" s="233">
        <f t="shared" si="2"/>
        <v>0.21016666666666667</v>
      </c>
      <c r="M68" s="233">
        <f t="shared" si="0"/>
        <v>1.2610000000000099</v>
      </c>
      <c r="N68" s="233">
        <f t="shared" si="3"/>
        <v>1.5937638888888998E-2</v>
      </c>
      <c r="O68" s="233"/>
    </row>
    <row r="69" spans="8:16" ht="15.75">
      <c r="H69" s="229">
        <f t="shared" si="4"/>
        <v>57</v>
      </c>
      <c r="I69" s="230"/>
      <c r="J69" s="231"/>
      <c r="K69" s="232">
        <f t="shared" si="1"/>
        <v>1.2610000000000099</v>
      </c>
      <c r="L69" s="233">
        <f t="shared" si="2"/>
        <v>0.21016666666666667</v>
      </c>
      <c r="M69" s="233">
        <f t="shared" si="0"/>
        <v>1.0508333333333433</v>
      </c>
      <c r="N69" s="233">
        <f t="shared" si="3"/>
        <v>1.3660833333333441E-2</v>
      </c>
      <c r="O69" s="233"/>
    </row>
    <row r="70" spans="8:16" ht="15.75">
      <c r="H70" s="229">
        <f t="shared" si="4"/>
        <v>58</v>
      </c>
      <c r="I70" s="230"/>
      <c r="J70" s="231"/>
      <c r="K70" s="232">
        <f t="shared" si="1"/>
        <v>1.0508333333333433</v>
      </c>
      <c r="L70" s="233">
        <f t="shared" si="2"/>
        <v>0.21016666666666667</v>
      </c>
      <c r="M70" s="233">
        <f t="shared" si="0"/>
        <v>0.84066666666667667</v>
      </c>
      <c r="N70" s="233">
        <f t="shared" si="3"/>
        <v>1.1384027777777887E-2</v>
      </c>
      <c r="O70" s="232"/>
    </row>
    <row r="71" spans="8:16" ht="15.75">
      <c r="H71" s="229">
        <f t="shared" si="4"/>
        <v>59</v>
      </c>
      <c r="I71" s="230"/>
      <c r="J71" s="231"/>
      <c r="K71" s="232">
        <f t="shared" si="1"/>
        <v>0.84066666666667667</v>
      </c>
      <c r="L71" s="233">
        <f t="shared" si="2"/>
        <v>0.21016666666666667</v>
      </c>
      <c r="M71" s="233">
        <f t="shared" si="0"/>
        <v>0.63050000000001005</v>
      </c>
      <c r="N71" s="233">
        <f t="shared" si="3"/>
        <v>9.1072222222223307E-3</v>
      </c>
      <c r="O71" s="232"/>
    </row>
    <row r="72" spans="8:16" ht="16.5" thickBot="1">
      <c r="H72" s="241">
        <f t="shared" si="4"/>
        <v>60</v>
      </c>
      <c r="I72" s="242"/>
      <c r="J72" s="247" t="s">
        <v>354</v>
      </c>
      <c r="K72" s="244">
        <f t="shared" si="1"/>
        <v>0.63050000000001005</v>
      </c>
      <c r="L72" s="245">
        <f t="shared" si="2"/>
        <v>0.21016666666666667</v>
      </c>
      <c r="M72" s="245">
        <f t="shared" si="0"/>
        <v>0.42033333333334338</v>
      </c>
      <c r="N72" s="233">
        <f t="shared" si="3"/>
        <v>6.8304166666667762E-3</v>
      </c>
      <c r="O72" s="245">
        <f>SUM(N61:N72)</f>
        <v>0.23223416666666799</v>
      </c>
      <c r="P72" s="213">
        <f>SUM(L61:L72)</f>
        <v>2.5220000000000002</v>
      </c>
    </row>
    <row r="73" spans="8:16" ht="16.5" thickTop="1">
      <c r="H73" s="229">
        <f>H72+1</f>
        <v>61</v>
      </c>
      <c r="I73" s="230"/>
      <c r="J73" s="231"/>
      <c r="K73" s="232">
        <f>K72-L72</f>
        <v>0.42033333333334338</v>
      </c>
      <c r="L73" s="233">
        <f>L72</f>
        <v>0.21016666666666667</v>
      </c>
      <c r="M73" s="233">
        <f>K73-L73</f>
        <v>0.21016666666667672</v>
      </c>
      <c r="N73" s="233">
        <f>K73*O$7/12</f>
        <v>4.55361111111122E-3</v>
      </c>
      <c r="O73" s="232"/>
    </row>
    <row r="74" spans="8:16" ht="15.75">
      <c r="H74" s="229">
        <f>H73+1</f>
        <v>62</v>
      </c>
      <c r="I74" s="230"/>
      <c r="J74" s="231"/>
      <c r="K74" s="232">
        <f>K73-L73</f>
        <v>0.21016666666667672</v>
      </c>
      <c r="L74" s="233">
        <f>L73</f>
        <v>0.21016666666666667</v>
      </c>
      <c r="M74" s="233">
        <f>K74-L74</f>
        <v>1.0047518372857667E-14</v>
      </c>
      <c r="N74" s="233">
        <f>K74*O$7/12</f>
        <v>2.2768055555556646E-3</v>
      </c>
      <c r="O74" s="232"/>
    </row>
    <row r="75" spans="8:16" ht="16.5" thickBot="1">
      <c r="H75" s="241">
        <f>H74+1</f>
        <v>63</v>
      </c>
      <c r="I75" s="242"/>
      <c r="J75" s="247" t="s">
        <v>362</v>
      </c>
      <c r="K75" s="244">
        <f>K74-L74</f>
        <v>1.0047518372857667E-14</v>
      </c>
      <c r="L75" s="245">
        <v>0</v>
      </c>
      <c r="M75" s="245">
        <f>K75-L75</f>
        <v>1.0047518372857667E-14</v>
      </c>
      <c r="N75" s="233">
        <f>K75*O$7/12</f>
        <v>1.0884811570595806E-16</v>
      </c>
      <c r="O75" s="245">
        <f>SUM(N73:N75)</f>
        <v>6.8304166666669931E-3</v>
      </c>
      <c r="P75" s="213">
        <f>SUM(L73:L75)</f>
        <v>0.42033333333333334</v>
      </c>
    </row>
    <row r="76" spans="8:16" ht="14.25" thickTop="1"/>
    <row r="78" spans="8:16" ht="16.5">
      <c r="H78" s="251" t="s">
        <v>179</v>
      </c>
      <c r="I78" s="222"/>
      <c r="J78" s="222"/>
      <c r="K78" s="222"/>
      <c r="L78" s="222"/>
      <c r="M78" s="222"/>
      <c r="N78" s="222"/>
    </row>
    <row r="79" spans="8:16">
      <c r="H79" s="222"/>
      <c r="I79" s="222"/>
      <c r="J79" s="222"/>
      <c r="K79" s="222"/>
      <c r="L79" s="222"/>
      <c r="M79" s="222"/>
      <c r="N79" s="222"/>
    </row>
    <row r="80" spans="8:16">
      <c r="H80" s="222"/>
      <c r="I80" s="222"/>
      <c r="J80" s="222"/>
      <c r="K80" s="222"/>
      <c r="L80" s="222"/>
      <c r="M80" s="222"/>
      <c r="N80" s="222"/>
    </row>
    <row r="81" spans="8:16" ht="13.5" customHeight="1">
      <c r="H81" s="839" t="s">
        <v>77</v>
      </c>
      <c r="I81" s="852" t="s">
        <v>78</v>
      </c>
      <c r="J81" s="852"/>
      <c r="K81" s="856" t="s">
        <v>79</v>
      </c>
      <c r="L81" s="857"/>
      <c r="M81" s="849" t="s">
        <v>80</v>
      </c>
      <c r="N81" s="222"/>
    </row>
    <row r="82" spans="8:16">
      <c r="H82" s="840"/>
      <c r="I82" s="853"/>
      <c r="J82" s="853"/>
      <c r="K82" s="858"/>
      <c r="L82" s="859"/>
      <c r="M82" s="851"/>
      <c r="N82" s="222"/>
    </row>
    <row r="83" spans="8:16">
      <c r="H83" s="254" t="s">
        <v>29</v>
      </c>
      <c r="I83" s="854">
        <f>WCAPITAL!G23</f>
        <v>48.755049374999999</v>
      </c>
      <c r="J83" s="854"/>
      <c r="K83" s="874">
        <v>0.13</v>
      </c>
      <c r="L83" s="875"/>
      <c r="M83" s="255">
        <f>I83*K83</f>
        <v>6.3381564187499997</v>
      </c>
      <c r="N83" s="222"/>
    </row>
    <row r="84" spans="8:16">
      <c r="H84" s="252" t="s">
        <v>30</v>
      </c>
      <c r="I84" s="855">
        <f>WCAPITAL!J23</f>
        <v>51.597216250156251</v>
      </c>
      <c r="J84" s="855"/>
      <c r="K84" s="843">
        <v>0.13</v>
      </c>
      <c r="L84" s="844"/>
      <c r="M84" s="253">
        <f>I84*K84</f>
        <v>6.7076381125203124</v>
      </c>
      <c r="N84" s="222"/>
    </row>
    <row r="85" spans="8:16">
      <c r="H85" s="252" t="s">
        <v>31</v>
      </c>
      <c r="I85" s="855">
        <f>WCAPITAL!M23</f>
        <v>51.664809375000004</v>
      </c>
      <c r="J85" s="855"/>
      <c r="K85" s="843">
        <v>0.13</v>
      </c>
      <c r="L85" s="844"/>
      <c r="M85" s="253">
        <f>I85*K85</f>
        <v>6.7164252187500004</v>
      </c>
      <c r="N85" s="222"/>
    </row>
    <row r="86" spans="8:16">
      <c r="H86" s="252" t="s">
        <v>32</v>
      </c>
      <c r="I86" s="855">
        <f>WCAPITAL!P23</f>
        <v>51.707657156250001</v>
      </c>
      <c r="J86" s="855"/>
      <c r="K86" s="843">
        <v>0.13</v>
      </c>
      <c r="L86" s="844"/>
      <c r="M86" s="253">
        <f>I86*K86</f>
        <v>6.7219954303125</v>
      </c>
      <c r="N86" s="222"/>
    </row>
    <row r="87" spans="8:16">
      <c r="H87" s="199" t="s">
        <v>33</v>
      </c>
      <c r="I87" s="866">
        <f>I86</f>
        <v>51.707657156250001</v>
      </c>
      <c r="J87" s="866"/>
      <c r="K87" s="870">
        <v>0.13</v>
      </c>
      <c r="L87" s="871"/>
      <c r="M87" s="202">
        <f>I87*K87</f>
        <v>6.7219954303125</v>
      </c>
      <c r="N87" s="222"/>
    </row>
    <row r="88" spans="8:16">
      <c r="H88" s="222"/>
      <c r="I88" s="222"/>
      <c r="J88" s="222"/>
      <c r="K88" s="222"/>
      <c r="L88" s="222"/>
      <c r="M88" s="222"/>
      <c r="N88" s="222"/>
    </row>
    <row r="89" spans="8:16">
      <c r="H89" s="222"/>
      <c r="I89" s="222"/>
      <c r="J89" s="222"/>
      <c r="K89" s="222"/>
      <c r="L89" s="222"/>
      <c r="M89" s="222"/>
      <c r="N89" s="222"/>
    </row>
    <row r="90" spans="8:16" ht="16.5">
      <c r="H90" s="251" t="s">
        <v>81</v>
      </c>
      <c r="I90" s="222"/>
      <c r="J90" s="222"/>
      <c r="K90" s="222"/>
      <c r="L90" s="222"/>
      <c r="M90" s="222"/>
      <c r="N90" s="222"/>
    </row>
    <row r="91" spans="8:16">
      <c r="H91" s="222"/>
      <c r="I91" s="867" t="s">
        <v>180</v>
      </c>
      <c r="J91" s="852"/>
      <c r="K91" s="872" t="s">
        <v>79</v>
      </c>
      <c r="L91" s="872"/>
      <c r="M91" s="849" t="s">
        <v>80</v>
      </c>
      <c r="N91" s="222"/>
      <c r="O91" s="222"/>
      <c r="P91" s="222"/>
    </row>
    <row r="92" spans="8:16">
      <c r="H92" s="222"/>
      <c r="I92" s="868"/>
      <c r="J92" s="869"/>
      <c r="K92" s="873"/>
      <c r="L92" s="873"/>
      <c r="M92" s="850"/>
      <c r="N92" s="222"/>
      <c r="O92" s="222"/>
      <c r="P92" s="222"/>
    </row>
    <row r="93" spans="8:16">
      <c r="H93" s="222"/>
      <c r="I93" s="865">
        <f>+COSTOFPROJECT!D20</f>
        <v>10</v>
      </c>
      <c r="J93" s="866"/>
      <c r="K93" s="864">
        <v>0</v>
      </c>
      <c r="L93" s="864"/>
      <c r="M93" s="256">
        <v>0</v>
      </c>
      <c r="N93" s="222"/>
      <c r="O93" s="222"/>
      <c r="P93" s="222"/>
    </row>
    <row r="94" spans="8:16">
      <c r="H94" s="222"/>
      <c r="I94" s="222"/>
      <c r="J94" s="222"/>
      <c r="K94" s="222"/>
      <c r="L94" s="222"/>
      <c r="M94" s="222"/>
      <c r="N94" s="222"/>
    </row>
  </sheetData>
  <mergeCells count="38">
    <mergeCell ref="F22:F23"/>
    <mergeCell ref="K93:L93"/>
    <mergeCell ref="I93:J93"/>
    <mergeCell ref="I85:J85"/>
    <mergeCell ref="I86:J86"/>
    <mergeCell ref="I87:J87"/>
    <mergeCell ref="I91:J92"/>
    <mergeCell ref="K87:L87"/>
    <mergeCell ref="K91:L92"/>
    <mergeCell ref="K83:L83"/>
    <mergeCell ref="A22:A23"/>
    <mergeCell ref="A10:F10"/>
    <mergeCell ref="A16:A17"/>
    <mergeCell ref="D14:E14"/>
    <mergeCell ref="F16:F17"/>
    <mergeCell ref="B14:B15"/>
    <mergeCell ref="A18:A19"/>
    <mergeCell ref="F18:F19"/>
    <mergeCell ref="A20:A21"/>
    <mergeCell ref="F20:F21"/>
    <mergeCell ref="N11:O11"/>
    <mergeCell ref="A14:A15"/>
    <mergeCell ref="M91:M92"/>
    <mergeCell ref="H81:H82"/>
    <mergeCell ref="M81:M82"/>
    <mergeCell ref="I81:J82"/>
    <mergeCell ref="I83:J83"/>
    <mergeCell ref="I84:J84"/>
    <mergeCell ref="K81:L82"/>
    <mergeCell ref="K86:L86"/>
    <mergeCell ref="K84:L84"/>
    <mergeCell ref="K85:L85"/>
    <mergeCell ref="A24:A25"/>
    <mergeCell ref="F24:F25"/>
    <mergeCell ref="A28:A29"/>
    <mergeCell ref="F28:F29"/>
    <mergeCell ref="A26:A27"/>
    <mergeCell ref="F26:F27"/>
  </mergeCells>
  <phoneticPr fontId="0" type="noConversion"/>
  <pageMargins left="0.75" right="0.75" top="1" bottom="1" header="0.5" footer="0.5"/>
  <pageSetup paperSize="9" scale="90" orientation="portrait" horizontalDpi="4294967295" verticalDpi="300" r:id="rId1"/>
  <headerFooter alignWithMargins="0"/>
  <rowBreaks count="1" manualBreakCount="1">
    <brk id="48" min="7" max="14" man="1"/>
  </rowBreaks>
</worksheet>
</file>

<file path=xl/worksheets/sheet11.xml><?xml version="1.0" encoding="utf-8"?>
<worksheet xmlns="http://schemas.openxmlformats.org/spreadsheetml/2006/main" xmlns:r="http://schemas.openxmlformats.org/officeDocument/2006/relationships">
  <sheetPr codeName="Sheet11"/>
  <dimension ref="A1:T36"/>
  <sheetViews>
    <sheetView topLeftCell="A2" workbookViewId="0">
      <selection activeCell="T12" sqref="T12"/>
    </sheetView>
  </sheetViews>
  <sheetFormatPr defaultRowHeight="13.5"/>
  <cols>
    <col min="1" max="1" width="5.5703125" style="205" customWidth="1"/>
    <col min="2" max="2" width="22.5703125" style="205" bestFit="1" customWidth="1"/>
    <col min="3" max="4" width="7.7109375" style="205" customWidth="1"/>
    <col min="5" max="16" width="8.28515625" style="205" customWidth="1"/>
    <col min="17" max="16384" width="9.140625" style="205"/>
  </cols>
  <sheetData>
    <row r="1" spans="1:17" ht="23.25">
      <c r="A1" s="778" t="e">
        <f>+INTERESTCAL!H1</f>
        <v>#REF!</v>
      </c>
      <c r="B1" s="769"/>
      <c r="C1" s="769"/>
      <c r="D1" s="769"/>
      <c r="E1" s="769"/>
      <c r="F1" s="769"/>
      <c r="G1" s="769"/>
      <c r="H1" s="769"/>
      <c r="I1" s="769"/>
      <c r="J1" s="769"/>
      <c r="K1" s="769"/>
      <c r="L1" s="768"/>
      <c r="M1" s="769"/>
      <c r="N1" s="769"/>
      <c r="O1" s="769"/>
      <c r="P1" s="770"/>
    </row>
    <row r="2" spans="1:17" ht="16.5">
      <c r="A2" s="876" t="s">
        <v>218</v>
      </c>
      <c r="B2" s="877"/>
      <c r="C2" s="877"/>
      <c r="D2" s="877"/>
      <c r="E2" s="877"/>
      <c r="F2" s="877"/>
      <c r="G2" s="877"/>
      <c r="H2" s="877"/>
      <c r="I2" s="877"/>
      <c r="J2" s="877"/>
      <c r="K2" s="877"/>
      <c r="L2" s="877"/>
      <c r="M2" s="877"/>
      <c r="N2" s="877"/>
      <c r="O2" s="877"/>
      <c r="P2" s="878"/>
    </row>
    <row r="3" spans="1:17">
      <c r="A3" s="749"/>
      <c r="B3" s="750"/>
      <c r="C3" s="750"/>
      <c r="D3" s="750"/>
      <c r="E3" s="750"/>
      <c r="F3" s="750"/>
      <c r="G3" s="750"/>
      <c r="H3" s="750"/>
      <c r="I3" s="750"/>
      <c r="J3" s="750"/>
      <c r="K3" s="750"/>
      <c r="L3" s="750"/>
      <c r="M3" s="750"/>
      <c r="N3" s="750"/>
      <c r="O3" s="750"/>
      <c r="P3" s="751"/>
    </row>
    <row r="4" spans="1:17">
      <c r="A4" s="863" t="s">
        <v>28</v>
      </c>
      <c r="B4" s="863" t="s">
        <v>14</v>
      </c>
      <c r="C4" s="880" t="s">
        <v>1</v>
      </c>
      <c r="D4" s="879" t="s">
        <v>186</v>
      </c>
      <c r="E4" s="863" t="s">
        <v>71</v>
      </c>
      <c r="F4" s="863"/>
      <c r="G4" s="863"/>
      <c r="H4" s="882" t="s">
        <v>120</v>
      </c>
      <c r="I4" s="863"/>
      <c r="J4" s="883"/>
      <c r="K4" s="863" t="s">
        <v>74</v>
      </c>
      <c r="L4" s="863"/>
      <c r="M4" s="863"/>
      <c r="N4" s="863" t="s">
        <v>192</v>
      </c>
      <c r="O4" s="863"/>
      <c r="P4" s="863"/>
    </row>
    <row r="5" spans="1:17" ht="27">
      <c r="A5" s="863"/>
      <c r="B5" s="863"/>
      <c r="C5" s="880"/>
      <c r="D5" s="879"/>
      <c r="E5" s="73" t="s">
        <v>121</v>
      </c>
      <c r="F5" s="73" t="s">
        <v>122</v>
      </c>
      <c r="G5" s="73" t="s">
        <v>123</v>
      </c>
      <c r="H5" s="752" t="s">
        <v>121</v>
      </c>
      <c r="I5" s="73" t="s">
        <v>122</v>
      </c>
      <c r="J5" s="755" t="s">
        <v>123</v>
      </c>
      <c r="K5" s="73" t="s">
        <v>121</v>
      </c>
      <c r="L5" s="73" t="s">
        <v>122</v>
      </c>
      <c r="M5" s="73" t="s">
        <v>123</v>
      </c>
      <c r="N5" s="73" t="s">
        <v>121</v>
      </c>
      <c r="O5" s="73" t="s">
        <v>122</v>
      </c>
      <c r="P5" s="73" t="s">
        <v>123</v>
      </c>
    </row>
    <row r="6" spans="1:17">
      <c r="A6" s="739">
        <v>1</v>
      </c>
      <c r="B6" s="740" t="s">
        <v>21</v>
      </c>
      <c r="C6" s="741">
        <v>25</v>
      </c>
      <c r="D6" s="756">
        <v>25</v>
      </c>
      <c r="E6" s="742">
        <f>PROFITABILITY!D11/PROFITABILITY!D9*WCAPITAL!C6</f>
        <v>14.981249999999999</v>
      </c>
      <c r="F6" s="742">
        <f>+E6*$D$6/100</f>
        <v>3.7453124999999998</v>
      </c>
      <c r="G6" s="742">
        <f>+E6-F6</f>
        <v>11.235937499999999</v>
      </c>
      <c r="H6" s="758">
        <f>PROFITABILITY!E11/PROFITABILITY!E9*WCAPITAL!C6</f>
        <v>15.862499999999995</v>
      </c>
      <c r="I6" s="742">
        <f>+H6*$D$6/100</f>
        <v>3.9656249999999988</v>
      </c>
      <c r="J6" s="759">
        <f>+H6-I6</f>
        <v>11.896874999999996</v>
      </c>
      <c r="K6" s="742">
        <f>PROFITABILITY!F11/PROFITABILITY!F9*WCAPITAL!C6</f>
        <v>15.862499999999995</v>
      </c>
      <c r="L6" s="742">
        <f>+K6*$D$6/100</f>
        <v>3.9656249999999988</v>
      </c>
      <c r="M6" s="742">
        <f>+K6-L6</f>
        <v>11.896874999999996</v>
      </c>
      <c r="N6" s="742">
        <f>+PROFITABILITY!G11/PROFITABILITY!G9*WCAPITAL!C6</f>
        <v>15.862499999999995</v>
      </c>
      <c r="O6" s="742">
        <f>+N6*$D$6/100</f>
        <v>3.9656249999999988</v>
      </c>
      <c r="P6" s="742">
        <f t="shared" ref="P6:P21" si="0">+N6-O6</f>
        <v>11.896874999999996</v>
      </c>
      <c r="Q6" s="213"/>
    </row>
    <row r="7" spans="1:17">
      <c r="A7" s="322"/>
      <c r="B7" s="744" t="s">
        <v>183</v>
      </c>
      <c r="C7" s="745">
        <v>15</v>
      </c>
      <c r="D7" s="757">
        <v>0</v>
      </c>
      <c r="E7" s="746">
        <f>+E6/$C$6*$C$7</f>
        <v>8.9887499999999996</v>
      </c>
      <c r="F7" s="746">
        <v>0</v>
      </c>
      <c r="G7" s="746">
        <f t="shared" ref="G7:G22" si="1">+E7-F7</f>
        <v>8.9887499999999996</v>
      </c>
      <c r="H7" s="747">
        <f>+H6/$C$6*$C$7</f>
        <v>9.5174999999999983</v>
      </c>
      <c r="I7" s="746">
        <v>0</v>
      </c>
      <c r="J7" s="760">
        <f>+H7-I7</f>
        <v>9.5174999999999983</v>
      </c>
      <c r="K7" s="746">
        <f>+K6/$C$6*$C$7</f>
        <v>9.5174999999999983</v>
      </c>
      <c r="L7" s="746">
        <v>0</v>
      </c>
      <c r="M7" s="746">
        <f>+K7-L7</f>
        <v>9.5174999999999983</v>
      </c>
      <c r="N7" s="746">
        <f>+N6/$C$6*$C$7</f>
        <v>9.5174999999999983</v>
      </c>
      <c r="O7" s="746">
        <v>0</v>
      </c>
      <c r="P7" s="746">
        <f t="shared" si="0"/>
        <v>9.5174999999999983</v>
      </c>
      <c r="Q7" s="213"/>
    </row>
    <row r="8" spans="1:17">
      <c r="A8" s="322"/>
      <c r="B8" s="744" t="s">
        <v>124</v>
      </c>
      <c r="C8" s="745">
        <f>C6-C7</f>
        <v>10</v>
      </c>
      <c r="D8" s="757">
        <v>25</v>
      </c>
      <c r="E8" s="746">
        <f>+E6-E7</f>
        <v>5.9924999999999997</v>
      </c>
      <c r="F8" s="746">
        <f>+E8*$D$6/100</f>
        <v>1.4981249999999999</v>
      </c>
      <c r="G8" s="746">
        <f t="shared" si="1"/>
        <v>4.4943749999999998</v>
      </c>
      <c r="H8" s="747">
        <f>+H6-H7</f>
        <v>6.3449999999999971</v>
      </c>
      <c r="I8" s="746">
        <f>+H8*$D$6/100</f>
        <v>1.586249999999999</v>
      </c>
      <c r="J8" s="760">
        <f>+H8-I8</f>
        <v>4.7587499999999983</v>
      </c>
      <c r="K8" s="746">
        <f>+K6-K7</f>
        <v>6.3449999999999971</v>
      </c>
      <c r="L8" s="746">
        <f>+K8*$D$6/100</f>
        <v>1.586249999999999</v>
      </c>
      <c r="M8" s="746">
        <f>+K8-L8</f>
        <v>4.7587499999999983</v>
      </c>
      <c r="N8" s="746">
        <f>+N6-N7</f>
        <v>6.3449999999999971</v>
      </c>
      <c r="O8" s="746">
        <f>+N8*$D$6/100</f>
        <v>1.586249999999999</v>
      </c>
      <c r="P8" s="746">
        <f t="shared" si="0"/>
        <v>4.7587499999999983</v>
      </c>
      <c r="Q8" s="213"/>
    </row>
    <row r="9" spans="1:17">
      <c r="A9" s="322">
        <v>2</v>
      </c>
      <c r="B9" s="744" t="s">
        <v>125</v>
      </c>
      <c r="C9" s="745">
        <v>25</v>
      </c>
      <c r="D9" s="757">
        <v>100</v>
      </c>
      <c r="E9" s="746">
        <f>+PROFITABILITY!D12/PROFITABILITY!$D$9*WCAPITAL!C9</f>
        <v>7.490624999999998E-2</v>
      </c>
      <c r="F9" s="746">
        <f>+E9*$D9/100</f>
        <v>7.490624999999998E-2</v>
      </c>
      <c r="G9" s="746">
        <f t="shared" si="1"/>
        <v>0</v>
      </c>
      <c r="H9" s="747">
        <f>+PROFITABILITY!E12/PROFITABILITY!$E$9*WCAPITAL!C9</f>
        <v>7.9312499999999994E-2</v>
      </c>
      <c r="I9" s="746">
        <f>+H9*$D9/100</f>
        <v>7.9312499999999994E-2</v>
      </c>
      <c r="J9" s="760">
        <f t="shared" ref="J9:J22" si="2">+H9-I9</f>
        <v>0</v>
      </c>
      <c r="K9" s="746">
        <f>+PROFITABILITY!F12/PROFITABILITY!$F$9*WCAPITAL!C9</f>
        <v>7.9312499999999994E-2</v>
      </c>
      <c r="L9" s="746">
        <f>+K9*$D9/100</f>
        <v>7.9312499999999994E-2</v>
      </c>
      <c r="M9" s="746">
        <f>+K9-L9</f>
        <v>0</v>
      </c>
      <c r="N9" s="746">
        <f>+PROFITABILITY!G12/PROFITABILITY!$G$9*WCAPITAL!C9</f>
        <v>7.9312499999999994E-2</v>
      </c>
      <c r="O9" s="746">
        <f>+N9*$D$9/100</f>
        <v>7.9312499999999994E-2</v>
      </c>
      <c r="P9" s="746">
        <f t="shared" si="0"/>
        <v>0</v>
      </c>
      <c r="Q9" s="213"/>
    </row>
    <row r="10" spans="1:17">
      <c r="A10" s="322">
        <v>3</v>
      </c>
      <c r="B10" s="744" t="s">
        <v>184</v>
      </c>
      <c r="C10" s="745">
        <v>25</v>
      </c>
      <c r="D10" s="757">
        <v>100</v>
      </c>
      <c r="E10" s="746">
        <f>+PROFITABILITY!D13/PROFITABILITY!$D$9*WCAPITAL!C10</f>
        <v>0</v>
      </c>
      <c r="F10" s="746">
        <f t="shared" ref="F10:F22" si="3">+E10*$D10/100</f>
        <v>0</v>
      </c>
      <c r="G10" s="746">
        <f t="shared" si="1"/>
        <v>0</v>
      </c>
      <c r="H10" s="747">
        <f>+PROFITABILITY!E13/PROFITABILITY!$E$9*WCAPITAL!C10</f>
        <v>0</v>
      </c>
      <c r="I10" s="746">
        <f t="shared" ref="I10:I22" si="4">+H10*$D10/100</f>
        <v>0</v>
      </c>
      <c r="J10" s="760">
        <f t="shared" si="2"/>
        <v>0</v>
      </c>
      <c r="K10" s="746">
        <f>+PROFITABILITY!F13/PROFITABILITY!$F$9*WCAPITAL!C10</f>
        <v>0</v>
      </c>
      <c r="L10" s="746">
        <f t="shared" ref="L10:L22" si="5">+K10*$D10/100</f>
        <v>0</v>
      </c>
      <c r="M10" s="746">
        <f t="shared" ref="M10:M22" si="6">+K10-L10</f>
        <v>0</v>
      </c>
      <c r="N10" s="746">
        <f>+PROFITABILITY!G13/PROFITABILITY!$G$9*WCAPITAL!C10</f>
        <v>0</v>
      </c>
      <c r="O10" s="746">
        <f>+N10*$D$10/100</f>
        <v>0</v>
      </c>
      <c r="P10" s="746">
        <f t="shared" si="0"/>
        <v>0</v>
      </c>
      <c r="Q10" s="213"/>
    </row>
    <row r="11" spans="1:17">
      <c r="A11" s="322"/>
      <c r="B11" s="744" t="s">
        <v>185</v>
      </c>
      <c r="C11" s="745">
        <v>25</v>
      </c>
      <c r="D11" s="757">
        <v>100</v>
      </c>
      <c r="E11" s="746">
        <f>+PROFITABILITY!D14/PROFITABILITY!$D$9*WCAPITAL!C11</f>
        <v>0.82500000000000007</v>
      </c>
      <c r="F11" s="746">
        <f t="shared" si="3"/>
        <v>0.82499999999999996</v>
      </c>
      <c r="G11" s="746">
        <f t="shared" si="1"/>
        <v>0</v>
      </c>
      <c r="H11" s="747">
        <f>+PROFITABILITY!E14/PROFITABILITY!$E$9*WCAPITAL!C11</f>
        <v>0.86625000000000019</v>
      </c>
      <c r="I11" s="746">
        <f t="shared" si="4"/>
        <v>0.86625000000000019</v>
      </c>
      <c r="J11" s="760">
        <f t="shared" si="2"/>
        <v>0</v>
      </c>
      <c r="K11" s="746">
        <f>+PROFITABILITY!F14/PROFITABILITY!$F$9*WCAPITAL!C11</f>
        <v>0.90956250000000016</v>
      </c>
      <c r="L11" s="746">
        <f t="shared" si="5"/>
        <v>0.90956250000000016</v>
      </c>
      <c r="M11" s="746">
        <f t="shared" si="6"/>
        <v>0</v>
      </c>
      <c r="N11" s="746">
        <f>+PROFITABILITY!G14/PROFITABILITY!$G$9*WCAPITAL!C11</f>
        <v>0.9550406250000002</v>
      </c>
      <c r="O11" s="746">
        <f>+N11*$D$11/100</f>
        <v>0.9550406250000002</v>
      </c>
      <c r="P11" s="746">
        <f t="shared" si="0"/>
        <v>0</v>
      </c>
      <c r="Q11" s="213"/>
    </row>
    <row r="12" spans="1:17">
      <c r="A12" s="322">
        <v>4</v>
      </c>
      <c r="B12" s="744" t="s">
        <v>126</v>
      </c>
      <c r="C12" s="745">
        <v>25</v>
      </c>
      <c r="D12" s="757">
        <v>100</v>
      </c>
      <c r="E12" s="746">
        <f>+PROFITABILITY!D15/PROFITABILITY!$D$9*WCAPITAL!C12</f>
        <v>0.10200000000000001</v>
      </c>
      <c r="F12" s="746">
        <f t="shared" si="3"/>
        <v>0.10200000000000001</v>
      </c>
      <c r="G12" s="746">
        <f t="shared" si="1"/>
        <v>0</v>
      </c>
      <c r="H12" s="747">
        <f>+PROFITABILITY!E15/PROFITABILITY!$E$9*WCAPITAL!C12</f>
        <v>0.108</v>
      </c>
      <c r="I12" s="746">
        <f t="shared" si="4"/>
        <v>0.10800000000000001</v>
      </c>
      <c r="J12" s="760">
        <f t="shared" si="2"/>
        <v>0</v>
      </c>
      <c r="K12" s="746">
        <f>+PROFITABILITY!F15/PROFITABILITY!$F$9*WCAPITAL!C12</f>
        <v>0.108</v>
      </c>
      <c r="L12" s="746">
        <f t="shared" si="5"/>
        <v>0.10800000000000001</v>
      </c>
      <c r="M12" s="746">
        <f t="shared" si="6"/>
        <v>0</v>
      </c>
      <c r="N12" s="746">
        <f>+PROFITABILITY!I15/PROFITABILITY!$G$9*WCAPITAL!C12</f>
        <v>0.108</v>
      </c>
      <c r="O12" s="746">
        <f>+N12*$D$12/100</f>
        <v>0.10800000000000001</v>
      </c>
      <c r="P12" s="746">
        <f t="shared" si="0"/>
        <v>0</v>
      </c>
      <c r="Q12" s="213"/>
    </row>
    <row r="13" spans="1:17">
      <c r="A13" s="322">
        <v>5</v>
      </c>
      <c r="B13" s="744" t="s">
        <v>127</v>
      </c>
      <c r="C13" s="745">
        <v>25</v>
      </c>
      <c r="D13" s="757">
        <v>100</v>
      </c>
      <c r="E13" s="746">
        <f>+PROFITABILITY!D16/PROFITABILITY!$D$9*WCAPITAL!C13</f>
        <v>6.25E-2</v>
      </c>
      <c r="F13" s="746">
        <f t="shared" si="3"/>
        <v>6.25E-2</v>
      </c>
      <c r="G13" s="746">
        <f t="shared" si="1"/>
        <v>0</v>
      </c>
      <c r="H13" s="747">
        <f>+PROFITABILITY!E16/PROFITABILITY!$E$9*WCAPITAL!C13</f>
        <v>6.5625000000000003E-2</v>
      </c>
      <c r="I13" s="746">
        <f t="shared" si="4"/>
        <v>6.5625000000000003E-2</v>
      </c>
      <c r="J13" s="760">
        <f t="shared" si="2"/>
        <v>0</v>
      </c>
      <c r="K13" s="746">
        <f>+PROFITABILITY!F16/PROFITABILITY!$F$9*WCAPITAL!C13</f>
        <v>6.8906250000000016E-2</v>
      </c>
      <c r="L13" s="746">
        <f t="shared" si="5"/>
        <v>6.8906250000000016E-2</v>
      </c>
      <c r="M13" s="746">
        <f t="shared" si="6"/>
        <v>0</v>
      </c>
      <c r="N13" s="746">
        <f>+PROFITABILITY!G16/PROFITABILITY!$G$9*WCAPITAL!C13</f>
        <v>7.2351562500000008E-2</v>
      </c>
      <c r="O13" s="746">
        <f>+N13*$D$13/100</f>
        <v>7.2351562500000008E-2</v>
      </c>
      <c r="P13" s="746">
        <f t="shared" si="0"/>
        <v>0</v>
      </c>
      <c r="Q13" s="213"/>
    </row>
    <row r="14" spans="1:17">
      <c r="A14" s="322">
        <v>6</v>
      </c>
      <c r="B14" s="744" t="s">
        <v>128</v>
      </c>
      <c r="C14" s="745">
        <v>1</v>
      </c>
      <c r="D14" s="757">
        <v>25</v>
      </c>
      <c r="E14" s="746">
        <f>(+E6/$C$6+E9/$C$9+E10/$C$10+E11/$C$11+E12/$C$12+E13/$C$13)*$C$14</f>
        <v>0.64182624999999993</v>
      </c>
      <c r="F14" s="746">
        <f t="shared" si="3"/>
        <v>0.16045656249999996</v>
      </c>
      <c r="G14" s="746">
        <f t="shared" si="1"/>
        <v>0.48136968749999998</v>
      </c>
      <c r="H14" s="747">
        <f>(+H6/$C$6+H9/$C$9+H10/$C$10+H11/$C$11+H12/$C$12+H13/$C$13)*$C$14</f>
        <v>0.6792674999999998</v>
      </c>
      <c r="I14" s="746">
        <f t="shared" si="4"/>
        <v>0.16981687499999995</v>
      </c>
      <c r="J14" s="760">
        <f t="shared" si="2"/>
        <v>0.50945062499999982</v>
      </c>
      <c r="K14" s="746">
        <f>(+K6/$C$6+K9/$C$9+K10/$C$10+K11/$C$11+K12/$C$12+K13/$C$13)*$C$14</f>
        <v>0.68113124999999985</v>
      </c>
      <c r="L14" s="746">
        <f t="shared" si="5"/>
        <v>0.17028281249999996</v>
      </c>
      <c r="M14" s="746">
        <f t="shared" si="6"/>
        <v>0.51084843749999986</v>
      </c>
      <c r="N14" s="746">
        <f>(+N6/$C$6+N9/$C$9+N10/$C$10+N11/$C$11+N12/$C$12+N13/$C$13)*$C$14</f>
        <v>0.68308818749999989</v>
      </c>
      <c r="O14" s="746">
        <f>+N14*$D$14/100</f>
        <v>0.17077204687499997</v>
      </c>
      <c r="P14" s="746">
        <f t="shared" si="0"/>
        <v>0.51231614062499986</v>
      </c>
      <c r="Q14" s="213"/>
    </row>
    <row r="15" spans="1:17">
      <c r="A15" s="322">
        <v>7</v>
      </c>
      <c r="B15" s="744" t="s">
        <v>129</v>
      </c>
      <c r="C15" s="745">
        <v>25</v>
      </c>
      <c r="D15" s="757">
        <v>100</v>
      </c>
      <c r="E15" s="746">
        <f>+PROFITABILITY!D17/PROFITABILITY!$D$9*WCAPITAL!C15</f>
        <v>0.1</v>
      </c>
      <c r="F15" s="746">
        <f t="shared" si="3"/>
        <v>0.1</v>
      </c>
      <c r="G15" s="746">
        <f t="shared" si="1"/>
        <v>0</v>
      </c>
      <c r="H15" s="747">
        <v>7.2916666666666671E-2</v>
      </c>
      <c r="I15" s="746">
        <f t="shared" si="4"/>
        <v>7.2916666666666671E-2</v>
      </c>
      <c r="J15" s="760">
        <f t="shared" si="2"/>
        <v>0</v>
      </c>
      <c r="K15" s="746">
        <v>9.375E-2</v>
      </c>
      <c r="L15" s="746">
        <f t="shared" si="5"/>
        <v>9.375E-2</v>
      </c>
      <c r="M15" s="746">
        <f t="shared" si="6"/>
        <v>0</v>
      </c>
      <c r="N15" s="746">
        <f>+PROFITABILITY!G17/PROFITABILITY!$G$9*WCAPITAL!C15</f>
        <v>0.1</v>
      </c>
      <c r="O15" s="746">
        <f>+N15*$D$15/100</f>
        <v>0.1</v>
      </c>
      <c r="P15" s="746">
        <f t="shared" si="0"/>
        <v>0</v>
      </c>
      <c r="Q15" s="213"/>
    </row>
    <row r="16" spans="1:17">
      <c r="A16" s="322">
        <v>8</v>
      </c>
      <c r="B16" s="744" t="s">
        <v>130</v>
      </c>
      <c r="C16" s="745">
        <v>25</v>
      </c>
      <c r="D16" s="757">
        <v>100</v>
      </c>
      <c r="E16" s="746">
        <f>+PROFITABILITY!D19/PROFITABILITY!$D$9*WCAPITAL!$C$16</f>
        <v>0.40800000000000003</v>
      </c>
      <c r="F16" s="746">
        <f t="shared" si="3"/>
        <v>0.40800000000000003</v>
      </c>
      <c r="G16" s="746">
        <f t="shared" si="1"/>
        <v>0</v>
      </c>
      <c r="H16" s="747">
        <f>+PROFITABILITY!E19/PROFITABILITY!E9*WCAPITAL!$C16</f>
        <v>0.432</v>
      </c>
      <c r="I16" s="746">
        <f t="shared" si="4"/>
        <v>0.43200000000000005</v>
      </c>
      <c r="J16" s="760">
        <f t="shared" si="2"/>
        <v>0</v>
      </c>
      <c r="K16" s="746">
        <f>+PROFITABILITY!F19/PROFITABILITY!$F$9*WCAPITAL!C16</f>
        <v>0.432</v>
      </c>
      <c r="L16" s="746">
        <f t="shared" si="5"/>
        <v>0.43200000000000005</v>
      </c>
      <c r="M16" s="746">
        <f t="shared" si="6"/>
        <v>0</v>
      </c>
      <c r="N16" s="746">
        <f>+PROFITABILITY!G19/PROFITABILITY!$G$9*WCAPITAL!C16</f>
        <v>0.432</v>
      </c>
      <c r="O16" s="746">
        <f>+N16*$D$16/100</f>
        <v>0.43200000000000005</v>
      </c>
      <c r="P16" s="746">
        <f t="shared" si="0"/>
        <v>0</v>
      </c>
      <c r="Q16" s="213"/>
    </row>
    <row r="17" spans="1:20">
      <c r="A17" s="322">
        <v>9</v>
      </c>
      <c r="B17" s="744" t="s">
        <v>131</v>
      </c>
      <c r="C17" s="745">
        <v>25</v>
      </c>
      <c r="D17" s="757">
        <v>100</v>
      </c>
      <c r="E17" s="746">
        <f>+PROFITABILITY!D20/PROFITABILITY!$D$9*WCAPITAL!$C$16</f>
        <v>6.25E-2</v>
      </c>
      <c r="F17" s="746">
        <f t="shared" si="3"/>
        <v>6.25E-2</v>
      </c>
      <c r="G17" s="746">
        <f t="shared" si="1"/>
        <v>0</v>
      </c>
      <c r="H17" s="747">
        <f>+PROFITABILITY!E20/PROFITABILITY!$E$9*WCAPITAL!$C17</f>
        <v>7.2916666875000008E-2</v>
      </c>
      <c r="I17" s="746">
        <f t="shared" si="4"/>
        <v>7.2916666875000008E-2</v>
      </c>
      <c r="J17" s="760">
        <f t="shared" si="2"/>
        <v>0</v>
      </c>
      <c r="K17" s="746">
        <f>+PROFITABILITY!F20/PROFITABILITY!$F$9*WCAPITAL!C17</f>
        <v>9.375E-2</v>
      </c>
      <c r="L17" s="746">
        <f t="shared" si="5"/>
        <v>9.375E-2</v>
      </c>
      <c r="M17" s="746">
        <f t="shared" si="6"/>
        <v>0</v>
      </c>
      <c r="N17" s="746">
        <f>+PROFITABILITY!G20/PROFITABILITY!$G$9*WCAPITAL!C17</f>
        <v>9.375E-2</v>
      </c>
      <c r="O17" s="746">
        <f>+N17*$D$17/100</f>
        <v>9.375E-2</v>
      </c>
      <c r="P17" s="746">
        <f t="shared" si="0"/>
        <v>0</v>
      </c>
      <c r="Q17" s="213"/>
    </row>
    <row r="18" spans="1:20">
      <c r="A18" s="322">
        <v>10</v>
      </c>
      <c r="B18" s="744" t="s">
        <v>23</v>
      </c>
      <c r="C18" s="745">
        <v>25</v>
      </c>
      <c r="D18" s="757">
        <v>100</v>
      </c>
      <c r="E18" s="746">
        <f>+PROFITABILITY!D18/PROFITABILITY!$D$9*WCAPITAL!$C$16</f>
        <v>0.95624999999999993</v>
      </c>
      <c r="F18" s="746">
        <f t="shared" si="3"/>
        <v>0.95625000000000004</v>
      </c>
      <c r="G18" s="746">
        <f t="shared" si="1"/>
        <v>0</v>
      </c>
      <c r="H18" s="747">
        <f>+PROFITABILITY!E18/PROFITABILITY!$E$9*WCAPITAL!$C18</f>
        <v>1.0125</v>
      </c>
      <c r="I18" s="746">
        <f t="shared" si="4"/>
        <v>1.0125</v>
      </c>
      <c r="J18" s="760">
        <f t="shared" si="2"/>
        <v>0</v>
      </c>
      <c r="K18" s="746">
        <f>+PROFITABILITY!F18/PROFITABILITY!$F$9*WCAPITAL!C18</f>
        <v>1.0125</v>
      </c>
      <c r="L18" s="746">
        <f t="shared" si="5"/>
        <v>1.0125</v>
      </c>
      <c r="M18" s="746">
        <f t="shared" si="6"/>
        <v>0</v>
      </c>
      <c r="N18" s="746">
        <f>+PROFITABILITY!G18/PROFITABILITY!$G$9*WCAPITAL!C18</f>
        <v>1.0125</v>
      </c>
      <c r="O18" s="746">
        <f>+N18*$D$18/100</f>
        <v>1.0125</v>
      </c>
      <c r="P18" s="746">
        <f t="shared" si="0"/>
        <v>0</v>
      </c>
      <c r="Q18" s="213"/>
    </row>
    <row r="19" spans="1:20">
      <c r="A19" s="322">
        <v>11</v>
      </c>
      <c r="B19" s="744" t="s">
        <v>132</v>
      </c>
      <c r="C19" s="745">
        <v>25</v>
      </c>
      <c r="D19" s="757">
        <v>25</v>
      </c>
      <c r="E19" s="746">
        <f>(+E6/$C$6+E9/$C$9+E10/$C$10+E11/$C$11+E12/$C$12+E13/$C$13+E15/$C$15+E16/$C$16+E17/$C$17+E18/$C$18)*$C$19</f>
        <v>17.572406249999997</v>
      </c>
      <c r="F19" s="746">
        <f t="shared" si="3"/>
        <v>4.3931015624999992</v>
      </c>
      <c r="G19" s="746">
        <f t="shared" si="1"/>
        <v>13.179304687499997</v>
      </c>
      <c r="H19" s="747">
        <f>(+H6/$C$6+H9/$C$9+H10/$C$10+H11/$C$11+H12/$C$12+H13/$C$13+H15/$C$15+H16/$C$16+H17/$C$17+H18/$C$18)*$C$19</f>
        <v>18.572020833541661</v>
      </c>
      <c r="I19" s="746">
        <f t="shared" si="4"/>
        <v>4.6430052083854152</v>
      </c>
      <c r="J19" s="760">
        <f t="shared" si="2"/>
        <v>13.929015625156246</v>
      </c>
      <c r="K19" s="746">
        <f>(+K6/$C$6+K9/$C$9+K10/$C$10+K11/$C$11+K12/$C$12+K13/$C$13+K15/$C$15+K16/$C$16+K17/$C$17+K18/$C$18)*$C$19</f>
        <v>18.660281249999997</v>
      </c>
      <c r="L19" s="746">
        <f t="shared" si="5"/>
        <v>4.6650703124999993</v>
      </c>
      <c r="M19" s="746">
        <f t="shared" si="6"/>
        <v>13.995210937499998</v>
      </c>
      <c r="N19" s="746">
        <f>(+N6/$C$6+N9/$C$9+N10/$C$10+N11/$C$11+N12/$C$12+N13/$C$13+N15/$C$15+N16/$C$16+N17/$C$17+N18/$C$18)*$C$19</f>
        <v>18.715454687499996</v>
      </c>
      <c r="O19" s="746">
        <f>+N19*$D$19/100</f>
        <v>4.678863671874999</v>
      </c>
      <c r="P19" s="746">
        <f t="shared" si="0"/>
        <v>14.036591015624996</v>
      </c>
      <c r="Q19" s="213"/>
    </row>
    <row r="20" spans="1:20">
      <c r="A20" s="322">
        <v>12</v>
      </c>
      <c r="B20" s="744" t="s">
        <v>133</v>
      </c>
      <c r="C20" s="745">
        <v>25</v>
      </c>
      <c r="D20" s="757">
        <v>100</v>
      </c>
      <c r="E20" s="746">
        <f>+PROFITABILITY!D27/PROFITABILITY!$D$9*WCAPITAL!$C20</f>
        <v>0.40800000000000003</v>
      </c>
      <c r="F20" s="746">
        <f t="shared" si="3"/>
        <v>0.40800000000000003</v>
      </c>
      <c r="G20" s="746">
        <f t="shared" si="1"/>
        <v>0</v>
      </c>
      <c r="H20" s="747">
        <f>+PROFITABILITY!E27/PROFITABILITY!$E$9*WCAPITAL!$C20</f>
        <v>0.432</v>
      </c>
      <c r="I20" s="746">
        <f t="shared" si="4"/>
        <v>0.43200000000000005</v>
      </c>
      <c r="J20" s="760">
        <f t="shared" si="2"/>
        <v>0</v>
      </c>
      <c r="K20" s="746">
        <f>+PROFITABILITY!F27/PROFITABILITY!$F$9*WCAPITAL!C20</f>
        <v>0.432</v>
      </c>
      <c r="L20" s="746">
        <f t="shared" si="5"/>
        <v>0.43200000000000005</v>
      </c>
      <c r="M20" s="746">
        <f t="shared" si="6"/>
        <v>0</v>
      </c>
      <c r="N20" s="746">
        <f>+PROFITABILITY!G27/PROFITABILITY!$G$9*WCAPITAL!C20</f>
        <v>0.432</v>
      </c>
      <c r="O20" s="746">
        <f>+N20*$D$20/100</f>
        <v>0.43200000000000005</v>
      </c>
      <c r="P20" s="746">
        <f t="shared" si="0"/>
        <v>0</v>
      </c>
      <c r="Q20" s="213"/>
    </row>
    <row r="21" spans="1:20">
      <c r="A21" s="322">
        <v>13</v>
      </c>
      <c r="B21" s="744" t="s">
        <v>134</v>
      </c>
      <c r="C21" s="745">
        <v>50</v>
      </c>
      <c r="D21" s="757">
        <v>25</v>
      </c>
      <c r="E21" s="746">
        <f>+PROFITABILITY!D30/PROFITABILITY!$D$9*WCAPITAL!$C21</f>
        <v>40.799999999999997</v>
      </c>
      <c r="F21" s="746">
        <f t="shared" si="3"/>
        <v>10.199999999999999</v>
      </c>
      <c r="G21" s="746">
        <f t="shared" si="1"/>
        <v>30.599999999999998</v>
      </c>
      <c r="H21" s="747">
        <f>+PROFITABILITY!E30/PROFITABILITY!$E$9*WCAPITAL!$C21</f>
        <v>43.2</v>
      </c>
      <c r="I21" s="746">
        <f t="shared" si="4"/>
        <v>10.8</v>
      </c>
      <c r="J21" s="760">
        <f t="shared" si="2"/>
        <v>32.400000000000006</v>
      </c>
      <c r="K21" s="746">
        <f>+PROFITABILITY!F30/PROFITABILITY!$F$9*WCAPITAL!C21</f>
        <v>43.2</v>
      </c>
      <c r="L21" s="746">
        <f t="shared" si="5"/>
        <v>10.8</v>
      </c>
      <c r="M21" s="746">
        <f t="shared" si="6"/>
        <v>32.400000000000006</v>
      </c>
      <c r="N21" s="746">
        <f>+PROFITABILITY!G30/PROFITABILITY!$G$9*WCAPITAL!C21</f>
        <v>43.2</v>
      </c>
      <c r="O21" s="746">
        <f>+N21*$D$21/100</f>
        <v>10.8</v>
      </c>
      <c r="P21" s="746">
        <f t="shared" si="0"/>
        <v>32.400000000000006</v>
      </c>
      <c r="Q21" s="213"/>
    </row>
    <row r="22" spans="1:20">
      <c r="A22" s="322">
        <v>14</v>
      </c>
      <c r="B22" s="744" t="s">
        <v>135</v>
      </c>
      <c r="C22" s="764">
        <v>0</v>
      </c>
      <c r="D22" s="766">
        <v>100</v>
      </c>
      <c r="E22" s="763">
        <v>0</v>
      </c>
      <c r="F22" s="761">
        <f t="shared" si="3"/>
        <v>0</v>
      </c>
      <c r="G22" s="761">
        <f t="shared" si="1"/>
        <v>0</v>
      </c>
      <c r="H22" s="762">
        <v>0</v>
      </c>
      <c r="I22" s="761">
        <f t="shared" si="4"/>
        <v>0</v>
      </c>
      <c r="J22" s="767">
        <f t="shared" si="2"/>
        <v>0</v>
      </c>
      <c r="K22" s="763">
        <v>0</v>
      </c>
      <c r="L22" s="761">
        <f t="shared" si="5"/>
        <v>0</v>
      </c>
      <c r="M22" s="761">
        <f t="shared" si="6"/>
        <v>0</v>
      </c>
      <c r="N22" s="753">
        <v>0</v>
      </c>
      <c r="O22" s="753">
        <v>0</v>
      </c>
      <c r="P22" s="753">
        <v>0</v>
      </c>
      <c r="Q22" s="213"/>
    </row>
    <row r="23" spans="1:20">
      <c r="A23" s="753"/>
      <c r="B23" s="753" t="s">
        <v>59</v>
      </c>
      <c r="C23" s="765"/>
      <c r="D23" s="765"/>
      <c r="E23" s="743">
        <f>SUM(E8:E22)</f>
        <v>68.005888749999997</v>
      </c>
      <c r="F23" s="743">
        <f>SUM(F8:F22)</f>
        <v>19.250839374999998</v>
      </c>
      <c r="G23" s="743">
        <f>SUM(G8:G22)</f>
        <v>48.755049374999999</v>
      </c>
      <c r="H23" s="743">
        <f t="shared" ref="H23:M23" si="7">SUM(H8:H22)</f>
        <v>71.93780916708333</v>
      </c>
      <c r="I23" s="743">
        <f t="shared" si="7"/>
        <v>20.340592916927079</v>
      </c>
      <c r="J23" s="743">
        <f t="shared" si="7"/>
        <v>51.597216250156251</v>
      </c>
      <c r="K23" s="743">
        <f t="shared" si="7"/>
        <v>72.116193749999994</v>
      </c>
      <c r="L23" s="743">
        <f t="shared" si="7"/>
        <v>20.451384374999996</v>
      </c>
      <c r="M23" s="743">
        <f t="shared" si="7"/>
        <v>51.664809375000004</v>
      </c>
      <c r="N23" s="743">
        <f>SUM(N8:N22)</f>
        <v>72.228497562499996</v>
      </c>
      <c r="O23" s="754">
        <f>SUM(O8:O22)</f>
        <v>20.520840406250002</v>
      </c>
      <c r="P23" s="754">
        <f>SUM(P8:P22)</f>
        <v>51.707657156250001</v>
      </c>
      <c r="Q23" s="213"/>
    </row>
    <row r="24" spans="1:20">
      <c r="A24" s="737"/>
      <c r="B24" s="222"/>
      <c r="C24" s="222"/>
      <c r="D24" s="222"/>
      <c r="E24" s="246"/>
      <c r="F24" s="246"/>
      <c r="G24" s="246"/>
      <c r="H24" s="246"/>
      <c r="I24" s="246"/>
      <c r="J24" s="246"/>
      <c r="K24" s="246"/>
      <c r="L24" s="246"/>
      <c r="M24" s="246"/>
      <c r="N24" s="246"/>
      <c r="O24" s="246"/>
      <c r="P24" s="748"/>
      <c r="Q24" s="213"/>
      <c r="S24" s="213"/>
      <c r="T24" s="213"/>
    </row>
    <row r="25" spans="1:20">
      <c r="A25" s="737" t="s">
        <v>136</v>
      </c>
      <c r="B25" s="222"/>
      <c r="C25" s="222"/>
      <c r="D25" s="246">
        <f>F23</f>
        <v>19.250839374999998</v>
      </c>
      <c r="E25" s="881" t="s">
        <v>214</v>
      </c>
      <c r="F25" s="881"/>
      <c r="G25" s="246"/>
      <c r="H25" s="246"/>
      <c r="I25" s="246"/>
      <c r="J25" s="246"/>
      <c r="K25" s="246"/>
      <c r="L25" s="246"/>
      <c r="M25" s="246"/>
      <c r="N25" s="246"/>
      <c r="O25" s="246"/>
      <c r="P25" s="748"/>
      <c r="Q25" s="246"/>
      <c r="R25" s="246"/>
      <c r="S25" s="246"/>
      <c r="T25" s="246"/>
    </row>
    <row r="26" spans="1:20">
      <c r="A26" s="737"/>
      <c r="B26" s="222"/>
      <c r="C26" s="222"/>
      <c r="D26" s="222"/>
      <c r="E26" s="222"/>
      <c r="F26" s="222"/>
      <c r="G26" s="222"/>
      <c r="H26" s="222"/>
      <c r="I26" s="222"/>
      <c r="J26" s="222"/>
      <c r="K26" s="222"/>
      <c r="L26" s="222"/>
      <c r="M26" s="222"/>
      <c r="N26" s="222"/>
      <c r="O26" s="222"/>
      <c r="P26" s="738"/>
      <c r="T26" s="213"/>
    </row>
    <row r="27" spans="1:20">
      <c r="A27" s="737"/>
      <c r="B27" s="222"/>
      <c r="C27" s="222"/>
      <c r="D27" s="222"/>
      <c r="E27" s="222"/>
      <c r="F27" s="222"/>
      <c r="G27" s="222"/>
      <c r="H27" s="351"/>
      <c r="I27" s="351"/>
      <c r="J27" s="351"/>
      <c r="K27" s="222"/>
      <c r="L27" s="351"/>
      <c r="M27" s="351"/>
      <c r="N27" s="351"/>
      <c r="O27" s="351"/>
      <c r="P27" s="738"/>
      <c r="Q27" s="351"/>
      <c r="R27" s="351"/>
      <c r="S27" s="351"/>
      <c r="T27" s="213"/>
    </row>
    <row r="28" spans="1:20">
      <c r="A28" s="749"/>
      <c r="B28" s="750"/>
      <c r="C28" s="750"/>
      <c r="D28" s="750"/>
      <c r="E28" s="750"/>
      <c r="F28" s="750"/>
      <c r="G28" s="750"/>
      <c r="H28" s="750"/>
      <c r="I28" s="750"/>
      <c r="J28" s="750"/>
      <c r="K28" s="750"/>
      <c r="L28" s="750"/>
      <c r="M28" s="750"/>
      <c r="N28" s="750"/>
      <c r="O28" s="750"/>
      <c r="P28" s="751"/>
      <c r="T28" s="213"/>
    </row>
    <row r="29" spans="1:20">
      <c r="Q29" s="213"/>
    </row>
    <row r="30" spans="1:20">
      <c r="Q30" s="213"/>
    </row>
    <row r="31" spans="1:20">
      <c r="B31" s="884" t="s">
        <v>224</v>
      </c>
      <c r="C31" s="885"/>
      <c r="D31" s="886"/>
      <c r="E31" s="743">
        <f t="shared" ref="E31:P31" si="8">+E6+E14+E19</f>
        <v>33.195482499999997</v>
      </c>
      <c r="F31" s="743">
        <f t="shared" si="8"/>
        <v>8.2988706249999993</v>
      </c>
      <c r="G31" s="743">
        <f t="shared" si="8"/>
        <v>24.896611874999994</v>
      </c>
      <c r="H31" s="743">
        <f t="shared" si="8"/>
        <v>35.113788333541656</v>
      </c>
      <c r="I31" s="743">
        <f t="shared" si="8"/>
        <v>8.778447083385414</v>
      </c>
      <c r="J31" s="743">
        <f t="shared" si="8"/>
        <v>26.33534125015624</v>
      </c>
      <c r="K31" s="743">
        <f t="shared" si="8"/>
        <v>35.203912499999987</v>
      </c>
      <c r="L31" s="743">
        <f t="shared" si="8"/>
        <v>8.8009781249999968</v>
      </c>
      <c r="M31" s="743">
        <f t="shared" si="8"/>
        <v>26.402934374999994</v>
      </c>
      <c r="N31" s="743">
        <f t="shared" si="8"/>
        <v>35.261042874999987</v>
      </c>
      <c r="O31" s="743">
        <f t="shared" si="8"/>
        <v>8.8152607187499967</v>
      </c>
      <c r="P31" s="743">
        <f t="shared" si="8"/>
        <v>26.44578215624999</v>
      </c>
      <c r="Q31" s="213"/>
      <c r="R31" s="213"/>
    </row>
    <row r="32" spans="1:20">
      <c r="B32" s="884" t="s">
        <v>225</v>
      </c>
      <c r="C32" s="885"/>
      <c r="D32" s="886"/>
      <c r="E32" s="743">
        <f xml:space="preserve"> -E7</f>
        <v>-8.9887499999999996</v>
      </c>
      <c r="F32" s="743">
        <f t="shared" ref="F32:P32" si="9" xml:space="preserve"> -F7</f>
        <v>0</v>
      </c>
      <c r="G32" s="743">
        <f t="shared" si="9"/>
        <v>-8.9887499999999996</v>
      </c>
      <c r="H32" s="743">
        <f t="shared" si="9"/>
        <v>-9.5174999999999983</v>
      </c>
      <c r="I32" s="743">
        <f t="shared" si="9"/>
        <v>0</v>
      </c>
      <c r="J32" s="743">
        <f t="shared" si="9"/>
        <v>-9.5174999999999983</v>
      </c>
      <c r="K32" s="743">
        <f t="shared" si="9"/>
        <v>-9.5174999999999983</v>
      </c>
      <c r="L32" s="743">
        <f t="shared" si="9"/>
        <v>0</v>
      </c>
      <c r="M32" s="743">
        <f t="shared" si="9"/>
        <v>-9.5174999999999983</v>
      </c>
      <c r="N32" s="743">
        <f t="shared" si="9"/>
        <v>-9.5174999999999983</v>
      </c>
      <c r="O32" s="743">
        <f t="shared" si="9"/>
        <v>0</v>
      </c>
      <c r="P32" s="743">
        <f t="shared" si="9"/>
        <v>-9.5174999999999983</v>
      </c>
      <c r="Q32" s="213"/>
      <c r="R32" s="213"/>
    </row>
    <row r="33" spans="2:18">
      <c r="B33" s="884" t="s">
        <v>226</v>
      </c>
      <c r="C33" s="885"/>
      <c r="D33" s="886"/>
      <c r="E33" s="743">
        <f t="shared" ref="E33:P33" si="10">SUM(E9:E20)-E14-E19</f>
        <v>2.9991562499999986</v>
      </c>
      <c r="F33" s="743">
        <f t="shared" si="10"/>
        <v>2.9991562500000004</v>
      </c>
      <c r="G33" s="743">
        <f t="shared" si="10"/>
        <v>0</v>
      </c>
      <c r="H33" s="743">
        <f>SUM(H9:H20)-H14-H19</f>
        <v>3.1415208335416658</v>
      </c>
      <c r="I33" s="743">
        <f t="shared" si="10"/>
        <v>3.1415208335416676</v>
      </c>
      <c r="J33" s="743">
        <f t="shared" si="10"/>
        <v>0</v>
      </c>
      <c r="K33" s="743">
        <f t="shared" si="10"/>
        <v>3.2297812499999985</v>
      </c>
      <c r="L33" s="743">
        <f t="shared" si="10"/>
        <v>3.2297812500000003</v>
      </c>
      <c r="M33" s="743">
        <f t="shared" si="10"/>
        <v>0</v>
      </c>
      <c r="N33" s="743">
        <f t="shared" si="10"/>
        <v>3.2849546874999973</v>
      </c>
      <c r="O33" s="743">
        <f t="shared" si="10"/>
        <v>3.2849546875000009</v>
      </c>
      <c r="P33" s="743">
        <f t="shared" si="10"/>
        <v>0</v>
      </c>
      <c r="Q33" s="213"/>
      <c r="R33" s="213"/>
    </row>
    <row r="34" spans="2:18">
      <c r="B34" s="884" t="s">
        <v>227</v>
      </c>
      <c r="C34" s="885"/>
      <c r="D34" s="886"/>
      <c r="E34" s="743">
        <f t="shared" ref="E34:P34" si="11">E21</f>
        <v>40.799999999999997</v>
      </c>
      <c r="F34" s="743">
        <f t="shared" si="11"/>
        <v>10.199999999999999</v>
      </c>
      <c r="G34" s="743">
        <f t="shared" si="11"/>
        <v>30.599999999999998</v>
      </c>
      <c r="H34" s="743">
        <f t="shared" si="11"/>
        <v>43.2</v>
      </c>
      <c r="I34" s="743">
        <f t="shared" si="11"/>
        <v>10.8</v>
      </c>
      <c r="J34" s="743">
        <f t="shared" si="11"/>
        <v>32.400000000000006</v>
      </c>
      <c r="K34" s="743">
        <f t="shared" si="11"/>
        <v>43.2</v>
      </c>
      <c r="L34" s="743">
        <f t="shared" si="11"/>
        <v>10.8</v>
      </c>
      <c r="M34" s="743">
        <f t="shared" si="11"/>
        <v>32.400000000000006</v>
      </c>
      <c r="N34" s="743">
        <f t="shared" si="11"/>
        <v>43.2</v>
      </c>
      <c r="O34" s="743">
        <f t="shared" si="11"/>
        <v>10.8</v>
      </c>
      <c r="P34" s="743">
        <f t="shared" si="11"/>
        <v>32.400000000000006</v>
      </c>
      <c r="Q34" s="213" t="s">
        <v>271</v>
      </c>
      <c r="R34" s="213"/>
    </row>
    <row r="35" spans="2:18">
      <c r="B35" s="884"/>
      <c r="C35" s="885"/>
      <c r="D35" s="886"/>
      <c r="E35" s="743">
        <f>SUM(E31:E34)</f>
        <v>68.005888749999997</v>
      </c>
      <c r="F35" s="743">
        <f t="shared" ref="F35:P35" si="12">SUM(F31:F34)</f>
        <v>21.498026875000001</v>
      </c>
      <c r="G35" s="743">
        <f t="shared" si="12"/>
        <v>46.507861874999989</v>
      </c>
      <c r="H35" s="743">
        <f t="shared" si="12"/>
        <v>71.93780916708333</v>
      </c>
      <c r="I35" s="743">
        <f t="shared" si="12"/>
        <v>22.719967916927082</v>
      </c>
      <c r="J35" s="743">
        <f t="shared" si="12"/>
        <v>49.217841250156248</v>
      </c>
      <c r="K35" s="743">
        <f t="shared" si="12"/>
        <v>72.116193749999994</v>
      </c>
      <c r="L35" s="743">
        <f t="shared" si="12"/>
        <v>22.830759375</v>
      </c>
      <c r="M35" s="743">
        <f t="shared" si="12"/>
        <v>49.285434375000001</v>
      </c>
      <c r="N35" s="743">
        <f t="shared" si="12"/>
        <v>72.228497562499996</v>
      </c>
      <c r="O35" s="743">
        <f t="shared" si="12"/>
        <v>22.900215406249998</v>
      </c>
      <c r="P35" s="743">
        <f t="shared" si="12"/>
        <v>49.328282156249998</v>
      </c>
      <c r="Q35" s="213"/>
      <c r="R35" s="213"/>
    </row>
    <row r="36" spans="2:18">
      <c r="E36" s="213"/>
    </row>
  </sheetData>
  <mergeCells count="15">
    <mergeCell ref="B35:D35"/>
    <mergeCell ref="B31:D31"/>
    <mergeCell ref="B32:D32"/>
    <mergeCell ref="B33:D33"/>
    <mergeCell ref="B34:D34"/>
    <mergeCell ref="B4:B5"/>
    <mergeCell ref="A4:A5"/>
    <mergeCell ref="A2:P2"/>
    <mergeCell ref="D4:D5"/>
    <mergeCell ref="C4:C5"/>
    <mergeCell ref="E25:F25"/>
    <mergeCell ref="N4:P4"/>
    <mergeCell ref="E4:G4"/>
    <mergeCell ref="H4:J4"/>
    <mergeCell ref="K4:M4"/>
  </mergeCells>
  <phoneticPr fontId="0" type="noConversion"/>
  <printOptions horizontalCentered="1"/>
  <pageMargins left="0.5" right="0.5" top="0.62" bottom="1" header="0.5" footer="0.5"/>
  <pageSetup paperSize="9" scale="95" orientation="landscape" horizontalDpi="4294967295" verticalDpi="300" r:id="rId1"/>
  <headerFooter alignWithMargins="0"/>
</worksheet>
</file>

<file path=xl/worksheets/sheet12.xml><?xml version="1.0" encoding="utf-8"?>
<worksheet xmlns="http://schemas.openxmlformats.org/spreadsheetml/2006/main" xmlns:r="http://schemas.openxmlformats.org/officeDocument/2006/relationships">
  <sheetPr codeName="Sheet12"/>
  <dimension ref="A1:J49"/>
  <sheetViews>
    <sheetView workbookViewId="0">
      <selection activeCell="F1" sqref="F1"/>
    </sheetView>
  </sheetViews>
  <sheetFormatPr defaultRowHeight="13.5"/>
  <cols>
    <col min="1" max="1" width="5.5703125" style="1" customWidth="1"/>
    <col min="2" max="2" width="42.42578125" style="1" customWidth="1"/>
    <col min="3" max="3" width="7.42578125" style="1" bestFit="1" customWidth="1"/>
    <col min="4" max="4" width="9.85546875" style="1" bestFit="1" customWidth="1"/>
    <col min="5" max="5" width="9.7109375" style="1" customWidth="1"/>
    <col min="6" max="6" width="10.7109375" style="1" bestFit="1" customWidth="1"/>
    <col min="7" max="7" width="11" style="1" bestFit="1" customWidth="1"/>
    <col min="8" max="8" width="10.5703125" style="1" bestFit="1" customWidth="1"/>
    <col min="9" max="9" width="9.5703125" style="1" bestFit="1" customWidth="1"/>
    <col min="10" max="10" width="10" style="1" bestFit="1" customWidth="1"/>
    <col min="11" max="16384" width="9.140625" style="1"/>
  </cols>
  <sheetData>
    <row r="1" spans="1:10" ht="23.25">
      <c r="A1" s="779" t="e">
        <f>+WCAPITAL!A1</f>
        <v>#REF!</v>
      </c>
    </row>
    <row r="3" spans="1:10" ht="16.5">
      <c r="A3" s="887" t="s">
        <v>217</v>
      </c>
      <c r="B3" s="888"/>
      <c r="C3" s="888"/>
      <c r="D3" s="888"/>
      <c r="E3" s="888"/>
      <c r="F3" s="888"/>
      <c r="G3" s="888"/>
      <c r="H3" s="888"/>
      <c r="I3" s="888"/>
      <c r="J3" s="889"/>
    </row>
    <row r="4" spans="1:10">
      <c r="A4" s="10"/>
      <c r="B4" s="10"/>
      <c r="C4" s="10"/>
      <c r="D4" s="10"/>
      <c r="E4" s="10"/>
      <c r="F4" s="10"/>
      <c r="G4" s="10"/>
      <c r="H4" s="10"/>
      <c r="I4" s="10"/>
      <c r="J4" s="10"/>
    </row>
    <row r="5" spans="1:10" ht="15">
      <c r="A5" s="16" t="s">
        <v>677</v>
      </c>
      <c r="B5" s="265" t="s">
        <v>14</v>
      </c>
      <c r="C5" s="16"/>
      <c r="D5" s="16" t="s">
        <v>71</v>
      </c>
      <c r="E5" s="16" t="s">
        <v>172</v>
      </c>
      <c r="F5" s="16" t="s">
        <v>74</v>
      </c>
      <c r="G5" s="16" t="s">
        <v>75</v>
      </c>
      <c r="H5" s="16" t="s">
        <v>76</v>
      </c>
      <c r="I5" s="16" t="s">
        <v>4</v>
      </c>
      <c r="J5" s="16" t="s">
        <v>5</v>
      </c>
    </row>
    <row r="6" spans="1:10">
      <c r="A6" s="35" t="s">
        <v>173</v>
      </c>
      <c r="B6" s="263" t="s">
        <v>137</v>
      </c>
      <c r="C6" s="10"/>
      <c r="D6" s="10">
        <f>SALESREVENUE!C11</f>
        <v>9000</v>
      </c>
      <c r="E6" s="10" t="s">
        <v>691</v>
      </c>
      <c r="F6" s="10"/>
      <c r="G6" s="10"/>
      <c r="H6" s="10"/>
      <c r="I6" s="10"/>
      <c r="J6" s="10"/>
    </row>
    <row r="7" spans="1:10">
      <c r="A7" s="35" t="s">
        <v>174</v>
      </c>
      <c r="B7" s="263" t="s">
        <v>138</v>
      </c>
      <c r="C7" s="10"/>
      <c r="D7" s="194">
        <v>0.85</v>
      </c>
      <c r="E7" s="194">
        <v>0.9</v>
      </c>
      <c r="F7" s="194">
        <v>0.9</v>
      </c>
      <c r="G7" s="194">
        <v>0.9</v>
      </c>
      <c r="H7" s="194">
        <v>0.9</v>
      </c>
      <c r="I7" s="194">
        <v>0.9</v>
      </c>
      <c r="J7" s="194">
        <v>0.9</v>
      </c>
    </row>
    <row r="8" spans="1:10">
      <c r="A8" s="35" t="s">
        <v>175</v>
      </c>
      <c r="B8" s="264" t="s">
        <v>139</v>
      </c>
      <c r="C8" s="10"/>
      <c r="D8" s="10">
        <v>1</v>
      </c>
      <c r="E8" s="10">
        <f t="shared" ref="E8:J9" si="0">+D8</f>
        <v>1</v>
      </c>
      <c r="F8" s="10">
        <f t="shared" si="0"/>
        <v>1</v>
      </c>
      <c r="G8" s="10">
        <f t="shared" si="0"/>
        <v>1</v>
      </c>
      <c r="H8" s="10">
        <f t="shared" si="0"/>
        <v>1</v>
      </c>
      <c r="I8" s="10">
        <f t="shared" si="0"/>
        <v>1</v>
      </c>
      <c r="J8" s="10">
        <f t="shared" si="0"/>
        <v>1</v>
      </c>
    </row>
    <row r="9" spans="1:10">
      <c r="A9" s="35" t="s">
        <v>18</v>
      </c>
      <c r="B9" s="263" t="s">
        <v>140</v>
      </c>
      <c r="C9" s="10"/>
      <c r="D9" s="10">
        <v>300</v>
      </c>
      <c r="E9" s="10">
        <f t="shared" si="0"/>
        <v>300</v>
      </c>
      <c r="F9" s="10">
        <f t="shared" si="0"/>
        <v>300</v>
      </c>
      <c r="G9" s="10">
        <f t="shared" si="0"/>
        <v>300</v>
      </c>
      <c r="H9" s="10">
        <f t="shared" si="0"/>
        <v>300</v>
      </c>
      <c r="I9" s="10">
        <f t="shared" si="0"/>
        <v>300</v>
      </c>
      <c r="J9" s="10">
        <f t="shared" si="0"/>
        <v>300</v>
      </c>
    </row>
    <row r="10" spans="1:10">
      <c r="A10" s="35" t="s">
        <v>19</v>
      </c>
      <c r="B10" s="263" t="s">
        <v>20</v>
      </c>
      <c r="C10" s="10"/>
      <c r="D10" s="10"/>
      <c r="E10" s="10"/>
      <c r="F10" s="10"/>
      <c r="G10" s="10"/>
      <c r="H10" s="10"/>
      <c r="I10" s="10"/>
      <c r="J10" s="10"/>
    </row>
    <row r="11" spans="1:10">
      <c r="A11" s="35">
        <v>1</v>
      </c>
      <c r="B11" s="263" t="s">
        <v>21</v>
      </c>
      <c r="C11" s="10"/>
      <c r="D11" s="118">
        <f>(SALESREVENUE!F26+SALESREVENUE!F33)*PROFITABILITY!D7</f>
        <v>179.77499999999998</v>
      </c>
      <c r="E11" s="118">
        <f>SALESREVENUE!$F$26*PROFITABILITY!E7</f>
        <v>190.34999999999997</v>
      </c>
      <c r="F11" s="118">
        <f>SALESREVENUE!$F$26*PROFITABILITY!F7</f>
        <v>190.34999999999997</v>
      </c>
      <c r="G11" s="118">
        <f>SALESREVENUE!$F$26*PROFITABILITY!G7</f>
        <v>190.34999999999997</v>
      </c>
      <c r="H11" s="118">
        <f>SALESREVENUE!$F$26*PROFITABILITY!H7</f>
        <v>190.34999999999997</v>
      </c>
      <c r="I11" s="118">
        <f>SALESREVENUE!$F$26*PROFITABILITY!I7</f>
        <v>190.34999999999997</v>
      </c>
      <c r="J11" s="118">
        <f>SALESREVENUE!$F$26*PROFITABILITY!J7</f>
        <v>190.34999999999997</v>
      </c>
    </row>
    <row r="12" spans="1:10">
      <c r="A12" s="35">
        <v>2</v>
      </c>
      <c r="B12" s="263" t="s">
        <v>212</v>
      </c>
      <c r="C12" s="258">
        <v>5.0000000000000001E-3</v>
      </c>
      <c r="D12" s="118">
        <f t="shared" ref="D12:J12" si="1">D11*$C$12</f>
        <v>0.89887499999999987</v>
      </c>
      <c r="E12" s="118">
        <f t="shared" si="1"/>
        <v>0.95174999999999987</v>
      </c>
      <c r="F12" s="118">
        <f t="shared" si="1"/>
        <v>0.95174999999999987</v>
      </c>
      <c r="G12" s="118">
        <f t="shared" si="1"/>
        <v>0.95174999999999987</v>
      </c>
      <c r="H12" s="118">
        <f t="shared" si="1"/>
        <v>0.95174999999999987</v>
      </c>
      <c r="I12" s="118">
        <f t="shared" si="1"/>
        <v>0.95174999999999987</v>
      </c>
      <c r="J12" s="118">
        <f t="shared" si="1"/>
        <v>0.95174999999999987</v>
      </c>
    </row>
    <row r="13" spans="1:10">
      <c r="A13" s="35">
        <v>3</v>
      </c>
      <c r="B13" s="263" t="s">
        <v>683</v>
      </c>
      <c r="C13" s="10"/>
      <c r="D13" s="118">
        <f>MANPOWER!$E$13*12/100000</f>
        <v>0</v>
      </c>
      <c r="E13" s="118">
        <f>D13*(100%+MANPOWER!$F$20)</f>
        <v>0</v>
      </c>
      <c r="F13" s="118">
        <f>E13*(100%+MANPOWER!$F$20)</f>
        <v>0</v>
      </c>
      <c r="G13" s="118">
        <f>F13*(100%+MANPOWER!$F$20)</f>
        <v>0</v>
      </c>
      <c r="H13" s="118">
        <f>G13*(100%+MANPOWER!$F$20)</f>
        <v>0</v>
      </c>
      <c r="I13" s="118">
        <f>H13*(100%+MANPOWER!$F$20)</f>
        <v>0</v>
      </c>
      <c r="J13" s="118">
        <f>I13*(100%+MANPOWER!$F$20)</f>
        <v>0</v>
      </c>
    </row>
    <row r="14" spans="1:10">
      <c r="A14" s="35"/>
      <c r="B14" s="263" t="s">
        <v>684</v>
      </c>
      <c r="C14" s="10"/>
      <c r="D14" s="118">
        <f>MANPOWER!F16/100000</f>
        <v>9.9</v>
      </c>
      <c r="E14" s="118">
        <f>D14*(100%+MANPOWER!$F$20)</f>
        <v>10.395000000000001</v>
      </c>
      <c r="F14" s="118">
        <f>E14*(100%+MANPOWER!$F$20)</f>
        <v>10.914750000000002</v>
      </c>
      <c r="G14" s="118">
        <f>F14*(100%+MANPOWER!$F$20)</f>
        <v>11.460487500000003</v>
      </c>
      <c r="H14" s="118">
        <f>G14*(100%+MANPOWER!$F$20)</f>
        <v>12.033511875000004</v>
      </c>
      <c r="I14" s="118">
        <f>H14*(100%+MANPOWER!$F$20)</f>
        <v>12.635187468750004</v>
      </c>
      <c r="J14" s="118">
        <f>I14*(100%+MANPOWER!$F$20)</f>
        <v>13.266946842187505</v>
      </c>
    </row>
    <row r="15" spans="1:10">
      <c r="A15" s="35">
        <v>4</v>
      </c>
      <c r="B15" s="263" t="s">
        <v>141</v>
      </c>
      <c r="C15" s="10"/>
      <c r="D15" s="118">
        <f>POWERCOST!$H$17*PROFITABILITY!D7</f>
        <v>1.224</v>
      </c>
      <c r="E15" s="118">
        <f>POWERCOST!$H$17*PROFITABILITY!E7</f>
        <v>1.296</v>
      </c>
      <c r="F15" s="118">
        <f>POWERCOST!$H$17*PROFITABILITY!F7</f>
        <v>1.296</v>
      </c>
      <c r="G15" s="118">
        <f>POWERCOST!$H$17*PROFITABILITY!G7</f>
        <v>1.296</v>
      </c>
      <c r="H15" s="118">
        <f>POWERCOST!$H$17*PROFITABILITY!H7</f>
        <v>1.296</v>
      </c>
      <c r="I15" s="118">
        <f>POWERCOST!$H$17*PROFITABILITY!I7</f>
        <v>1.296</v>
      </c>
      <c r="J15" s="118">
        <f>POWERCOST!$H$17*PROFITABILITY!J7</f>
        <v>1.296</v>
      </c>
    </row>
    <row r="16" spans="1:10">
      <c r="A16" s="35">
        <v>5</v>
      </c>
      <c r="B16" s="263" t="s">
        <v>22</v>
      </c>
      <c r="C16" s="10"/>
      <c r="D16" s="259">
        <v>0.75</v>
      </c>
      <c r="E16" s="118">
        <f t="shared" ref="E16:J16" si="2">D16*105%</f>
        <v>0.78750000000000009</v>
      </c>
      <c r="F16" s="118">
        <f t="shared" si="2"/>
        <v>0.82687500000000014</v>
      </c>
      <c r="G16" s="118">
        <f t="shared" si="2"/>
        <v>0.86821875000000015</v>
      </c>
      <c r="H16" s="118">
        <f t="shared" si="2"/>
        <v>0.91162968750000017</v>
      </c>
      <c r="I16" s="118">
        <f t="shared" si="2"/>
        <v>0.95721117187500027</v>
      </c>
      <c r="J16" s="118">
        <f t="shared" si="2"/>
        <v>1.0050717304687504</v>
      </c>
    </row>
    <row r="17" spans="1:10">
      <c r="A17" s="35">
        <v>6</v>
      </c>
      <c r="B17" s="263" t="s">
        <v>142</v>
      </c>
      <c r="C17" s="10"/>
      <c r="D17" s="259">
        <v>1.2</v>
      </c>
      <c r="E17" s="118">
        <v>1.2</v>
      </c>
      <c r="F17" s="118">
        <v>1.2</v>
      </c>
      <c r="G17" s="118">
        <v>1.2</v>
      </c>
      <c r="H17" s="118">
        <v>1.2</v>
      </c>
      <c r="I17" s="118">
        <v>1.2</v>
      </c>
      <c r="J17" s="118">
        <v>1.2</v>
      </c>
    </row>
    <row r="18" spans="1:10">
      <c r="A18" s="35">
        <v>7</v>
      </c>
      <c r="B18" s="263" t="s">
        <v>730</v>
      </c>
      <c r="C18" s="260"/>
      <c r="D18" s="118">
        <f>SALESREVENUE!$F$43*PROFITABILITY!D7</f>
        <v>11.475</v>
      </c>
      <c r="E18" s="118">
        <f>SALESREVENUE!$F$43*PROFITABILITY!E7</f>
        <v>12.15</v>
      </c>
      <c r="F18" s="118">
        <f>SALESREVENUE!$F$43*PROFITABILITY!F7</f>
        <v>12.15</v>
      </c>
      <c r="G18" s="118">
        <f>SALESREVENUE!$F$43*PROFITABILITY!G7</f>
        <v>12.15</v>
      </c>
      <c r="H18" s="118">
        <f>SALESREVENUE!$F$43*PROFITABILITY!H7</f>
        <v>12.15</v>
      </c>
      <c r="I18" s="118">
        <f>SALESREVENUE!$F$43*PROFITABILITY!I7</f>
        <v>12.15</v>
      </c>
      <c r="J18" s="118">
        <f>SALESREVENUE!$F$43*PROFITABILITY!J7</f>
        <v>12.15</v>
      </c>
    </row>
    <row r="19" spans="1:10">
      <c r="A19" s="35">
        <v>8</v>
      </c>
      <c r="B19" s="263" t="s">
        <v>190</v>
      </c>
      <c r="C19" s="258">
        <v>0.02</v>
      </c>
      <c r="D19" s="118">
        <f>D30*$C$19</f>
        <v>4.8959999999999999</v>
      </c>
      <c r="E19" s="118">
        <f t="shared" ref="E19:J19" si="3">E30*$C$19</f>
        <v>5.1840000000000002</v>
      </c>
      <c r="F19" s="118">
        <f t="shared" si="3"/>
        <v>5.1840000000000002</v>
      </c>
      <c r="G19" s="118">
        <f t="shared" si="3"/>
        <v>5.1840000000000002</v>
      </c>
      <c r="H19" s="118">
        <f t="shared" si="3"/>
        <v>5.1840000000000002</v>
      </c>
      <c r="I19" s="118">
        <f t="shared" si="3"/>
        <v>5.1840000000000002</v>
      </c>
      <c r="J19" s="118">
        <f t="shared" si="3"/>
        <v>5.1840000000000002</v>
      </c>
    </row>
    <row r="20" spans="1:10">
      <c r="A20" s="35">
        <v>9</v>
      </c>
      <c r="B20" s="263" t="s">
        <v>213</v>
      </c>
      <c r="C20" s="10"/>
      <c r="D20" s="259">
        <v>0.75</v>
      </c>
      <c r="E20" s="118">
        <f>D20*116.666667%</f>
        <v>0.8750000025000001</v>
      </c>
      <c r="F20" s="118">
        <v>1.125</v>
      </c>
      <c r="G20" s="118">
        <v>1.125</v>
      </c>
      <c r="H20" s="118">
        <v>1.125</v>
      </c>
      <c r="I20" s="118">
        <v>1.125</v>
      </c>
      <c r="J20" s="118">
        <v>1.125</v>
      </c>
    </row>
    <row r="21" spans="1:10">
      <c r="A21" s="35">
        <v>10</v>
      </c>
      <c r="B21" s="263" t="s">
        <v>24</v>
      </c>
      <c r="C21" s="10"/>
      <c r="D21" s="118">
        <f>DEPRECATION!$F6</f>
        <v>2.5214999999999996</v>
      </c>
      <c r="E21" s="118">
        <f>DEPRECATION!$F8</f>
        <v>2.1432749999999996</v>
      </c>
      <c r="F21" s="118">
        <f>DEPRECATION!$F10</f>
        <v>1.8217837499999998</v>
      </c>
      <c r="G21" s="118">
        <f>DEPRECATION!$F12</f>
        <v>1.5485161875</v>
      </c>
      <c r="H21" s="118">
        <f>DEPRECATION!$F14</f>
        <v>1.3162387593749998</v>
      </c>
      <c r="I21" s="118">
        <f>DEPRECATION!$F16</f>
        <v>1.11880294546875</v>
      </c>
      <c r="J21" s="118">
        <f>DEPRECATION!$F18</f>
        <v>0.95098250364843739</v>
      </c>
    </row>
    <row r="22" spans="1:10">
      <c r="A22" s="35">
        <v>11</v>
      </c>
      <c r="B22" s="263" t="s">
        <v>52</v>
      </c>
      <c r="C22" s="10"/>
      <c r="D22" s="118"/>
      <c r="E22" s="118"/>
      <c r="F22" s="118"/>
      <c r="G22" s="118"/>
      <c r="H22" s="118"/>
      <c r="I22" s="118"/>
      <c r="J22" s="118"/>
    </row>
    <row r="23" spans="1:10">
      <c r="A23" s="35"/>
      <c r="B23" s="263" t="s">
        <v>143</v>
      </c>
      <c r="C23" s="10"/>
      <c r="D23" s="118">
        <f>INTERESTCAL!O24</f>
        <v>1.5368437500000003</v>
      </c>
      <c r="E23" s="118">
        <f>INTERESTCAL!O36</f>
        <v>1.2158141666666684</v>
      </c>
      <c r="F23" s="118">
        <f>INTERESTCAL!O48</f>
        <v>0.88795416666666849</v>
      </c>
      <c r="G23" s="118">
        <f>INTERESTCAL!O60</f>
        <v>0.56009416666666811</v>
      </c>
      <c r="H23" s="118">
        <f>INTERESTCAL!O72</f>
        <v>0.23223416666666799</v>
      </c>
      <c r="I23" s="118">
        <f>INTERESTCAL!T24</f>
        <v>0</v>
      </c>
      <c r="J23" s="118">
        <f>INTERESTCAL!U24</f>
        <v>0</v>
      </c>
    </row>
    <row r="24" spans="1:10">
      <c r="A24" s="35"/>
      <c r="B24" s="263" t="s">
        <v>144</v>
      </c>
      <c r="C24" s="10"/>
      <c r="D24" s="118">
        <v>0</v>
      </c>
      <c r="E24" s="118">
        <v>0</v>
      </c>
      <c r="F24" s="118">
        <v>0</v>
      </c>
      <c r="G24" s="118">
        <v>0</v>
      </c>
      <c r="H24" s="118">
        <v>0</v>
      </c>
      <c r="I24" s="118">
        <v>0</v>
      </c>
      <c r="J24" s="118">
        <v>0</v>
      </c>
    </row>
    <row r="25" spans="1:10">
      <c r="A25" s="35"/>
      <c r="B25" s="263" t="s">
        <v>145</v>
      </c>
      <c r="C25" s="10"/>
      <c r="D25" s="118">
        <f>INTERESTCAL!$M83</f>
        <v>6.3381564187499997</v>
      </c>
      <c r="E25" s="118">
        <f>INTERESTCAL!$M84</f>
        <v>6.7076381125203124</v>
      </c>
      <c r="F25" s="118">
        <f>INTERESTCAL!$M85</f>
        <v>6.7164252187500004</v>
      </c>
      <c r="G25" s="118">
        <f>INTERESTCAL!$M86</f>
        <v>6.7219954303125</v>
      </c>
      <c r="H25" s="118">
        <f>INTERESTCAL!$M87</f>
        <v>6.7219954303125</v>
      </c>
      <c r="I25" s="118">
        <f>H25</f>
        <v>6.7219954303125</v>
      </c>
      <c r="J25" s="118">
        <f>I25</f>
        <v>6.7219954303125</v>
      </c>
    </row>
    <row r="26" spans="1:10">
      <c r="A26" s="35">
        <v>12</v>
      </c>
      <c r="B26" s="263" t="s">
        <v>146</v>
      </c>
      <c r="C26" s="10"/>
      <c r="D26" s="259">
        <v>3</v>
      </c>
      <c r="E26" s="259">
        <v>3</v>
      </c>
      <c r="F26" s="259">
        <v>3</v>
      </c>
      <c r="G26" s="259">
        <v>3</v>
      </c>
      <c r="H26" s="259">
        <v>3</v>
      </c>
      <c r="I26" s="259">
        <v>3</v>
      </c>
      <c r="J26" s="259">
        <v>3</v>
      </c>
    </row>
    <row r="27" spans="1:10">
      <c r="A27" s="35">
        <v>13</v>
      </c>
      <c r="B27" s="263" t="s">
        <v>211</v>
      </c>
      <c r="C27" s="258">
        <v>0.02</v>
      </c>
      <c r="D27" s="118">
        <f t="shared" ref="D27:J27" si="4">D30*$C$27</f>
        <v>4.8959999999999999</v>
      </c>
      <c r="E27" s="118">
        <f t="shared" si="4"/>
        <v>5.1840000000000002</v>
      </c>
      <c r="F27" s="118">
        <f t="shared" si="4"/>
        <v>5.1840000000000002</v>
      </c>
      <c r="G27" s="118">
        <f t="shared" si="4"/>
        <v>5.1840000000000002</v>
      </c>
      <c r="H27" s="118">
        <f t="shared" si="4"/>
        <v>5.1840000000000002</v>
      </c>
      <c r="I27" s="118">
        <f t="shared" si="4"/>
        <v>5.1840000000000002</v>
      </c>
      <c r="J27" s="118">
        <f t="shared" si="4"/>
        <v>5.1840000000000002</v>
      </c>
    </row>
    <row r="28" spans="1:10">
      <c r="A28" s="35">
        <v>14</v>
      </c>
      <c r="B28" s="263" t="s">
        <v>269</v>
      </c>
      <c r="C28" s="10"/>
      <c r="D28" s="118">
        <v>0</v>
      </c>
      <c r="E28" s="118">
        <v>0</v>
      </c>
      <c r="F28" s="118">
        <v>0</v>
      </c>
      <c r="G28" s="118">
        <v>0</v>
      </c>
      <c r="H28" s="118">
        <v>0</v>
      </c>
      <c r="I28" s="118">
        <v>0</v>
      </c>
      <c r="J28" s="118">
        <v>0</v>
      </c>
    </row>
    <row r="29" spans="1:10" ht="15">
      <c r="A29" s="35">
        <v>14</v>
      </c>
      <c r="B29" s="265" t="s">
        <v>25</v>
      </c>
      <c r="C29" s="16"/>
      <c r="D29" s="261">
        <f t="shared" ref="D29:J29" si="5">SUM(D11:D28)</f>
        <v>229.16137516874994</v>
      </c>
      <c r="E29" s="261">
        <f t="shared" si="5"/>
        <v>241.43997728168691</v>
      </c>
      <c r="F29" s="261">
        <f t="shared" si="5"/>
        <v>241.60853813541664</v>
      </c>
      <c r="G29" s="261">
        <f t="shared" si="5"/>
        <v>241.60006203447912</v>
      </c>
      <c r="H29" s="261">
        <f t="shared" si="5"/>
        <v>241.65635991885415</v>
      </c>
      <c r="I29" s="261">
        <f t="shared" si="5"/>
        <v>241.87394701640622</v>
      </c>
      <c r="J29" s="261">
        <f t="shared" si="5"/>
        <v>242.38574650661715</v>
      </c>
    </row>
    <row r="30" spans="1:10">
      <c r="A30" s="35">
        <v>15</v>
      </c>
      <c r="B30" s="263" t="s">
        <v>26</v>
      </c>
      <c r="C30" s="10"/>
      <c r="D30" s="118">
        <f>SALESREVENUE!$F$13*PROFITABILITY!D7</f>
        <v>244.79999999999998</v>
      </c>
      <c r="E30" s="118">
        <f>SALESREVENUE!$F$13*PROFITABILITY!E7</f>
        <v>259.2</v>
      </c>
      <c r="F30" s="118">
        <f>SALESREVENUE!$F$13*PROFITABILITY!F7</f>
        <v>259.2</v>
      </c>
      <c r="G30" s="118">
        <f>SALESREVENUE!$F$13*PROFITABILITY!G7</f>
        <v>259.2</v>
      </c>
      <c r="H30" s="118">
        <f>SALESREVENUE!$F$13*PROFITABILITY!H7</f>
        <v>259.2</v>
      </c>
      <c r="I30" s="118">
        <f>SALESREVENUE!$F$13*PROFITABILITY!I7</f>
        <v>259.2</v>
      </c>
      <c r="J30" s="118">
        <f>SALESREVENUE!$F$13*PROFITABILITY!J7</f>
        <v>259.2</v>
      </c>
    </row>
    <row r="31" spans="1:10">
      <c r="A31" s="35">
        <v>16</v>
      </c>
      <c r="B31" s="263" t="s">
        <v>147</v>
      </c>
      <c r="C31" s="10"/>
      <c r="D31" s="118">
        <f t="shared" ref="D31:J31" si="6">D30-D29</f>
        <v>15.638624831250041</v>
      </c>
      <c r="E31" s="118">
        <f t="shared" si="6"/>
        <v>17.760022718313081</v>
      </c>
      <c r="F31" s="118">
        <f t="shared" si="6"/>
        <v>17.591461864583351</v>
      </c>
      <c r="G31" s="118">
        <f t="shared" si="6"/>
        <v>17.599937965520866</v>
      </c>
      <c r="H31" s="118">
        <f t="shared" si="6"/>
        <v>17.543640081145838</v>
      </c>
      <c r="I31" s="118">
        <f t="shared" si="6"/>
        <v>17.326052983593769</v>
      </c>
      <c r="J31" s="118">
        <f t="shared" si="6"/>
        <v>16.814253493382836</v>
      </c>
    </row>
    <row r="32" spans="1:10">
      <c r="A32" s="35">
        <v>17</v>
      </c>
      <c r="B32" s="263" t="s">
        <v>148</v>
      </c>
      <c r="C32" s="10"/>
      <c r="D32" s="118">
        <v>0</v>
      </c>
      <c r="E32" s="118">
        <v>0</v>
      </c>
      <c r="F32" s="118">
        <v>0</v>
      </c>
      <c r="G32" s="118">
        <v>0</v>
      </c>
      <c r="H32" s="118">
        <v>0</v>
      </c>
      <c r="I32" s="118">
        <v>0</v>
      </c>
      <c r="J32" s="118">
        <v>0</v>
      </c>
    </row>
    <row r="33" spans="1:10">
      <c r="A33" s="35">
        <v>18</v>
      </c>
      <c r="B33" s="263" t="s">
        <v>149</v>
      </c>
      <c r="C33" s="10"/>
      <c r="D33" s="118">
        <f>D31-D32</f>
        <v>15.638624831250041</v>
      </c>
      <c r="E33" s="118">
        <f t="shared" ref="E33:J33" si="7">E31-E32</f>
        <v>17.760022718313081</v>
      </c>
      <c r="F33" s="118">
        <f t="shared" si="7"/>
        <v>17.591461864583351</v>
      </c>
      <c r="G33" s="118">
        <f t="shared" si="7"/>
        <v>17.599937965520866</v>
      </c>
      <c r="H33" s="118">
        <f t="shared" si="7"/>
        <v>17.543640081145838</v>
      </c>
      <c r="I33" s="118">
        <f t="shared" si="7"/>
        <v>17.326052983593769</v>
      </c>
      <c r="J33" s="118">
        <f t="shared" si="7"/>
        <v>16.814253493382836</v>
      </c>
    </row>
    <row r="34" spans="1:10">
      <c r="A34" s="35">
        <v>19</v>
      </c>
      <c r="B34" s="263" t="s">
        <v>181</v>
      </c>
      <c r="C34" s="10"/>
      <c r="D34" s="118">
        <v>0</v>
      </c>
      <c r="E34" s="118">
        <v>0</v>
      </c>
      <c r="F34" s="118">
        <v>0</v>
      </c>
      <c r="G34" s="118">
        <v>0</v>
      </c>
      <c r="H34" s="118">
        <v>0</v>
      </c>
      <c r="I34" s="118">
        <v>0</v>
      </c>
      <c r="J34" s="118">
        <v>0</v>
      </c>
    </row>
    <row r="35" spans="1:10">
      <c r="A35" s="35">
        <v>20</v>
      </c>
      <c r="B35" s="263" t="s">
        <v>685</v>
      </c>
      <c r="C35" s="10"/>
      <c r="D35" s="118">
        <f>D33-D34</f>
        <v>15.638624831250041</v>
      </c>
      <c r="E35" s="118">
        <f t="shared" ref="E35:J35" si="8">E33-E34</f>
        <v>17.760022718313081</v>
      </c>
      <c r="F35" s="118">
        <f t="shared" si="8"/>
        <v>17.591461864583351</v>
      </c>
      <c r="G35" s="118">
        <f t="shared" si="8"/>
        <v>17.599937965520866</v>
      </c>
      <c r="H35" s="118">
        <f t="shared" si="8"/>
        <v>17.543640081145838</v>
      </c>
      <c r="I35" s="118">
        <f t="shared" si="8"/>
        <v>17.326052983593769</v>
      </c>
      <c r="J35" s="118">
        <f t="shared" si="8"/>
        <v>16.814253493382836</v>
      </c>
    </row>
    <row r="36" spans="1:10">
      <c r="A36" s="35">
        <v>21</v>
      </c>
      <c r="B36" s="263" t="s">
        <v>182</v>
      </c>
      <c r="C36" s="10"/>
      <c r="D36" s="118">
        <v>0</v>
      </c>
      <c r="E36" s="118">
        <v>0</v>
      </c>
      <c r="F36" s="118">
        <v>0</v>
      </c>
      <c r="G36" s="118">
        <v>0</v>
      </c>
      <c r="H36" s="118">
        <v>0</v>
      </c>
      <c r="I36" s="118">
        <v>0</v>
      </c>
      <c r="J36" s="118">
        <v>0</v>
      </c>
    </row>
    <row r="37" spans="1:10">
      <c r="A37" s="35">
        <v>22</v>
      </c>
      <c r="B37" s="263" t="s">
        <v>150</v>
      </c>
      <c r="C37" s="10"/>
      <c r="D37" s="118">
        <f>D35-D36</f>
        <v>15.638624831250041</v>
      </c>
      <c r="E37" s="118">
        <f t="shared" ref="E37:J37" si="9">E35-E36</f>
        <v>17.760022718313081</v>
      </c>
      <c r="F37" s="118">
        <f t="shared" si="9"/>
        <v>17.591461864583351</v>
      </c>
      <c r="G37" s="118">
        <f t="shared" si="9"/>
        <v>17.599937965520866</v>
      </c>
      <c r="H37" s="118">
        <f t="shared" si="9"/>
        <v>17.543640081145838</v>
      </c>
      <c r="I37" s="118">
        <f t="shared" si="9"/>
        <v>17.326052983593769</v>
      </c>
      <c r="J37" s="118">
        <f t="shared" si="9"/>
        <v>16.814253493382836</v>
      </c>
    </row>
    <row r="38" spans="1:10">
      <c r="A38" s="35">
        <v>23</v>
      </c>
      <c r="B38" s="263" t="s">
        <v>207</v>
      </c>
      <c r="C38" s="194">
        <v>0.33660000000000001</v>
      </c>
      <c r="D38" s="118">
        <f t="shared" ref="D38:J38" si="10">D37*33.66%</f>
        <v>5.2639611181987629</v>
      </c>
      <c r="E38" s="118">
        <f t="shared" si="10"/>
        <v>5.9780236469841821</v>
      </c>
      <c r="F38" s="118">
        <f t="shared" si="10"/>
        <v>5.921286063618755</v>
      </c>
      <c r="G38" s="118">
        <f t="shared" si="10"/>
        <v>5.9241391191943222</v>
      </c>
      <c r="H38" s="118">
        <f t="shared" si="10"/>
        <v>5.9051892513136881</v>
      </c>
      <c r="I38" s="118">
        <f t="shared" si="10"/>
        <v>5.8319494342776617</v>
      </c>
      <c r="J38" s="118">
        <f t="shared" si="10"/>
        <v>5.6596777258726618</v>
      </c>
    </row>
    <row r="39" spans="1:10">
      <c r="A39" s="35">
        <v>24</v>
      </c>
      <c r="B39" s="263" t="s">
        <v>151</v>
      </c>
      <c r="C39" s="10"/>
      <c r="D39" s="118">
        <f t="shared" ref="D39:J39" si="11">D37-D38</f>
        <v>10.374663713051278</v>
      </c>
      <c r="E39" s="118">
        <f t="shared" si="11"/>
        <v>11.781999071328899</v>
      </c>
      <c r="F39" s="118">
        <f t="shared" si="11"/>
        <v>11.670175800964596</v>
      </c>
      <c r="G39" s="118">
        <f t="shared" si="11"/>
        <v>11.675798846326543</v>
      </c>
      <c r="H39" s="118">
        <f t="shared" si="11"/>
        <v>11.63845082983215</v>
      </c>
      <c r="I39" s="118">
        <f t="shared" si="11"/>
        <v>11.494103549316108</v>
      </c>
      <c r="J39" s="118">
        <f t="shared" si="11"/>
        <v>11.154575767510174</v>
      </c>
    </row>
    <row r="40" spans="1:10">
      <c r="A40" s="35">
        <v>25</v>
      </c>
      <c r="B40" s="263" t="s">
        <v>27</v>
      </c>
      <c r="C40" s="10"/>
      <c r="D40" s="118">
        <f>D39</f>
        <v>10.374663713051278</v>
      </c>
      <c r="E40" s="118">
        <f t="shared" ref="E40:J40" si="12">E39</f>
        <v>11.781999071328899</v>
      </c>
      <c r="F40" s="118">
        <f t="shared" si="12"/>
        <v>11.670175800964596</v>
      </c>
      <c r="G40" s="118">
        <f t="shared" si="12"/>
        <v>11.675798846326543</v>
      </c>
      <c r="H40" s="118">
        <f t="shared" si="12"/>
        <v>11.63845082983215</v>
      </c>
      <c r="I40" s="118">
        <f t="shared" si="12"/>
        <v>11.494103549316108</v>
      </c>
      <c r="J40" s="118">
        <f t="shared" si="12"/>
        <v>11.154575767510174</v>
      </c>
    </row>
    <row r="41" spans="1:10">
      <c r="A41" s="35"/>
      <c r="B41" s="263"/>
      <c r="C41" s="10"/>
      <c r="D41" s="118"/>
      <c r="E41" s="118"/>
      <c r="F41" s="262"/>
      <c r="G41" s="118"/>
      <c r="H41" s="118"/>
      <c r="I41" s="118"/>
      <c r="J41" s="118"/>
    </row>
    <row r="42" spans="1:10">
      <c r="A42" s="10"/>
      <c r="B42" s="263" t="s">
        <v>223</v>
      </c>
      <c r="C42" s="10"/>
      <c r="D42" s="118">
        <f t="shared" ref="D42:J42" si="13">D37/D30*100</f>
        <v>6.3883271369485461</v>
      </c>
      <c r="E42" s="118">
        <f t="shared" si="13"/>
        <v>6.8518606166331333</v>
      </c>
      <c r="F42" s="118">
        <f t="shared" si="13"/>
        <v>6.7868294230645647</v>
      </c>
      <c r="G42" s="118">
        <f t="shared" si="13"/>
        <v>6.7900995237349022</v>
      </c>
      <c r="H42" s="118">
        <f t="shared" si="13"/>
        <v>6.7683796609358939</v>
      </c>
      <c r="I42" s="118">
        <f t="shared" si="13"/>
        <v>6.6844340214482143</v>
      </c>
      <c r="J42" s="118">
        <f t="shared" si="13"/>
        <v>6.4869805144223918</v>
      </c>
    </row>
    <row r="43" spans="1:10">
      <c r="D43" s="2"/>
    </row>
    <row r="44" spans="1:10">
      <c r="D44" s="15"/>
    </row>
    <row r="45" spans="1:10">
      <c r="D45" s="15"/>
    </row>
    <row r="46" spans="1:10">
      <c r="D46" s="15"/>
    </row>
    <row r="47" spans="1:10">
      <c r="D47" s="15"/>
    </row>
    <row r="48" spans="1:10">
      <c r="D48" s="15"/>
    </row>
    <row r="49" spans="4:4">
      <c r="D49" s="15"/>
    </row>
  </sheetData>
  <mergeCells count="1">
    <mergeCell ref="A3:J3"/>
  </mergeCells>
  <phoneticPr fontId="0" type="noConversion"/>
  <printOptions horizontalCentered="1"/>
  <pageMargins left="0.74803149606299202" right="0.74803149606299202" top="0.484251969" bottom="0.22" header="0.511811023622047" footer="0.28999999999999998"/>
  <pageSetup paperSize="9" scale="95" orientation="landscape" horizontalDpi="4294967295" verticalDpi="300" r:id="rId1"/>
  <headerFooter alignWithMargins="0"/>
</worksheet>
</file>

<file path=xl/worksheets/sheet13.xml><?xml version="1.0" encoding="utf-8"?>
<worksheet xmlns="http://schemas.openxmlformats.org/spreadsheetml/2006/main" xmlns:r="http://schemas.openxmlformats.org/officeDocument/2006/relationships">
  <sheetPr codeName="Sheet13"/>
  <dimension ref="A1:I84"/>
  <sheetViews>
    <sheetView workbookViewId="0">
      <selection activeCell="J1" sqref="J1"/>
    </sheetView>
  </sheetViews>
  <sheetFormatPr defaultRowHeight="13.5"/>
  <cols>
    <col min="1" max="1" width="6.140625" style="1" customWidth="1"/>
    <col min="2" max="2" width="41.42578125" style="1" bestFit="1" customWidth="1"/>
    <col min="3" max="3" width="7.7109375" style="1" customWidth="1"/>
    <col min="4" max="4" width="9" style="1" customWidth="1"/>
    <col min="5" max="5" width="8.140625" style="1" customWidth="1"/>
    <col min="6" max="7" width="8" style="1" customWidth="1"/>
    <col min="8" max="16384" width="9.140625" style="1"/>
  </cols>
  <sheetData>
    <row r="1" spans="1:8" ht="23.25">
      <c r="A1" s="780" t="e">
        <f>+PROFITABILITY!A1</f>
        <v>#REF!</v>
      </c>
      <c r="B1" s="266"/>
      <c r="C1" s="267"/>
      <c r="D1" s="266"/>
      <c r="E1" s="266"/>
      <c r="F1" s="266"/>
      <c r="G1" s="266"/>
    </row>
    <row r="2" spans="1:8" ht="15">
      <c r="A2" s="267"/>
      <c r="B2" s="266"/>
      <c r="C2" s="267"/>
      <c r="D2" s="266"/>
      <c r="E2" s="266"/>
      <c r="F2" s="266"/>
      <c r="G2" s="266"/>
    </row>
    <row r="3" spans="1:8" s="3" customFormat="1" ht="16.5">
      <c r="A3" s="268" t="s">
        <v>220</v>
      </c>
      <c r="B3" s="268"/>
      <c r="C3" s="268"/>
      <c r="D3" s="6"/>
      <c r="E3" s="6"/>
      <c r="F3" s="6"/>
      <c r="G3" s="6"/>
    </row>
    <row r="4" spans="1:8" s="3" customFormat="1" ht="16.5">
      <c r="A4" s="268"/>
      <c r="B4" s="268"/>
      <c r="C4" s="268"/>
      <c r="D4" s="6"/>
      <c r="E4" s="6"/>
      <c r="F4" s="6"/>
      <c r="G4" s="6"/>
    </row>
    <row r="5" spans="1:8">
      <c r="A5" s="35" t="s">
        <v>671</v>
      </c>
      <c r="B5" s="35" t="s">
        <v>14</v>
      </c>
      <c r="C5" s="194" t="str">
        <f>PROFITABILITY!D5</f>
        <v>1st Year</v>
      </c>
      <c r="D5" s="194" t="str">
        <f>PROFITABILITY!E5</f>
        <v>2 nd Year</v>
      </c>
      <c r="E5" s="194" t="str">
        <f>PROFITABILITY!F5</f>
        <v>3rd Year</v>
      </c>
      <c r="F5" s="194" t="str">
        <f>PROFITABILITY!G5</f>
        <v>4th Year</v>
      </c>
      <c r="G5" s="194" t="str">
        <f>PROFITABILITY!H5</f>
        <v>5th Year</v>
      </c>
    </row>
    <row r="6" spans="1:8">
      <c r="A6" s="10"/>
      <c r="B6" s="10" t="s">
        <v>87</v>
      </c>
      <c r="C6" s="194">
        <f>PROFITABILITY!D7</f>
        <v>0.85</v>
      </c>
      <c r="D6" s="194">
        <f>PROFITABILITY!E7</f>
        <v>0.9</v>
      </c>
      <c r="E6" s="194">
        <f>PROFITABILITY!F7</f>
        <v>0.9</v>
      </c>
      <c r="F6" s="194">
        <f>PROFITABILITY!G7</f>
        <v>0.9</v>
      </c>
      <c r="G6" s="194">
        <f>PROFITABILITY!H7</f>
        <v>0.9</v>
      </c>
      <c r="H6" s="104"/>
    </row>
    <row r="7" spans="1:8">
      <c r="A7" s="35" t="s">
        <v>15</v>
      </c>
      <c r="B7" s="10" t="s">
        <v>88</v>
      </c>
      <c r="C7" s="118">
        <f>PROFITABILITY!D30</f>
        <v>244.79999999999998</v>
      </c>
      <c r="D7" s="118">
        <f>PROFITABILITY!E30</f>
        <v>259.2</v>
      </c>
      <c r="E7" s="118">
        <f>PROFITABILITY!F30</f>
        <v>259.2</v>
      </c>
      <c r="F7" s="118">
        <f>PROFITABILITY!G30</f>
        <v>259.2</v>
      </c>
      <c r="G7" s="118">
        <f>PROFITABILITY!H30</f>
        <v>259.2</v>
      </c>
      <c r="H7" s="2"/>
    </row>
    <row r="8" spans="1:8">
      <c r="A8" s="35"/>
      <c r="B8" s="10" t="s">
        <v>89</v>
      </c>
      <c r="C8" s="118"/>
      <c r="D8" s="118"/>
      <c r="E8" s="118"/>
      <c r="F8" s="118"/>
      <c r="G8" s="118"/>
      <c r="H8" s="2"/>
    </row>
    <row r="9" spans="1:8">
      <c r="A9" s="35"/>
      <c r="B9" s="10" t="s">
        <v>90</v>
      </c>
      <c r="C9" s="118">
        <f>PROFITABILITY!D11</f>
        <v>179.77499999999998</v>
      </c>
      <c r="D9" s="118">
        <f>PROFITABILITY!E11</f>
        <v>190.34999999999997</v>
      </c>
      <c r="E9" s="118">
        <f>PROFITABILITY!F11</f>
        <v>190.34999999999997</v>
      </c>
      <c r="F9" s="118">
        <f>PROFITABILITY!G11</f>
        <v>190.34999999999997</v>
      </c>
      <c r="G9" s="118">
        <f>PROFITABILITY!H11</f>
        <v>190.34999999999997</v>
      </c>
      <c r="H9" s="2"/>
    </row>
    <row r="10" spans="1:8">
      <c r="A10" s="35"/>
      <c r="B10" s="10" t="s">
        <v>91</v>
      </c>
      <c r="C10" s="118">
        <f>PROFITABILITY!D12</f>
        <v>0.89887499999999987</v>
      </c>
      <c r="D10" s="118">
        <f>PROFITABILITY!E12</f>
        <v>0.95174999999999987</v>
      </c>
      <c r="E10" s="118">
        <f>PROFITABILITY!F12</f>
        <v>0.95174999999999987</v>
      </c>
      <c r="F10" s="118">
        <f>PROFITABILITY!G12</f>
        <v>0.95174999999999987</v>
      </c>
      <c r="G10" s="118">
        <f>PROFITABILITY!H12</f>
        <v>0.95174999999999987</v>
      </c>
      <c r="H10" s="2"/>
    </row>
    <row r="11" spans="1:8">
      <c r="A11" s="35"/>
      <c r="B11" s="10" t="s">
        <v>92</v>
      </c>
      <c r="C11" s="118">
        <f>PROFITABILITY!D15</f>
        <v>1.224</v>
      </c>
      <c r="D11" s="118">
        <f>PROFITABILITY!E15</f>
        <v>1.296</v>
      </c>
      <c r="E11" s="118">
        <f>PROFITABILITY!F15</f>
        <v>1.296</v>
      </c>
      <c r="F11" s="118">
        <f>PROFITABILITY!G15</f>
        <v>1.296</v>
      </c>
      <c r="G11" s="118">
        <f>PROFITABILITY!H15</f>
        <v>1.296</v>
      </c>
      <c r="H11" s="2"/>
    </row>
    <row r="12" spans="1:8">
      <c r="A12" s="35"/>
      <c r="B12" s="10" t="s">
        <v>93</v>
      </c>
      <c r="C12" s="118">
        <f>PROFITABILITY!D25</f>
        <v>6.3381564187499997</v>
      </c>
      <c r="D12" s="118">
        <f>PROFITABILITY!E25</f>
        <v>6.7076381125203124</v>
      </c>
      <c r="E12" s="118">
        <f>PROFITABILITY!F25</f>
        <v>6.7164252187500004</v>
      </c>
      <c r="F12" s="118">
        <f>PROFITABILITY!G25</f>
        <v>6.7219954303125</v>
      </c>
      <c r="G12" s="118">
        <f>PROFITABILITY!H25</f>
        <v>6.7219954303125</v>
      </c>
      <c r="H12" s="2"/>
    </row>
    <row r="13" spans="1:8">
      <c r="A13" s="35"/>
      <c r="B13" s="10" t="s">
        <v>94</v>
      </c>
      <c r="C13" s="118">
        <f>PROFITABILITY!D14</f>
        <v>9.9</v>
      </c>
      <c r="D13" s="118">
        <f>PROFITABILITY!E14</f>
        <v>10.395000000000001</v>
      </c>
      <c r="E13" s="118">
        <f>PROFITABILITY!F14</f>
        <v>10.914750000000002</v>
      </c>
      <c r="F13" s="118">
        <f>PROFITABILITY!G14</f>
        <v>11.460487500000003</v>
      </c>
      <c r="G13" s="118">
        <f>PROFITABILITY!H14</f>
        <v>12.033511875000004</v>
      </c>
      <c r="H13" s="2"/>
    </row>
    <row r="14" spans="1:8">
      <c r="A14" s="35"/>
      <c r="B14" s="10" t="s">
        <v>95</v>
      </c>
      <c r="C14" s="118">
        <f>PROFITABILITY!D27</f>
        <v>4.8959999999999999</v>
      </c>
      <c r="D14" s="118">
        <f>PROFITABILITY!E27</f>
        <v>5.1840000000000002</v>
      </c>
      <c r="E14" s="118">
        <f>PROFITABILITY!F27</f>
        <v>5.1840000000000002</v>
      </c>
      <c r="F14" s="118">
        <f>PROFITABILITY!G27</f>
        <v>5.1840000000000002</v>
      </c>
      <c r="G14" s="118">
        <f>PROFITABILITY!H27</f>
        <v>5.1840000000000002</v>
      </c>
      <c r="H14" s="2"/>
    </row>
    <row r="15" spans="1:8">
      <c r="A15" s="35"/>
      <c r="B15" s="10" t="s">
        <v>96</v>
      </c>
      <c r="C15" s="118">
        <f>PROFITABILITY!D18</f>
        <v>11.475</v>
      </c>
      <c r="D15" s="118">
        <f>PROFITABILITY!E18</f>
        <v>12.15</v>
      </c>
      <c r="E15" s="118">
        <f>PROFITABILITY!F18</f>
        <v>12.15</v>
      </c>
      <c r="F15" s="118">
        <f>PROFITABILITY!G18</f>
        <v>12.15</v>
      </c>
      <c r="G15" s="118">
        <f>PROFITABILITY!H18</f>
        <v>12.15</v>
      </c>
      <c r="H15" s="2"/>
    </row>
    <row r="16" spans="1:8">
      <c r="A16" s="35"/>
      <c r="B16" s="10" t="s">
        <v>97</v>
      </c>
      <c r="C16" s="118">
        <f>PROFITABILITY!D20</f>
        <v>0.75</v>
      </c>
      <c r="D16" s="118">
        <f>PROFITABILITY!E20</f>
        <v>0.8750000025000001</v>
      </c>
      <c r="E16" s="118">
        <f>PROFITABILITY!F20</f>
        <v>1.125</v>
      </c>
      <c r="F16" s="118">
        <f>PROFITABILITY!G20</f>
        <v>1.125</v>
      </c>
      <c r="G16" s="118">
        <f>PROFITABILITY!H20</f>
        <v>1.125</v>
      </c>
      <c r="H16" s="2"/>
    </row>
    <row r="17" spans="1:9">
      <c r="A17" s="35"/>
      <c r="B17" s="10" t="s">
        <v>8</v>
      </c>
      <c r="C17" s="118">
        <f>PROFITABILITY!D19*50%</f>
        <v>2.448</v>
      </c>
      <c r="D17" s="118">
        <f>PROFITABILITY!E19*50%</f>
        <v>2.5920000000000001</v>
      </c>
      <c r="E17" s="118">
        <f>PROFITABILITY!F19*50%</f>
        <v>2.5920000000000001</v>
      </c>
      <c r="F17" s="118">
        <f>PROFITABILITY!G19*50%</f>
        <v>2.5920000000000001</v>
      </c>
      <c r="G17" s="118">
        <f>PROFITABILITY!H19*50%</f>
        <v>2.5920000000000001</v>
      </c>
      <c r="H17" s="2"/>
    </row>
    <row r="18" spans="1:9" ht="15">
      <c r="A18" s="733" t="s">
        <v>16</v>
      </c>
      <c r="B18" s="16" t="s">
        <v>98</v>
      </c>
      <c r="C18" s="261">
        <f>SUM(C9:C17)</f>
        <v>217.70503141874997</v>
      </c>
      <c r="D18" s="261">
        <f>SUM(D9:D17)</f>
        <v>230.50138811502029</v>
      </c>
      <c r="E18" s="261">
        <f>SUM(E9:E17)</f>
        <v>231.27992521874998</v>
      </c>
      <c r="F18" s="261">
        <f>SUM(F9:F17)</f>
        <v>231.83123293031247</v>
      </c>
      <c r="G18" s="261">
        <f>SUM(G9:G17)</f>
        <v>232.40425730531248</v>
      </c>
      <c r="H18" s="270"/>
      <c r="I18" s="271"/>
    </row>
    <row r="19" spans="1:9" ht="15">
      <c r="A19" s="733" t="s">
        <v>17</v>
      </c>
      <c r="B19" s="16" t="s">
        <v>99</v>
      </c>
      <c r="C19" s="261">
        <f>C7-C18</f>
        <v>27.094968581250015</v>
      </c>
      <c r="D19" s="261">
        <f>D7-D18</f>
        <v>28.698611884979698</v>
      </c>
      <c r="E19" s="261">
        <f>E7-E18</f>
        <v>27.920074781250008</v>
      </c>
      <c r="F19" s="261">
        <f>F7-F18</f>
        <v>27.368767069687522</v>
      </c>
      <c r="G19" s="261">
        <f>G7-G18</f>
        <v>26.795742694687505</v>
      </c>
      <c r="H19" s="270"/>
      <c r="I19" s="271"/>
    </row>
    <row r="20" spans="1:9">
      <c r="A20" s="35"/>
      <c r="B20" s="10" t="s">
        <v>100</v>
      </c>
      <c r="C20" s="118"/>
      <c r="D20" s="118"/>
      <c r="E20" s="118"/>
      <c r="F20" s="118"/>
      <c r="G20" s="118"/>
      <c r="H20" s="2"/>
    </row>
    <row r="21" spans="1:9">
      <c r="A21" s="35"/>
      <c r="B21" s="10" t="s">
        <v>101</v>
      </c>
      <c r="C21" s="118">
        <f>PROFITABILITY!D16</f>
        <v>0.75</v>
      </c>
      <c r="D21" s="118">
        <f>PROFITABILITY!E16</f>
        <v>0.78750000000000009</v>
      </c>
      <c r="E21" s="118">
        <f>PROFITABILITY!F16</f>
        <v>0.82687500000000014</v>
      </c>
      <c r="F21" s="118">
        <f>PROFITABILITY!G16</f>
        <v>0.86821875000000015</v>
      </c>
      <c r="G21" s="118">
        <f>PROFITABILITY!H16</f>
        <v>0.91162968750000017</v>
      </c>
      <c r="H21" s="2"/>
    </row>
    <row r="22" spans="1:9">
      <c r="A22" s="35"/>
      <c r="B22" s="10" t="s">
        <v>102</v>
      </c>
      <c r="C22" s="118">
        <f>PROFITABILITY!D13</f>
        <v>0</v>
      </c>
      <c r="D22" s="118">
        <f>PROFITABILITY!E13</f>
        <v>0</v>
      </c>
      <c r="E22" s="118">
        <f>PROFITABILITY!F13</f>
        <v>0</v>
      </c>
      <c r="F22" s="118">
        <f>PROFITABILITY!G13</f>
        <v>0</v>
      </c>
      <c r="G22" s="118">
        <f>PROFITABILITY!H13</f>
        <v>0</v>
      </c>
      <c r="H22" s="2"/>
    </row>
    <row r="23" spans="1:9">
      <c r="A23" s="35"/>
      <c r="B23" s="10" t="s">
        <v>103</v>
      </c>
      <c r="C23" s="118">
        <f>PROFITABILITY!F26</f>
        <v>3</v>
      </c>
      <c r="D23" s="118">
        <f>PROFITABILITY!G26</f>
        <v>3</v>
      </c>
      <c r="E23" s="118">
        <f>PROFITABILITY!H26</f>
        <v>3</v>
      </c>
      <c r="F23" s="118">
        <f>PROFITABILITY!I26</f>
        <v>3</v>
      </c>
      <c r="G23" s="118">
        <f>PROFITABILITY!J26</f>
        <v>3</v>
      </c>
      <c r="H23" s="2"/>
    </row>
    <row r="24" spans="1:9">
      <c r="A24" s="35"/>
      <c r="B24" s="10" t="s">
        <v>104</v>
      </c>
      <c r="C24" s="118">
        <f>PROFITABILITY!D23</f>
        <v>1.5368437500000003</v>
      </c>
      <c r="D24" s="118">
        <f>PROFITABILITY!E23</f>
        <v>1.2158141666666684</v>
      </c>
      <c r="E24" s="118">
        <f>PROFITABILITY!F23</f>
        <v>0.88795416666666849</v>
      </c>
      <c r="F24" s="118">
        <f>PROFITABILITY!G23</f>
        <v>0.56009416666666811</v>
      </c>
      <c r="G24" s="118">
        <f>PROFITABILITY!H23</f>
        <v>0.23223416666666799</v>
      </c>
      <c r="H24" s="2"/>
    </row>
    <row r="25" spans="1:9">
      <c r="A25" s="35"/>
      <c r="B25" s="10" t="s">
        <v>105</v>
      </c>
      <c r="C25" s="118">
        <v>0</v>
      </c>
      <c r="D25" s="118">
        <v>0</v>
      </c>
      <c r="E25" s="118">
        <v>0</v>
      </c>
      <c r="F25" s="118">
        <v>0</v>
      </c>
      <c r="G25" s="118">
        <v>0</v>
      </c>
      <c r="H25" s="2"/>
    </row>
    <row r="26" spans="1:9">
      <c r="A26" s="35"/>
      <c r="B26" s="10" t="s">
        <v>106</v>
      </c>
      <c r="C26" s="118">
        <f>PROFITABILITY!D21</f>
        <v>2.5214999999999996</v>
      </c>
      <c r="D26" s="118">
        <f>PROFITABILITY!E21</f>
        <v>2.1432749999999996</v>
      </c>
      <c r="E26" s="118">
        <f>PROFITABILITY!F21</f>
        <v>1.8217837499999998</v>
      </c>
      <c r="F26" s="118">
        <f>PROFITABILITY!G21</f>
        <v>1.5485161875</v>
      </c>
      <c r="G26" s="118">
        <f>PROFITABILITY!H21</f>
        <v>1.3162387593749998</v>
      </c>
      <c r="H26" s="2"/>
    </row>
    <row r="27" spans="1:9">
      <c r="A27" s="35"/>
      <c r="B27" s="10" t="s">
        <v>9</v>
      </c>
      <c r="C27" s="118">
        <f>PROFITABILITY!D19-BEP!C17</f>
        <v>2.448</v>
      </c>
      <c r="D27" s="118">
        <f>PROFITABILITY!E19-BEP!D17</f>
        <v>2.5920000000000001</v>
      </c>
      <c r="E27" s="118">
        <f>PROFITABILITY!F19-BEP!E17</f>
        <v>2.5920000000000001</v>
      </c>
      <c r="F27" s="118">
        <f>PROFITABILITY!G19-BEP!F17</f>
        <v>2.5920000000000001</v>
      </c>
      <c r="G27" s="118">
        <f>PROFITABILITY!H19-BEP!G17</f>
        <v>2.5920000000000001</v>
      </c>
      <c r="H27" s="2"/>
    </row>
    <row r="28" spans="1:9">
      <c r="A28" s="35"/>
      <c r="B28" s="10" t="s">
        <v>107</v>
      </c>
      <c r="C28" s="118">
        <f>PROFITABILITY!D17</f>
        <v>1.2</v>
      </c>
      <c r="D28" s="118">
        <f>PROFITABILITY!E17</f>
        <v>1.2</v>
      </c>
      <c r="E28" s="118">
        <f>PROFITABILITY!F17</f>
        <v>1.2</v>
      </c>
      <c r="F28" s="118">
        <f>PROFITABILITY!G17</f>
        <v>1.2</v>
      </c>
      <c r="G28" s="118">
        <f>PROFITABILITY!H17</f>
        <v>1.2</v>
      </c>
      <c r="H28" s="2"/>
    </row>
    <row r="29" spans="1:9">
      <c r="A29" s="35"/>
      <c r="B29" s="10" t="s">
        <v>240</v>
      </c>
      <c r="C29" s="118">
        <f>PROFITABILITY!F28</f>
        <v>0</v>
      </c>
      <c r="D29" s="118">
        <f>PROFITABILITY!G28</f>
        <v>0</v>
      </c>
      <c r="E29" s="118">
        <f>PROFITABILITY!H28</f>
        <v>0</v>
      </c>
      <c r="F29" s="118">
        <f>PROFITABILITY!I28</f>
        <v>0</v>
      </c>
      <c r="G29" s="118">
        <f>PROFITABILITY!J28</f>
        <v>0</v>
      </c>
    </row>
    <row r="30" spans="1:9" ht="15">
      <c r="A30" s="733" t="s">
        <v>18</v>
      </c>
      <c r="B30" s="16" t="s">
        <v>108</v>
      </c>
      <c r="C30" s="261">
        <f>SUM(C21:C29)</f>
        <v>11.456343749999998</v>
      </c>
      <c r="D30" s="261">
        <f>SUM(D21:D29)</f>
        <v>10.938589166666668</v>
      </c>
      <c r="E30" s="261">
        <f>SUM(E21:E29)</f>
        <v>10.328612916666668</v>
      </c>
      <c r="F30" s="261">
        <f>SUM(F21:F29)</f>
        <v>9.7688291041666666</v>
      </c>
      <c r="G30" s="261">
        <f>SUM(G21:G29)</f>
        <v>9.2521026135416662</v>
      </c>
    </row>
    <row r="31" spans="1:9">
      <c r="A31" s="10"/>
      <c r="B31" s="10"/>
      <c r="C31" s="118"/>
      <c r="D31" s="118"/>
      <c r="E31" s="118"/>
      <c r="F31" s="118"/>
      <c r="G31" s="118"/>
    </row>
    <row r="32" spans="1:9">
      <c r="A32" s="10" t="s">
        <v>109</v>
      </c>
      <c r="B32" s="10"/>
      <c r="C32" s="118">
        <f>C30/C19*100</f>
        <v>42.282181341697154</v>
      </c>
      <c r="D32" s="118">
        <f>D30/D19*100</f>
        <v>38.115394606913775</v>
      </c>
      <c r="E32" s="118">
        <f>E30/E19*100</f>
        <v>36.993500187911195</v>
      </c>
      <c r="F32" s="118">
        <f>F30/F19*100</f>
        <v>35.693347381315562</v>
      </c>
      <c r="G32" s="118">
        <f>G30/G19*100</f>
        <v>34.528255920952617</v>
      </c>
      <c r="H32" s="2"/>
    </row>
    <row r="33" spans="1:8">
      <c r="A33" s="10" t="s">
        <v>331</v>
      </c>
      <c r="B33" s="10"/>
      <c r="C33" s="118">
        <f>C32/100*C7</f>
        <v>103.50677992447463</v>
      </c>
      <c r="D33" s="118">
        <f>D32/100*D7</f>
        <v>98.795102821120508</v>
      </c>
      <c r="E33" s="118">
        <f>E32/100*E7</f>
        <v>95.887152487065805</v>
      </c>
      <c r="F33" s="118">
        <f>F32/100*F7</f>
        <v>92.517156412369928</v>
      </c>
      <c r="G33" s="118">
        <f>G32/100*G7</f>
        <v>89.497239347109172</v>
      </c>
      <c r="H33" s="2"/>
    </row>
    <row r="34" spans="1:8">
      <c r="A34" s="10" t="s">
        <v>110</v>
      </c>
      <c r="B34" s="10"/>
      <c r="C34" s="118">
        <f>C32*C6</f>
        <v>35.939854140442577</v>
      </c>
      <c r="D34" s="118">
        <f>D32*D6</f>
        <v>34.303855146222396</v>
      </c>
      <c r="E34" s="118">
        <f>E32*E6</f>
        <v>33.29415016912008</v>
      </c>
      <c r="F34" s="118">
        <f>F32*F6</f>
        <v>32.12401264318401</v>
      </c>
      <c r="G34" s="118">
        <f>G32*G6</f>
        <v>31.075430328857355</v>
      </c>
      <c r="H34" s="2"/>
    </row>
    <row r="35" spans="1:8">
      <c r="A35" s="10"/>
      <c r="B35" s="10"/>
      <c r="C35" s="118"/>
      <c r="D35" s="10"/>
      <c r="E35" s="10"/>
      <c r="F35" s="10"/>
      <c r="G35" s="10"/>
    </row>
    <row r="36" spans="1:8">
      <c r="A36" s="10"/>
      <c r="B36" s="10" t="s">
        <v>194</v>
      </c>
      <c r="C36" s="118">
        <f>+C18+C30-PROFITABILITY!D29</f>
        <v>0</v>
      </c>
      <c r="D36" s="118">
        <f>+D18+D30-PROFITABILITY!E29</f>
        <v>0</v>
      </c>
      <c r="E36" s="118">
        <f>+E18+E30-PROFITABILITY!F29</f>
        <v>0</v>
      </c>
      <c r="F36" s="118">
        <f>+F18+F30-PROFITABILITY!G29</f>
        <v>0</v>
      </c>
      <c r="G36" s="118">
        <f>+G18+G30-PROFITABILITY!H29</f>
        <v>0</v>
      </c>
      <c r="H36" s="2"/>
    </row>
    <row r="37" spans="1:8">
      <c r="A37" s="31"/>
      <c r="B37" s="31"/>
      <c r="C37" s="122"/>
      <c r="D37" s="122"/>
      <c r="E37" s="122"/>
      <c r="F37" s="122"/>
      <c r="G37" s="122"/>
      <c r="H37" s="2"/>
    </row>
    <row r="38" spans="1:8">
      <c r="A38" s="31"/>
      <c r="B38" s="31"/>
      <c r="C38" s="122"/>
      <c r="D38" s="122"/>
      <c r="E38" s="122"/>
      <c r="F38" s="122"/>
      <c r="G38" s="122"/>
      <c r="H38" s="2"/>
    </row>
    <row r="39" spans="1:8">
      <c r="A39" s="31"/>
      <c r="B39" s="31"/>
      <c r="C39" s="122"/>
      <c r="D39" s="122"/>
      <c r="E39" s="122"/>
      <c r="F39" s="122"/>
      <c r="G39" s="122"/>
      <c r="H39" s="2"/>
    </row>
    <row r="40" spans="1:8">
      <c r="A40" s="31"/>
      <c r="B40" s="31"/>
      <c r="C40" s="122"/>
      <c r="D40" s="122"/>
      <c r="E40" s="122"/>
      <c r="F40" s="122"/>
      <c r="G40" s="122"/>
      <c r="H40" s="2"/>
    </row>
    <row r="41" spans="1:8">
      <c r="A41" s="31"/>
      <c r="B41" s="31"/>
      <c r="C41" s="122"/>
      <c r="D41" s="122"/>
      <c r="E41" s="122"/>
      <c r="F41" s="122"/>
      <c r="G41" s="122"/>
      <c r="H41" s="2"/>
    </row>
    <row r="42" spans="1:8">
      <c r="A42" s="31"/>
      <c r="B42" s="31"/>
      <c r="C42" s="122"/>
      <c r="D42" s="122"/>
      <c r="E42" s="122"/>
      <c r="F42" s="122"/>
      <c r="G42" s="122"/>
      <c r="H42" s="2"/>
    </row>
    <row r="43" spans="1:8">
      <c r="A43" s="31"/>
      <c r="B43" s="31"/>
      <c r="C43" s="122"/>
      <c r="D43" s="122"/>
      <c r="E43" s="122"/>
      <c r="F43" s="122"/>
      <c r="G43" s="122"/>
      <c r="H43" s="2"/>
    </row>
    <row r="44" spans="1:8">
      <c r="A44" s="31"/>
      <c r="B44" s="31"/>
      <c r="C44" s="122"/>
      <c r="D44" s="122"/>
      <c r="E44" s="122"/>
      <c r="F44" s="122"/>
      <c r="G44" s="122"/>
      <c r="H44" s="2"/>
    </row>
    <row r="45" spans="1:8">
      <c r="A45" s="31"/>
      <c r="B45" s="31"/>
      <c r="C45" s="122"/>
      <c r="D45" s="122"/>
      <c r="E45" s="122"/>
      <c r="F45" s="122"/>
      <c r="G45" s="122"/>
      <c r="H45" s="2"/>
    </row>
    <row r="46" spans="1:8">
      <c r="A46" s="31"/>
      <c r="B46" s="31"/>
      <c r="C46" s="122"/>
      <c r="D46" s="122"/>
      <c r="E46" s="122"/>
      <c r="F46" s="122"/>
      <c r="G46" s="122"/>
      <c r="H46" s="2"/>
    </row>
    <row r="47" spans="1:8">
      <c r="A47" s="31"/>
      <c r="B47" s="31"/>
      <c r="C47" s="122"/>
      <c r="D47" s="122"/>
      <c r="E47" s="122"/>
      <c r="F47" s="122"/>
      <c r="G47" s="122"/>
      <c r="H47" s="2"/>
    </row>
    <row r="48" spans="1:8">
      <c r="A48" s="31"/>
      <c r="B48" s="31"/>
      <c r="C48" s="122"/>
      <c r="D48" s="122"/>
      <c r="E48" s="122"/>
      <c r="F48" s="122"/>
      <c r="G48" s="122"/>
      <c r="H48" s="2"/>
    </row>
    <row r="49" spans="1:8">
      <c r="A49" s="31"/>
      <c r="B49" s="31"/>
      <c r="C49" s="122"/>
      <c r="D49" s="122"/>
      <c r="E49" s="122"/>
      <c r="F49" s="122"/>
      <c r="G49" s="122"/>
      <c r="H49" s="2"/>
    </row>
    <row r="50" spans="1:8">
      <c r="A50" s="31"/>
      <c r="B50" s="31"/>
      <c r="C50" s="122"/>
      <c r="D50" s="122"/>
      <c r="E50" s="122"/>
      <c r="F50" s="122"/>
      <c r="G50" s="122"/>
      <c r="H50" s="2"/>
    </row>
    <row r="51" spans="1:8">
      <c r="A51" s="31"/>
      <c r="B51" s="31"/>
      <c r="C51" s="122"/>
      <c r="D51" s="122"/>
      <c r="E51" s="122"/>
      <c r="F51" s="122"/>
      <c r="G51" s="122"/>
      <c r="H51" s="2"/>
    </row>
    <row r="52" spans="1:8" ht="15">
      <c r="A52" s="269" t="e">
        <f>+A1</f>
        <v>#REF!</v>
      </c>
      <c r="C52" s="122"/>
      <c r="D52" s="122"/>
      <c r="E52" s="122"/>
      <c r="F52" s="122"/>
      <c r="G52" s="122"/>
      <c r="H52" s="2"/>
    </row>
    <row r="53" spans="1:8">
      <c r="A53" s="31"/>
      <c r="C53" s="122"/>
      <c r="D53" s="122"/>
      <c r="E53" s="122"/>
      <c r="F53" s="122"/>
      <c r="G53" s="122"/>
      <c r="H53" s="2"/>
    </row>
    <row r="54" spans="1:8" s="3" customFormat="1" ht="16.5">
      <c r="A54" s="890" t="s">
        <v>336</v>
      </c>
      <c r="B54" s="890"/>
      <c r="C54" s="890"/>
      <c r="D54" s="890"/>
      <c r="E54" s="890"/>
      <c r="F54" s="890"/>
      <c r="G54" s="890"/>
      <c r="H54" s="4"/>
    </row>
    <row r="55" spans="1:8">
      <c r="A55" s="31"/>
      <c r="B55" s="31"/>
      <c r="C55" s="31"/>
      <c r="D55" s="31"/>
      <c r="E55" s="31"/>
      <c r="F55" s="31"/>
      <c r="G55" s="31"/>
    </row>
    <row r="56" spans="1:8" ht="15">
      <c r="A56" s="31"/>
      <c r="B56" s="272" t="s">
        <v>319</v>
      </c>
      <c r="C56" s="275"/>
      <c r="D56" s="274"/>
      <c r="E56" s="274"/>
      <c r="F56" s="274"/>
      <c r="G56" s="274"/>
    </row>
    <row r="57" spans="1:8" ht="15">
      <c r="A57" s="31"/>
      <c r="B57" s="272"/>
      <c r="C57" s="275"/>
      <c r="D57" s="285" t="str">
        <f>C5</f>
        <v>1st Year</v>
      </c>
      <c r="E57" s="285" t="str">
        <f>D5</f>
        <v>2 nd Year</v>
      </c>
      <c r="F57" s="285" t="str">
        <f>E5</f>
        <v>3rd Year</v>
      </c>
      <c r="G57" s="285" t="str">
        <f>F5</f>
        <v>4th Year</v>
      </c>
    </row>
    <row r="58" spans="1:8" ht="15">
      <c r="A58" s="31"/>
      <c r="B58" s="272" t="s">
        <v>320</v>
      </c>
      <c r="C58" s="273">
        <v>0.05</v>
      </c>
      <c r="D58" s="274"/>
      <c r="E58" s="274"/>
      <c r="F58" s="274"/>
      <c r="G58" s="274"/>
    </row>
    <row r="59" spans="1:8">
      <c r="A59" s="31"/>
      <c r="B59" s="275" t="s">
        <v>321</v>
      </c>
      <c r="C59" s="276">
        <f>C58</f>
        <v>0.05</v>
      </c>
      <c r="D59" s="277">
        <f>IF(C7&gt;0,C7*(100% - $C59),0)</f>
        <v>232.55999999999997</v>
      </c>
      <c r="E59" s="277">
        <f>IF(D7&gt;0,D7*(100% - $C59),0)</f>
        <v>246.23999999999998</v>
      </c>
      <c r="F59" s="277">
        <f>IF(E7&gt;0,E7*(100% - $C59),0)</f>
        <v>246.23999999999998</v>
      </c>
      <c r="G59" s="277">
        <f>IF(F7&gt;0,F7*(100% - $C59),0)</f>
        <v>246.23999999999998</v>
      </c>
    </row>
    <row r="60" spans="1:8">
      <c r="A60" s="31"/>
      <c r="B60" s="275" t="s">
        <v>322</v>
      </c>
      <c r="C60" s="278">
        <f>C59</f>
        <v>0.05</v>
      </c>
      <c r="D60" s="277">
        <f>C18*(100%-$C$60)</f>
        <v>206.81977984781247</v>
      </c>
      <c r="E60" s="277">
        <f>D18*(100%-$C$60)</f>
        <v>218.97631870926926</v>
      </c>
      <c r="F60" s="277">
        <f>E18*(100%-$C$60)</f>
        <v>219.71592895781248</v>
      </c>
      <c r="G60" s="277">
        <f>F18*(100%-$C$60)</f>
        <v>220.23967128379684</v>
      </c>
    </row>
    <row r="61" spans="1:8">
      <c r="A61" s="31"/>
      <c r="B61" s="275" t="s">
        <v>323</v>
      </c>
      <c r="C61" s="278"/>
      <c r="D61" s="279">
        <f>D59-D60</f>
        <v>25.740220152187504</v>
      </c>
      <c r="E61" s="279">
        <f>E59-E60</f>
        <v>27.263681290730716</v>
      </c>
      <c r="F61" s="279">
        <f>F59-F60</f>
        <v>26.524071042187501</v>
      </c>
      <c r="G61" s="279">
        <f>G59-G60</f>
        <v>26.000328716203143</v>
      </c>
    </row>
    <row r="62" spans="1:8" ht="15">
      <c r="A62" s="31"/>
      <c r="B62" s="275" t="s">
        <v>332</v>
      </c>
      <c r="C62" s="276">
        <f>C58</f>
        <v>0.05</v>
      </c>
      <c r="D62" s="280">
        <f>C30/D61*100</f>
        <v>44.507559307049647</v>
      </c>
      <c r="E62" s="280">
        <f>D30/E61*100</f>
        <v>40.121468007277656</v>
      </c>
      <c r="F62" s="280">
        <f>E30/F61*100</f>
        <v>38.94052651359074</v>
      </c>
      <c r="G62" s="280">
        <f>F30/G61*100</f>
        <v>37.571944611911121</v>
      </c>
    </row>
    <row r="63" spans="1:8">
      <c r="A63" s="31"/>
      <c r="B63" s="275" t="s">
        <v>333</v>
      </c>
      <c r="C63" s="281"/>
      <c r="D63" s="277">
        <f>D62/100*D59</f>
        <v>103.50677992447466</v>
      </c>
      <c r="E63" s="277">
        <f>E62/100*E59</f>
        <v>98.795102821120494</v>
      </c>
      <c r="F63" s="277">
        <f>F62/100*F59</f>
        <v>95.887152487065833</v>
      </c>
      <c r="G63" s="277">
        <f>G62/100*G59</f>
        <v>92.517156412369943</v>
      </c>
    </row>
    <row r="64" spans="1:8">
      <c r="A64" s="31"/>
      <c r="B64" s="275"/>
      <c r="C64" s="281"/>
      <c r="D64" s="282"/>
      <c r="E64" s="282"/>
      <c r="F64" s="282"/>
      <c r="G64" s="282"/>
    </row>
    <row r="65" spans="1:7" ht="15">
      <c r="A65" s="31"/>
      <c r="B65" s="272" t="s">
        <v>324</v>
      </c>
      <c r="C65" s="273">
        <v>0.05</v>
      </c>
      <c r="D65" s="282"/>
      <c r="E65" s="282"/>
      <c r="F65" s="282"/>
      <c r="G65" s="282"/>
    </row>
    <row r="66" spans="1:7">
      <c r="A66" s="31"/>
      <c r="B66" s="275" t="s">
        <v>325</v>
      </c>
      <c r="C66" s="281"/>
      <c r="D66" s="277">
        <f>C7</f>
        <v>244.79999999999998</v>
      </c>
      <c r="E66" s="277">
        <f>D7</f>
        <v>259.2</v>
      </c>
      <c r="F66" s="277">
        <f>E7</f>
        <v>259.2</v>
      </c>
      <c r="G66" s="277">
        <f>F7</f>
        <v>259.2</v>
      </c>
    </row>
    <row r="67" spans="1:7">
      <c r="A67" s="31"/>
      <c r="B67" s="275" t="s">
        <v>326</v>
      </c>
      <c r="C67" s="276">
        <f>C65</f>
        <v>0.05</v>
      </c>
      <c r="D67" s="277">
        <f>C18+(C9*0.05)</f>
        <v>226.69378141874998</v>
      </c>
      <c r="E67" s="277">
        <f>D18+(D9*0.05)</f>
        <v>240.01888811502027</v>
      </c>
      <c r="F67" s="277">
        <f>E18+(E9*0.05)</f>
        <v>240.79742521874999</v>
      </c>
      <c r="G67" s="277">
        <f>F18+(F9*0.05)</f>
        <v>241.34873293031245</v>
      </c>
    </row>
    <row r="68" spans="1:7">
      <c r="A68" s="31"/>
      <c r="B68" s="275" t="s">
        <v>323</v>
      </c>
      <c r="C68" s="276"/>
      <c r="D68" s="279">
        <f>D66-D67</f>
        <v>18.106218581250005</v>
      </c>
      <c r="E68" s="279">
        <f>E66-E67</f>
        <v>19.181111884979714</v>
      </c>
      <c r="F68" s="279">
        <f>F66-F67</f>
        <v>18.402574781249996</v>
      </c>
      <c r="G68" s="279">
        <f>G66-G67</f>
        <v>17.851267069687538</v>
      </c>
    </row>
    <row r="69" spans="1:7" ht="15">
      <c r="A69" s="31"/>
      <c r="B69" s="275" t="s">
        <v>334</v>
      </c>
      <c r="C69" s="276">
        <f>C67</f>
        <v>0.05</v>
      </c>
      <c r="D69" s="280">
        <f>C30/D68*100</f>
        <v>63.272978278654378</v>
      </c>
      <c r="E69" s="280">
        <f>D30/E68*100</f>
        <v>57.027920134454902</v>
      </c>
      <c r="F69" s="280">
        <f>E30/F68*100</f>
        <v>56.125911941356591</v>
      </c>
      <c r="G69" s="280">
        <f>F30/G68*100</f>
        <v>54.72344941135686</v>
      </c>
    </row>
    <row r="70" spans="1:7">
      <c r="A70" s="31"/>
      <c r="B70" s="275" t="s">
        <v>333</v>
      </c>
      <c r="C70" s="281"/>
      <c r="D70" s="277">
        <f>D66*D69/100</f>
        <v>154.8922508261459</v>
      </c>
      <c r="E70" s="277">
        <f>E66*E69/100</f>
        <v>147.81636898850709</v>
      </c>
      <c r="F70" s="277">
        <f>F66*F69/100</f>
        <v>145.47836375199628</v>
      </c>
      <c r="G70" s="277">
        <f>G66*G69/100</f>
        <v>141.84318087423696</v>
      </c>
    </row>
    <row r="71" spans="1:7">
      <c r="A71" s="31"/>
      <c r="B71" s="275"/>
      <c r="C71" s="283"/>
      <c r="D71" s="282"/>
      <c r="E71" s="282"/>
      <c r="F71" s="282"/>
      <c r="G71" s="282"/>
    </row>
    <row r="72" spans="1:7" ht="15">
      <c r="A72" s="31"/>
      <c r="B72" s="272" t="s">
        <v>327</v>
      </c>
      <c r="C72" s="273">
        <v>0.05</v>
      </c>
      <c r="D72" s="282"/>
      <c r="E72" s="282"/>
      <c r="F72" s="282"/>
      <c r="G72" s="282"/>
    </row>
    <row r="73" spans="1:7">
      <c r="A73" s="31"/>
      <c r="B73" s="275" t="s">
        <v>325</v>
      </c>
      <c r="C73" s="281"/>
      <c r="D73" s="284">
        <f>D66</f>
        <v>244.79999999999998</v>
      </c>
      <c r="E73" s="284">
        <f>E66</f>
        <v>259.2</v>
      </c>
      <c r="F73" s="284">
        <f>F66</f>
        <v>259.2</v>
      </c>
      <c r="G73" s="284">
        <f>G66</f>
        <v>259.2</v>
      </c>
    </row>
    <row r="74" spans="1:7">
      <c r="A74" s="31"/>
      <c r="B74" s="275" t="s">
        <v>328</v>
      </c>
      <c r="C74" s="276">
        <f>C72</f>
        <v>0.05</v>
      </c>
      <c r="D74" s="277">
        <f>C9+((C18-C9)*1.05)</f>
        <v>219.60153298968748</v>
      </c>
      <c r="E74" s="277">
        <f>D9+((D18-D9)*1.05)</f>
        <v>232.5089575207713</v>
      </c>
      <c r="F74" s="277">
        <f>E9+((E18-E9)*1.05)</f>
        <v>233.3264214796875</v>
      </c>
      <c r="G74" s="277">
        <f>F9+((F18-F9)*1.05)</f>
        <v>233.90529457682808</v>
      </c>
    </row>
    <row r="75" spans="1:7">
      <c r="A75" s="31"/>
      <c r="B75" s="275" t="s">
        <v>323</v>
      </c>
      <c r="C75" s="281"/>
      <c r="D75" s="279">
        <f>D73-D74</f>
        <v>25.198467010312498</v>
      </c>
      <c r="E75" s="279">
        <f>E73-E74</f>
        <v>26.691042479228685</v>
      </c>
      <c r="F75" s="279">
        <f>F73-F74</f>
        <v>25.873578520312492</v>
      </c>
      <c r="G75" s="279">
        <f>G73-G74</f>
        <v>25.294705423171905</v>
      </c>
    </row>
    <row r="76" spans="1:7" ht="15">
      <c r="A76" s="31"/>
      <c r="B76" s="275" t="s">
        <v>335</v>
      </c>
      <c r="C76" s="276">
        <f>C74</f>
        <v>0.05</v>
      </c>
      <c r="D76" s="280">
        <f>C30/D75*100</f>
        <v>45.464447282890177</v>
      </c>
      <c r="E76" s="280">
        <f>D30/E75*100</f>
        <v>40.982247790355956</v>
      </c>
      <c r="F76" s="280">
        <f>E30/F75*100</f>
        <v>39.919537641683448</v>
      </c>
      <c r="G76" s="280">
        <f>F30/G75*100</f>
        <v>38.62005483257245</v>
      </c>
    </row>
    <row r="77" spans="1:7">
      <c r="A77" s="31"/>
      <c r="B77" s="275" t="s">
        <v>333</v>
      </c>
      <c r="C77" s="275"/>
      <c r="D77" s="277">
        <f>D73*D76/100</f>
        <v>111.29696694851515</v>
      </c>
      <c r="E77" s="277">
        <f>E73*E76/100</f>
        <v>106.22598627260264</v>
      </c>
      <c r="F77" s="277">
        <f>F73*F76/100</f>
        <v>103.47144156724349</v>
      </c>
      <c r="G77" s="277">
        <f>G73*G76/100</f>
        <v>100.10318212602779</v>
      </c>
    </row>
    <row r="78" spans="1:7">
      <c r="A78" s="31"/>
      <c r="B78" s="275"/>
      <c r="C78" s="283"/>
      <c r="D78" s="282"/>
      <c r="E78" s="282"/>
      <c r="F78" s="282"/>
      <c r="G78" s="282"/>
    </row>
    <row r="79" spans="1:7" ht="15">
      <c r="A79" s="31"/>
      <c r="B79" s="272" t="s">
        <v>329</v>
      </c>
      <c r="C79" s="273">
        <v>0.05</v>
      </c>
      <c r="D79" s="282"/>
      <c r="E79" s="282"/>
      <c r="F79" s="282"/>
      <c r="G79" s="282"/>
    </row>
    <row r="80" spans="1:7">
      <c r="A80" s="31"/>
      <c r="B80" s="275" t="s">
        <v>325</v>
      </c>
      <c r="C80" s="281"/>
      <c r="D80" s="284">
        <f>D59</f>
        <v>232.55999999999997</v>
      </c>
      <c r="E80" s="284">
        <f>E59</f>
        <v>246.23999999999998</v>
      </c>
      <c r="F80" s="284">
        <f>F59</f>
        <v>246.23999999999998</v>
      </c>
      <c r="G80" s="284">
        <f>G59</f>
        <v>246.23999999999998</v>
      </c>
    </row>
    <row r="81" spans="1:7">
      <c r="A81" s="31"/>
      <c r="B81" s="275" t="s">
        <v>330</v>
      </c>
      <c r="C81" s="276" t="s">
        <v>271</v>
      </c>
      <c r="D81" s="277">
        <f>C18</f>
        <v>217.70503141874997</v>
      </c>
      <c r="E81" s="277">
        <f>D18</f>
        <v>230.50138811502029</v>
      </c>
      <c r="F81" s="277">
        <f>E18</f>
        <v>231.27992521874998</v>
      </c>
      <c r="G81" s="277">
        <f>F18</f>
        <v>231.83123293031247</v>
      </c>
    </row>
    <row r="82" spans="1:7">
      <c r="A82" s="31"/>
      <c r="B82" s="275" t="s">
        <v>323</v>
      </c>
      <c r="C82" s="281"/>
      <c r="D82" s="279">
        <f>D80-D81</f>
        <v>14.854968581250006</v>
      </c>
      <c r="E82" s="279">
        <f>E80-E81</f>
        <v>15.73861188497969</v>
      </c>
      <c r="F82" s="279">
        <f>F80-F81</f>
        <v>14.96007478125</v>
      </c>
      <c r="G82" s="279">
        <f>G80-G81</f>
        <v>14.408767069687514</v>
      </c>
    </row>
    <row r="83" spans="1:7" ht="15">
      <c r="A83" s="31"/>
      <c r="B83" s="275" t="s">
        <v>361</v>
      </c>
      <c r="C83" s="276" t="str">
        <f>C81</f>
        <v xml:space="preserve"> </v>
      </c>
      <c r="D83" s="280">
        <f>C30/D82*100</f>
        <v>77.121292363150715</v>
      </c>
      <c r="E83" s="280">
        <f>D30/E82*100</f>
        <v>69.501613271917748</v>
      </c>
      <c r="F83" s="280">
        <f>E30/F82*100</f>
        <v>69.041185072228984</v>
      </c>
      <c r="G83" s="280">
        <f>F30/G82*100</f>
        <v>67.797814045574171</v>
      </c>
    </row>
    <row r="84" spans="1:7">
      <c r="A84" s="31"/>
      <c r="B84" s="275" t="s">
        <v>333</v>
      </c>
      <c r="C84" s="275"/>
      <c r="D84" s="277">
        <f>D83*D80/100</f>
        <v>179.35327751974327</v>
      </c>
      <c r="E84" s="277">
        <f>E83*E80/100</f>
        <v>171.14077252077027</v>
      </c>
      <c r="F84" s="277">
        <f>F83*F80/100</f>
        <v>170.00701412185663</v>
      </c>
      <c r="G84" s="277">
        <f>G83*G80/100</f>
        <v>166.94533730582182</v>
      </c>
    </row>
  </sheetData>
  <mergeCells count="1">
    <mergeCell ref="A54:G54"/>
  </mergeCells>
  <phoneticPr fontId="0" type="noConversion"/>
  <printOptions horizontalCentered="1"/>
  <pageMargins left="0.74803149606299202" right="0.74803149606299202" top="0.484251969" bottom="0.98425196850393704" header="0.511811023622047" footer="0.511811023622047"/>
  <pageSetup scale="99" orientation="portrait" horizontalDpi="4294967294"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sheetPr codeName="Sheet14">
    <pageSetUpPr fitToPage="1"/>
  </sheetPr>
  <dimension ref="A1:I20"/>
  <sheetViews>
    <sheetView workbookViewId="0">
      <selection activeCell="M6" sqref="M6"/>
    </sheetView>
  </sheetViews>
  <sheetFormatPr defaultRowHeight="13.5"/>
  <cols>
    <col min="1" max="1" width="9.140625" style="1"/>
    <col min="2" max="2" width="45.5703125" style="1" customWidth="1"/>
    <col min="3" max="3" width="9.5703125" style="1" customWidth="1"/>
    <col min="4" max="4" width="10.5703125" style="1" customWidth="1"/>
    <col min="5" max="6" width="9.85546875" style="1" bestFit="1" customWidth="1"/>
    <col min="7" max="7" width="8.7109375" style="1" customWidth="1"/>
    <col min="8" max="8" width="7.42578125" style="1" bestFit="1" customWidth="1"/>
    <col min="9" max="16384" width="9.140625" style="1"/>
  </cols>
  <sheetData>
    <row r="1" spans="1:9" ht="23.25">
      <c r="A1" s="893" t="e">
        <f>+BEP!A1</f>
        <v>#REF!</v>
      </c>
      <c r="B1" s="893"/>
      <c r="C1" s="893"/>
      <c r="D1" s="893"/>
      <c r="E1" s="893"/>
      <c r="F1" s="893"/>
      <c r="G1" s="893"/>
    </row>
    <row r="2" spans="1:9" s="3" customFormat="1" ht="16.5">
      <c r="A2" s="894" t="s">
        <v>221</v>
      </c>
      <c r="B2" s="895"/>
      <c r="C2" s="895"/>
      <c r="D2" s="895"/>
      <c r="E2" s="895"/>
      <c r="F2" s="895"/>
      <c r="G2" s="896"/>
      <c r="H2" s="793"/>
    </row>
    <row r="3" spans="1:9" s="29" customFormat="1" ht="16.5">
      <c r="A3" s="899" t="s">
        <v>28</v>
      </c>
      <c r="B3" s="897" t="s">
        <v>83</v>
      </c>
      <c r="C3" s="901" t="s">
        <v>2</v>
      </c>
      <c r="D3" s="901"/>
      <c r="E3" s="901"/>
      <c r="F3" s="901"/>
      <c r="G3" s="902"/>
      <c r="H3" s="16"/>
    </row>
    <row r="4" spans="1:9" s="29" customFormat="1" ht="16.5">
      <c r="A4" s="900"/>
      <c r="B4" s="898"/>
      <c r="C4" s="306" t="s">
        <v>29</v>
      </c>
      <c r="D4" s="306" t="s">
        <v>30</v>
      </c>
      <c r="E4" s="306" t="s">
        <v>31</v>
      </c>
      <c r="F4" s="306" t="s">
        <v>32</v>
      </c>
      <c r="G4" s="307" t="s">
        <v>33</v>
      </c>
      <c r="H4" s="16" t="s">
        <v>727</v>
      </c>
    </row>
    <row r="5" spans="1:9" ht="15.75">
      <c r="A5" s="289" t="s">
        <v>15</v>
      </c>
      <c r="B5" s="299" t="s">
        <v>111</v>
      </c>
      <c r="C5" s="290"/>
      <c r="D5" s="290"/>
      <c r="E5" s="290"/>
      <c r="F5" s="290"/>
      <c r="G5" s="291"/>
      <c r="H5" s="10"/>
    </row>
    <row r="6" spans="1:9" ht="15.75">
      <c r="A6" s="292"/>
      <c r="B6" s="300" t="s">
        <v>112</v>
      </c>
      <c r="C6" s="294">
        <f>PROFITABILITY!D40</f>
        <v>10.374663713051278</v>
      </c>
      <c r="D6" s="294">
        <f>PROFITABILITY!E40</f>
        <v>11.781999071328899</v>
      </c>
      <c r="E6" s="294">
        <f>PROFITABILITY!F40</f>
        <v>11.670175800964596</v>
      </c>
      <c r="F6" s="294">
        <f>PROFITABILITY!G40</f>
        <v>11.675798846326543</v>
      </c>
      <c r="G6" s="295">
        <f>PROFITABILITY!H40</f>
        <v>11.63845082983215</v>
      </c>
      <c r="H6" s="10"/>
    </row>
    <row r="7" spans="1:9" ht="15.75">
      <c r="A7" s="292"/>
      <c r="B7" s="300" t="s">
        <v>113</v>
      </c>
      <c r="C7" s="294">
        <f>PROFITABILITY!D21</f>
        <v>2.5214999999999996</v>
      </c>
      <c r="D7" s="294">
        <f>PROFITABILITY!E21</f>
        <v>2.1432749999999996</v>
      </c>
      <c r="E7" s="294">
        <f>PROFITABILITY!F21</f>
        <v>1.8217837499999998</v>
      </c>
      <c r="F7" s="294">
        <f>PROFITABILITY!G21</f>
        <v>1.5485161875</v>
      </c>
      <c r="G7" s="295">
        <f>PROFITABILITY!H21</f>
        <v>1.3162387593749998</v>
      </c>
      <c r="H7" s="10"/>
    </row>
    <row r="8" spans="1:9" ht="15.75">
      <c r="A8" s="292"/>
      <c r="B8" s="300" t="s">
        <v>114</v>
      </c>
      <c r="C8" s="294">
        <f>PROFITABILITY!D23</f>
        <v>1.5368437500000003</v>
      </c>
      <c r="D8" s="294">
        <f>PROFITABILITY!E23</f>
        <v>1.2158141666666684</v>
      </c>
      <c r="E8" s="294">
        <f>PROFITABILITY!F23</f>
        <v>0.88795416666666849</v>
      </c>
      <c r="F8" s="294">
        <f>PROFITABILITY!G23</f>
        <v>0.56009416666666811</v>
      </c>
      <c r="G8" s="295">
        <f>PROFITABILITY!H23</f>
        <v>0.23223416666666799</v>
      </c>
      <c r="H8" s="10"/>
    </row>
    <row r="9" spans="1:9" ht="16.5">
      <c r="A9" s="292"/>
      <c r="B9" s="300" t="s">
        <v>115</v>
      </c>
      <c r="C9" s="294">
        <f>SUM(C6:C8)</f>
        <v>14.433007463051279</v>
      </c>
      <c r="D9" s="294">
        <f>SUM(D6:D8)</f>
        <v>15.141088237995566</v>
      </c>
      <c r="E9" s="294">
        <f>SUM(E6:E8)</f>
        <v>14.379913717631265</v>
      </c>
      <c r="F9" s="294">
        <f>SUM(F6:F8)</f>
        <v>13.784409200493212</v>
      </c>
      <c r="G9" s="295">
        <f>SUM(G6:G8)</f>
        <v>13.186923755873819</v>
      </c>
      <c r="H9" s="261">
        <f>SUM(C9:G9)/5</f>
        <v>14.185068475009029</v>
      </c>
      <c r="I9" s="270" t="s">
        <v>271</v>
      </c>
    </row>
    <row r="10" spans="1:9" ht="15.75">
      <c r="A10" s="292" t="s">
        <v>16</v>
      </c>
      <c r="B10" s="300" t="s">
        <v>116</v>
      </c>
      <c r="C10" s="293"/>
      <c r="D10" s="293"/>
      <c r="E10" s="293"/>
      <c r="F10" s="293"/>
      <c r="G10" s="296"/>
      <c r="H10" s="10"/>
    </row>
    <row r="11" spans="1:9" ht="15.75">
      <c r="A11" s="292"/>
      <c r="B11" s="300" t="s">
        <v>355</v>
      </c>
      <c r="C11" s="294">
        <f>INTERESTCAL!P24</f>
        <v>2.1016666666666666</v>
      </c>
      <c r="D11" s="294">
        <f>INTERESTCAL!P36</f>
        <v>2.5220000000000002</v>
      </c>
      <c r="E11" s="294">
        <f>D11</f>
        <v>2.5220000000000002</v>
      </c>
      <c r="F11" s="294">
        <f>E11</f>
        <v>2.5220000000000002</v>
      </c>
      <c r="G11" s="295">
        <f>F11</f>
        <v>2.5220000000000002</v>
      </c>
      <c r="H11" s="10"/>
    </row>
    <row r="12" spans="1:9" ht="15.75">
      <c r="A12" s="292"/>
      <c r="B12" s="300" t="s">
        <v>271</v>
      </c>
      <c r="C12" s="294">
        <f>INTERESTCAL!D17</f>
        <v>0</v>
      </c>
      <c r="D12" s="294">
        <f>INTERESTCAL!D19</f>
        <v>0</v>
      </c>
      <c r="E12" s="294">
        <f>INTERESTCAL!D21</f>
        <v>0</v>
      </c>
      <c r="F12" s="294">
        <f>INTERESTCAL!D23</f>
        <v>0</v>
      </c>
      <c r="G12" s="295">
        <f>INTERESTCAL!D25</f>
        <v>0</v>
      </c>
      <c r="H12" s="10"/>
    </row>
    <row r="13" spans="1:9" ht="15.75">
      <c r="A13" s="292"/>
      <c r="B13" s="300" t="s">
        <v>117</v>
      </c>
      <c r="C13" s="294">
        <f>C8</f>
        <v>1.5368437500000003</v>
      </c>
      <c r="D13" s="294">
        <f>D8</f>
        <v>1.2158141666666684</v>
      </c>
      <c r="E13" s="294">
        <f>E8</f>
        <v>0.88795416666666849</v>
      </c>
      <c r="F13" s="294">
        <f>F8</f>
        <v>0.56009416666666811</v>
      </c>
      <c r="G13" s="295">
        <f>G8</f>
        <v>0.23223416666666799</v>
      </c>
      <c r="H13" s="10"/>
    </row>
    <row r="14" spans="1:9" ht="16.5">
      <c r="A14" s="297"/>
      <c r="B14" s="300" t="s">
        <v>118</v>
      </c>
      <c r="C14" s="294">
        <f>SUM(C11:C13)</f>
        <v>3.6385104166666666</v>
      </c>
      <c r="D14" s="294">
        <f>SUM(D11:D13)</f>
        <v>3.7378141666666687</v>
      </c>
      <c r="E14" s="294">
        <f>SUM(E11:E13)</f>
        <v>3.4099541666666688</v>
      </c>
      <c r="F14" s="294">
        <f>SUM(F11:F13)</f>
        <v>3.0820941666666686</v>
      </c>
      <c r="G14" s="295">
        <f>SUM(G11:G13)</f>
        <v>2.7542341666666683</v>
      </c>
      <c r="H14" s="261">
        <f>SUM(C14:G14)/5</f>
        <v>3.3245214166666686</v>
      </c>
      <c r="I14" s="270" t="s">
        <v>271</v>
      </c>
    </row>
    <row r="15" spans="1:9" ht="15.75">
      <c r="A15" s="297"/>
      <c r="B15" s="301"/>
      <c r="C15" s="294"/>
      <c r="D15" s="294"/>
      <c r="E15" s="294"/>
      <c r="F15" s="294"/>
      <c r="G15" s="295"/>
      <c r="H15" s="118"/>
    </row>
    <row r="16" spans="1:9" ht="16.5">
      <c r="A16" s="298"/>
      <c r="B16" s="302" t="s">
        <v>280</v>
      </c>
      <c r="C16" s="304">
        <f>+C9/C14</f>
        <v>3.9667352323464637</v>
      </c>
      <c r="D16" s="304">
        <f>+D9/D14</f>
        <v>4.0507867868396952</v>
      </c>
      <c r="E16" s="304">
        <f>+E9/E14</f>
        <v>4.2170401755540476</v>
      </c>
      <c r="F16" s="304">
        <f>+F9/F14</f>
        <v>4.4724166281399693</v>
      </c>
      <c r="G16" s="305">
        <f>+G9/G14</f>
        <v>4.7878731283888571</v>
      </c>
      <c r="H16" s="10"/>
    </row>
    <row r="17" spans="1:8" ht="16.5">
      <c r="A17" s="77"/>
      <c r="B17" s="303" t="s">
        <v>119</v>
      </c>
      <c r="C17" s="891">
        <f>H9/H14</f>
        <v>4.2668001487058209</v>
      </c>
      <c r="D17" s="891"/>
      <c r="E17" s="891"/>
      <c r="F17" s="891"/>
      <c r="G17" s="892"/>
      <c r="H17" s="10"/>
    </row>
    <row r="18" spans="1:8">
      <c r="A18" s="31"/>
      <c r="B18" s="31"/>
      <c r="C18" s="31"/>
      <c r="D18" s="31"/>
      <c r="E18" s="31"/>
      <c r="F18" s="31"/>
      <c r="G18" s="31"/>
    </row>
    <row r="19" spans="1:8">
      <c r="A19" s="31"/>
      <c r="B19" s="31"/>
      <c r="C19" s="31"/>
      <c r="D19" s="31"/>
      <c r="E19" s="31"/>
      <c r="F19" s="31"/>
      <c r="G19" s="31"/>
    </row>
    <row r="20" spans="1:8">
      <c r="A20" s="31"/>
      <c r="B20" s="31"/>
      <c r="C20" s="31"/>
      <c r="D20" s="31"/>
      <c r="E20" s="31"/>
      <c r="F20" s="31"/>
      <c r="G20" s="31"/>
    </row>
  </sheetData>
  <mergeCells count="6">
    <mergeCell ref="C17:G17"/>
    <mergeCell ref="A1:G1"/>
    <mergeCell ref="A2:G2"/>
    <mergeCell ref="B3:B4"/>
    <mergeCell ref="A3:A4"/>
    <mergeCell ref="C3:G3"/>
  </mergeCells>
  <phoneticPr fontId="0" type="noConversion"/>
  <pageMargins left="0.74803149606299213" right="0.74803149606299213" top="0.98425196850393704" bottom="0.98425196850393704" header="0.51181102362204722" footer="0.51181102362204722"/>
  <pageSetup paperSize="9" scale="85" orientation="portrait" horizontalDpi="4294967294" verticalDpi="300" r:id="rId1"/>
  <headerFooter alignWithMargins="0"/>
</worksheet>
</file>

<file path=xl/worksheets/sheet15.xml><?xml version="1.0" encoding="utf-8"?>
<worksheet xmlns="http://schemas.openxmlformats.org/spreadsheetml/2006/main" xmlns:r="http://schemas.openxmlformats.org/officeDocument/2006/relationships">
  <sheetPr codeName="Sheet15"/>
  <dimension ref="A1:G23"/>
  <sheetViews>
    <sheetView workbookViewId="0">
      <selection activeCell="C5" sqref="C5"/>
    </sheetView>
  </sheetViews>
  <sheetFormatPr defaultRowHeight="13.5"/>
  <cols>
    <col min="1" max="1" width="8" style="1" customWidth="1"/>
    <col min="2" max="2" width="19.5703125" style="1" customWidth="1"/>
    <col min="3" max="3" width="24.140625" style="1" customWidth="1"/>
    <col min="4" max="4" width="16.140625" style="1" customWidth="1"/>
    <col min="5" max="5" width="21" style="1" bestFit="1" customWidth="1"/>
    <col min="6" max="16384" width="9.140625" style="1"/>
  </cols>
  <sheetData>
    <row r="1" spans="1:7" ht="23.25">
      <c r="A1" s="781" t="e">
        <f>+DCR!A1</f>
        <v>#REF!</v>
      </c>
      <c r="B1" s="150"/>
      <c r="C1" s="150"/>
      <c r="D1" s="150"/>
      <c r="E1" s="309"/>
    </row>
    <row r="2" spans="1:7" ht="15">
      <c r="A2" s="74"/>
      <c r="B2" s="31"/>
      <c r="C2" s="31"/>
      <c r="D2" s="31"/>
      <c r="E2" s="310"/>
    </row>
    <row r="3" spans="1:7" ht="16.5">
      <c r="A3" s="876" t="s">
        <v>230</v>
      </c>
      <c r="B3" s="877"/>
      <c r="C3" s="877"/>
      <c r="D3" s="877"/>
      <c r="E3" s="878"/>
    </row>
    <row r="4" spans="1:7" ht="15.75">
      <c r="A4" s="311" t="s">
        <v>678</v>
      </c>
      <c r="B4" s="6"/>
      <c r="C4" s="6"/>
      <c r="D4" s="6"/>
      <c r="E4" s="76"/>
    </row>
    <row r="5" spans="1:7" ht="15.75">
      <c r="A5" s="311" t="s">
        <v>231</v>
      </c>
      <c r="B5" s="6"/>
      <c r="C5" s="308">
        <f>COSTOFPROJECT!D14</f>
        <v>36.060839375</v>
      </c>
      <c r="D5" s="6"/>
      <c r="E5" s="76"/>
    </row>
    <row r="6" spans="1:7" ht="15.75">
      <c r="A6" s="311" t="s">
        <v>12</v>
      </c>
      <c r="B6" s="6"/>
      <c r="C6" s="308">
        <v>0</v>
      </c>
      <c r="D6" s="6"/>
      <c r="E6" s="76"/>
    </row>
    <row r="7" spans="1:7" ht="15.75">
      <c r="A7" s="311"/>
      <c r="B7" s="6" t="s">
        <v>161</v>
      </c>
      <c r="C7" s="308">
        <f>C5-C6</f>
        <v>36.060839375</v>
      </c>
      <c r="D7" s="6"/>
      <c r="E7" s="76"/>
    </row>
    <row r="8" spans="1:7" ht="31.5">
      <c r="A8" s="147" t="s">
        <v>232</v>
      </c>
      <c r="B8" s="147" t="s">
        <v>233</v>
      </c>
      <c r="C8" s="147" t="s">
        <v>234</v>
      </c>
      <c r="D8" s="147" t="s">
        <v>235</v>
      </c>
      <c r="E8" s="146" t="s">
        <v>236</v>
      </c>
    </row>
    <row r="9" spans="1:7" ht="15.75">
      <c r="A9" s="312">
        <v>1</v>
      </c>
      <c r="B9" s="313">
        <f>PROFITABILITY!D39</f>
        <v>10.374663713051278</v>
      </c>
      <c r="C9" s="313">
        <f>DCR!C7</f>
        <v>2.5214999999999996</v>
      </c>
      <c r="D9" s="313">
        <f>B9+C9</f>
        <v>12.896163713051278</v>
      </c>
      <c r="E9" s="313">
        <f>D9</f>
        <v>12.896163713051278</v>
      </c>
      <c r="F9" s="2"/>
    </row>
    <row r="10" spans="1:7" ht="15.75">
      <c r="A10" s="314">
        <v>2</v>
      </c>
      <c r="B10" s="315">
        <f>PROFITABILITY!E39</f>
        <v>11.781999071328899</v>
      </c>
      <c r="C10" s="315">
        <f>DCR!D7</f>
        <v>2.1432749999999996</v>
      </c>
      <c r="D10" s="315">
        <f>B10+C10</f>
        <v>13.925274071328898</v>
      </c>
      <c r="E10" s="315">
        <f>E9+D10</f>
        <v>26.821437784380176</v>
      </c>
      <c r="F10" s="2"/>
    </row>
    <row r="11" spans="1:7" ht="15.75">
      <c r="A11" s="314">
        <v>3</v>
      </c>
      <c r="B11" s="315">
        <f>PROFITABILITY!F39</f>
        <v>11.670175800964596</v>
      </c>
      <c r="C11" s="315">
        <f>DCR!E7</f>
        <v>1.8217837499999998</v>
      </c>
      <c r="D11" s="315">
        <f>B11+C11</f>
        <v>13.491959550964596</v>
      </c>
      <c r="E11" s="315">
        <f>E10+D11</f>
        <v>40.313397335344774</v>
      </c>
      <c r="F11" s="2"/>
      <c r="G11" s="2"/>
    </row>
    <row r="12" spans="1:7" ht="15.75">
      <c r="A12" s="314">
        <v>4</v>
      </c>
      <c r="B12" s="315">
        <f>PROFITABILITY!G39</f>
        <v>11.675798846326543</v>
      </c>
      <c r="C12" s="315">
        <f>DCR!F7</f>
        <v>1.5485161875</v>
      </c>
      <c r="D12" s="315">
        <f>B12+C12</f>
        <v>13.224315033826544</v>
      </c>
      <c r="E12" s="315">
        <f>E11+D12</f>
        <v>53.537712369171317</v>
      </c>
      <c r="F12" s="2"/>
    </row>
    <row r="13" spans="1:7" ht="15.75">
      <c r="A13" s="314">
        <v>5</v>
      </c>
      <c r="B13" s="315">
        <f>PROFITABILITY!H39</f>
        <v>11.63845082983215</v>
      </c>
      <c r="C13" s="315">
        <f>DCR!G7</f>
        <v>1.3162387593749998</v>
      </c>
      <c r="D13" s="315">
        <f>B13+C13</f>
        <v>12.954689589207151</v>
      </c>
      <c r="E13" s="315">
        <f>E12+D13</f>
        <v>66.492401958378466</v>
      </c>
      <c r="F13" s="2">
        <f>+E13-C7</f>
        <v>30.431562583378465</v>
      </c>
    </row>
    <row r="14" spans="1:7" ht="15.75">
      <c r="A14" s="316"/>
      <c r="B14" s="317"/>
      <c r="C14" s="317"/>
      <c r="D14" s="317"/>
      <c r="E14" s="317"/>
      <c r="F14" s="2">
        <f>+D14/12</f>
        <v>0</v>
      </c>
    </row>
    <row r="15" spans="1:7" ht="15.75">
      <c r="A15" s="311"/>
      <c r="B15" s="7"/>
      <c r="C15" s="7"/>
      <c r="D15" s="7"/>
      <c r="E15" s="203"/>
      <c r="F15" s="2"/>
    </row>
    <row r="16" spans="1:7" ht="15.75">
      <c r="A16" s="311" t="s">
        <v>237</v>
      </c>
      <c r="B16" s="6"/>
      <c r="C16" s="6" t="s">
        <v>692</v>
      </c>
      <c r="D16" s="6"/>
      <c r="E16" s="76"/>
      <c r="F16" s="1" t="e">
        <f>+F13/F14</f>
        <v>#DIV/0!</v>
      </c>
    </row>
    <row r="17" spans="1:5" ht="15.75">
      <c r="A17" s="311"/>
      <c r="B17" s="6"/>
      <c r="C17" s="6"/>
      <c r="D17" s="6"/>
      <c r="E17" s="76"/>
    </row>
    <row r="18" spans="1:5" ht="18.75">
      <c r="A18" s="286"/>
      <c r="B18" s="287"/>
      <c r="C18" s="287"/>
      <c r="D18" s="287"/>
      <c r="E18" s="288"/>
    </row>
    <row r="20" spans="1:5">
      <c r="C20" s="2"/>
    </row>
    <row r="22" spans="1:5">
      <c r="C22" s="2"/>
    </row>
    <row r="23" spans="1:5">
      <c r="C23" s="2"/>
    </row>
  </sheetData>
  <mergeCells count="1">
    <mergeCell ref="A3:E3"/>
  </mergeCells>
  <phoneticPr fontId="0" type="noConversion"/>
  <pageMargins left="0.75" right="0.75" top="1" bottom="1" header="0.5" footer="0.5"/>
  <pageSetup orientation="portrait" horizontalDpi="4294967295" verticalDpi="300" r:id="rId1"/>
  <headerFooter alignWithMargins="0"/>
</worksheet>
</file>

<file path=xl/worksheets/sheet16.xml><?xml version="1.0" encoding="utf-8"?>
<worksheet xmlns="http://schemas.openxmlformats.org/spreadsheetml/2006/main" xmlns:r="http://schemas.openxmlformats.org/officeDocument/2006/relationships">
  <sheetPr codeName="Sheet16">
    <pageSetUpPr fitToPage="1"/>
  </sheetPr>
  <dimension ref="A1:K34"/>
  <sheetViews>
    <sheetView tabSelected="1" workbookViewId="0">
      <selection activeCell="L1" sqref="L1"/>
    </sheetView>
  </sheetViews>
  <sheetFormatPr defaultRowHeight="13.5"/>
  <cols>
    <col min="1" max="1" width="6.140625" style="1" customWidth="1"/>
    <col min="2" max="2" width="39" style="1" customWidth="1"/>
    <col min="3" max="3" width="8.7109375" style="1" customWidth="1"/>
    <col min="4" max="6" width="7.42578125" style="1" bestFit="1" customWidth="1"/>
    <col min="7" max="9" width="8.28515625" style="1" bestFit="1" customWidth="1"/>
    <col min="10" max="10" width="8.42578125" style="1" bestFit="1" customWidth="1"/>
    <col min="11" max="16384" width="9.140625" style="1"/>
  </cols>
  <sheetData>
    <row r="1" spans="1:10" ht="23.25">
      <c r="A1" s="782" t="e">
        <f>+PAYBACK!A1</f>
        <v>#REF!</v>
      </c>
      <c r="B1" s="783"/>
      <c r="C1" s="337"/>
      <c r="D1" s="337"/>
      <c r="E1" s="337"/>
      <c r="F1" s="337"/>
      <c r="G1" s="337"/>
      <c r="H1" s="337"/>
      <c r="I1" s="337"/>
      <c r="J1" s="338"/>
    </row>
    <row r="2" spans="1:10" ht="15">
      <c r="A2" s="903" t="s">
        <v>219</v>
      </c>
      <c r="B2" s="904"/>
      <c r="C2" s="904"/>
      <c r="D2" s="904"/>
      <c r="E2" s="904"/>
      <c r="F2" s="904"/>
      <c r="G2" s="904"/>
      <c r="H2" s="904"/>
      <c r="I2" s="140"/>
      <c r="J2" s="124"/>
    </row>
    <row r="3" spans="1:10" s="205" customFormat="1" ht="27">
      <c r="A3" s="71" t="s">
        <v>679</v>
      </c>
      <c r="B3" s="71" t="s">
        <v>14</v>
      </c>
      <c r="C3" s="73" t="s">
        <v>680</v>
      </c>
      <c r="D3" s="235" t="s">
        <v>29</v>
      </c>
      <c r="E3" s="235" t="s">
        <v>30</v>
      </c>
      <c r="F3" s="235" t="s">
        <v>31</v>
      </c>
      <c r="G3" s="235" t="s">
        <v>32</v>
      </c>
      <c r="H3" s="235" t="s">
        <v>33</v>
      </c>
      <c r="I3" s="318" t="s">
        <v>10</v>
      </c>
      <c r="J3" s="235" t="s">
        <v>11</v>
      </c>
    </row>
    <row r="4" spans="1:10" ht="15">
      <c r="A4" s="127" t="s">
        <v>15</v>
      </c>
      <c r="B4" s="319" t="s">
        <v>34</v>
      </c>
      <c r="C4" s="127"/>
      <c r="D4" s="127"/>
      <c r="E4" s="133"/>
      <c r="F4" s="127"/>
      <c r="G4" s="127"/>
      <c r="H4" s="127"/>
      <c r="I4" s="320"/>
      <c r="J4" s="127"/>
    </row>
    <row r="5" spans="1:10">
      <c r="A5" s="134" t="s">
        <v>35</v>
      </c>
      <c r="B5" s="331" t="s">
        <v>36</v>
      </c>
      <c r="C5" s="129"/>
      <c r="D5" s="135"/>
      <c r="E5" s="129"/>
      <c r="F5" s="129"/>
      <c r="G5" s="129"/>
      <c r="H5" s="129"/>
      <c r="I5" s="321"/>
      <c r="J5" s="129"/>
    </row>
    <row r="6" spans="1:10" ht="27">
      <c r="A6" s="322">
        <v>1</v>
      </c>
      <c r="B6" s="332" t="s">
        <v>37</v>
      </c>
      <c r="C6" s="135">
        <v>0</v>
      </c>
      <c r="D6" s="135">
        <f>PROFITABILITY!D31+PROFITABILITY!D23+PROFITABILITY!D24+PROFITABILITY!D25</f>
        <v>23.51362500000004</v>
      </c>
      <c r="E6" s="135">
        <f>PROFITABILITY!E31+PROFITABILITY!E23+PROFITABILITY!E24+PROFITABILITY!E25</f>
        <v>25.683474997500063</v>
      </c>
      <c r="F6" s="135">
        <f>PROFITABILITY!F31+PROFITABILITY!F23+PROFITABILITY!F24+PROFITABILITY!F25</f>
        <v>25.195841250000019</v>
      </c>
      <c r="G6" s="135">
        <f>PROFITABILITY!G31+PROFITABILITY!G23+PROFITABILITY!G24+PROFITABILITY!G25</f>
        <v>24.882027562500035</v>
      </c>
      <c r="H6" s="135">
        <f>PROFITABILITY!H31+PROFITABILITY!H23+PROFITABILITY!H24+PROFITABILITY!H25</f>
        <v>24.497869678125006</v>
      </c>
      <c r="I6" s="135">
        <f>PROFITABILITY!I31+PROFITABILITY!I23+PROFITABILITY!I24+PROFITABILITY!I25</f>
        <v>24.048048413906269</v>
      </c>
      <c r="J6" s="135">
        <f>PROFITABILITY!J31+PROFITABILITY!J23+PROFITABILITY!J24+PROFITABILITY!J25</f>
        <v>23.536248923695336</v>
      </c>
    </row>
    <row r="7" spans="1:10">
      <c r="A7" s="134">
        <v>2</v>
      </c>
      <c r="B7" s="331" t="s">
        <v>193</v>
      </c>
      <c r="C7" s="135">
        <v>0</v>
      </c>
      <c r="D7" s="135">
        <f>PROFITABILITY!D32</f>
        <v>0</v>
      </c>
      <c r="E7" s="135">
        <f>PROFITABILITY!E32</f>
        <v>0</v>
      </c>
      <c r="F7" s="135">
        <f>PROFITABILITY!F32</f>
        <v>0</v>
      </c>
      <c r="G7" s="135">
        <f>PROFITABILITY!G32</f>
        <v>0</v>
      </c>
      <c r="H7" s="135">
        <f>PROFITABILITY!H32</f>
        <v>0</v>
      </c>
      <c r="I7" s="135">
        <f>PROFITABILITY!I32</f>
        <v>0</v>
      </c>
      <c r="J7" s="135">
        <f>PROFITABILITY!J32</f>
        <v>0</v>
      </c>
    </row>
    <row r="8" spans="1:10">
      <c r="A8" s="134">
        <v>3</v>
      </c>
      <c r="B8" s="331" t="s">
        <v>24</v>
      </c>
      <c r="C8" s="135">
        <v>0</v>
      </c>
      <c r="D8" s="135">
        <f>PROFITABILITY!D21</f>
        <v>2.5214999999999996</v>
      </c>
      <c r="E8" s="135">
        <f>PROFITABILITY!E21</f>
        <v>2.1432749999999996</v>
      </c>
      <c r="F8" s="135">
        <f>PROFITABILITY!F21</f>
        <v>1.8217837499999998</v>
      </c>
      <c r="G8" s="135">
        <f>PROFITABILITY!G21</f>
        <v>1.5485161875</v>
      </c>
      <c r="H8" s="135">
        <f>PROFITABILITY!H21</f>
        <v>1.3162387593749998</v>
      </c>
      <c r="I8" s="135">
        <f>PROFITABILITY!I21</f>
        <v>1.11880294546875</v>
      </c>
      <c r="J8" s="135">
        <f>PROFITABILITY!J21</f>
        <v>0.95098250364843739</v>
      </c>
    </row>
    <row r="9" spans="1:10">
      <c r="A9" s="134">
        <v>4</v>
      </c>
      <c r="B9" s="331" t="s">
        <v>38</v>
      </c>
      <c r="C9" s="135">
        <f>COSTOFPROJECT!D18</f>
        <v>8</v>
      </c>
      <c r="D9" s="135">
        <v>0</v>
      </c>
      <c r="E9" s="135">
        <v>0</v>
      </c>
      <c r="F9" s="135">
        <v>0</v>
      </c>
      <c r="G9" s="135">
        <v>0</v>
      </c>
      <c r="H9" s="135">
        <v>0</v>
      </c>
      <c r="I9" s="257">
        <v>0</v>
      </c>
      <c r="J9" s="135">
        <v>0</v>
      </c>
    </row>
    <row r="10" spans="1:10">
      <c r="A10" s="134">
        <v>5</v>
      </c>
      <c r="B10" s="331" t="s">
        <v>39</v>
      </c>
      <c r="C10" s="135">
        <f>COSTOFPROJECT!D19</f>
        <v>12.61</v>
      </c>
      <c r="D10" s="135">
        <v>0</v>
      </c>
      <c r="E10" s="135">
        <v>0</v>
      </c>
      <c r="F10" s="135">
        <v>0</v>
      </c>
      <c r="G10" s="135">
        <v>0</v>
      </c>
      <c r="H10" s="135">
        <v>0</v>
      </c>
      <c r="I10" s="257">
        <v>0</v>
      </c>
      <c r="J10" s="135">
        <v>0</v>
      </c>
    </row>
    <row r="11" spans="1:10">
      <c r="A11" s="134">
        <v>6</v>
      </c>
      <c r="B11" s="331" t="s">
        <v>40</v>
      </c>
      <c r="C11" s="135">
        <f>COSTOFPROJECT!D20</f>
        <v>10</v>
      </c>
      <c r="D11" s="135">
        <v>0</v>
      </c>
      <c r="E11" s="135">
        <v>0</v>
      </c>
      <c r="F11" s="135">
        <v>0</v>
      </c>
      <c r="G11" s="135">
        <v>0</v>
      </c>
      <c r="H11" s="135">
        <v>0</v>
      </c>
      <c r="I11" s="257">
        <v>0</v>
      </c>
      <c r="J11" s="135">
        <v>0</v>
      </c>
    </row>
    <row r="12" spans="1:10">
      <c r="A12" s="134">
        <v>7</v>
      </c>
      <c r="B12" s="331" t="s">
        <v>41</v>
      </c>
      <c r="C12" s="135">
        <v>0</v>
      </c>
      <c r="D12" s="135">
        <f>'BALANCE SHEET'!D32</f>
        <v>48.755049374999999</v>
      </c>
      <c r="E12" s="135">
        <f>'BALANCE SHEET'!E32-'BALANCE SHEET'!D32</f>
        <v>2.8421668751562521</v>
      </c>
      <c r="F12" s="135">
        <f>'BALANCE SHEET'!F32-'BALANCE SHEET'!E32</f>
        <v>6.7593124843753571E-2</v>
      </c>
      <c r="G12" s="135">
        <f>'BALANCE SHEET'!G32-'BALANCE SHEET'!F32</f>
        <v>4.2847781249996331E-2</v>
      </c>
      <c r="H12" s="135">
        <f>'BALANCE SHEET'!H32-'BALANCE SHEET'!G32</f>
        <v>0</v>
      </c>
      <c r="I12" s="135">
        <f>'BALANCE SHEET'!I32-'BALANCE SHEET'!H32</f>
        <v>0</v>
      </c>
      <c r="J12" s="135">
        <f>'BALANCE SHEET'!J32-'BALANCE SHEET'!I32</f>
        <v>0</v>
      </c>
    </row>
    <row r="13" spans="1:10">
      <c r="A13" s="134">
        <v>8</v>
      </c>
      <c r="B13" s="331" t="s">
        <v>42</v>
      </c>
      <c r="C13" s="135">
        <v>0</v>
      </c>
      <c r="D13" s="135">
        <v>0</v>
      </c>
      <c r="E13" s="135">
        <v>0</v>
      </c>
      <c r="F13" s="135">
        <v>0</v>
      </c>
      <c r="G13" s="135">
        <v>0</v>
      </c>
      <c r="H13" s="135">
        <v>0</v>
      </c>
      <c r="I13" s="257">
        <v>0</v>
      </c>
      <c r="J13" s="135">
        <v>0</v>
      </c>
    </row>
    <row r="14" spans="1:10">
      <c r="A14" s="134">
        <v>9</v>
      </c>
      <c r="B14" s="331" t="s">
        <v>43</v>
      </c>
      <c r="C14" s="135">
        <v>0</v>
      </c>
      <c r="D14" s="135">
        <v>0</v>
      </c>
      <c r="E14" s="135">
        <v>0</v>
      </c>
      <c r="F14" s="135">
        <v>0</v>
      </c>
      <c r="G14" s="135">
        <v>0</v>
      </c>
      <c r="H14" s="135">
        <v>0</v>
      </c>
      <c r="I14" s="257">
        <v>0</v>
      </c>
      <c r="J14" s="135">
        <v>0</v>
      </c>
    </row>
    <row r="15" spans="1:10">
      <c r="A15" s="134">
        <v>10</v>
      </c>
      <c r="B15" s="331" t="s">
        <v>44</v>
      </c>
      <c r="C15" s="135">
        <v>0</v>
      </c>
      <c r="D15" s="135">
        <v>0</v>
      </c>
      <c r="E15" s="135">
        <v>0</v>
      </c>
      <c r="F15" s="135">
        <v>0</v>
      </c>
      <c r="G15" s="135">
        <v>0</v>
      </c>
      <c r="H15" s="135">
        <v>0</v>
      </c>
      <c r="I15" s="257">
        <v>0</v>
      </c>
      <c r="J15" s="135">
        <v>0</v>
      </c>
    </row>
    <row r="16" spans="1:10">
      <c r="A16" s="134">
        <v>11</v>
      </c>
      <c r="B16" s="331" t="s">
        <v>191</v>
      </c>
      <c r="C16" s="135">
        <v>0</v>
      </c>
      <c r="D16" s="135">
        <v>0</v>
      </c>
      <c r="E16" s="135">
        <f>PROFITABILITY!E28</f>
        <v>0</v>
      </c>
      <c r="F16" s="135">
        <f>PROFITABILITY!F28</f>
        <v>0</v>
      </c>
      <c r="G16" s="135">
        <f>PROFITABILITY!G28</f>
        <v>0</v>
      </c>
      <c r="H16" s="135">
        <f>PROFITABILITY!H28</f>
        <v>0</v>
      </c>
      <c r="I16" s="135">
        <f>PROFITABILITY!I28</f>
        <v>0</v>
      </c>
      <c r="J16" s="135">
        <f>PROFITABILITY!J28</f>
        <v>0</v>
      </c>
    </row>
    <row r="17" spans="1:11">
      <c r="A17" s="325"/>
      <c r="B17" s="333"/>
      <c r="C17" s="326"/>
      <c r="D17" s="326"/>
      <c r="E17" s="326"/>
      <c r="F17" s="326"/>
      <c r="G17" s="326"/>
      <c r="H17" s="326"/>
      <c r="I17" s="327"/>
      <c r="J17" s="326"/>
    </row>
    <row r="18" spans="1:11" ht="15">
      <c r="A18" s="35">
        <v>12</v>
      </c>
      <c r="B18" s="265" t="s">
        <v>45</v>
      </c>
      <c r="C18" s="261">
        <f t="shared" ref="C18:J18" si="0">SUM(C6:C16)</f>
        <v>30.61</v>
      </c>
      <c r="D18" s="261">
        <f t="shared" si="0"/>
        <v>74.790174375000035</v>
      </c>
      <c r="E18" s="261">
        <f t="shared" si="0"/>
        <v>30.668916872656315</v>
      </c>
      <c r="F18" s="261">
        <f t="shared" si="0"/>
        <v>27.08521812484377</v>
      </c>
      <c r="G18" s="261">
        <f t="shared" si="0"/>
        <v>26.47339153125003</v>
      </c>
      <c r="H18" s="261">
        <f t="shared" si="0"/>
        <v>25.814108437500007</v>
      </c>
      <c r="I18" s="261">
        <f t="shared" si="0"/>
        <v>25.16685135937502</v>
      </c>
      <c r="J18" s="261">
        <f t="shared" si="0"/>
        <v>24.487231427343772</v>
      </c>
    </row>
    <row r="19" spans="1:11" ht="15">
      <c r="A19" s="328" t="s">
        <v>16</v>
      </c>
      <c r="B19" s="336" t="s">
        <v>46</v>
      </c>
      <c r="C19" s="329"/>
      <c r="D19" s="329"/>
      <c r="E19" s="329"/>
      <c r="F19" s="329"/>
      <c r="G19" s="329"/>
      <c r="H19" s="329"/>
      <c r="I19" s="330"/>
      <c r="J19" s="329"/>
    </row>
    <row r="20" spans="1:11">
      <c r="A20" s="134">
        <v>1</v>
      </c>
      <c r="B20" s="331" t="s">
        <v>47</v>
      </c>
      <c r="C20" s="135">
        <f>COSTOFPROJECT!E14</f>
        <v>16.810000000000002</v>
      </c>
      <c r="D20" s="135">
        <v>0</v>
      </c>
      <c r="E20" s="135">
        <v>0</v>
      </c>
      <c r="F20" s="135">
        <v>0</v>
      </c>
      <c r="G20" s="135">
        <v>0</v>
      </c>
      <c r="H20" s="135">
        <v>0</v>
      </c>
      <c r="I20" s="257">
        <v>0</v>
      </c>
      <c r="J20" s="135">
        <v>0</v>
      </c>
    </row>
    <row r="21" spans="1:11">
      <c r="A21" s="134">
        <v>2</v>
      </c>
      <c r="B21" s="331" t="s">
        <v>48</v>
      </c>
      <c r="C21" s="135">
        <v>0</v>
      </c>
      <c r="D21" s="135">
        <v>0</v>
      </c>
      <c r="E21" s="135">
        <v>0</v>
      </c>
      <c r="F21" s="135">
        <v>0</v>
      </c>
      <c r="G21" s="135">
        <v>0</v>
      </c>
      <c r="H21" s="135">
        <v>0</v>
      </c>
      <c r="I21" s="257">
        <v>0</v>
      </c>
      <c r="J21" s="135">
        <v>0</v>
      </c>
    </row>
    <row r="22" spans="1:11">
      <c r="A22" s="134">
        <v>3</v>
      </c>
      <c r="B22" s="331" t="s">
        <v>270</v>
      </c>
      <c r="C22" s="135">
        <v>0</v>
      </c>
      <c r="D22" s="135">
        <f>'BALANCE SHEET'!D27-'BALANCE SHEET'!C27</f>
        <v>0</v>
      </c>
      <c r="E22" s="135">
        <f>'BALANCE SHEET'!E27-'BALANCE SHEET'!D27</f>
        <v>5</v>
      </c>
      <c r="F22" s="135">
        <f>'BALANCE SHEET'!F27-'BALANCE SHEET'!E27</f>
        <v>5</v>
      </c>
      <c r="G22" s="135">
        <f>'BALANCE SHEET'!G27-'BALANCE SHEET'!F27</f>
        <v>5</v>
      </c>
      <c r="H22" s="135">
        <f>'BALANCE SHEET'!H27-'BALANCE SHEET'!G27</f>
        <v>5</v>
      </c>
      <c r="I22" s="135">
        <f>'BALANCE SHEET'!I27-'BALANCE SHEET'!H27</f>
        <v>5</v>
      </c>
      <c r="J22" s="135">
        <f>'BALANCE SHEET'!J27-'BALANCE SHEET'!I27</f>
        <v>5</v>
      </c>
    </row>
    <row r="23" spans="1:11">
      <c r="A23" s="134">
        <v>4</v>
      </c>
      <c r="B23" s="331" t="s">
        <v>49</v>
      </c>
      <c r="C23" s="135">
        <v>0</v>
      </c>
      <c r="D23" s="135">
        <f>WCAPITAL!E23</f>
        <v>68.005888749999997</v>
      </c>
      <c r="E23" s="135">
        <f>WCAPITAL!H23-D23</f>
        <v>3.9319204170833331</v>
      </c>
      <c r="F23" s="135">
        <f>WCAPITAL!K23-WCAPITAL!H23</f>
        <v>0.1783845829166637</v>
      </c>
      <c r="G23" s="135">
        <f>WCAPITAL!N23-WCAPITAL!K23</f>
        <v>0.11230381250000221</v>
      </c>
      <c r="H23" s="135">
        <v>0</v>
      </c>
      <c r="I23" s="257">
        <v>0</v>
      </c>
      <c r="J23" s="135">
        <v>0</v>
      </c>
    </row>
    <row r="24" spans="1:11">
      <c r="A24" s="134">
        <v>5</v>
      </c>
      <c r="B24" s="331" t="s">
        <v>51</v>
      </c>
      <c r="C24" s="135">
        <v>0</v>
      </c>
      <c r="D24" s="135">
        <f>DCR!C11+DCR!C12</f>
        <v>2.1016666666666666</v>
      </c>
      <c r="E24" s="135">
        <f>DCR!D11+DCR!D12</f>
        <v>2.5220000000000002</v>
      </c>
      <c r="F24" s="135">
        <f>DCR!E11+DCR!E12</f>
        <v>2.5220000000000002</v>
      </c>
      <c r="G24" s="135">
        <f>DCR!F11+DCR!F12</f>
        <v>2.5220000000000002</v>
      </c>
      <c r="H24" s="135">
        <f>DCR!G11+DCR!G12</f>
        <v>2.5220000000000002</v>
      </c>
      <c r="I24" s="135">
        <f>+'BALANCE SHEET'!H11-'BALANCE SHEET'!I11</f>
        <v>0.42033333333333334</v>
      </c>
      <c r="J24" s="135">
        <f>DCR!I11+DCR!I12</f>
        <v>0</v>
      </c>
    </row>
    <row r="25" spans="1:11">
      <c r="A25" s="134">
        <v>6</v>
      </c>
      <c r="B25" s="331" t="s">
        <v>0</v>
      </c>
      <c r="C25" s="135">
        <v>0</v>
      </c>
      <c r="D25" s="135">
        <v>0</v>
      </c>
      <c r="E25" s="135">
        <v>4</v>
      </c>
      <c r="F25" s="135">
        <v>4</v>
      </c>
      <c r="G25" s="135">
        <v>4</v>
      </c>
      <c r="H25" s="135">
        <v>0.94</v>
      </c>
      <c r="I25" s="257">
        <v>0</v>
      </c>
      <c r="J25" s="135">
        <v>0</v>
      </c>
      <c r="K25" s="2"/>
    </row>
    <row r="26" spans="1:11">
      <c r="A26" s="134">
        <v>7</v>
      </c>
      <c r="B26" s="331" t="s">
        <v>52</v>
      </c>
      <c r="C26" s="135">
        <v>0</v>
      </c>
      <c r="D26" s="135">
        <f>PROFITABILITY!D23+PROFITABILITY!D24+PROFITABILITY!D25</f>
        <v>7.8750001687499998</v>
      </c>
      <c r="E26" s="135">
        <f>PROFITABILITY!E23+PROFITABILITY!E24+PROFITABILITY!E25</f>
        <v>7.9234522791869804</v>
      </c>
      <c r="F26" s="135">
        <f>PROFITABILITY!F23+PROFITABILITY!F24+PROFITABILITY!F25</f>
        <v>7.604379385416669</v>
      </c>
      <c r="G26" s="135">
        <f>PROFITABILITY!G23+PROFITABILITY!G24+PROFITABILITY!G25</f>
        <v>7.2820895969791684</v>
      </c>
      <c r="H26" s="135">
        <f>PROFITABILITY!H23+PROFITABILITY!H24+PROFITABILITY!H25</f>
        <v>6.9542295969791681</v>
      </c>
      <c r="I26" s="135">
        <f>PROFITABILITY!I23+PROFITABILITY!I24+PROFITABILITY!I25</f>
        <v>6.7219954303125</v>
      </c>
      <c r="J26" s="135">
        <f>PROFITABILITY!J23+PROFITABILITY!J24+PROFITABILITY!J25</f>
        <v>6.7219954303125</v>
      </c>
    </row>
    <row r="27" spans="1:11">
      <c r="A27" s="325">
        <v>8</v>
      </c>
      <c r="B27" s="333" t="s">
        <v>53</v>
      </c>
      <c r="C27" s="326">
        <v>0</v>
      </c>
      <c r="D27" s="326">
        <f>PROFITABILITY!D38</f>
        <v>5.2639611181987629</v>
      </c>
      <c r="E27" s="326">
        <f>PROFITABILITY!E38</f>
        <v>5.9780236469841821</v>
      </c>
      <c r="F27" s="326">
        <f>PROFITABILITY!F38</f>
        <v>5.921286063618755</v>
      </c>
      <c r="G27" s="326">
        <f>PROFITABILITY!G38</f>
        <v>5.9241391191943222</v>
      </c>
      <c r="H27" s="326">
        <f>PROFITABILITY!H38</f>
        <v>5.9051892513136881</v>
      </c>
      <c r="I27" s="326">
        <f>PROFITABILITY!I38</f>
        <v>5.8319494342776617</v>
      </c>
      <c r="J27" s="326">
        <f>PROFITABILITY!J38</f>
        <v>5.6596777258726618</v>
      </c>
    </row>
    <row r="28" spans="1:11" ht="15">
      <c r="A28" s="35"/>
      <c r="B28" s="265" t="s">
        <v>54</v>
      </c>
      <c r="C28" s="261">
        <f t="shared" ref="C28:J28" si="1">SUM(C20:C27)</f>
        <v>16.810000000000002</v>
      </c>
      <c r="D28" s="261">
        <f t="shared" si="1"/>
        <v>83.246516703615427</v>
      </c>
      <c r="E28" s="261">
        <f t="shared" si="1"/>
        <v>29.355396343254498</v>
      </c>
      <c r="F28" s="261">
        <f t="shared" si="1"/>
        <v>25.226050031952088</v>
      </c>
      <c r="G28" s="261">
        <f t="shared" si="1"/>
        <v>24.840532528673492</v>
      </c>
      <c r="H28" s="261">
        <f t="shared" si="1"/>
        <v>21.321418848292858</v>
      </c>
      <c r="I28" s="261">
        <f t="shared" si="1"/>
        <v>17.974278197923496</v>
      </c>
      <c r="J28" s="261">
        <f t="shared" si="1"/>
        <v>17.381673156185162</v>
      </c>
    </row>
    <row r="29" spans="1:11">
      <c r="A29" s="328" t="s">
        <v>17</v>
      </c>
      <c r="B29" s="334" t="s">
        <v>55</v>
      </c>
      <c r="C29" s="329">
        <v>0</v>
      </c>
      <c r="D29" s="329">
        <f>C31</f>
        <v>13.799999999999997</v>
      </c>
      <c r="E29" s="329">
        <f t="shared" ref="E29:J29" si="2">D31</f>
        <v>5.3436576713846051</v>
      </c>
      <c r="F29" s="329">
        <f t="shared" si="2"/>
        <v>6.6571782007864222</v>
      </c>
      <c r="G29" s="329">
        <f t="shared" si="2"/>
        <v>8.5163462936781045</v>
      </c>
      <c r="H29" s="329">
        <f t="shared" si="2"/>
        <v>10.149205296254642</v>
      </c>
      <c r="I29" s="329">
        <f t="shared" si="2"/>
        <v>14.641894885461792</v>
      </c>
      <c r="J29" s="329">
        <f t="shared" si="2"/>
        <v>21.834468046913315</v>
      </c>
    </row>
    <row r="30" spans="1:11">
      <c r="A30" s="134" t="s">
        <v>18</v>
      </c>
      <c r="B30" s="331" t="s">
        <v>56</v>
      </c>
      <c r="C30" s="135">
        <f t="shared" ref="C30:J30" si="3">C18-C28</f>
        <v>13.799999999999997</v>
      </c>
      <c r="D30" s="135">
        <f t="shared" si="3"/>
        <v>-8.456342328615392</v>
      </c>
      <c r="E30" s="135">
        <f t="shared" si="3"/>
        <v>1.3135205294018171</v>
      </c>
      <c r="F30" s="135">
        <f t="shared" si="3"/>
        <v>1.8591680928916823</v>
      </c>
      <c r="G30" s="135">
        <f t="shared" si="3"/>
        <v>1.6328590025765379</v>
      </c>
      <c r="H30" s="135">
        <f t="shared" si="3"/>
        <v>4.4926895892071492</v>
      </c>
      <c r="I30" s="135">
        <f t="shared" si="3"/>
        <v>7.1925731614515236</v>
      </c>
      <c r="J30" s="135">
        <f t="shared" si="3"/>
        <v>7.1055582711586105</v>
      </c>
    </row>
    <row r="31" spans="1:11">
      <c r="A31" s="136" t="s">
        <v>19</v>
      </c>
      <c r="B31" s="335" t="s">
        <v>57</v>
      </c>
      <c r="C31" s="137">
        <f>C30</f>
        <v>13.799999999999997</v>
      </c>
      <c r="D31" s="137">
        <f t="shared" ref="D31:J31" si="4">D29+D30</f>
        <v>5.3436576713846051</v>
      </c>
      <c r="E31" s="137">
        <f t="shared" si="4"/>
        <v>6.6571782007864222</v>
      </c>
      <c r="F31" s="137">
        <f t="shared" si="4"/>
        <v>8.5163462936781045</v>
      </c>
      <c r="G31" s="137">
        <f t="shared" si="4"/>
        <v>10.149205296254642</v>
      </c>
      <c r="H31" s="137">
        <f t="shared" si="4"/>
        <v>14.641894885461792</v>
      </c>
      <c r="I31" s="137">
        <f t="shared" si="4"/>
        <v>21.834468046913315</v>
      </c>
      <c r="J31" s="137">
        <f t="shared" si="4"/>
        <v>28.940026318071926</v>
      </c>
    </row>
    <row r="32" spans="1:11">
      <c r="A32" s="64"/>
      <c r="B32" s="31"/>
      <c r="C32" s="122"/>
      <c r="D32" s="122"/>
      <c r="E32" s="122"/>
      <c r="F32" s="122"/>
      <c r="G32" s="31"/>
      <c r="H32" s="31"/>
      <c r="I32" s="31"/>
      <c r="J32" s="75"/>
    </row>
    <row r="33" spans="1:10">
      <c r="A33" s="64"/>
      <c r="B33" s="31"/>
      <c r="C33" s="31"/>
      <c r="D33" s="122"/>
      <c r="E33" s="31"/>
      <c r="F33" s="31"/>
      <c r="G33" s="31"/>
      <c r="H33" s="31"/>
      <c r="I33" s="31"/>
      <c r="J33" s="75"/>
    </row>
    <row r="34" spans="1:10">
      <c r="A34" s="68"/>
      <c r="B34" s="140"/>
      <c r="C34" s="140"/>
      <c r="D34" s="140"/>
      <c r="E34" s="140"/>
      <c r="F34" s="140"/>
      <c r="G34" s="140"/>
      <c r="H34" s="140"/>
      <c r="I34" s="140"/>
      <c r="J34" s="124"/>
    </row>
  </sheetData>
  <mergeCells count="1">
    <mergeCell ref="A2:H2"/>
  </mergeCells>
  <phoneticPr fontId="0" type="noConversion"/>
  <pageMargins left="0.5" right="0.25" top="0.5" bottom="0.5" header="0.5" footer="0.5"/>
  <pageSetup paperSize="9" scale="90" orientation="portrait" horizontalDpi="4294967293" verticalDpi="300" r:id="rId1"/>
  <headerFooter alignWithMargins="0"/>
</worksheet>
</file>

<file path=xl/worksheets/sheet17.xml><?xml version="1.0" encoding="utf-8"?>
<worksheet xmlns="http://schemas.openxmlformats.org/spreadsheetml/2006/main" xmlns:r="http://schemas.openxmlformats.org/officeDocument/2006/relationships">
  <dimension ref="A1:G34"/>
  <sheetViews>
    <sheetView topLeftCell="A10" workbookViewId="0"/>
  </sheetViews>
  <sheetFormatPr defaultRowHeight="13.5"/>
  <cols>
    <col min="1" max="1" width="5" style="1" bestFit="1" customWidth="1"/>
    <col min="2" max="2" width="38.7109375" style="1" bestFit="1" customWidth="1"/>
    <col min="3" max="16384" width="9.140625" style="1"/>
  </cols>
  <sheetData>
    <row r="1" spans="1:7" ht="23.25">
      <c r="A1" s="779" t="e">
        <f>+CASHFLOW!A1</f>
        <v>#REF!</v>
      </c>
    </row>
    <row r="2" spans="1:7" ht="15">
      <c r="A2" s="29"/>
    </row>
    <row r="3" spans="1:7">
      <c r="A3" s="344">
        <v>13.4</v>
      </c>
      <c r="B3" s="150" t="s">
        <v>303</v>
      </c>
      <c r="C3" s="150"/>
      <c r="D3" s="150"/>
      <c r="E3" s="150"/>
      <c r="F3" s="150"/>
      <c r="G3" s="123"/>
    </row>
    <row r="4" spans="1:7">
      <c r="A4" s="139"/>
      <c r="B4" s="140"/>
      <c r="C4" s="140"/>
      <c r="D4" s="140"/>
      <c r="E4" s="140"/>
      <c r="F4" s="140"/>
      <c r="G4" s="124"/>
    </row>
    <row r="5" spans="1:7">
      <c r="A5" s="35" t="s">
        <v>304</v>
      </c>
      <c r="B5" s="263" t="s">
        <v>152</v>
      </c>
      <c r="C5" s="54" t="str">
        <f>PROFITABILITY!D5</f>
        <v>1st Year</v>
      </c>
      <c r="D5" s="54" t="str">
        <f>PROFITABILITY!E5</f>
        <v>2 nd Year</v>
      </c>
      <c r="E5" s="54" t="str">
        <f>PROFITABILITY!F5</f>
        <v>3rd Year</v>
      </c>
      <c r="F5" s="54" t="str">
        <f>PROFITABILITY!G5</f>
        <v>4th Year</v>
      </c>
      <c r="G5" s="54" t="str">
        <f>PROFITABILITY!H5</f>
        <v>5th Year</v>
      </c>
    </row>
    <row r="6" spans="1:7">
      <c r="A6" s="128"/>
      <c r="B6" s="341"/>
      <c r="C6" s="127"/>
      <c r="D6" s="127"/>
      <c r="E6" s="127"/>
      <c r="F6" s="127"/>
      <c r="G6" s="127"/>
    </row>
    <row r="7" spans="1:7">
      <c r="A7" s="134" t="s">
        <v>15</v>
      </c>
      <c r="B7" s="331" t="s">
        <v>255</v>
      </c>
      <c r="C7" s="135"/>
      <c r="D7" s="135"/>
      <c r="E7" s="135"/>
      <c r="F7" s="135"/>
      <c r="G7" s="135"/>
    </row>
    <row r="8" spans="1:7">
      <c r="A8" s="134">
        <v>1</v>
      </c>
      <c r="B8" s="345" t="s">
        <v>305</v>
      </c>
      <c r="C8" s="135">
        <f>'BALANCE SHEET'!D25</f>
        <v>33.195482499999997</v>
      </c>
      <c r="D8" s="135">
        <f>'BALANCE SHEET'!E25</f>
        <v>35.113788333541656</v>
      </c>
      <c r="E8" s="135">
        <f>'BALANCE SHEET'!F25</f>
        <v>35.203912499999987</v>
      </c>
      <c r="F8" s="135">
        <f>'BALANCE SHEET'!G25</f>
        <v>35.261042874999987</v>
      </c>
      <c r="G8" s="135">
        <f>'BALANCE SHEET'!H25</f>
        <v>35.261042874999987</v>
      </c>
    </row>
    <row r="9" spans="1:7">
      <c r="A9" s="134">
        <v>2</v>
      </c>
      <c r="B9" s="345" t="s">
        <v>306</v>
      </c>
      <c r="C9" s="135">
        <f>'BALANCE SHEET'!D26</f>
        <v>40.799999999999997</v>
      </c>
      <c r="D9" s="135">
        <f>'BALANCE SHEET'!E26</f>
        <v>43.2</v>
      </c>
      <c r="E9" s="135">
        <f>'BALANCE SHEET'!F26</f>
        <v>43.2</v>
      </c>
      <c r="F9" s="135">
        <f>'BALANCE SHEET'!G26</f>
        <v>43.2</v>
      </c>
      <c r="G9" s="135">
        <f>'BALANCE SHEET'!H26</f>
        <v>43.2</v>
      </c>
    </row>
    <row r="10" spans="1:7">
      <c r="A10" s="134">
        <v>3</v>
      </c>
      <c r="B10" s="345" t="s">
        <v>307</v>
      </c>
      <c r="C10" s="135">
        <f>'BALANCE SHEET'!D28</f>
        <v>2.9991562499999986</v>
      </c>
      <c r="D10" s="135">
        <f>'BALANCE SHEET'!E28</f>
        <v>3.1415208335416658</v>
      </c>
      <c r="E10" s="135">
        <f>'BALANCE SHEET'!F28</f>
        <v>3.2297812499999985</v>
      </c>
      <c r="F10" s="135">
        <f>'BALANCE SHEET'!G28</f>
        <v>3.2849546874999973</v>
      </c>
      <c r="G10" s="135">
        <f>'BALANCE SHEET'!H28</f>
        <v>3.2849546874999973</v>
      </c>
    </row>
    <row r="11" spans="1:7">
      <c r="A11" s="134">
        <v>4</v>
      </c>
      <c r="B11" s="345" t="s">
        <v>308</v>
      </c>
      <c r="C11" s="135">
        <f>'BALANCE SHEET'!D29</f>
        <v>5.3436576713846051</v>
      </c>
      <c r="D11" s="135">
        <f>'BALANCE SHEET'!E29</f>
        <v>6.6571782007864222</v>
      </c>
      <c r="E11" s="135">
        <f>'BALANCE SHEET'!F29</f>
        <v>8.5163462936781045</v>
      </c>
      <c r="F11" s="135">
        <f>'BALANCE SHEET'!G29</f>
        <v>10.149205296254642</v>
      </c>
      <c r="G11" s="135">
        <f>'BALANCE SHEET'!H29</f>
        <v>14.641894885461792</v>
      </c>
    </row>
    <row r="12" spans="1:7">
      <c r="A12" s="134"/>
      <c r="B12" s="331"/>
      <c r="C12" s="326"/>
      <c r="D12" s="326"/>
      <c r="E12" s="326"/>
      <c r="F12" s="326"/>
      <c r="G12" s="326"/>
    </row>
    <row r="13" spans="1:7">
      <c r="A13" s="134"/>
      <c r="B13" s="331" t="s">
        <v>161</v>
      </c>
      <c r="C13" s="118">
        <f>SUM(C8:C12)</f>
        <v>82.338296421384598</v>
      </c>
      <c r="D13" s="118">
        <f>SUM(D8:D12)</f>
        <v>88.112487367869733</v>
      </c>
      <c r="E13" s="118">
        <f>SUM(E8:E12)</f>
        <v>90.150040043678104</v>
      </c>
      <c r="F13" s="118">
        <f>SUM(F8:F12)</f>
        <v>91.895202858754629</v>
      </c>
      <c r="G13" s="118">
        <f>SUM(G8:G12)</f>
        <v>96.387892447961775</v>
      </c>
    </row>
    <row r="14" spans="1:7">
      <c r="A14" s="134"/>
      <c r="B14" s="331"/>
      <c r="C14" s="329"/>
      <c r="D14" s="329"/>
      <c r="E14" s="329"/>
      <c r="F14" s="329"/>
      <c r="G14" s="329"/>
    </row>
    <row r="15" spans="1:7">
      <c r="A15" s="134" t="s">
        <v>16</v>
      </c>
      <c r="B15" s="331" t="s">
        <v>309</v>
      </c>
      <c r="C15" s="135"/>
      <c r="D15" s="135"/>
      <c r="E15" s="135"/>
      <c r="F15" s="135"/>
      <c r="G15" s="135"/>
    </row>
    <row r="16" spans="1:7">
      <c r="A16" s="134">
        <v>1</v>
      </c>
      <c r="B16" s="345" t="s">
        <v>310</v>
      </c>
      <c r="C16" s="135">
        <f>'BALANCE SHEET'!D31</f>
        <v>8.9887499999999996</v>
      </c>
      <c r="D16" s="135">
        <f>'BALANCE SHEET'!E31</f>
        <v>9.5174999999999983</v>
      </c>
      <c r="E16" s="135">
        <f>'BALANCE SHEET'!F31</f>
        <v>9.5174999999999983</v>
      </c>
      <c r="F16" s="135">
        <f>'BALANCE SHEET'!G31</f>
        <v>9.5174999999999983</v>
      </c>
      <c r="G16" s="135">
        <f>'BALANCE SHEET'!H31</f>
        <v>9.5174999999999983</v>
      </c>
    </row>
    <row r="17" spans="1:7">
      <c r="A17" s="134">
        <v>2</v>
      </c>
      <c r="B17" s="345" t="s">
        <v>670</v>
      </c>
      <c r="C17" s="326">
        <f>'BALANCE SHEET'!D32</f>
        <v>48.755049374999999</v>
      </c>
      <c r="D17" s="326">
        <f>'BALANCE SHEET'!E32</f>
        <v>51.597216250156251</v>
      </c>
      <c r="E17" s="326">
        <f>'BALANCE SHEET'!F32</f>
        <v>51.664809375000004</v>
      </c>
      <c r="F17" s="326">
        <f>'BALANCE SHEET'!G32</f>
        <v>51.707657156250001</v>
      </c>
      <c r="G17" s="326">
        <f>'BALANCE SHEET'!H32</f>
        <v>51.707657156250001</v>
      </c>
    </row>
    <row r="18" spans="1:7">
      <c r="A18" s="134"/>
      <c r="B18" s="331" t="s">
        <v>161</v>
      </c>
      <c r="C18" s="118">
        <f>SUM(C16:C17)</f>
        <v>57.743799374999995</v>
      </c>
      <c r="D18" s="118">
        <f>SUM(D16:D17)</f>
        <v>61.114716250156249</v>
      </c>
      <c r="E18" s="118">
        <f>SUM(E16:E17)</f>
        <v>61.182309375000003</v>
      </c>
      <c r="F18" s="118">
        <f>SUM(F16:F17)</f>
        <v>61.225157156249999</v>
      </c>
      <c r="G18" s="118">
        <f>SUM(G16:G17)</f>
        <v>61.225157156249999</v>
      </c>
    </row>
    <row r="19" spans="1:7">
      <c r="A19" s="134"/>
      <c r="B19" s="331"/>
      <c r="C19" s="61"/>
      <c r="D19" s="61"/>
      <c r="E19" s="61"/>
      <c r="F19" s="61"/>
      <c r="G19" s="61"/>
    </row>
    <row r="20" spans="1:7">
      <c r="A20" s="325" t="s">
        <v>17</v>
      </c>
      <c r="B20" s="333" t="s">
        <v>303</v>
      </c>
      <c r="C20" s="118">
        <f>C13/C18</f>
        <v>1.4259244682994088</v>
      </c>
      <c r="D20" s="118">
        <f>D13/D18</f>
        <v>1.4417556486265197</v>
      </c>
      <c r="E20" s="118">
        <f>E13/E18</f>
        <v>1.4734657937007318</v>
      </c>
      <c r="F20" s="118">
        <f>F13/F18</f>
        <v>1.5009386194670431</v>
      </c>
      <c r="G20" s="118">
        <f>G13/G18</f>
        <v>1.5743184162349233</v>
      </c>
    </row>
    <row r="21" spans="1:7" ht="13.5" customHeight="1">
      <c r="A21" s="10"/>
      <c r="B21" s="263" t="s">
        <v>681</v>
      </c>
      <c r="C21" s="905">
        <f>(C20+D20+E20+F20+G20)/5</f>
        <v>1.4832805892657255</v>
      </c>
      <c r="D21" s="905"/>
      <c r="E21" s="905"/>
      <c r="F21" s="905"/>
      <c r="G21" s="905"/>
    </row>
    <row r="22" spans="1:7">
      <c r="C22" s="2"/>
      <c r="D22" s="2"/>
      <c r="E22" s="2"/>
      <c r="F22" s="2"/>
      <c r="G22" s="2"/>
    </row>
    <row r="23" spans="1:7">
      <c r="A23" s="11">
        <v>13.5</v>
      </c>
      <c r="B23" s="44" t="s">
        <v>311</v>
      </c>
      <c r="C23" s="62"/>
      <c r="D23" s="62"/>
      <c r="E23" s="62"/>
      <c r="F23" s="62"/>
      <c r="G23" s="63"/>
    </row>
    <row r="24" spans="1:7">
      <c r="A24" s="99"/>
      <c r="B24" s="99"/>
      <c r="C24" s="101"/>
      <c r="D24" s="101"/>
      <c r="E24" s="101"/>
      <c r="F24" s="101"/>
      <c r="G24" s="101"/>
    </row>
    <row r="25" spans="1:7">
      <c r="A25" s="328" t="s">
        <v>15</v>
      </c>
      <c r="B25" s="334" t="s">
        <v>312</v>
      </c>
      <c r="C25" s="329">
        <f>'BALANCE SHEET'!D11</f>
        <v>10.50833333333334</v>
      </c>
      <c r="D25" s="329">
        <f>'BALANCE SHEET'!E11</f>
        <v>7.9863333333333477</v>
      </c>
      <c r="E25" s="329">
        <f>'BALANCE SHEET'!F11</f>
        <v>5.4643333333333457</v>
      </c>
      <c r="F25" s="329">
        <f>'BALANCE SHEET'!G11</f>
        <v>2.9423333333333437</v>
      </c>
      <c r="G25" s="329">
        <f>'BALANCE SHEET'!H11</f>
        <v>0.42033333333334338</v>
      </c>
    </row>
    <row r="26" spans="1:7">
      <c r="A26" s="134"/>
      <c r="B26" s="331" t="s">
        <v>313</v>
      </c>
      <c r="C26" s="135">
        <f>[1]Sheet8!C16</f>
        <v>0</v>
      </c>
      <c r="D26" s="135">
        <f>[1]Sheet8!D16</f>
        <v>0</v>
      </c>
      <c r="E26" s="135">
        <f>[1]Sheet8!E16</f>
        <v>0</v>
      </c>
      <c r="F26" s="135">
        <f>[1]Sheet8!F16</f>
        <v>0</v>
      </c>
      <c r="G26" s="135">
        <f>[1]Sheet8!G16</f>
        <v>0</v>
      </c>
    </row>
    <row r="27" spans="1:7">
      <c r="A27" s="134"/>
      <c r="B27" s="331" t="s">
        <v>314</v>
      </c>
      <c r="C27" s="135">
        <v>0</v>
      </c>
      <c r="D27" s="135">
        <v>0</v>
      </c>
      <c r="E27" s="135">
        <v>0</v>
      </c>
      <c r="F27" s="135">
        <v>0</v>
      </c>
      <c r="G27" s="135">
        <v>0</v>
      </c>
    </row>
    <row r="28" spans="1:7">
      <c r="A28" s="134"/>
      <c r="B28" s="331" t="s">
        <v>315</v>
      </c>
      <c r="C28" s="135">
        <f>'BALANCE SHEET'!D13</f>
        <v>10</v>
      </c>
      <c r="D28" s="135">
        <f>'BALANCE SHEET'!E13</f>
        <v>6</v>
      </c>
      <c r="E28" s="135">
        <f>'BALANCE SHEET'!F13</f>
        <v>2</v>
      </c>
      <c r="F28" s="135">
        <f>'BALANCE SHEET'!G13</f>
        <v>-2</v>
      </c>
      <c r="G28" s="135">
        <f>'BALANCE SHEET'!H13</f>
        <v>-2.94</v>
      </c>
    </row>
    <row r="29" spans="1:7">
      <c r="A29" s="134"/>
      <c r="B29" s="331"/>
      <c r="C29" s="326"/>
      <c r="D29" s="326"/>
      <c r="E29" s="326"/>
      <c r="F29" s="326"/>
      <c r="G29" s="326"/>
    </row>
    <row r="30" spans="1:7">
      <c r="A30" s="134"/>
      <c r="B30" s="331" t="s">
        <v>316</v>
      </c>
      <c r="C30" s="118">
        <f>SUM(C25:C28)</f>
        <v>20.50833333333334</v>
      </c>
      <c r="D30" s="118">
        <f>SUM(D25:D28)</f>
        <v>13.986333333333349</v>
      </c>
      <c r="E30" s="118">
        <f>SUM(E25:E28)</f>
        <v>7.4643333333333457</v>
      </c>
      <c r="F30" s="118">
        <f>SUM(F25:F28)</f>
        <v>0.94233333333334368</v>
      </c>
      <c r="G30" s="118">
        <f>SUM(G25:G28)</f>
        <v>-2.5196666666666565</v>
      </c>
    </row>
    <row r="31" spans="1:7">
      <c r="A31" s="134"/>
      <c r="B31" s="331"/>
      <c r="C31" s="61"/>
      <c r="D31" s="61"/>
      <c r="E31" s="61"/>
      <c r="F31" s="61"/>
      <c r="G31" s="61"/>
    </row>
    <row r="32" spans="1:7">
      <c r="A32" s="134" t="s">
        <v>16</v>
      </c>
      <c r="B32" s="331" t="s">
        <v>317</v>
      </c>
      <c r="C32" s="118">
        <f>+'BALANCE SHEET'!D9</f>
        <v>18.374663713051277</v>
      </c>
      <c r="D32" s="118">
        <f>+'BALANCE SHEET'!E9</f>
        <v>30.156662784380178</v>
      </c>
      <c r="E32" s="118">
        <f>+'BALANCE SHEET'!F9</f>
        <v>41.826838585344774</v>
      </c>
      <c r="F32" s="118">
        <f>+'BALANCE SHEET'!G9</f>
        <v>53.502637431671317</v>
      </c>
      <c r="G32" s="118">
        <f>+'BALANCE SHEET'!H9</f>
        <v>65.141088261503469</v>
      </c>
    </row>
    <row r="33" spans="1:7">
      <c r="A33" s="134"/>
      <c r="B33" s="331"/>
      <c r="C33" s="61"/>
      <c r="D33" s="61"/>
      <c r="E33" s="61"/>
      <c r="F33" s="61"/>
      <c r="G33" s="61"/>
    </row>
    <row r="34" spans="1:7" ht="15">
      <c r="A34" s="342" t="s">
        <v>17</v>
      </c>
      <c r="B34" s="343" t="s">
        <v>318</v>
      </c>
      <c r="C34" s="261">
        <f>C30/C32</f>
        <v>1.1161201997273313</v>
      </c>
      <c r="D34" s="261">
        <f>D30/D32</f>
        <v>0.46378916106651075</v>
      </c>
      <c r="E34" s="261">
        <f>E30/E32</f>
        <v>0.17845798501129578</v>
      </c>
      <c r="F34" s="261">
        <f>F30/F32</f>
        <v>1.761283889110711E-2</v>
      </c>
      <c r="G34" s="261">
        <f>G30/G32</f>
        <v>-3.8680143883253297E-2</v>
      </c>
    </row>
  </sheetData>
  <mergeCells count="1">
    <mergeCell ref="C21:G21"/>
  </mergeCells>
  <phoneticPr fontId="2"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sheetPr codeName="Sheet17"/>
  <dimension ref="A1:L42"/>
  <sheetViews>
    <sheetView topLeftCell="B1" workbookViewId="0">
      <selection activeCell="M9" sqref="M9"/>
    </sheetView>
  </sheetViews>
  <sheetFormatPr defaultRowHeight="13.5"/>
  <cols>
    <col min="1" max="1" width="6.140625" style="1" customWidth="1"/>
    <col min="2" max="2" width="39" style="1" customWidth="1"/>
    <col min="3" max="3" width="8.140625" style="1" customWidth="1"/>
    <col min="4" max="5" width="7.42578125" style="1" bestFit="1" customWidth="1"/>
    <col min="6" max="10" width="8.42578125" style="1" bestFit="1" customWidth="1"/>
    <col min="11" max="16384" width="9.140625" style="1"/>
  </cols>
  <sheetData>
    <row r="1" spans="1:12" ht="23.25">
      <c r="A1" s="782" t="e">
        <f>+'Ratio''s'!A1</f>
        <v>#REF!</v>
      </c>
      <c r="B1" s="337"/>
      <c r="C1" s="337"/>
      <c r="D1" s="337"/>
      <c r="E1" s="337"/>
      <c r="F1" s="337"/>
      <c r="G1" s="337"/>
      <c r="H1" s="337"/>
      <c r="I1" s="337"/>
      <c r="J1" s="338"/>
    </row>
    <row r="2" spans="1:12" ht="16.5">
      <c r="A2" s="799" t="s">
        <v>242</v>
      </c>
      <c r="B2" s="906"/>
      <c r="C2" s="906"/>
      <c r="D2" s="906"/>
      <c r="E2" s="906"/>
      <c r="F2" s="906"/>
      <c r="G2" s="906"/>
      <c r="H2" s="906"/>
      <c r="I2" s="906"/>
      <c r="J2" s="907"/>
    </row>
    <row r="3" spans="1:12" ht="27">
      <c r="A3" s="71" t="s">
        <v>679</v>
      </c>
      <c r="B3" s="71" t="s">
        <v>14</v>
      </c>
      <c r="C3" s="73" t="s">
        <v>680</v>
      </c>
      <c r="D3" s="235" t="s">
        <v>29</v>
      </c>
      <c r="E3" s="235" t="s">
        <v>30</v>
      </c>
      <c r="F3" s="235" t="s">
        <v>31</v>
      </c>
      <c r="G3" s="235" t="s">
        <v>32</v>
      </c>
      <c r="H3" s="235" t="s">
        <v>33</v>
      </c>
      <c r="I3" s="235" t="s">
        <v>10</v>
      </c>
      <c r="J3" s="235" t="s">
        <v>11</v>
      </c>
      <c r="K3" s="205"/>
      <c r="L3" s="205"/>
    </row>
    <row r="4" spans="1:12" ht="16.5">
      <c r="A4" s="128" t="s">
        <v>15</v>
      </c>
      <c r="B4" s="347" t="s">
        <v>34</v>
      </c>
      <c r="C4" s="127"/>
      <c r="D4" s="127"/>
      <c r="E4" s="133"/>
      <c r="F4" s="127"/>
      <c r="G4" s="127"/>
      <c r="H4" s="127"/>
      <c r="I4" s="127"/>
      <c r="J4" s="127"/>
    </row>
    <row r="5" spans="1:12" ht="15">
      <c r="A5" s="134"/>
      <c r="B5" s="323" t="s">
        <v>243</v>
      </c>
      <c r="C5" s="129"/>
      <c r="D5" s="135"/>
      <c r="E5" s="129"/>
      <c r="F5" s="129"/>
      <c r="G5" s="129"/>
      <c r="H5" s="129"/>
      <c r="I5" s="129"/>
      <c r="J5" s="129"/>
    </row>
    <row r="6" spans="1:12">
      <c r="A6" s="322"/>
      <c r="B6" s="332" t="s">
        <v>693</v>
      </c>
      <c r="C6" s="135">
        <f>COSTOFPROJECT!D18</f>
        <v>8</v>
      </c>
      <c r="D6" s="135">
        <f>C6+CASHFLOW!D9</f>
        <v>8</v>
      </c>
      <c r="E6" s="135">
        <f>D6+CASHFLOW!E9</f>
        <v>8</v>
      </c>
      <c r="F6" s="135">
        <f>E6+CASHFLOW!F9</f>
        <v>8</v>
      </c>
      <c r="G6" s="135">
        <f>F6+CASHFLOW!G9</f>
        <v>8</v>
      </c>
      <c r="H6" s="135">
        <f>G6+CASHFLOW!H9</f>
        <v>8</v>
      </c>
      <c r="I6" s="135">
        <f>H6+CASHFLOW!I9</f>
        <v>8</v>
      </c>
      <c r="J6" s="135">
        <f>I6+CASHFLOW!J9</f>
        <v>8</v>
      </c>
    </row>
    <row r="7" spans="1:12">
      <c r="A7" s="134"/>
      <c r="B7" s="331" t="s">
        <v>244</v>
      </c>
      <c r="C7" s="135">
        <v>0</v>
      </c>
      <c r="D7" s="135">
        <f>PROFITABILITY!D40</f>
        <v>10.374663713051278</v>
      </c>
      <c r="E7" s="135">
        <f>D7+PROFITABILITY!E40</f>
        <v>22.156662784380178</v>
      </c>
      <c r="F7" s="135">
        <f>E7+PROFITABILITY!F40</f>
        <v>33.826838585344774</v>
      </c>
      <c r="G7" s="135">
        <f>F7+PROFITABILITY!G40</f>
        <v>45.502637431671317</v>
      </c>
      <c r="H7" s="135">
        <f>G7+PROFITABILITY!H40</f>
        <v>57.141088261503469</v>
      </c>
      <c r="I7" s="135">
        <f>H7+PROFITABILITY!I40</f>
        <v>68.635191810819578</v>
      </c>
      <c r="J7" s="135">
        <f>I7+PROFITABILITY!J40</f>
        <v>79.789767578329759</v>
      </c>
    </row>
    <row r="8" spans="1:12">
      <c r="A8" s="134"/>
      <c r="B8" s="331" t="s">
        <v>264</v>
      </c>
      <c r="C8" s="135">
        <v>0</v>
      </c>
      <c r="D8" s="135">
        <v>0</v>
      </c>
      <c r="E8" s="135">
        <v>0</v>
      </c>
      <c r="F8" s="135">
        <v>0</v>
      </c>
      <c r="G8" s="135">
        <v>0</v>
      </c>
      <c r="H8" s="135">
        <v>0</v>
      </c>
      <c r="I8" s="135">
        <v>0</v>
      </c>
      <c r="J8" s="135">
        <v>0</v>
      </c>
    </row>
    <row r="9" spans="1:12" ht="15">
      <c r="A9" s="134"/>
      <c r="B9" s="348" t="s">
        <v>59</v>
      </c>
      <c r="C9" s="324">
        <f>SUM(C6:C8)</f>
        <v>8</v>
      </c>
      <c r="D9" s="324">
        <f>SUM(D6:D8)</f>
        <v>18.374663713051277</v>
      </c>
      <c r="E9" s="324">
        <f t="shared" ref="E9:J9" si="0">SUM(E6:E8)</f>
        <v>30.156662784380178</v>
      </c>
      <c r="F9" s="324">
        <f t="shared" si="0"/>
        <v>41.826838585344774</v>
      </c>
      <c r="G9" s="324">
        <f t="shared" si="0"/>
        <v>53.502637431671317</v>
      </c>
      <c r="H9" s="324">
        <f t="shared" si="0"/>
        <v>65.141088261503469</v>
      </c>
      <c r="I9" s="324">
        <f t="shared" si="0"/>
        <v>76.635191810819578</v>
      </c>
      <c r="J9" s="324">
        <f t="shared" si="0"/>
        <v>87.789767578329759</v>
      </c>
    </row>
    <row r="10" spans="1:12" ht="15">
      <c r="A10" s="134"/>
      <c r="B10" s="323" t="s">
        <v>245</v>
      </c>
      <c r="C10" s="135"/>
      <c r="D10" s="135"/>
      <c r="E10" s="135"/>
      <c r="F10" s="135"/>
      <c r="G10" s="135"/>
      <c r="H10" s="135"/>
      <c r="I10" s="135"/>
      <c r="J10" s="135"/>
    </row>
    <row r="11" spans="1:12">
      <c r="A11" s="134"/>
      <c r="B11" s="331" t="s">
        <v>246</v>
      </c>
      <c r="C11" s="135">
        <f>CASHFLOW!C10</f>
        <v>12.61</v>
      </c>
      <c r="D11" s="135">
        <f>INTERESTCAL!M24</f>
        <v>10.50833333333334</v>
      </c>
      <c r="E11" s="135">
        <f>INTERESTCAL!M36</f>
        <v>7.9863333333333477</v>
      </c>
      <c r="F11" s="135">
        <f>INTERESTCAL!M48</f>
        <v>5.4643333333333457</v>
      </c>
      <c r="G11" s="135">
        <f>INTERESTCAL!M60</f>
        <v>2.9423333333333437</v>
      </c>
      <c r="H11" s="135">
        <f>INTERESTCAL!M72</f>
        <v>0.42033333333334338</v>
      </c>
      <c r="I11" s="135">
        <f>+INTERESTCAL!M75</f>
        <v>1.0047518372857667E-14</v>
      </c>
      <c r="J11" s="135">
        <v>0</v>
      </c>
    </row>
    <row r="12" spans="1:12">
      <c r="A12" s="134"/>
      <c r="B12" s="331" t="s">
        <v>247</v>
      </c>
      <c r="C12" s="129">
        <v>0</v>
      </c>
      <c r="D12" s="135">
        <v>0</v>
      </c>
      <c r="E12" s="135">
        <v>0</v>
      </c>
      <c r="F12" s="135">
        <v>0</v>
      </c>
      <c r="G12" s="135">
        <v>0</v>
      </c>
      <c r="H12" s="135">
        <v>0</v>
      </c>
      <c r="I12" s="135">
        <v>0</v>
      </c>
      <c r="J12" s="135">
        <v>0</v>
      </c>
    </row>
    <row r="13" spans="1:12">
      <c r="A13" s="134"/>
      <c r="B13" s="331" t="s">
        <v>248</v>
      </c>
      <c r="C13" s="135">
        <f>COSTOFPROJECT!D20</f>
        <v>10</v>
      </c>
      <c r="D13" s="135">
        <f>C13+CASHFLOW!D11-CASHFLOW!D25</f>
        <v>10</v>
      </c>
      <c r="E13" s="135">
        <f>D13+CASHFLOW!E11-CASHFLOW!E25</f>
        <v>6</v>
      </c>
      <c r="F13" s="135">
        <f>E13+CASHFLOW!F11-CASHFLOW!F25</f>
        <v>2</v>
      </c>
      <c r="G13" s="135">
        <f>F13+CASHFLOW!G11-CASHFLOW!G25</f>
        <v>-2</v>
      </c>
      <c r="H13" s="135">
        <f>G13+CASHFLOW!H11-CASHFLOW!H25</f>
        <v>-2.94</v>
      </c>
      <c r="I13" s="135">
        <f>H13+CASHFLOW!I11-CASHFLOW!I25</f>
        <v>-2.94</v>
      </c>
      <c r="J13" s="135">
        <f>I13+CASHFLOW!J11-CASHFLOW!J25</f>
        <v>-2.94</v>
      </c>
    </row>
    <row r="14" spans="1:12" ht="15">
      <c r="A14" s="134"/>
      <c r="B14" s="348" t="s">
        <v>59</v>
      </c>
      <c r="C14" s="324">
        <f>SUM(C11:C13)</f>
        <v>22.61</v>
      </c>
      <c r="D14" s="324">
        <f t="shared" ref="D14:J14" si="1">SUM(D11:D13)</f>
        <v>20.50833333333334</v>
      </c>
      <c r="E14" s="324">
        <f t="shared" si="1"/>
        <v>13.986333333333349</v>
      </c>
      <c r="F14" s="324">
        <f t="shared" si="1"/>
        <v>7.4643333333333457</v>
      </c>
      <c r="G14" s="324">
        <f t="shared" si="1"/>
        <v>0.94233333333334368</v>
      </c>
      <c r="H14" s="324">
        <f t="shared" si="1"/>
        <v>-2.5196666666666565</v>
      </c>
      <c r="I14" s="324">
        <f t="shared" si="1"/>
        <v>-2.9399999999999897</v>
      </c>
      <c r="J14" s="324">
        <f t="shared" si="1"/>
        <v>-2.94</v>
      </c>
    </row>
    <row r="15" spans="1:12" ht="15">
      <c r="A15" s="136"/>
      <c r="B15" s="349" t="s">
        <v>45</v>
      </c>
      <c r="C15" s="340">
        <f t="shared" ref="C15:J15" si="2">C9+C14</f>
        <v>30.61</v>
      </c>
      <c r="D15" s="340">
        <f t="shared" si="2"/>
        <v>38.882997046384617</v>
      </c>
      <c r="E15" s="340">
        <f t="shared" si="2"/>
        <v>44.142996117713523</v>
      </c>
      <c r="F15" s="340">
        <f t="shared" si="2"/>
        <v>49.291171918678117</v>
      </c>
      <c r="G15" s="340">
        <f t="shared" si="2"/>
        <v>54.444970765004662</v>
      </c>
      <c r="H15" s="340">
        <f t="shared" si="2"/>
        <v>62.621421594836811</v>
      </c>
      <c r="I15" s="340">
        <f t="shared" si="2"/>
        <v>73.695191810819594</v>
      </c>
      <c r="J15" s="340">
        <f t="shared" si="2"/>
        <v>84.849767578329761</v>
      </c>
    </row>
    <row r="16" spans="1:12" ht="15">
      <c r="A16" s="33"/>
      <c r="B16" s="339"/>
      <c r="C16" s="346"/>
      <c r="D16" s="346"/>
      <c r="E16" s="346"/>
      <c r="F16" s="346"/>
      <c r="G16" s="346"/>
      <c r="H16" s="346"/>
      <c r="I16" s="346"/>
      <c r="J16" s="27"/>
    </row>
    <row r="17" spans="1:10" ht="16.5">
      <c r="A17" s="35" t="s">
        <v>16</v>
      </c>
      <c r="B17" s="171" t="s">
        <v>249</v>
      </c>
      <c r="C17" s="118"/>
      <c r="D17" s="118"/>
      <c r="E17" s="118"/>
      <c r="F17" s="118"/>
      <c r="G17" s="118"/>
      <c r="H17" s="118"/>
      <c r="I17" s="118"/>
      <c r="J17" s="118"/>
    </row>
    <row r="18" spans="1:10" ht="15">
      <c r="A18" s="128"/>
      <c r="B18" s="319" t="s">
        <v>250</v>
      </c>
      <c r="C18" s="127"/>
      <c r="D18" s="133"/>
      <c r="E18" s="133"/>
      <c r="F18" s="133"/>
      <c r="G18" s="133"/>
      <c r="H18" s="133"/>
      <c r="I18" s="133"/>
      <c r="J18" s="133"/>
    </row>
    <row r="19" spans="1:10" ht="15">
      <c r="A19" s="134"/>
      <c r="B19" s="348" t="s">
        <v>251</v>
      </c>
      <c r="C19" s="135">
        <f>COSTOFPROJECT!E14</f>
        <v>16.810000000000002</v>
      </c>
      <c r="D19" s="135">
        <f>+C19+CASHFLOW!D20</f>
        <v>16.810000000000002</v>
      </c>
      <c r="E19" s="135">
        <f>+D19+CASHFLOW!E20</f>
        <v>16.810000000000002</v>
      </c>
      <c r="F19" s="135">
        <f>+E19+CASHFLOW!F20</f>
        <v>16.810000000000002</v>
      </c>
      <c r="G19" s="135">
        <f>+F19+CASHFLOW!G20</f>
        <v>16.810000000000002</v>
      </c>
      <c r="H19" s="135">
        <f>+G19+CASHFLOW!H20</f>
        <v>16.810000000000002</v>
      </c>
      <c r="I19" s="135">
        <f>+H19+CASHFLOW!I20</f>
        <v>16.810000000000002</v>
      </c>
      <c r="J19" s="135">
        <f>+I19+CASHFLOW!J20</f>
        <v>16.810000000000002</v>
      </c>
    </row>
    <row r="20" spans="1:10">
      <c r="A20" s="134"/>
      <c r="B20" s="331" t="s">
        <v>252</v>
      </c>
      <c r="C20" s="129">
        <v>0</v>
      </c>
      <c r="D20" s="135">
        <f>PROFITABILITY!D21</f>
        <v>2.5214999999999996</v>
      </c>
      <c r="E20" s="135">
        <f>D20+PROFITABILITY!E21</f>
        <v>4.6647749999999988</v>
      </c>
      <c r="F20" s="135">
        <f>E20+PROFITABILITY!F21</f>
        <v>6.4865587499999986</v>
      </c>
      <c r="G20" s="135">
        <f>F20+PROFITABILITY!G21</f>
        <v>8.0350749374999992</v>
      </c>
      <c r="H20" s="135">
        <f>G20+PROFITABILITY!H21</f>
        <v>9.3513136968749997</v>
      </c>
      <c r="I20" s="135">
        <f>H20+PROFITABILITY!I21</f>
        <v>10.470116642343751</v>
      </c>
      <c r="J20" s="135">
        <f>I20+PROFITABILITY!J21</f>
        <v>11.421099145992187</v>
      </c>
    </row>
    <row r="21" spans="1:10">
      <c r="A21" s="134"/>
      <c r="B21" s="331" t="s">
        <v>253</v>
      </c>
      <c r="C21" s="135">
        <f t="shared" ref="C21:J21" si="3">C19-C20</f>
        <v>16.810000000000002</v>
      </c>
      <c r="D21" s="135">
        <f t="shared" si="3"/>
        <v>14.288500000000003</v>
      </c>
      <c r="E21" s="135">
        <f t="shared" si="3"/>
        <v>12.145225000000003</v>
      </c>
      <c r="F21" s="135">
        <f t="shared" si="3"/>
        <v>10.323441250000004</v>
      </c>
      <c r="G21" s="135">
        <f t="shared" si="3"/>
        <v>8.774925062500003</v>
      </c>
      <c r="H21" s="135">
        <f t="shared" si="3"/>
        <v>7.4586863031250026</v>
      </c>
      <c r="I21" s="135">
        <f t="shared" si="3"/>
        <v>6.3398833576562517</v>
      </c>
      <c r="J21" s="135">
        <f t="shared" si="3"/>
        <v>5.3889008540078152</v>
      </c>
    </row>
    <row r="22" spans="1:10">
      <c r="A22" s="134"/>
      <c r="B22" s="331" t="s">
        <v>254</v>
      </c>
      <c r="C22" s="129">
        <v>0</v>
      </c>
      <c r="D22" s="135">
        <v>0</v>
      </c>
      <c r="E22" s="135">
        <v>0</v>
      </c>
      <c r="F22" s="135">
        <v>0</v>
      </c>
      <c r="G22" s="135">
        <v>0</v>
      </c>
      <c r="H22" s="135">
        <v>0</v>
      </c>
      <c r="I22" s="135">
        <v>0</v>
      </c>
      <c r="J22" s="135">
        <v>0</v>
      </c>
    </row>
    <row r="23" spans="1:10" ht="15">
      <c r="A23" s="134"/>
      <c r="B23" s="348" t="s">
        <v>161</v>
      </c>
      <c r="C23" s="324">
        <f t="shared" ref="C23:J23" si="4">C21-C22</f>
        <v>16.810000000000002</v>
      </c>
      <c r="D23" s="324">
        <f t="shared" si="4"/>
        <v>14.288500000000003</v>
      </c>
      <c r="E23" s="324">
        <f t="shared" si="4"/>
        <v>12.145225000000003</v>
      </c>
      <c r="F23" s="324">
        <f t="shared" si="4"/>
        <v>10.323441250000004</v>
      </c>
      <c r="G23" s="324">
        <f t="shared" si="4"/>
        <v>8.774925062500003</v>
      </c>
      <c r="H23" s="324">
        <f t="shared" si="4"/>
        <v>7.4586863031250026</v>
      </c>
      <c r="I23" s="324">
        <f t="shared" si="4"/>
        <v>6.3398833576562517</v>
      </c>
      <c r="J23" s="324">
        <f t="shared" si="4"/>
        <v>5.3889008540078152</v>
      </c>
    </row>
    <row r="24" spans="1:10" ht="15">
      <c r="A24" s="134"/>
      <c r="B24" s="323" t="s">
        <v>255</v>
      </c>
      <c r="C24" s="129"/>
      <c r="D24" s="135"/>
      <c r="E24" s="135"/>
      <c r="F24" s="135"/>
      <c r="G24" s="135"/>
      <c r="H24" s="135"/>
      <c r="I24" s="135"/>
      <c r="J24" s="135"/>
    </row>
    <row r="25" spans="1:10">
      <c r="A25" s="134"/>
      <c r="B25" s="331" t="s">
        <v>256</v>
      </c>
      <c r="C25" s="129"/>
      <c r="D25" s="135">
        <f>WCAPITAL!E31</f>
        <v>33.195482499999997</v>
      </c>
      <c r="E25" s="135">
        <f>WCAPITAL!H31</f>
        <v>35.113788333541656</v>
      </c>
      <c r="F25" s="135">
        <f>WCAPITAL!K31</f>
        <v>35.203912499999987</v>
      </c>
      <c r="G25" s="135">
        <f>WCAPITAL!N31</f>
        <v>35.261042874999987</v>
      </c>
      <c r="H25" s="135">
        <f t="shared" ref="H25:J26" si="5">G25</f>
        <v>35.261042874999987</v>
      </c>
      <c r="I25" s="135">
        <f t="shared" si="5"/>
        <v>35.261042874999987</v>
      </c>
      <c r="J25" s="135">
        <f t="shared" si="5"/>
        <v>35.261042874999987</v>
      </c>
    </row>
    <row r="26" spans="1:10">
      <c r="A26" s="134"/>
      <c r="B26" s="331" t="s">
        <v>257</v>
      </c>
      <c r="C26" s="129"/>
      <c r="D26" s="135">
        <f>WCAPITAL!E34</f>
        <v>40.799999999999997</v>
      </c>
      <c r="E26" s="135">
        <f>WCAPITAL!H34</f>
        <v>43.2</v>
      </c>
      <c r="F26" s="135">
        <f>WCAPITAL!K34</f>
        <v>43.2</v>
      </c>
      <c r="G26" s="135">
        <f>WCAPITAL!N34</f>
        <v>43.2</v>
      </c>
      <c r="H26" s="135">
        <f t="shared" si="5"/>
        <v>43.2</v>
      </c>
      <c r="I26" s="135">
        <f t="shared" si="5"/>
        <v>43.2</v>
      </c>
      <c r="J26" s="135">
        <f t="shared" si="5"/>
        <v>43.2</v>
      </c>
    </row>
    <row r="27" spans="1:10">
      <c r="A27" s="134"/>
      <c r="B27" s="331" t="s">
        <v>258</v>
      </c>
      <c r="C27" s="129"/>
      <c r="D27" s="135">
        <v>0</v>
      </c>
      <c r="E27" s="135">
        <v>5</v>
      </c>
      <c r="F27" s="135">
        <v>10</v>
      </c>
      <c r="G27" s="135">
        <v>15</v>
      </c>
      <c r="H27" s="135">
        <f>+G27+5</f>
        <v>20</v>
      </c>
      <c r="I27" s="135">
        <f>+H27+5</f>
        <v>25</v>
      </c>
      <c r="J27" s="135">
        <f>+I27+5</f>
        <v>30</v>
      </c>
    </row>
    <row r="28" spans="1:10">
      <c r="A28" s="134"/>
      <c r="B28" s="331" t="s">
        <v>259</v>
      </c>
      <c r="C28" s="129"/>
      <c r="D28" s="135">
        <f>WCAPITAL!E33</f>
        <v>2.9991562499999986</v>
      </c>
      <c r="E28" s="135">
        <f>WCAPITAL!H33</f>
        <v>3.1415208335416658</v>
      </c>
      <c r="F28" s="135">
        <f>WCAPITAL!K33</f>
        <v>3.2297812499999985</v>
      </c>
      <c r="G28" s="135">
        <f>WCAPITAL!N33</f>
        <v>3.2849546874999973</v>
      </c>
      <c r="H28" s="135">
        <f>G28</f>
        <v>3.2849546874999973</v>
      </c>
      <c r="I28" s="135">
        <f>H28</f>
        <v>3.2849546874999973</v>
      </c>
      <c r="J28" s="135">
        <f>I28</f>
        <v>3.2849546874999973</v>
      </c>
    </row>
    <row r="29" spans="1:10">
      <c r="A29" s="134"/>
      <c r="B29" s="331" t="s">
        <v>260</v>
      </c>
      <c r="C29" s="135">
        <f>CASHFLOW!C31</f>
        <v>13.799999999999997</v>
      </c>
      <c r="D29" s="135">
        <f>CASHFLOW!D31</f>
        <v>5.3436576713846051</v>
      </c>
      <c r="E29" s="135">
        <f>CASHFLOW!E31</f>
        <v>6.6571782007864222</v>
      </c>
      <c r="F29" s="135">
        <f>CASHFLOW!F31</f>
        <v>8.5163462936781045</v>
      </c>
      <c r="G29" s="135">
        <f>CASHFLOW!G31</f>
        <v>10.149205296254642</v>
      </c>
      <c r="H29" s="135">
        <f>CASHFLOW!H31</f>
        <v>14.641894885461792</v>
      </c>
      <c r="I29" s="135">
        <f>CASHFLOW!I31</f>
        <v>21.834468046913315</v>
      </c>
      <c r="J29" s="135">
        <f>CASHFLOW!J31</f>
        <v>28.940026318071926</v>
      </c>
    </row>
    <row r="30" spans="1:10" ht="15">
      <c r="A30" s="134"/>
      <c r="B30" s="348" t="s">
        <v>161</v>
      </c>
      <c r="C30" s="324">
        <f t="shared" ref="C30:J30" si="6">SUM(C25:C29)</f>
        <v>13.799999999999997</v>
      </c>
      <c r="D30" s="324">
        <f t="shared" si="6"/>
        <v>82.338296421384598</v>
      </c>
      <c r="E30" s="324">
        <f t="shared" si="6"/>
        <v>93.112487367869733</v>
      </c>
      <c r="F30" s="324">
        <f t="shared" si="6"/>
        <v>100.1500400436781</v>
      </c>
      <c r="G30" s="324">
        <f t="shared" si="6"/>
        <v>106.89520285875463</v>
      </c>
      <c r="H30" s="324">
        <f t="shared" si="6"/>
        <v>116.38789244796178</v>
      </c>
      <c r="I30" s="324">
        <f t="shared" si="6"/>
        <v>128.5804656094133</v>
      </c>
      <c r="J30" s="324">
        <f t="shared" si="6"/>
        <v>140.6860238805719</v>
      </c>
    </row>
    <row r="31" spans="1:10">
      <c r="A31" s="134"/>
      <c r="B31" s="129" t="s">
        <v>261</v>
      </c>
      <c r="C31" s="129"/>
      <c r="D31" s="135">
        <f>-WCAPITAL!E32</f>
        <v>8.9887499999999996</v>
      </c>
      <c r="E31" s="135">
        <f>-WCAPITAL!H32</f>
        <v>9.5174999999999983</v>
      </c>
      <c r="F31" s="135">
        <f>-WCAPITAL!K32</f>
        <v>9.5174999999999983</v>
      </c>
      <c r="G31" s="135">
        <f>-WCAPITAL!N32</f>
        <v>9.5174999999999983</v>
      </c>
      <c r="H31" s="135">
        <f>G31</f>
        <v>9.5174999999999983</v>
      </c>
      <c r="I31" s="135">
        <f>H31</f>
        <v>9.5174999999999983</v>
      </c>
      <c r="J31" s="135">
        <f>I31</f>
        <v>9.5174999999999983</v>
      </c>
    </row>
    <row r="32" spans="1:10">
      <c r="A32" s="134"/>
      <c r="B32" s="331" t="s">
        <v>262</v>
      </c>
      <c r="C32" s="129"/>
      <c r="D32" s="135">
        <f>INTERESTCAL!I83</f>
        <v>48.755049374999999</v>
      </c>
      <c r="E32" s="135">
        <f>INTERESTCAL!I84</f>
        <v>51.597216250156251</v>
      </c>
      <c r="F32" s="135">
        <f>INTERESTCAL!I85</f>
        <v>51.664809375000004</v>
      </c>
      <c r="G32" s="135">
        <f>INTERESTCAL!I86</f>
        <v>51.707657156250001</v>
      </c>
      <c r="H32" s="135">
        <f>INTERESTCAL!I87</f>
        <v>51.707657156250001</v>
      </c>
      <c r="I32" s="135">
        <f>H32</f>
        <v>51.707657156250001</v>
      </c>
      <c r="J32" s="135">
        <f>I32</f>
        <v>51.707657156250001</v>
      </c>
    </row>
    <row r="33" spans="1:10">
      <c r="A33" s="134"/>
      <c r="B33" s="331" t="s">
        <v>263</v>
      </c>
      <c r="C33" s="135">
        <f t="shared" ref="C33:J33" si="7">C30-C31-C32</f>
        <v>13.799999999999997</v>
      </c>
      <c r="D33" s="135">
        <f t="shared" si="7"/>
        <v>24.594497046384603</v>
      </c>
      <c r="E33" s="135">
        <f t="shared" si="7"/>
        <v>31.997771117713484</v>
      </c>
      <c r="F33" s="135">
        <f t="shared" si="7"/>
        <v>38.967730668678101</v>
      </c>
      <c r="G33" s="135">
        <f t="shared" si="7"/>
        <v>45.67004570250463</v>
      </c>
      <c r="H33" s="135">
        <f t="shared" si="7"/>
        <v>55.162735291711776</v>
      </c>
      <c r="I33" s="135">
        <f t="shared" si="7"/>
        <v>67.355308453163303</v>
      </c>
      <c r="J33" s="135">
        <f t="shared" si="7"/>
        <v>79.460866724321903</v>
      </c>
    </row>
    <row r="34" spans="1:10">
      <c r="A34" s="134"/>
      <c r="B34" s="129" t="s">
        <v>265</v>
      </c>
      <c r="C34" s="129"/>
      <c r="D34" s="135"/>
      <c r="E34" s="135"/>
      <c r="F34" s="135"/>
      <c r="G34" s="135"/>
      <c r="H34" s="135"/>
      <c r="I34" s="135"/>
      <c r="J34" s="135"/>
    </row>
    <row r="35" spans="1:10">
      <c r="A35" s="134"/>
      <c r="B35" s="331" t="s">
        <v>266</v>
      </c>
      <c r="C35" s="129"/>
      <c r="D35" s="135"/>
      <c r="E35" s="135"/>
      <c r="F35" s="135"/>
      <c r="G35" s="135"/>
      <c r="H35" s="135"/>
      <c r="I35" s="135"/>
      <c r="J35" s="135"/>
    </row>
    <row r="36" spans="1:10">
      <c r="A36" s="134"/>
      <c r="B36" s="331" t="s">
        <v>267</v>
      </c>
      <c r="C36" s="135">
        <v>0</v>
      </c>
      <c r="D36" s="135">
        <f>C36-PROFITABILITY!D28</f>
        <v>0</v>
      </c>
      <c r="E36" s="135">
        <f>D36-PROFITABILITY!E28</f>
        <v>0</v>
      </c>
      <c r="F36" s="135">
        <f>E36-PROFITABILITY!F28</f>
        <v>0</v>
      </c>
      <c r="G36" s="135">
        <f>F36-PROFITABILITY!G28</f>
        <v>0</v>
      </c>
      <c r="H36" s="135">
        <f>G36-PROFITABILITY!H28</f>
        <v>0</v>
      </c>
      <c r="I36" s="135">
        <f>H36-PROFITABILITY!I28</f>
        <v>0</v>
      </c>
      <c r="J36" s="135">
        <f>I36-PROFITABILITY!J28</f>
        <v>0</v>
      </c>
    </row>
    <row r="37" spans="1:10">
      <c r="A37" s="134"/>
      <c r="B37" s="129" t="s">
        <v>161</v>
      </c>
      <c r="C37" s="135">
        <f>C36+C35</f>
        <v>0</v>
      </c>
      <c r="D37" s="135">
        <f t="shared" ref="D37:J37" si="8">D36+D35</f>
        <v>0</v>
      </c>
      <c r="E37" s="135">
        <f t="shared" si="8"/>
        <v>0</v>
      </c>
      <c r="F37" s="135">
        <f t="shared" si="8"/>
        <v>0</v>
      </c>
      <c r="G37" s="135">
        <f t="shared" si="8"/>
        <v>0</v>
      </c>
      <c r="H37" s="135">
        <f t="shared" si="8"/>
        <v>0</v>
      </c>
      <c r="I37" s="135">
        <f t="shared" si="8"/>
        <v>0</v>
      </c>
      <c r="J37" s="135">
        <f t="shared" si="8"/>
        <v>0</v>
      </c>
    </row>
    <row r="38" spans="1:10" ht="15">
      <c r="A38" s="136"/>
      <c r="B38" s="132" t="s">
        <v>268</v>
      </c>
      <c r="C38" s="340">
        <f t="shared" ref="C38:J38" si="9">C23+C33+C37</f>
        <v>30.61</v>
      </c>
      <c r="D38" s="340">
        <f t="shared" si="9"/>
        <v>38.882997046384602</v>
      </c>
      <c r="E38" s="340">
        <f t="shared" si="9"/>
        <v>44.142996117713487</v>
      </c>
      <c r="F38" s="340">
        <f t="shared" si="9"/>
        <v>49.291171918678103</v>
      </c>
      <c r="G38" s="340">
        <f t="shared" si="9"/>
        <v>54.444970765004634</v>
      </c>
      <c r="H38" s="340">
        <f t="shared" si="9"/>
        <v>62.621421594836775</v>
      </c>
      <c r="I38" s="340">
        <f t="shared" si="9"/>
        <v>73.695191810819551</v>
      </c>
      <c r="J38" s="340">
        <f t="shared" si="9"/>
        <v>84.849767578329718</v>
      </c>
    </row>
    <row r="39" spans="1:10">
      <c r="A39" s="139"/>
      <c r="B39" s="140"/>
      <c r="C39" s="140"/>
      <c r="D39" s="140"/>
      <c r="E39" s="140"/>
      <c r="F39" s="140"/>
      <c r="G39" s="140"/>
      <c r="H39" s="140"/>
      <c r="I39" s="140"/>
      <c r="J39" s="124"/>
    </row>
    <row r="40" spans="1:10">
      <c r="C40" s="2"/>
      <c r="D40" s="2"/>
      <c r="E40" s="2"/>
      <c r="F40" s="2"/>
      <c r="G40" s="2"/>
      <c r="H40" s="2"/>
      <c r="I40" s="2"/>
      <c r="J40" s="2"/>
    </row>
    <row r="41" spans="1:10">
      <c r="C41" s="2">
        <f t="shared" ref="C41:J41" si="10">+C15-C38</f>
        <v>0</v>
      </c>
      <c r="D41" s="2">
        <f t="shared" si="10"/>
        <v>0</v>
      </c>
      <c r="E41" s="2">
        <f t="shared" si="10"/>
        <v>0</v>
      </c>
      <c r="F41" s="2">
        <f t="shared" si="10"/>
        <v>0</v>
      </c>
      <c r="G41" s="2">
        <f t="shared" si="10"/>
        <v>0</v>
      </c>
      <c r="H41" s="2">
        <f t="shared" si="10"/>
        <v>0</v>
      </c>
      <c r="I41" s="2">
        <f t="shared" si="10"/>
        <v>0</v>
      </c>
      <c r="J41" s="2">
        <f t="shared" si="10"/>
        <v>0</v>
      </c>
    </row>
    <row r="42" spans="1:10">
      <c r="E42" s="2">
        <f>E41-D41</f>
        <v>0</v>
      </c>
      <c r="F42" s="2">
        <f>F41-E41</f>
        <v>0</v>
      </c>
      <c r="G42" s="2">
        <f>G41-F41</f>
        <v>0</v>
      </c>
      <c r="H42" s="2">
        <f>H41-G41</f>
        <v>0</v>
      </c>
    </row>
  </sheetData>
  <mergeCells count="1">
    <mergeCell ref="A2:J2"/>
  </mergeCells>
  <phoneticPr fontId="0" type="noConversion"/>
  <printOptions horizontalCentered="1"/>
  <pageMargins left="0.5" right="0.25" top="0.5" bottom="0.5" header="0" footer="0"/>
  <pageSetup paperSize="9" scale="95" orientation="portrait" horizontalDpi="4294967293" verticalDpi="300" r:id="rId1"/>
  <headerFooter alignWithMargins="0"/>
</worksheet>
</file>

<file path=xl/worksheets/sheet19.xml><?xml version="1.0" encoding="utf-8"?>
<worksheet xmlns="http://schemas.openxmlformats.org/spreadsheetml/2006/main" xmlns:r="http://schemas.openxmlformats.org/officeDocument/2006/relationships">
  <dimension ref="A1:Y526"/>
  <sheetViews>
    <sheetView topLeftCell="A57" workbookViewId="0">
      <selection activeCell="E69" sqref="E69"/>
    </sheetView>
  </sheetViews>
  <sheetFormatPr defaultRowHeight="13.5"/>
  <cols>
    <col min="1" max="1" width="3.28515625" style="526" customWidth="1"/>
    <col min="2" max="2" width="29.42578125" style="352" customWidth="1"/>
    <col min="3" max="3" width="8.5703125" style="352" bestFit="1" customWidth="1"/>
    <col min="4" max="4" width="6.85546875" style="352" hidden="1" customWidth="1"/>
    <col min="5" max="5" width="8.140625" style="352" bestFit="1" customWidth="1"/>
    <col min="6" max="6" width="9.5703125" style="352" customWidth="1"/>
    <col min="7" max="7" width="10.85546875" style="352" bestFit="1" customWidth="1"/>
    <col min="8" max="8" width="11.28515625" style="352" bestFit="1" customWidth="1"/>
    <col min="9" max="9" width="10.85546875" style="352" bestFit="1" customWidth="1"/>
    <col min="10" max="10" width="11.28515625" style="352" bestFit="1" customWidth="1"/>
    <col min="11" max="12" width="9.85546875" style="352" customWidth="1"/>
    <col min="13" max="13" width="6.140625" style="352" bestFit="1" customWidth="1"/>
    <col min="14" max="15" width="9.42578125" style="352" bestFit="1" customWidth="1"/>
    <col min="16" max="16" width="9.28515625" style="352" bestFit="1" customWidth="1"/>
    <col min="17" max="16384" width="9.140625" style="352"/>
  </cols>
  <sheetData>
    <row r="1" spans="1:25" ht="15">
      <c r="A1" s="912" t="s">
        <v>366</v>
      </c>
      <c r="B1" s="912"/>
      <c r="C1" s="912"/>
      <c r="D1" s="912"/>
      <c r="E1" s="912"/>
      <c r="F1" s="912"/>
      <c r="G1" s="912"/>
      <c r="H1" s="912"/>
      <c r="I1" s="912"/>
      <c r="J1" s="912"/>
      <c r="K1" s="351"/>
      <c r="L1" s="351"/>
      <c r="M1" s="351"/>
      <c r="N1" s="351"/>
      <c r="O1" s="351"/>
      <c r="P1" s="351"/>
      <c r="Q1" s="351"/>
      <c r="R1" s="351"/>
      <c r="S1" s="351"/>
      <c r="T1" s="351"/>
      <c r="U1" s="351"/>
      <c r="V1" s="351"/>
      <c r="W1" s="351"/>
      <c r="X1" s="351"/>
      <c r="Y1" s="351"/>
    </row>
    <row r="2" spans="1:25" s="355" customFormat="1" ht="8.25">
      <c r="A2" s="353"/>
      <c r="B2" s="353"/>
      <c r="C2" s="353"/>
      <c r="D2" s="353"/>
      <c r="E2" s="353"/>
      <c r="F2" s="353"/>
      <c r="G2" s="353"/>
      <c r="H2" s="354"/>
      <c r="I2" s="354"/>
      <c r="J2" s="354"/>
      <c r="K2" s="354"/>
      <c r="L2" s="354"/>
      <c r="M2" s="354"/>
      <c r="N2" s="354"/>
      <c r="O2" s="354"/>
      <c r="P2" s="354"/>
      <c r="Q2" s="354"/>
      <c r="R2" s="354"/>
      <c r="S2" s="354"/>
      <c r="T2" s="354"/>
      <c r="U2" s="354"/>
      <c r="V2" s="354"/>
      <c r="W2" s="354"/>
      <c r="X2" s="354"/>
      <c r="Y2" s="354"/>
    </row>
    <row r="3" spans="1:25" ht="15">
      <c r="A3" s="912" t="s">
        <v>367</v>
      </c>
      <c r="B3" s="912"/>
      <c r="C3" s="912"/>
      <c r="D3" s="912"/>
      <c r="E3" s="912"/>
      <c r="F3" s="912"/>
      <c r="G3" s="912"/>
      <c r="H3" s="912"/>
      <c r="I3" s="912"/>
      <c r="J3" s="912"/>
      <c r="K3" s="351"/>
      <c r="L3" s="351"/>
      <c r="M3" s="351"/>
      <c r="N3" s="351"/>
      <c r="O3" s="351"/>
      <c r="P3" s="351"/>
      <c r="Q3" s="351"/>
      <c r="R3" s="351"/>
      <c r="S3" s="351"/>
      <c r="T3" s="351"/>
      <c r="U3" s="351"/>
      <c r="V3" s="351"/>
      <c r="W3" s="351"/>
      <c r="X3" s="351"/>
      <c r="Y3" s="351"/>
    </row>
    <row r="4" spans="1:25" s="355" customFormat="1" ht="8.25">
      <c r="A4" s="353"/>
      <c r="B4" s="353"/>
      <c r="C4" s="353"/>
      <c r="D4" s="353"/>
      <c r="E4" s="353"/>
      <c r="F4" s="353"/>
      <c r="G4" s="353"/>
      <c r="H4" s="354"/>
      <c r="I4" s="354"/>
      <c r="J4" s="354"/>
      <c r="K4" s="354"/>
      <c r="L4" s="354"/>
      <c r="M4" s="354"/>
      <c r="N4" s="354"/>
      <c r="O4" s="354"/>
      <c r="P4" s="354"/>
      <c r="Q4" s="354"/>
      <c r="R4" s="354"/>
      <c r="S4" s="354"/>
      <c r="T4" s="354"/>
      <c r="U4" s="354"/>
      <c r="V4" s="354"/>
      <c r="W4" s="354"/>
      <c r="X4" s="354"/>
      <c r="Y4" s="354"/>
    </row>
    <row r="5" spans="1:25" ht="15">
      <c r="A5" s="356" t="s">
        <v>271</v>
      </c>
      <c r="B5" s="942" t="e">
        <f>+#REF!</f>
        <v>#REF!</v>
      </c>
      <c r="C5" s="942"/>
      <c r="D5" s="942"/>
      <c r="E5" s="942"/>
      <c r="F5" s="942"/>
      <c r="G5" s="942"/>
      <c r="H5" s="942"/>
      <c r="I5" s="942"/>
      <c r="J5" s="942"/>
      <c r="K5" s="351"/>
      <c r="L5" s="351"/>
      <c r="M5" s="351"/>
      <c r="N5" s="351"/>
      <c r="O5" s="351"/>
      <c r="P5" s="351"/>
      <c r="Q5" s="351"/>
      <c r="R5" s="351"/>
      <c r="S5" s="351"/>
      <c r="T5" s="351"/>
      <c r="U5" s="351"/>
      <c r="V5" s="351"/>
      <c r="W5" s="351"/>
      <c r="X5" s="351"/>
      <c r="Y5" s="351"/>
    </row>
    <row r="6" spans="1:25" ht="15">
      <c r="A6" s="420"/>
      <c r="B6" s="357"/>
      <c r="C6" s="357"/>
      <c r="D6" s="358"/>
      <c r="E6" s="351"/>
      <c r="F6" s="563" t="s">
        <v>368</v>
      </c>
      <c r="G6" s="351"/>
      <c r="H6" s="358"/>
      <c r="I6" s="358"/>
      <c r="J6" s="358"/>
      <c r="K6" s="351"/>
      <c r="L6" s="351"/>
      <c r="M6" s="351"/>
      <c r="N6" s="351"/>
      <c r="O6" s="351"/>
      <c r="P6" s="351"/>
      <c r="Q6" s="351"/>
      <c r="R6" s="351"/>
      <c r="S6" s="351"/>
      <c r="T6" s="351"/>
      <c r="U6" s="351"/>
      <c r="V6" s="351"/>
      <c r="W6" s="351"/>
      <c r="X6" s="351"/>
      <c r="Y6" s="351"/>
    </row>
    <row r="7" spans="1:25">
      <c r="A7" s="564"/>
      <c r="B7" s="943" t="s">
        <v>14</v>
      </c>
      <c r="C7" s="944"/>
      <c r="D7" s="567" t="e">
        <f>+#REF!</f>
        <v>#REF!</v>
      </c>
      <c r="E7" s="567"/>
      <c r="F7" s="567" t="s">
        <v>728</v>
      </c>
      <c r="G7" s="567" t="str">
        <f>+'BALANCE SHEET'!E3</f>
        <v>2nd</v>
      </c>
      <c r="H7" s="567" t="str">
        <f>+'BALANCE SHEET'!F3</f>
        <v>3rd</v>
      </c>
      <c r="I7" s="567" t="str">
        <f>+'BALANCE SHEET'!G3</f>
        <v>4th</v>
      </c>
      <c r="J7" s="567" t="str">
        <f>+'BALANCE SHEET'!H3</f>
        <v>5th</v>
      </c>
      <c r="K7" s="363"/>
      <c r="L7" s="363"/>
      <c r="M7" s="351"/>
      <c r="N7" s="351"/>
      <c r="O7" s="351"/>
      <c r="P7" s="351"/>
      <c r="Q7" s="351"/>
      <c r="R7" s="351"/>
      <c r="S7" s="351"/>
      <c r="T7" s="351"/>
      <c r="U7" s="351"/>
      <c r="V7" s="351"/>
      <c r="W7" s="351"/>
      <c r="X7" s="351"/>
      <c r="Y7" s="351"/>
    </row>
    <row r="8" spans="1:25">
      <c r="A8" s="364"/>
      <c r="B8" s="945" t="s">
        <v>346</v>
      </c>
      <c r="C8" s="946"/>
      <c r="D8" s="362" t="e">
        <f>+#REF!</f>
        <v>#REF!</v>
      </c>
      <c r="E8" s="362"/>
      <c r="F8" s="362" t="e">
        <f>+#REF!</f>
        <v>#REF!</v>
      </c>
      <c r="G8" s="362" t="e">
        <f>+#REF!</f>
        <v>#REF!</v>
      </c>
      <c r="H8" s="362" t="e">
        <f>+#REF!</f>
        <v>#REF!</v>
      </c>
      <c r="I8" s="362" t="e">
        <f>+#REF!</f>
        <v>#REF!</v>
      </c>
      <c r="J8" s="362" t="e">
        <f>+#REF!</f>
        <v>#REF!</v>
      </c>
      <c r="K8" s="363"/>
      <c r="L8" s="363"/>
      <c r="M8" s="351"/>
      <c r="N8" s="351"/>
      <c r="O8" s="351"/>
      <c r="P8" s="351"/>
      <c r="Q8" s="351"/>
      <c r="R8" s="351"/>
      <c r="S8" s="351"/>
      <c r="T8" s="351"/>
      <c r="U8" s="351"/>
      <c r="V8" s="351"/>
      <c r="W8" s="351"/>
      <c r="X8" s="351"/>
      <c r="Y8" s="351"/>
    </row>
    <row r="9" spans="1:25">
      <c r="A9" s="568"/>
      <c r="B9" s="947" t="s">
        <v>369</v>
      </c>
      <c r="C9" s="948"/>
      <c r="D9" s="569">
        <v>12</v>
      </c>
      <c r="E9" s="569">
        <v>12</v>
      </c>
      <c r="F9" s="569">
        <v>12</v>
      </c>
      <c r="G9" s="569">
        <v>12</v>
      </c>
      <c r="H9" s="569">
        <v>12</v>
      </c>
      <c r="I9" s="569">
        <v>12</v>
      </c>
      <c r="J9" s="569">
        <v>12</v>
      </c>
      <c r="K9" s="365"/>
      <c r="L9" s="365"/>
      <c r="M9" s="351"/>
      <c r="N9" s="351"/>
      <c r="O9" s="351"/>
      <c r="P9" s="351"/>
      <c r="Q9" s="351"/>
      <c r="R9" s="351"/>
      <c r="S9" s="351"/>
      <c r="T9" s="351"/>
      <c r="U9" s="351"/>
      <c r="V9" s="351"/>
      <c r="W9" s="351"/>
      <c r="X9" s="351"/>
      <c r="Y9" s="351"/>
    </row>
    <row r="10" spans="1:25" ht="15">
      <c r="A10" s="366"/>
      <c r="B10" s="598" t="s">
        <v>370</v>
      </c>
      <c r="C10" s="368"/>
      <c r="D10" s="369"/>
      <c r="E10" s="570"/>
      <c r="F10" s="570"/>
      <c r="G10" s="570"/>
      <c r="H10" s="570"/>
      <c r="I10" s="571"/>
      <c r="J10" s="572"/>
      <c r="K10" s="370"/>
      <c r="L10" s="370"/>
      <c r="M10" s="351"/>
      <c r="N10" s="351"/>
      <c r="O10" s="351"/>
      <c r="P10" s="351"/>
      <c r="Q10" s="351"/>
      <c r="R10" s="351"/>
      <c r="S10" s="351"/>
      <c r="T10" s="351"/>
      <c r="U10" s="351"/>
      <c r="V10" s="351"/>
      <c r="W10" s="351"/>
      <c r="X10" s="351"/>
      <c r="Y10" s="351"/>
    </row>
    <row r="11" spans="1:25">
      <c r="A11" s="366" t="s">
        <v>271</v>
      </c>
      <c r="B11" s="599" t="s">
        <v>371</v>
      </c>
      <c r="C11" s="368"/>
      <c r="D11" s="371" t="e">
        <f>#REF!+#REF!</f>
        <v>#REF!</v>
      </c>
      <c r="E11" s="573" t="e">
        <f>#REF!+#REF!</f>
        <v>#REF!</v>
      </c>
      <c r="F11" s="574">
        <f>+PROFITABILITY!D30</f>
        <v>244.79999999999998</v>
      </c>
      <c r="G11" s="574">
        <f>+PROFITABILITY!E30</f>
        <v>259.2</v>
      </c>
      <c r="H11" s="574">
        <f>+PROFITABILITY!F30</f>
        <v>259.2</v>
      </c>
      <c r="I11" s="574">
        <f>+PROFITABILITY!G30</f>
        <v>259.2</v>
      </c>
      <c r="J11" s="574">
        <f>+PROFITABILITY!H30</f>
        <v>259.2</v>
      </c>
      <c r="K11" s="372"/>
      <c r="L11" s="372"/>
      <c r="M11" s="351"/>
      <c r="N11" s="351"/>
      <c r="O11" s="351"/>
      <c r="P11" s="351"/>
      <c r="Q11" s="351"/>
      <c r="R11" s="351"/>
      <c r="S11" s="351"/>
      <c r="T11" s="351"/>
      <c r="U11" s="351"/>
      <c r="V11" s="351"/>
      <c r="W11" s="351"/>
      <c r="X11" s="351"/>
      <c r="Y11" s="351"/>
    </row>
    <row r="12" spans="1:25" ht="14.25" thickBot="1">
      <c r="A12" s="366"/>
      <c r="B12" s="599" t="s">
        <v>372</v>
      </c>
      <c r="C12" s="368"/>
      <c r="D12" s="373">
        <v>0</v>
      </c>
      <c r="E12" s="575">
        <v>0</v>
      </c>
      <c r="F12" s="575">
        <v>0</v>
      </c>
      <c r="G12" s="575">
        <v>0</v>
      </c>
      <c r="H12" s="575">
        <v>0</v>
      </c>
      <c r="I12" s="575">
        <v>0</v>
      </c>
      <c r="J12" s="575">
        <v>0</v>
      </c>
      <c r="K12" s="374"/>
      <c r="L12" s="374"/>
      <c r="M12" s="351"/>
      <c r="N12" s="351"/>
      <c r="O12" s="351"/>
      <c r="P12" s="351"/>
      <c r="Q12" s="351"/>
      <c r="R12" s="351"/>
      <c r="S12" s="351"/>
      <c r="T12" s="351"/>
      <c r="U12" s="351"/>
      <c r="V12" s="351"/>
      <c r="W12" s="351"/>
      <c r="X12" s="351"/>
      <c r="Y12" s="351"/>
    </row>
    <row r="13" spans="1:25">
      <c r="A13" s="366">
        <v>1</v>
      </c>
      <c r="B13" s="599" t="s">
        <v>373</v>
      </c>
      <c r="C13" s="368"/>
      <c r="D13" s="375" t="e">
        <f>SUM(D11:D12)</f>
        <v>#REF!</v>
      </c>
      <c r="E13" s="576" t="e">
        <f t="shared" ref="E13:J13" si="0">SUM(E11:E12)</f>
        <v>#REF!</v>
      </c>
      <c r="F13" s="576">
        <f t="shared" si="0"/>
        <v>244.79999999999998</v>
      </c>
      <c r="G13" s="576">
        <f t="shared" si="0"/>
        <v>259.2</v>
      </c>
      <c r="H13" s="576">
        <f t="shared" si="0"/>
        <v>259.2</v>
      </c>
      <c r="I13" s="576">
        <f t="shared" si="0"/>
        <v>259.2</v>
      </c>
      <c r="J13" s="576">
        <f t="shared" si="0"/>
        <v>259.2</v>
      </c>
      <c r="K13" s="376"/>
      <c r="L13" s="376"/>
      <c r="M13" s="351"/>
      <c r="N13" s="351"/>
      <c r="O13" s="351"/>
      <c r="P13" s="351"/>
      <c r="Q13" s="351"/>
      <c r="R13" s="351"/>
      <c r="S13" s="351"/>
      <c r="T13" s="351"/>
      <c r="U13" s="351"/>
      <c r="V13" s="351"/>
      <c r="W13" s="351"/>
      <c r="X13" s="351"/>
      <c r="Y13" s="351"/>
    </row>
    <row r="14" spans="1:25" ht="14.25" thickBot="1">
      <c r="A14" s="366">
        <v>2</v>
      </c>
      <c r="B14" s="599" t="s">
        <v>374</v>
      </c>
      <c r="C14" s="368"/>
      <c r="D14" s="377">
        <v>0</v>
      </c>
      <c r="E14" s="575">
        <v>0</v>
      </c>
      <c r="F14" s="577">
        <v>0</v>
      </c>
      <c r="G14" s="577">
        <v>0</v>
      </c>
      <c r="H14" s="577">
        <v>0</v>
      </c>
      <c r="I14" s="577">
        <v>0</v>
      </c>
      <c r="J14" s="577">
        <v>0</v>
      </c>
      <c r="K14" s="374"/>
      <c r="L14" s="374"/>
      <c r="M14" s="351"/>
      <c r="N14" s="351"/>
      <c r="O14" s="351"/>
      <c r="P14" s="351"/>
      <c r="Q14" s="351"/>
      <c r="R14" s="351"/>
      <c r="S14" s="351"/>
      <c r="T14" s="351"/>
      <c r="U14" s="351"/>
      <c r="V14" s="351"/>
      <c r="W14" s="351"/>
      <c r="X14" s="351"/>
      <c r="Y14" s="351"/>
    </row>
    <row r="15" spans="1:25" ht="15">
      <c r="A15" s="366">
        <v>3</v>
      </c>
      <c r="B15" s="598" t="s">
        <v>375</v>
      </c>
      <c r="C15" s="368"/>
      <c r="D15" s="378" t="e">
        <f>D13-D14</f>
        <v>#REF!</v>
      </c>
      <c r="E15" s="578" t="e">
        <f t="shared" ref="E15:J15" si="1">E13-E14</f>
        <v>#REF!</v>
      </c>
      <c r="F15" s="579">
        <f t="shared" si="1"/>
        <v>244.79999999999998</v>
      </c>
      <c r="G15" s="579">
        <f t="shared" si="1"/>
        <v>259.2</v>
      </c>
      <c r="H15" s="579">
        <f t="shared" si="1"/>
        <v>259.2</v>
      </c>
      <c r="I15" s="579">
        <f t="shared" si="1"/>
        <v>259.2</v>
      </c>
      <c r="J15" s="579">
        <f t="shared" si="1"/>
        <v>259.2</v>
      </c>
      <c r="K15" s="379"/>
      <c r="L15" s="379"/>
      <c r="M15" s="351"/>
      <c r="N15" s="351"/>
      <c r="O15" s="351"/>
      <c r="P15" s="351"/>
      <c r="Q15" s="351"/>
      <c r="R15" s="351"/>
      <c r="S15" s="351"/>
      <c r="T15" s="351"/>
      <c r="U15" s="351"/>
      <c r="V15" s="351"/>
      <c r="W15" s="351"/>
      <c r="X15" s="351"/>
      <c r="Y15" s="351"/>
    </row>
    <row r="16" spans="1:25">
      <c r="A16" s="366">
        <v>4</v>
      </c>
      <c r="B16" s="600" t="s">
        <v>376</v>
      </c>
      <c r="C16" s="368"/>
      <c r="D16" s="381">
        <f>IF(C15&gt;0,IF(D15&gt;0,(D15-C15)/C15,0),0)</f>
        <v>0</v>
      </c>
      <c r="E16" s="580" t="e">
        <f t="shared" ref="E16:J16" si="2">IF(D15&gt;0,IF(E15&gt;0,(E15-D15)/D15,0),0)</f>
        <v>#REF!</v>
      </c>
      <c r="F16" s="580" t="e">
        <f t="shared" si="2"/>
        <v>#REF!</v>
      </c>
      <c r="G16" s="580">
        <f t="shared" si="2"/>
        <v>5.8823529411764733E-2</v>
      </c>
      <c r="H16" s="580">
        <f t="shared" si="2"/>
        <v>0</v>
      </c>
      <c r="I16" s="580">
        <f t="shared" si="2"/>
        <v>0</v>
      </c>
      <c r="J16" s="580">
        <f t="shared" si="2"/>
        <v>0</v>
      </c>
      <c r="K16" s="382"/>
      <c r="L16" s="382"/>
      <c r="M16" s="351"/>
      <c r="N16" s="351"/>
      <c r="O16" s="351"/>
      <c r="P16" s="351"/>
      <c r="Q16" s="351"/>
      <c r="R16" s="351"/>
      <c r="S16" s="351"/>
      <c r="T16" s="351"/>
      <c r="U16" s="351"/>
      <c r="V16" s="351"/>
      <c r="W16" s="351"/>
      <c r="X16" s="351"/>
      <c r="Y16" s="351"/>
    </row>
    <row r="17" spans="1:25" ht="15">
      <c r="A17" s="366"/>
      <c r="B17" s="598" t="s">
        <v>377</v>
      </c>
      <c r="C17" s="368"/>
      <c r="D17" s="383"/>
      <c r="E17" s="581"/>
      <c r="F17" s="581"/>
      <c r="G17" s="581"/>
      <c r="H17" s="581"/>
      <c r="I17" s="581"/>
      <c r="J17" s="581"/>
      <c r="K17" s="384"/>
      <c r="L17" s="384"/>
      <c r="M17" s="351"/>
      <c r="N17" s="351"/>
      <c r="O17" s="351"/>
      <c r="P17" s="351"/>
      <c r="Q17" s="351"/>
      <c r="R17" s="351"/>
      <c r="S17" s="351"/>
      <c r="T17" s="351"/>
      <c r="U17" s="351"/>
      <c r="V17" s="351"/>
      <c r="W17" s="351"/>
      <c r="X17" s="351"/>
      <c r="Y17" s="351"/>
    </row>
    <row r="18" spans="1:25">
      <c r="A18" s="366">
        <v>5</v>
      </c>
      <c r="B18" s="599" t="s">
        <v>378</v>
      </c>
      <c r="C18" s="368"/>
      <c r="D18" s="385">
        <v>0</v>
      </c>
      <c r="E18" s="575">
        <v>0</v>
      </c>
      <c r="F18" s="577">
        <v>0</v>
      </c>
      <c r="G18" s="577">
        <v>0</v>
      </c>
      <c r="H18" s="577">
        <v>0</v>
      </c>
      <c r="I18" s="577">
        <v>0</v>
      </c>
      <c r="J18" s="577">
        <v>0</v>
      </c>
      <c r="K18" s="374"/>
      <c r="L18" s="374"/>
      <c r="M18" s="351"/>
      <c r="N18" s="351"/>
      <c r="O18" s="351"/>
      <c r="P18" s="351"/>
      <c r="Q18" s="351"/>
      <c r="R18" s="351"/>
      <c r="S18" s="351"/>
      <c r="T18" s="351"/>
      <c r="U18" s="351"/>
      <c r="V18" s="351"/>
      <c r="W18" s="351"/>
      <c r="X18" s="351"/>
      <c r="Y18" s="351"/>
    </row>
    <row r="19" spans="1:25">
      <c r="A19" s="366"/>
      <c r="B19" s="599" t="s">
        <v>379</v>
      </c>
      <c r="C19" s="368"/>
      <c r="D19" s="385" t="e">
        <f>#REF!</f>
        <v>#REF!</v>
      </c>
      <c r="E19" s="575" t="e">
        <f>#REF!</f>
        <v>#REF!</v>
      </c>
      <c r="F19" s="577">
        <f>+PROFITABILITY!D11+F30+F34-F32-F28</f>
        <v>212.97048249999997</v>
      </c>
      <c r="G19" s="577">
        <f>+PROFITABILITY!E11+G30+G34-G32-G28</f>
        <v>192.2683058335416</v>
      </c>
      <c r="H19" s="577">
        <f>+PROFITABILITY!F11+H30+H34-H32-H28</f>
        <v>190.4401241664583</v>
      </c>
      <c r="I19" s="577">
        <f>+PROFITABILITY!G11+I30+I34-I32-I28</f>
        <v>190.40713037499998</v>
      </c>
      <c r="J19" s="577">
        <f>+PROFITABILITY!H11+J30+J34-J32-J28</f>
        <v>190.34999999999997</v>
      </c>
      <c r="K19" s="374"/>
      <c r="L19" s="374"/>
      <c r="M19" s="386" t="e">
        <f>+#REF!/#REF!*100</f>
        <v>#REF!</v>
      </c>
      <c r="N19" s="386" t="e">
        <f>+D19/D35*100</f>
        <v>#REF!</v>
      </c>
      <c r="O19" s="386" t="e">
        <f>+E19/E35*100</f>
        <v>#REF!</v>
      </c>
      <c r="P19" s="386" t="e">
        <f>+#REF!/#REF!*100</f>
        <v>#REF!</v>
      </c>
      <c r="Q19" s="386">
        <f>+F19/F35*100</f>
        <v>109.17679030857612</v>
      </c>
      <c r="R19" s="386">
        <f>+G19/G35*100</f>
        <v>93.329134123384122</v>
      </c>
      <c r="S19" s="351"/>
      <c r="T19" s="351"/>
      <c r="U19" s="351"/>
      <c r="V19" s="351"/>
      <c r="W19" s="351"/>
      <c r="X19" s="351"/>
      <c r="Y19" s="351"/>
    </row>
    <row r="20" spans="1:25">
      <c r="A20" s="366"/>
      <c r="B20" s="599" t="s">
        <v>380</v>
      </c>
      <c r="C20" s="368"/>
      <c r="D20" s="385">
        <v>0</v>
      </c>
      <c r="E20" s="575">
        <v>0</v>
      </c>
      <c r="F20" s="577">
        <v>0</v>
      </c>
      <c r="G20" s="577">
        <v>0</v>
      </c>
      <c r="H20" s="577">
        <v>0</v>
      </c>
      <c r="I20" s="577">
        <v>0</v>
      </c>
      <c r="J20" s="577">
        <v>0</v>
      </c>
      <c r="K20" s="374"/>
      <c r="L20" s="374"/>
      <c r="M20" s="386" t="e">
        <f>+#REF!/#REF!*100</f>
        <v>#REF!</v>
      </c>
      <c r="N20" s="386" t="e">
        <f>+D20/D35*100</f>
        <v>#REF!</v>
      </c>
      <c r="O20" s="386" t="e">
        <f>+E20/E35*100</f>
        <v>#REF!</v>
      </c>
      <c r="P20" s="386" t="e">
        <f>+#REF!/#REF!*100</f>
        <v>#REF!</v>
      </c>
      <c r="Q20" s="386">
        <f>+F20/F35*100</f>
        <v>0</v>
      </c>
      <c r="R20" s="386">
        <f>+G20/G35*100</f>
        <v>0</v>
      </c>
      <c r="S20" s="351"/>
      <c r="T20" s="351"/>
      <c r="U20" s="351"/>
      <c r="V20" s="351"/>
      <c r="W20" s="351"/>
      <c r="X20" s="351"/>
      <c r="Y20" s="351"/>
    </row>
    <row r="21" spans="1:25">
      <c r="A21" s="366" t="s">
        <v>381</v>
      </c>
      <c r="B21" s="599" t="s">
        <v>382</v>
      </c>
      <c r="C21" s="368"/>
      <c r="D21" s="385" t="e">
        <f>+#REF!</f>
        <v>#REF!</v>
      </c>
      <c r="E21" s="575" t="e">
        <f>+#REF!</f>
        <v>#REF!</v>
      </c>
      <c r="F21" s="577">
        <v>0</v>
      </c>
      <c r="G21" s="577">
        <v>0</v>
      </c>
      <c r="H21" s="577">
        <v>0</v>
      </c>
      <c r="I21" s="577">
        <v>0</v>
      </c>
      <c r="J21" s="577">
        <v>0</v>
      </c>
      <c r="K21" s="374"/>
      <c r="L21" s="374"/>
      <c r="M21" s="386" t="e">
        <f>+#REF!/#REF!*100</f>
        <v>#REF!</v>
      </c>
      <c r="N21" s="386" t="e">
        <f>+D21/D35*100</f>
        <v>#REF!</v>
      </c>
      <c r="O21" s="386" t="e">
        <f>+E21/E35*100</f>
        <v>#REF!</v>
      </c>
      <c r="P21" s="386" t="e">
        <f>+#REF!/#REF!*100</f>
        <v>#REF!</v>
      </c>
      <c r="Q21" s="386">
        <f>+F21/F35*100</f>
        <v>0</v>
      </c>
      <c r="R21" s="386">
        <f>+G21/G35*100</f>
        <v>0</v>
      </c>
      <c r="S21" s="351"/>
      <c r="T21" s="351"/>
      <c r="U21" s="351"/>
      <c r="V21" s="351"/>
      <c r="W21" s="351"/>
      <c r="X21" s="351"/>
      <c r="Y21" s="351"/>
    </row>
    <row r="22" spans="1:25">
      <c r="A22" s="366">
        <v>6</v>
      </c>
      <c r="B22" s="599" t="s">
        <v>383</v>
      </c>
      <c r="C22" s="368"/>
      <c r="D22" s="385" t="e">
        <f>#REF!</f>
        <v>#REF!</v>
      </c>
      <c r="E22" s="575" t="e">
        <f>#REF!</f>
        <v>#REF!</v>
      </c>
      <c r="F22" s="577">
        <f>+PROFITABILITY!D15</f>
        <v>1.224</v>
      </c>
      <c r="G22" s="577">
        <f>+PROFITABILITY!E15</f>
        <v>1.296</v>
      </c>
      <c r="H22" s="577">
        <f>+PROFITABILITY!F15</f>
        <v>1.296</v>
      </c>
      <c r="I22" s="577">
        <f>+PROFITABILITY!G15</f>
        <v>1.296</v>
      </c>
      <c r="J22" s="577">
        <f>+PROFITABILITY!H15</f>
        <v>1.296</v>
      </c>
      <c r="K22" s="374"/>
      <c r="L22" s="374"/>
      <c r="M22" s="386" t="e">
        <f>+#REF!/#REF!*100</f>
        <v>#REF!</v>
      </c>
      <c r="N22" s="386" t="e">
        <f>+D22/D35*100</f>
        <v>#REF!</v>
      </c>
      <c r="O22" s="386" t="e">
        <f>+E22/E35*100</f>
        <v>#REF!</v>
      </c>
      <c r="P22" s="386" t="e">
        <f>+#REF!/#REF!*100</f>
        <v>#REF!</v>
      </c>
      <c r="Q22" s="386">
        <f>+F22/F35*100</f>
        <v>0.62746907350269621</v>
      </c>
      <c r="R22" s="386">
        <f>+G22/G35*100</f>
        <v>0.62909254491805622</v>
      </c>
      <c r="S22" s="351"/>
      <c r="T22" s="351"/>
      <c r="U22" s="351"/>
      <c r="V22" s="351"/>
      <c r="W22" s="351"/>
      <c r="X22" s="351"/>
      <c r="Y22" s="351"/>
    </row>
    <row r="23" spans="1:25">
      <c r="A23" s="366">
        <v>7</v>
      </c>
      <c r="B23" s="599" t="s">
        <v>384</v>
      </c>
      <c r="C23" s="368"/>
      <c r="D23" s="385" t="e">
        <f>+#REF!</f>
        <v>#REF!</v>
      </c>
      <c r="E23" s="575" t="e">
        <f>+#REF!</f>
        <v>#REF!</v>
      </c>
      <c r="F23" s="577">
        <f>+PROFITABILITY!D14</f>
        <v>9.9</v>
      </c>
      <c r="G23" s="577">
        <f>+PROFITABILITY!E14</f>
        <v>10.395000000000001</v>
      </c>
      <c r="H23" s="577">
        <f>+PROFITABILITY!F14</f>
        <v>10.914750000000002</v>
      </c>
      <c r="I23" s="577">
        <f>+PROFITABILITY!G14</f>
        <v>11.460487500000003</v>
      </c>
      <c r="J23" s="577">
        <f>+PROFITABILITY!H14</f>
        <v>12.033511875000004</v>
      </c>
      <c r="K23" s="374"/>
      <c r="L23" s="374"/>
      <c r="M23" s="386" t="e">
        <f>+#REF!/#REF!*100</f>
        <v>#REF!</v>
      </c>
      <c r="N23" s="386" t="e">
        <f>+D23/D35*100</f>
        <v>#REF!</v>
      </c>
      <c r="O23" s="386" t="e">
        <f>+E23/E35*100</f>
        <v>#REF!</v>
      </c>
      <c r="P23" s="386" t="e">
        <f>+#REF!/#REF!*100</f>
        <v>#REF!</v>
      </c>
      <c r="Q23" s="386">
        <f>+F23/F35*100</f>
        <v>5.0751175062718072</v>
      </c>
      <c r="R23" s="386">
        <f>+G23/G35*100</f>
        <v>5.0458464540302428</v>
      </c>
      <c r="S23" s="351"/>
      <c r="T23" s="351"/>
      <c r="U23" s="351"/>
      <c r="V23" s="351"/>
      <c r="W23" s="351"/>
      <c r="X23" s="351"/>
      <c r="Y23" s="351"/>
    </row>
    <row r="24" spans="1:25">
      <c r="A24" s="366">
        <v>8</v>
      </c>
      <c r="B24" s="599" t="s">
        <v>385</v>
      </c>
      <c r="C24" s="368"/>
      <c r="D24" s="385" t="e">
        <f>+#REF!</f>
        <v>#REF!</v>
      </c>
      <c r="E24" s="575" t="e">
        <f>+#REF!</f>
        <v>#REF!</v>
      </c>
      <c r="F24" s="577">
        <f>+PROFITABILITY!D12</f>
        <v>0.89887499999999987</v>
      </c>
      <c r="G24" s="577">
        <f>+PROFITABILITY!E12</f>
        <v>0.95174999999999987</v>
      </c>
      <c r="H24" s="577">
        <f>+PROFITABILITY!F12</f>
        <v>0.95174999999999987</v>
      </c>
      <c r="I24" s="577">
        <f>+PROFITABILITY!G12</f>
        <v>0.95174999999999987</v>
      </c>
      <c r="J24" s="577">
        <f>+PROFITABILITY!H12</f>
        <v>0.95174999999999987</v>
      </c>
      <c r="K24" s="374"/>
      <c r="L24" s="374"/>
      <c r="M24" s="386" t="e">
        <f>+#REF!/#REF!*100</f>
        <v>#REF!</v>
      </c>
      <c r="N24" s="386" t="e">
        <f>+D24/D35*100</f>
        <v>#REF!</v>
      </c>
      <c r="O24" s="386" t="e">
        <f>+E24/E35*100</f>
        <v>#REF!</v>
      </c>
      <c r="P24" s="386" t="e">
        <f>+#REF!/#REF!*100</f>
        <v>#REF!</v>
      </c>
      <c r="Q24" s="386">
        <f>+F24/F35*100</f>
        <v>0.46079760085354249</v>
      </c>
      <c r="R24" s="386">
        <f>+G24/G35*100</f>
        <v>0.46198983767419743</v>
      </c>
      <c r="S24" s="351"/>
      <c r="T24" s="351"/>
      <c r="U24" s="351"/>
      <c r="V24" s="351"/>
      <c r="W24" s="351"/>
      <c r="X24" s="351"/>
      <c r="Y24" s="351"/>
    </row>
    <row r="25" spans="1:25">
      <c r="A25" s="366">
        <v>9</v>
      </c>
      <c r="B25" s="599" t="s">
        <v>669</v>
      </c>
      <c r="C25" s="368"/>
      <c r="D25" s="385" t="e">
        <f>#REF!</f>
        <v>#REF!</v>
      </c>
      <c r="E25" s="575" t="e">
        <f>#REF!</f>
        <v>#REF!</v>
      </c>
      <c r="F25" s="577">
        <f>+PROFITABILITY!D20</f>
        <v>0.75</v>
      </c>
      <c r="G25" s="577">
        <f>+PROFITABILITY!E20</f>
        <v>0.8750000025000001</v>
      </c>
      <c r="H25" s="577">
        <f>+PROFITABILITY!F20</f>
        <v>1.125</v>
      </c>
      <c r="I25" s="577">
        <f>+PROFITABILITY!G20</f>
        <v>1.125</v>
      </c>
      <c r="J25" s="577">
        <f>+PROFITABILITY!H20</f>
        <v>1.125</v>
      </c>
      <c r="K25" s="374"/>
      <c r="L25" s="374"/>
      <c r="M25" s="386" t="e">
        <f>+#REF!/#REF!*100</f>
        <v>#REF!</v>
      </c>
      <c r="N25" s="386" t="e">
        <f>+D25/D35*100</f>
        <v>#REF!</v>
      </c>
      <c r="O25" s="386" t="e">
        <f>+E25/E35*100</f>
        <v>#REF!</v>
      </c>
      <c r="P25" s="386" t="e">
        <f>+#REF!/#REF!*100</f>
        <v>#REF!</v>
      </c>
      <c r="Q25" s="386">
        <f>+F25/F35*100</f>
        <v>0.38447859895998543</v>
      </c>
      <c r="R25" s="386">
        <f>+G25/G35*100</f>
        <v>0.42473455121607301</v>
      </c>
      <c r="S25" s="351"/>
      <c r="T25" s="351"/>
      <c r="U25" s="351"/>
      <c r="V25" s="351"/>
      <c r="W25" s="351"/>
      <c r="X25" s="351"/>
      <c r="Y25" s="351"/>
    </row>
    <row r="26" spans="1:25" ht="14.25" thickBot="1">
      <c r="A26" s="366">
        <v>10</v>
      </c>
      <c r="B26" s="599" t="s">
        <v>386</v>
      </c>
      <c r="C26" s="368"/>
      <c r="D26" s="377" t="e">
        <f>#REF!</f>
        <v>#REF!</v>
      </c>
      <c r="E26" s="575" t="e">
        <f>#REF!</f>
        <v>#REF!</v>
      </c>
      <c r="F26" s="577">
        <f>+PROFITABILITY!D21</f>
        <v>2.5214999999999996</v>
      </c>
      <c r="G26" s="577">
        <f>+PROFITABILITY!E21</f>
        <v>2.1432749999999996</v>
      </c>
      <c r="H26" s="577">
        <f>+PROFITABILITY!F21</f>
        <v>1.8217837499999998</v>
      </c>
      <c r="I26" s="577">
        <f>+PROFITABILITY!G21</f>
        <v>1.5485161875</v>
      </c>
      <c r="J26" s="577">
        <f>+PROFITABILITY!H21</f>
        <v>1.3162387593749998</v>
      </c>
      <c r="K26" s="374"/>
      <c r="L26" s="374"/>
      <c r="M26" s="386" t="e">
        <f t="shared" ref="M26:R26" si="3">+SUM(M19:M25)</f>
        <v>#REF!</v>
      </c>
      <c r="N26" s="386" t="e">
        <f t="shared" si="3"/>
        <v>#REF!</v>
      </c>
      <c r="O26" s="386" t="e">
        <f t="shared" si="3"/>
        <v>#REF!</v>
      </c>
      <c r="P26" s="386" t="e">
        <f t="shared" si="3"/>
        <v>#REF!</v>
      </c>
      <c r="Q26" s="386">
        <f t="shared" si="3"/>
        <v>115.72465308816415</v>
      </c>
      <c r="R26" s="386">
        <f t="shared" si="3"/>
        <v>99.890797511222686</v>
      </c>
      <c r="S26" s="351"/>
      <c r="T26" s="351"/>
      <c r="U26" s="351"/>
      <c r="V26" s="351"/>
      <c r="W26" s="351"/>
      <c r="X26" s="351"/>
      <c r="Y26" s="351"/>
    </row>
    <row r="27" spans="1:25" ht="15">
      <c r="A27" s="366"/>
      <c r="B27" s="598" t="s">
        <v>387</v>
      </c>
      <c r="C27" s="368"/>
      <c r="D27" s="378" t="e">
        <f>SUM(D17:D26)</f>
        <v>#REF!</v>
      </c>
      <c r="E27" s="578" t="e">
        <f t="shared" ref="E27:J27" si="4">SUM(E17:E26)</f>
        <v>#REF!</v>
      </c>
      <c r="F27" s="579">
        <f t="shared" si="4"/>
        <v>228.26485749999998</v>
      </c>
      <c r="G27" s="579">
        <f t="shared" si="4"/>
        <v>207.9293308360416</v>
      </c>
      <c r="H27" s="579">
        <f t="shared" si="4"/>
        <v>206.54940791645831</v>
      </c>
      <c r="I27" s="579">
        <f t="shared" si="4"/>
        <v>206.78888406249999</v>
      </c>
      <c r="J27" s="579">
        <f t="shared" si="4"/>
        <v>207.07250063437499</v>
      </c>
      <c r="K27" s="379"/>
      <c r="L27" s="379"/>
      <c r="M27" s="351" t="s">
        <v>271</v>
      </c>
      <c r="N27" s="351" t="s">
        <v>271</v>
      </c>
      <c r="O27" s="351">
        <v>151.75</v>
      </c>
      <c r="P27" s="351">
        <v>220.13</v>
      </c>
      <c r="Q27" s="351">
        <v>325.04000000000002</v>
      </c>
      <c r="R27" s="351">
        <v>487.43</v>
      </c>
      <c r="S27" s="351"/>
      <c r="T27" s="351"/>
      <c r="U27" s="351"/>
      <c r="V27" s="351"/>
      <c r="W27" s="351"/>
      <c r="X27" s="351"/>
      <c r="Y27" s="351"/>
    </row>
    <row r="28" spans="1:25" ht="15.75" customHeight="1" thickBot="1">
      <c r="A28" s="366">
        <v>11</v>
      </c>
      <c r="B28" s="600" t="s">
        <v>388</v>
      </c>
      <c r="C28" s="368"/>
      <c r="D28" s="387" t="e">
        <f>#REF!+#REF!</f>
        <v>#REF!</v>
      </c>
      <c r="E28" s="582" t="e">
        <f>#REF!+#REF!</f>
        <v>#REF!</v>
      </c>
      <c r="F28" s="583">
        <v>0</v>
      </c>
      <c r="G28" s="583">
        <f>+F30</f>
        <v>14.981249999999999</v>
      </c>
      <c r="H28" s="583">
        <f>+G30</f>
        <v>15.862499999999995</v>
      </c>
      <c r="I28" s="583">
        <f>+H30</f>
        <v>15.862499999999995</v>
      </c>
      <c r="J28" s="583">
        <f>+I30</f>
        <v>15.862499999999995</v>
      </c>
      <c r="K28" s="388"/>
      <c r="L28" s="388"/>
      <c r="M28" s="351"/>
      <c r="N28" s="351"/>
      <c r="O28" s="351"/>
      <c r="P28" s="351"/>
      <c r="Q28" s="351"/>
      <c r="R28" s="351"/>
      <c r="S28" s="351"/>
      <c r="T28" s="351"/>
      <c r="U28" s="351"/>
      <c r="V28" s="351"/>
      <c r="W28" s="351"/>
      <c r="X28" s="351"/>
      <c r="Y28" s="351"/>
    </row>
    <row r="29" spans="1:25" ht="15">
      <c r="A29" s="366"/>
      <c r="B29" s="598" t="s">
        <v>387</v>
      </c>
      <c r="C29" s="368"/>
      <c r="D29" s="389" t="e">
        <f>SUM(D27:D28)</f>
        <v>#REF!</v>
      </c>
      <c r="E29" s="584" t="e">
        <f t="shared" ref="E29:J29" si="5">SUM(E27:E28)</f>
        <v>#REF!</v>
      </c>
      <c r="F29" s="585">
        <f t="shared" si="5"/>
        <v>228.26485749999998</v>
      </c>
      <c r="G29" s="585">
        <f t="shared" si="5"/>
        <v>222.91058083604159</v>
      </c>
      <c r="H29" s="585">
        <f t="shared" si="5"/>
        <v>222.41190791645829</v>
      </c>
      <c r="I29" s="585">
        <f t="shared" si="5"/>
        <v>222.65138406249997</v>
      </c>
      <c r="J29" s="585">
        <f t="shared" si="5"/>
        <v>222.93500063437497</v>
      </c>
      <c r="K29" s="390"/>
      <c r="L29" s="390"/>
      <c r="M29" s="351" t="s">
        <v>271</v>
      </c>
      <c r="N29" s="351" t="s">
        <v>271</v>
      </c>
      <c r="O29" s="351" t="s">
        <v>271</v>
      </c>
      <c r="P29" s="351" t="s">
        <v>271</v>
      </c>
      <c r="Q29" s="351"/>
      <c r="R29" s="351"/>
      <c r="S29" s="351"/>
      <c r="T29" s="351"/>
      <c r="U29" s="351"/>
      <c r="V29" s="351"/>
      <c r="W29" s="351"/>
      <c r="X29" s="351"/>
      <c r="Y29" s="351"/>
    </row>
    <row r="30" spans="1:25" ht="14.25" thickBot="1">
      <c r="A30" s="366">
        <v>12</v>
      </c>
      <c r="B30" s="599" t="s">
        <v>389</v>
      </c>
      <c r="C30" s="368"/>
      <c r="D30" s="387" t="e">
        <f>#REF!</f>
        <v>#REF!</v>
      </c>
      <c r="E30" s="582" t="e">
        <f>#REF!</f>
        <v>#REF!</v>
      </c>
      <c r="F30" s="583">
        <f>+WCAPITAL!E6</f>
        <v>14.981249999999999</v>
      </c>
      <c r="G30" s="583">
        <f>+WCAPITAL!H6</f>
        <v>15.862499999999995</v>
      </c>
      <c r="H30" s="583">
        <f>+G30</f>
        <v>15.862499999999995</v>
      </c>
      <c r="I30" s="583">
        <f>+H30</f>
        <v>15.862499999999995</v>
      </c>
      <c r="J30" s="583">
        <f>+I30</f>
        <v>15.862499999999995</v>
      </c>
      <c r="K30" s="388"/>
      <c r="L30" s="388"/>
      <c r="M30" s="351" t="s">
        <v>271</v>
      </c>
      <c r="N30" s="351"/>
      <c r="O30" s="351"/>
      <c r="P30" s="351"/>
      <c r="Q30" s="351"/>
      <c r="R30" s="351"/>
      <c r="S30" s="351"/>
      <c r="T30" s="351"/>
      <c r="U30" s="351"/>
      <c r="V30" s="351"/>
      <c r="W30" s="351"/>
      <c r="X30" s="351"/>
      <c r="Y30" s="351"/>
    </row>
    <row r="31" spans="1:25" ht="15">
      <c r="A31" s="366"/>
      <c r="B31" s="598" t="s">
        <v>390</v>
      </c>
      <c r="C31" s="368"/>
      <c r="D31" s="389" t="e">
        <f>D29-D30</f>
        <v>#REF!</v>
      </c>
      <c r="E31" s="584" t="e">
        <f t="shared" ref="E31:J31" si="6">E29-E30</f>
        <v>#REF!</v>
      </c>
      <c r="F31" s="585">
        <f t="shared" si="6"/>
        <v>213.28360749999999</v>
      </c>
      <c r="G31" s="585">
        <f t="shared" si="6"/>
        <v>207.04808083604161</v>
      </c>
      <c r="H31" s="585">
        <f t="shared" si="6"/>
        <v>206.54940791645831</v>
      </c>
      <c r="I31" s="585">
        <f t="shared" si="6"/>
        <v>206.78888406249999</v>
      </c>
      <c r="J31" s="585">
        <f t="shared" si="6"/>
        <v>207.07250063437499</v>
      </c>
      <c r="K31" s="390"/>
      <c r="L31" s="390"/>
      <c r="M31" s="351" t="s">
        <v>271</v>
      </c>
      <c r="N31" s="351"/>
      <c r="O31" s="351"/>
      <c r="P31" s="351"/>
      <c r="Q31" s="351"/>
      <c r="R31" s="351"/>
      <c r="S31" s="351"/>
      <c r="T31" s="351"/>
      <c r="U31" s="351"/>
      <c r="V31" s="351"/>
      <c r="W31" s="351"/>
      <c r="X31" s="351"/>
      <c r="Y31" s="351"/>
    </row>
    <row r="32" spans="1:25" ht="14.25" thickBot="1">
      <c r="A32" s="366">
        <v>13</v>
      </c>
      <c r="B32" s="599" t="s">
        <v>391</v>
      </c>
      <c r="C32" s="368"/>
      <c r="D32" s="391" t="e">
        <f>+#REF!</f>
        <v>#REF!</v>
      </c>
      <c r="E32" s="586" t="e">
        <f>+#REF!</f>
        <v>#REF!</v>
      </c>
      <c r="F32" s="586">
        <v>0</v>
      </c>
      <c r="G32" s="586">
        <f>+F34</f>
        <v>18.214232499999998</v>
      </c>
      <c r="H32" s="586">
        <f>+G34</f>
        <v>19.251288333541659</v>
      </c>
      <c r="I32" s="586">
        <f>+H34</f>
        <v>19.341412499999997</v>
      </c>
      <c r="J32" s="586">
        <f>+I34</f>
        <v>19.398542874999997</v>
      </c>
      <c r="K32" s="392"/>
      <c r="L32" s="392"/>
      <c r="M32" s="351" t="s">
        <v>271</v>
      </c>
      <c r="N32" s="351"/>
      <c r="O32" s="351"/>
      <c r="P32" s="351"/>
      <c r="Q32" s="351"/>
      <c r="R32" s="351"/>
      <c r="S32" s="351"/>
      <c r="T32" s="351"/>
      <c r="U32" s="351"/>
      <c r="V32" s="351"/>
      <c r="W32" s="351"/>
      <c r="X32" s="351"/>
      <c r="Y32" s="351"/>
    </row>
    <row r="33" spans="1:25" ht="15">
      <c r="A33" s="366"/>
      <c r="B33" s="598" t="s">
        <v>387</v>
      </c>
      <c r="C33" s="368"/>
      <c r="D33" s="389" t="e">
        <f>SUM(D31:D32)</f>
        <v>#REF!</v>
      </c>
      <c r="E33" s="584" t="e">
        <f t="shared" ref="E33:J33" si="7">SUM(E31:E32)</f>
        <v>#REF!</v>
      </c>
      <c r="F33" s="585">
        <f t="shared" si="7"/>
        <v>213.28360749999999</v>
      </c>
      <c r="G33" s="585">
        <f t="shared" si="7"/>
        <v>225.26231333604161</v>
      </c>
      <c r="H33" s="585">
        <f t="shared" si="7"/>
        <v>225.80069624999996</v>
      </c>
      <c r="I33" s="585">
        <f t="shared" si="7"/>
        <v>226.13029656249998</v>
      </c>
      <c r="J33" s="585">
        <f t="shared" si="7"/>
        <v>226.47104350937499</v>
      </c>
      <c r="K33" s="390"/>
      <c r="L33" s="390"/>
      <c r="M33" s="351"/>
      <c r="N33" s="351"/>
      <c r="O33" s="351"/>
      <c r="P33" s="351"/>
      <c r="Q33" s="351"/>
      <c r="R33" s="351"/>
      <c r="S33" s="351"/>
      <c r="T33" s="351"/>
      <c r="U33" s="351"/>
      <c r="V33" s="351"/>
      <c r="W33" s="351"/>
      <c r="X33" s="351"/>
      <c r="Y33" s="351"/>
    </row>
    <row r="34" spans="1:25" ht="14.25" thickBot="1">
      <c r="A34" s="366">
        <v>14</v>
      </c>
      <c r="B34" s="599" t="s">
        <v>392</v>
      </c>
      <c r="C34" s="368"/>
      <c r="D34" s="387" t="e">
        <f>#REF!</f>
        <v>#REF!</v>
      </c>
      <c r="E34" s="582" t="e">
        <f>#REF!</f>
        <v>#REF!</v>
      </c>
      <c r="F34" s="583">
        <f>+WCAPITAL!E14+WCAPITAL!E19</f>
        <v>18.214232499999998</v>
      </c>
      <c r="G34" s="583">
        <f>+WCAPITAL!H14+WCAPITAL!H19</f>
        <v>19.251288333541659</v>
      </c>
      <c r="H34" s="583">
        <f>+WCAPITAL!K14+WCAPITAL!K19</f>
        <v>19.341412499999997</v>
      </c>
      <c r="I34" s="583">
        <f>+WCAPITAL!N14+WCAPITAL!N19</f>
        <v>19.398542874999997</v>
      </c>
      <c r="J34" s="583">
        <f>+I34</f>
        <v>19.398542874999997</v>
      </c>
      <c r="K34" s="388"/>
      <c r="L34" s="388"/>
      <c r="M34" s="351"/>
      <c r="N34" s="351"/>
      <c r="O34" s="351"/>
      <c r="P34" s="351"/>
      <c r="Q34" s="351"/>
      <c r="R34" s="351"/>
      <c r="S34" s="351"/>
      <c r="T34" s="351"/>
      <c r="U34" s="351"/>
      <c r="V34" s="351"/>
      <c r="W34" s="351"/>
      <c r="X34" s="351"/>
      <c r="Y34" s="351"/>
    </row>
    <row r="35" spans="1:25">
      <c r="A35" s="366"/>
      <c r="B35" s="599" t="s">
        <v>393</v>
      </c>
      <c r="C35" s="368"/>
      <c r="D35" s="393" t="e">
        <f>+D33-D34</f>
        <v>#REF!</v>
      </c>
      <c r="E35" s="587" t="e">
        <f t="shared" ref="E35:J35" si="8">+E33-E34</f>
        <v>#REF!</v>
      </c>
      <c r="F35" s="588">
        <f t="shared" si="8"/>
        <v>195.06937499999998</v>
      </c>
      <c r="G35" s="588">
        <f t="shared" si="8"/>
        <v>206.01102500249996</v>
      </c>
      <c r="H35" s="588">
        <f t="shared" si="8"/>
        <v>206.45928374999997</v>
      </c>
      <c r="I35" s="588">
        <f t="shared" si="8"/>
        <v>206.73175368749997</v>
      </c>
      <c r="J35" s="588">
        <f t="shared" si="8"/>
        <v>207.07250063437499</v>
      </c>
      <c r="K35" s="394"/>
      <c r="L35" s="394"/>
      <c r="M35" s="351"/>
      <c r="N35" s="351"/>
      <c r="O35" s="351">
        <v>141.01</v>
      </c>
      <c r="P35" s="351">
        <v>202.93</v>
      </c>
      <c r="Q35" s="351">
        <v>294.93</v>
      </c>
      <c r="R35" s="351">
        <v>429.36</v>
      </c>
      <c r="S35" s="351"/>
      <c r="T35" s="351"/>
      <c r="U35" s="351"/>
      <c r="V35" s="351"/>
      <c r="W35" s="351"/>
      <c r="X35" s="351"/>
      <c r="Y35" s="351"/>
    </row>
    <row r="36" spans="1:25" ht="15">
      <c r="A36" s="366">
        <v>15</v>
      </c>
      <c r="B36" s="598" t="s">
        <v>394</v>
      </c>
      <c r="C36" s="368"/>
      <c r="D36" s="395" t="e">
        <f>+D15-D35+D26</f>
        <v>#REF!</v>
      </c>
      <c r="E36" s="589" t="e">
        <f t="shared" ref="E36:J36" si="9">+E15-E35+E26</f>
        <v>#REF!</v>
      </c>
      <c r="F36" s="590">
        <f t="shared" si="9"/>
        <v>52.252125000000007</v>
      </c>
      <c r="G36" s="590">
        <f t="shared" si="9"/>
        <v>55.332249997500028</v>
      </c>
      <c r="H36" s="590">
        <f t="shared" si="9"/>
        <v>54.562500000000021</v>
      </c>
      <c r="I36" s="590">
        <f t="shared" si="9"/>
        <v>54.016762500000013</v>
      </c>
      <c r="J36" s="590">
        <f t="shared" si="9"/>
        <v>53.443738124999996</v>
      </c>
      <c r="K36" s="396"/>
      <c r="L36" s="396"/>
      <c r="M36" s="351"/>
      <c r="N36" s="351"/>
      <c r="O36" s="351"/>
      <c r="P36" s="351"/>
      <c r="Q36" s="351"/>
      <c r="R36" s="351"/>
      <c r="S36" s="351"/>
      <c r="T36" s="351"/>
      <c r="U36" s="351"/>
      <c r="V36" s="351"/>
      <c r="W36" s="351"/>
      <c r="X36" s="351"/>
      <c r="Y36" s="351"/>
    </row>
    <row r="37" spans="1:25">
      <c r="A37" s="366"/>
      <c r="B37" s="599" t="s">
        <v>395</v>
      </c>
      <c r="C37" s="368"/>
      <c r="D37" s="397" t="e">
        <f>+D36/D15</f>
        <v>#REF!</v>
      </c>
      <c r="E37" s="591" t="e">
        <f t="shared" ref="E37:J37" si="10">+E36/E15</f>
        <v>#REF!</v>
      </c>
      <c r="F37" s="592">
        <f>+F36/F15</f>
        <v>0.21344822303921573</v>
      </c>
      <c r="G37" s="592">
        <f t="shared" si="10"/>
        <v>0.21347318671875012</v>
      </c>
      <c r="H37" s="592">
        <f t="shared" si="10"/>
        <v>0.21050347222222232</v>
      </c>
      <c r="I37" s="592">
        <f t="shared" si="10"/>
        <v>0.20839800347222229</v>
      </c>
      <c r="J37" s="592">
        <f t="shared" si="10"/>
        <v>0.20618726128472223</v>
      </c>
      <c r="K37" s="398"/>
      <c r="L37" s="398"/>
      <c r="M37" s="351"/>
      <c r="N37" s="351"/>
      <c r="O37" s="351"/>
      <c r="P37" s="351"/>
      <c r="Q37" s="351"/>
      <c r="R37" s="351"/>
      <c r="S37" s="351"/>
      <c r="T37" s="351"/>
      <c r="U37" s="351"/>
      <c r="V37" s="351"/>
      <c r="W37" s="351"/>
      <c r="X37" s="351"/>
      <c r="Y37" s="351"/>
    </row>
    <row r="38" spans="1:25">
      <c r="A38" s="366">
        <v>16</v>
      </c>
      <c r="B38" s="599" t="s">
        <v>396</v>
      </c>
      <c r="C38" s="368"/>
      <c r="D38" s="399" t="e">
        <f>+#REF!</f>
        <v>#REF!</v>
      </c>
      <c r="E38" s="582" t="e">
        <f>+#REF!</f>
        <v>#REF!</v>
      </c>
      <c r="F38" s="583">
        <f>+PROFITABILITY!D27</f>
        <v>4.8959999999999999</v>
      </c>
      <c r="G38" s="583">
        <f>+PROFITABILITY!E27</f>
        <v>5.1840000000000002</v>
      </c>
      <c r="H38" s="583">
        <f>+PROFITABILITY!F27</f>
        <v>5.1840000000000002</v>
      </c>
      <c r="I38" s="583">
        <f>+PROFITABILITY!G27</f>
        <v>5.1840000000000002</v>
      </c>
      <c r="J38" s="583">
        <f>+PROFITABILITY!H27</f>
        <v>5.1840000000000002</v>
      </c>
      <c r="K38" s="388"/>
      <c r="L38" s="388"/>
      <c r="M38" s="351"/>
      <c r="N38" s="351"/>
      <c r="O38" s="351"/>
      <c r="P38" s="351"/>
      <c r="Q38" s="351"/>
      <c r="R38" s="351"/>
      <c r="S38" s="351"/>
      <c r="T38" s="351"/>
      <c r="U38" s="351"/>
      <c r="V38" s="351"/>
      <c r="W38" s="351"/>
      <c r="X38" s="351"/>
      <c r="Y38" s="351"/>
    </row>
    <row r="39" spans="1:25">
      <c r="A39" s="366">
        <v>17</v>
      </c>
      <c r="B39" s="599" t="s">
        <v>397</v>
      </c>
      <c r="C39" s="368"/>
      <c r="D39" s="399" t="e">
        <f>#REF!</f>
        <v>#REF!</v>
      </c>
      <c r="E39" s="582" t="e">
        <f>#REF!</f>
        <v>#REF!</v>
      </c>
      <c r="F39" s="583">
        <f>+PROFITABILITY!D19+PROFITABILITY!D26+PROFITABILITY!D16+PROFITABILITY!D17</f>
        <v>9.8460000000000001</v>
      </c>
      <c r="G39" s="583">
        <f>+PROFITABILITY!E19+PROFITABILITY!E26+PROFITABILITY!E16+PROFITABILITY!E17</f>
        <v>10.1715</v>
      </c>
      <c r="H39" s="583">
        <f>+PROFITABILITY!F19+PROFITABILITY!F26+PROFITABILITY!F16+PROFITABILITY!F17</f>
        <v>10.210875</v>
      </c>
      <c r="I39" s="583">
        <f>+PROFITABILITY!G19+PROFITABILITY!G26+PROFITABILITY!G16+PROFITABILITY!G17</f>
        <v>10.252218750000001</v>
      </c>
      <c r="J39" s="583">
        <f>+PROFITABILITY!H19+PROFITABILITY!H26+PROFITABILITY!H16+PROFITABILITY!H17</f>
        <v>10.2956296875</v>
      </c>
      <c r="K39" s="388"/>
      <c r="L39" s="388"/>
      <c r="M39" s="351"/>
      <c r="N39" s="351"/>
      <c r="O39" s="351"/>
      <c r="P39" s="351"/>
      <c r="Q39" s="351"/>
      <c r="R39" s="351"/>
      <c r="S39" s="351"/>
      <c r="T39" s="351"/>
      <c r="U39" s="351"/>
      <c r="V39" s="351"/>
      <c r="W39" s="351"/>
      <c r="X39" s="351"/>
      <c r="Y39" s="351"/>
    </row>
    <row r="40" spans="1:25" ht="15.75" thickBot="1">
      <c r="A40" s="366"/>
      <c r="B40" s="598" t="s">
        <v>398</v>
      </c>
      <c r="C40" s="368"/>
      <c r="D40" s="400" t="e">
        <f>D35+D38+D39</f>
        <v>#REF!</v>
      </c>
      <c r="E40" s="584" t="e">
        <f t="shared" ref="E40:J40" si="11">E35+E38+E39</f>
        <v>#REF!</v>
      </c>
      <c r="F40" s="585">
        <f t="shared" si="11"/>
        <v>209.81137499999997</v>
      </c>
      <c r="G40" s="585">
        <f t="shared" si="11"/>
        <v>221.36652500249997</v>
      </c>
      <c r="H40" s="585">
        <f t="shared" si="11"/>
        <v>221.85415874999995</v>
      </c>
      <c r="I40" s="585">
        <f t="shared" si="11"/>
        <v>222.16797243749997</v>
      </c>
      <c r="J40" s="585">
        <f t="shared" si="11"/>
        <v>222.55213032187498</v>
      </c>
      <c r="K40" s="390"/>
      <c r="L40" s="390"/>
      <c r="M40" s="351"/>
      <c r="N40" s="351"/>
      <c r="O40" s="351"/>
      <c r="P40" s="351"/>
      <c r="Q40" s="351"/>
      <c r="R40" s="351"/>
      <c r="S40" s="351"/>
      <c r="T40" s="351"/>
      <c r="U40" s="351"/>
      <c r="V40" s="351"/>
      <c r="W40" s="351"/>
      <c r="X40" s="351"/>
      <c r="Y40" s="351"/>
    </row>
    <row r="41" spans="1:25" ht="15">
      <c r="A41" s="366">
        <v>18</v>
      </c>
      <c r="B41" s="598" t="s">
        <v>399</v>
      </c>
      <c r="C41" s="368"/>
      <c r="D41" s="401" t="e">
        <f>D15-D40</f>
        <v>#REF!</v>
      </c>
      <c r="E41" s="586" t="e">
        <f t="shared" ref="E41:J41" si="12">E15-E40</f>
        <v>#REF!</v>
      </c>
      <c r="F41" s="593">
        <f t="shared" si="12"/>
        <v>34.988625000000013</v>
      </c>
      <c r="G41" s="593">
        <f t="shared" si="12"/>
        <v>37.833474997500019</v>
      </c>
      <c r="H41" s="593">
        <f t="shared" si="12"/>
        <v>37.345841250000035</v>
      </c>
      <c r="I41" s="593">
        <f t="shared" si="12"/>
        <v>37.032027562500019</v>
      </c>
      <c r="J41" s="593">
        <f t="shared" si="12"/>
        <v>36.647869678125005</v>
      </c>
      <c r="K41" s="392"/>
      <c r="L41" s="392"/>
      <c r="M41" s="351"/>
      <c r="N41" s="351"/>
      <c r="O41" s="351"/>
      <c r="P41" s="351"/>
      <c r="Q41" s="351"/>
      <c r="R41" s="351"/>
      <c r="S41" s="351"/>
      <c r="T41" s="351"/>
      <c r="U41" s="351"/>
      <c r="V41" s="351"/>
      <c r="W41" s="351"/>
      <c r="X41" s="351"/>
      <c r="Y41" s="351"/>
    </row>
    <row r="42" spans="1:25">
      <c r="A42" s="366"/>
      <c r="B42" s="599" t="s">
        <v>400</v>
      </c>
      <c r="C42" s="402" t="s">
        <v>271</v>
      </c>
      <c r="D42" s="403" t="e">
        <f>#REF!-D43</f>
        <v>#REF!</v>
      </c>
      <c r="E42" s="587" t="e">
        <f>#REF!-E43</f>
        <v>#REF!</v>
      </c>
      <c r="F42" s="587">
        <f>+PROFITABILITY!D25</f>
        <v>6.3381564187499997</v>
      </c>
      <c r="G42" s="587">
        <f>+PROFITABILITY!E25</f>
        <v>6.7076381125203124</v>
      </c>
      <c r="H42" s="587">
        <f>+PROFITABILITY!F25</f>
        <v>6.7164252187500004</v>
      </c>
      <c r="I42" s="587">
        <f>+PROFITABILITY!G25</f>
        <v>6.7219954303125</v>
      </c>
      <c r="J42" s="587">
        <f>+PROFITABILITY!H25</f>
        <v>6.7219954303125</v>
      </c>
      <c r="K42" s="394"/>
      <c r="L42" s="394"/>
      <c r="M42" s="351"/>
      <c r="N42" s="351"/>
      <c r="O42" s="351"/>
      <c r="P42" s="351"/>
      <c r="Q42" s="351"/>
      <c r="R42" s="351"/>
      <c r="S42" s="351"/>
      <c r="T42" s="351"/>
      <c r="U42" s="351"/>
      <c r="V42" s="351"/>
      <c r="W42" s="351"/>
      <c r="X42" s="351"/>
      <c r="Y42" s="351"/>
    </row>
    <row r="43" spans="1:25">
      <c r="A43" s="366"/>
      <c r="B43" s="599" t="s">
        <v>401</v>
      </c>
      <c r="C43" s="402" t="s">
        <v>271</v>
      </c>
      <c r="D43" s="403" t="e">
        <f>+#REF!</f>
        <v>#REF!</v>
      </c>
      <c r="E43" s="587" t="e">
        <f>+#REF!</f>
        <v>#REF!</v>
      </c>
      <c r="F43" s="587">
        <f>+PROFITABILITY!D23</f>
        <v>1.5368437500000003</v>
      </c>
      <c r="G43" s="587">
        <f>+PROFITABILITY!E23</f>
        <v>1.2158141666666684</v>
      </c>
      <c r="H43" s="587">
        <f>+PROFITABILITY!F23</f>
        <v>0.88795416666666849</v>
      </c>
      <c r="I43" s="587">
        <f>+PROFITABILITY!G23</f>
        <v>0.56009416666666811</v>
      </c>
      <c r="J43" s="587">
        <f>+PROFITABILITY!H23</f>
        <v>0.23223416666666799</v>
      </c>
      <c r="K43" s="394"/>
      <c r="L43" s="394"/>
      <c r="M43" s="351"/>
      <c r="N43" s="351"/>
      <c r="O43" s="351"/>
      <c r="P43" s="351"/>
      <c r="Q43" s="351"/>
      <c r="R43" s="351"/>
      <c r="S43" s="351"/>
      <c r="T43" s="351"/>
      <c r="U43" s="351"/>
      <c r="V43" s="351"/>
      <c r="W43" s="351"/>
      <c r="X43" s="351"/>
      <c r="Y43" s="351"/>
    </row>
    <row r="44" spans="1:25" ht="14.25" thickBot="1">
      <c r="A44" s="366"/>
      <c r="B44" s="599" t="s">
        <v>402</v>
      </c>
      <c r="C44" s="402"/>
      <c r="D44" s="404">
        <v>0</v>
      </c>
      <c r="E44" s="587">
        <v>0</v>
      </c>
      <c r="F44" s="587">
        <v>0</v>
      </c>
      <c r="G44" s="587">
        <v>0</v>
      </c>
      <c r="H44" s="587">
        <v>0</v>
      </c>
      <c r="I44" s="587">
        <v>0</v>
      </c>
      <c r="J44" s="587">
        <v>0</v>
      </c>
      <c r="K44" s="394"/>
      <c r="L44" s="394"/>
      <c r="M44" s="351"/>
      <c r="N44" s="351"/>
      <c r="O44" s="351"/>
      <c r="P44" s="351"/>
      <c r="Q44" s="351"/>
      <c r="R44" s="351"/>
      <c r="S44" s="351"/>
      <c r="T44" s="351"/>
      <c r="U44" s="351"/>
      <c r="V44" s="351"/>
      <c r="W44" s="351"/>
      <c r="X44" s="351"/>
      <c r="Y44" s="351"/>
    </row>
    <row r="45" spans="1:25" ht="15.75" thickBot="1">
      <c r="A45" s="366">
        <v>19</v>
      </c>
      <c r="B45" s="598" t="s">
        <v>403</v>
      </c>
      <c r="C45" s="368"/>
      <c r="D45" s="405" t="e">
        <f t="shared" ref="D45:J45" si="13">SUM(D42:D44)</f>
        <v>#REF!</v>
      </c>
      <c r="E45" s="589" t="e">
        <f t="shared" si="13"/>
        <v>#REF!</v>
      </c>
      <c r="F45" s="590">
        <f t="shared" si="13"/>
        <v>7.8750001687499998</v>
      </c>
      <c r="G45" s="590">
        <f t="shared" si="13"/>
        <v>7.9234522791869804</v>
      </c>
      <c r="H45" s="590">
        <f t="shared" si="13"/>
        <v>7.604379385416669</v>
      </c>
      <c r="I45" s="590">
        <f t="shared" si="13"/>
        <v>7.2820895969791684</v>
      </c>
      <c r="J45" s="590">
        <f t="shared" si="13"/>
        <v>6.9542295969791681</v>
      </c>
      <c r="K45" s="396"/>
      <c r="L45" s="396"/>
      <c r="M45" s="351"/>
      <c r="N45" s="351"/>
      <c r="O45" s="351"/>
      <c r="P45" s="351"/>
      <c r="Q45" s="351"/>
      <c r="R45" s="351"/>
      <c r="S45" s="351"/>
      <c r="T45" s="351"/>
      <c r="U45" s="351"/>
      <c r="V45" s="351"/>
      <c r="W45" s="351"/>
      <c r="X45" s="351"/>
      <c r="Y45" s="351"/>
    </row>
    <row r="46" spans="1:25" ht="15">
      <c r="A46" s="366">
        <v>20</v>
      </c>
      <c r="B46" s="598" t="s">
        <v>404</v>
      </c>
      <c r="C46" s="368"/>
      <c r="D46" s="401" t="e">
        <f t="shared" ref="D46:J46" si="14">D41-D45</f>
        <v>#REF!</v>
      </c>
      <c r="E46" s="586" t="e">
        <f t="shared" si="14"/>
        <v>#REF!</v>
      </c>
      <c r="F46" s="593">
        <f t="shared" si="14"/>
        <v>27.113624831250014</v>
      </c>
      <c r="G46" s="593">
        <f t="shared" si="14"/>
        <v>29.910022718313037</v>
      </c>
      <c r="H46" s="593">
        <f t="shared" si="14"/>
        <v>29.741461864583364</v>
      </c>
      <c r="I46" s="593">
        <f t="shared" si="14"/>
        <v>29.74993796552085</v>
      </c>
      <c r="J46" s="593">
        <f t="shared" si="14"/>
        <v>29.693640081145837</v>
      </c>
      <c r="K46" s="392"/>
      <c r="L46" s="392"/>
      <c r="M46" s="351"/>
      <c r="N46" s="351"/>
      <c r="O46" s="351"/>
      <c r="P46" s="351"/>
      <c r="Q46" s="351"/>
      <c r="R46" s="351"/>
      <c r="S46" s="351"/>
      <c r="T46" s="351"/>
      <c r="U46" s="351"/>
      <c r="V46" s="351"/>
      <c r="W46" s="351"/>
      <c r="X46" s="351"/>
      <c r="Y46" s="351"/>
    </row>
    <row r="47" spans="1:25">
      <c r="A47" s="366">
        <v>21</v>
      </c>
      <c r="B47" s="599" t="s">
        <v>405</v>
      </c>
      <c r="C47" s="368"/>
      <c r="D47" s="406"/>
      <c r="E47" s="586"/>
      <c r="F47" s="586"/>
      <c r="G47" s="586"/>
      <c r="H47" s="586"/>
      <c r="I47" s="586"/>
      <c r="J47" s="586"/>
      <c r="K47" s="392"/>
      <c r="L47" s="392"/>
      <c r="M47" s="351"/>
      <c r="N47" s="351"/>
      <c r="O47" s="351"/>
      <c r="P47" s="351"/>
      <c r="Q47" s="351"/>
      <c r="R47" s="351"/>
      <c r="S47" s="351"/>
      <c r="T47" s="351"/>
      <c r="U47" s="351"/>
      <c r="V47" s="351"/>
      <c r="W47" s="351"/>
      <c r="X47" s="351"/>
      <c r="Y47" s="351"/>
    </row>
    <row r="48" spans="1:25">
      <c r="A48" s="366"/>
      <c r="B48" s="599" t="s">
        <v>406</v>
      </c>
      <c r="C48" s="368"/>
      <c r="D48" s="407">
        <v>0</v>
      </c>
      <c r="E48" s="582">
        <v>0</v>
      </c>
      <c r="F48" s="582">
        <v>0</v>
      </c>
      <c r="G48" s="582">
        <v>0</v>
      </c>
      <c r="H48" s="582">
        <v>0</v>
      </c>
      <c r="I48" s="582">
        <v>0</v>
      </c>
      <c r="J48" s="582">
        <v>0</v>
      </c>
      <c r="K48" s="388"/>
      <c r="L48" s="388"/>
      <c r="M48" s="351"/>
      <c r="N48" s="351"/>
      <c r="O48" s="351"/>
      <c r="P48" s="351"/>
      <c r="Q48" s="351"/>
      <c r="R48" s="351"/>
      <c r="S48" s="351"/>
      <c r="T48" s="351"/>
      <c r="U48" s="351"/>
      <c r="V48" s="351"/>
      <c r="W48" s="351"/>
      <c r="X48" s="351"/>
      <c r="Y48" s="351"/>
    </row>
    <row r="49" spans="1:25" ht="14.25" thickBot="1">
      <c r="A49" s="366"/>
      <c r="B49" s="599" t="s">
        <v>407</v>
      </c>
      <c r="C49" s="368"/>
      <c r="D49" s="408">
        <v>0</v>
      </c>
      <c r="E49" s="582">
        <v>0</v>
      </c>
      <c r="F49" s="582">
        <v>0</v>
      </c>
      <c r="G49" s="582">
        <v>0</v>
      </c>
      <c r="H49" s="582">
        <v>0</v>
      </c>
      <c r="I49" s="582">
        <v>0</v>
      </c>
      <c r="J49" s="582">
        <v>0</v>
      </c>
      <c r="K49" s="388"/>
      <c r="L49" s="388"/>
      <c r="M49" s="351"/>
      <c r="N49" s="351"/>
      <c r="O49" s="351"/>
      <c r="P49" s="351"/>
      <c r="Q49" s="351"/>
      <c r="R49" s="351"/>
      <c r="S49" s="351"/>
      <c r="T49" s="351"/>
      <c r="U49" s="351"/>
      <c r="V49" s="351"/>
      <c r="W49" s="351"/>
      <c r="X49" s="351"/>
      <c r="Y49" s="351"/>
    </row>
    <row r="50" spans="1:25">
      <c r="A50" s="366"/>
      <c r="B50" s="599" t="s">
        <v>387</v>
      </c>
      <c r="C50" s="368"/>
      <c r="D50" s="409">
        <f>D48+D49</f>
        <v>0</v>
      </c>
      <c r="E50" s="586">
        <f t="shared" ref="E50:J50" si="15">E48+E49</f>
        <v>0</v>
      </c>
      <c r="F50" s="586">
        <f t="shared" si="15"/>
        <v>0</v>
      </c>
      <c r="G50" s="586">
        <f t="shared" si="15"/>
        <v>0</v>
      </c>
      <c r="H50" s="586">
        <f t="shared" si="15"/>
        <v>0</v>
      </c>
      <c r="I50" s="586">
        <f t="shared" si="15"/>
        <v>0</v>
      </c>
      <c r="J50" s="586">
        <f t="shared" si="15"/>
        <v>0</v>
      </c>
      <c r="K50" s="392"/>
      <c r="L50" s="392"/>
      <c r="M50" s="351"/>
      <c r="N50" s="351"/>
      <c r="O50" s="351"/>
      <c r="P50" s="351"/>
      <c r="Q50" s="351"/>
      <c r="R50" s="351"/>
      <c r="S50" s="351"/>
      <c r="T50" s="351"/>
      <c r="U50" s="351"/>
      <c r="V50" s="351"/>
      <c r="W50" s="351"/>
      <c r="X50" s="351"/>
      <c r="Y50" s="351"/>
    </row>
    <row r="51" spans="1:25">
      <c r="A51" s="366">
        <v>22</v>
      </c>
      <c r="B51" s="599" t="s">
        <v>408</v>
      </c>
      <c r="C51" s="368"/>
      <c r="D51" s="406"/>
      <c r="E51" s="586"/>
      <c r="F51" s="586"/>
      <c r="G51" s="586"/>
      <c r="H51" s="586"/>
      <c r="I51" s="586"/>
      <c r="J51" s="586"/>
      <c r="K51" s="392"/>
      <c r="L51" s="392"/>
      <c r="M51" s="351"/>
      <c r="N51" s="351"/>
      <c r="O51" s="351"/>
      <c r="P51" s="351"/>
      <c r="Q51" s="351"/>
      <c r="R51" s="351"/>
      <c r="S51" s="351"/>
      <c r="T51" s="351"/>
      <c r="U51" s="351"/>
      <c r="V51" s="351"/>
      <c r="W51" s="351"/>
      <c r="X51" s="351"/>
      <c r="Y51" s="351"/>
    </row>
    <row r="52" spans="1:25">
      <c r="A52" s="366"/>
      <c r="B52" s="599" t="s">
        <v>406</v>
      </c>
      <c r="C52" s="368"/>
      <c r="D52" s="407">
        <v>0</v>
      </c>
      <c r="E52" s="582">
        <v>0</v>
      </c>
      <c r="F52" s="582">
        <v>0</v>
      </c>
      <c r="G52" s="582">
        <v>0</v>
      </c>
      <c r="H52" s="582">
        <v>0</v>
      </c>
      <c r="I52" s="582">
        <v>0</v>
      </c>
      <c r="J52" s="582">
        <v>0</v>
      </c>
      <c r="K52" s="388"/>
      <c r="L52" s="388"/>
      <c r="M52" s="351"/>
      <c r="N52" s="351"/>
      <c r="O52" s="351"/>
      <c r="P52" s="351"/>
      <c r="Q52" s="351"/>
      <c r="R52" s="351"/>
      <c r="S52" s="351"/>
      <c r="T52" s="351"/>
      <c r="U52" s="351"/>
      <c r="V52" s="351"/>
      <c r="W52" s="351"/>
      <c r="X52" s="351"/>
      <c r="Y52" s="351"/>
    </row>
    <row r="53" spans="1:25">
      <c r="A53" s="366"/>
      <c r="B53" s="599" t="s">
        <v>409</v>
      </c>
      <c r="C53" s="368"/>
      <c r="D53" s="407">
        <v>0</v>
      </c>
      <c r="E53" s="582">
        <v>0</v>
      </c>
      <c r="F53" s="582">
        <v>0</v>
      </c>
      <c r="G53" s="582">
        <v>0</v>
      </c>
      <c r="H53" s="582">
        <v>0</v>
      </c>
      <c r="I53" s="582">
        <v>0</v>
      </c>
      <c r="J53" s="582">
        <v>0</v>
      </c>
      <c r="K53" s="388"/>
      <c r="L53" s="388"/>
      <c r="M53" s="351"/>
      <c r="N53" s="351"/>
      <c r="O53" s="351"/>
      <c r="P53" s="351"/>
      <c r="Q53" s="351"/>
      <c r="R53" s="351"/>
      <c r="S53" s="351"/>
      <c r="T53" s="351"/>
      <c r="U53" s="351"/>
      <c r="V53" s="351"/>
      <c r="W53" s="351"/>
      <c r="X53" s="351"/>
      <c r="Y53" s="351"/>
    </row>
    <row r="54" spans="1:25">
      <c r="A54" s="366"/>
      <c r="B54" s="599" t="s">
        <v>410</v>
      </c>
      <c r="C54" s="368"/>
      <c r="D54" s="399">
        <v>0</v>
      </c>
      <c r="E54" s="582">
        <v>0</v>
      </c>
      <c r="F54" s="583">
        <v>0</v>
      </c>
      <c r="G54" s="583">
        <v>0</v>
      </c>
      <c r="H54" s="583">
        <v>0</v>
      </c>
      <c r="I54" s="583">
        <v>0</v>
      </c>
      <c r="J54" s="583">
        <v>0</v>
      </c>
      <c r="K54" s="388"/>
      <c r="L54" s="388"/>
      <c r="M54" s="351"/>
      <c r="N54" s="351"/>
      <c r="O54" s="351"/>
      <c r="P54" s="351"/>
      <c r="Q54" s="351"/>
      <c r="R54" s="351"/>
      <c r="S54" s="351"/>
      <c r="T54" s="351"/>
      <c r="U54" s="351"/>
      <c r="V54" s="351"/>
      <c r="W54" s="351"/>
      <c r="X54" s="351"/>
      <c r="Y54" s="351"/>
    </row>
    <row r="55" spans="1:25" ht="14.25" thickBot="1">
      <c r="A55" s="366"/>
      <c r="B55" s="599" t="s">
        <v>387</v>
      </c>
      <c r="C55" s="368"/>
      <c r="D55" s="391">
        <f>SUM(D52:D54)</f>
        <v>0</v>
      </c>
      <c r="E55" s="586">
        <f t="shared" ref="E55:J55" si="16">SUM(E52:E54)</f>
        <v>0</v>
      </c>
      <c r="F55" s="586">
        <f t="shared" si="16"/>
        <v>0</v>
      </c>
      <c r="G55" s="586">
        <f t="shared" si="16"/>
        <v>0</v>
      </c>
      <c r="H55" s="586">
        <f t="shared" si="16"/>
        <v>0</v>
      </c>
      <c r="I55" s="586">
        <f t="shared" si="16"/>
        <v>0</v>
      </c>
      <c r="J55" s="586">
        <f t="shared" si="16"/>
        <v>0</v>
      </c>
      <c r="K55" s="392"/>
      <c r="L55" s="392"/>
      <c r="M55" s="351"/>
      <c r="N55" s="351"/>
      <c r="O55" s="351"/>
      <c r="P55" s="351"/>
      <c r="Q55" s="351"/>
      <c r="R55" s="351"/>
      <c r="S55" s="351"/>
      <c r="T55" s="351"/>
      <c r="U55" s="351"/>
      <c r="V55" s="351"/>
      <c r="W55" s="351"/>
      <c r="X55" s="351"/>
      <c r="Y55" s="351"/>
    </row>
    <row r="56" spans="1:25" ht="25.5" customHeight="1" thickBot="1">
      <c r="A56" s="366">
        <v>23</v>
      </c>
      <c r="B56" s="601" t="s">
        <v>411</v>
      </c>
      <c r="C56" s="368"/>
      <c r="D56" s="410">
        <f>D50-D55</f>
        <v>0</v>
      </c>
      <c r="E56" s="586">
        <f t="shared" ref="E56:J56" si="17">E50-E55</f>
        <v>0</v>
      </c>
      <c r="F56" s="586">
        <f t="shared" si="17"/>
        <v>0</v>
      </c>
      <c r="G56" s="586">
        <f t="shared" si="17"/>
        <v>0</v>
      </c>
      <c r="H56" s="586">
        <f t="shared" si="17"/>
        <v>0</v>
      </c>
      <c r="I56" s="586">
        <f t="shared" si="17"/>
        <v>0</v>
      </c>
      <c r="J56" s="586">
        <f t="shared" si="17"/>
        <v>0</v>
      </c>
      <c r="K56" s="392"/>
      <c r="L56" s="392"/>
      <c r="M56" s="351"/>
      <c r="N56" s="351"/>
      <c r="O56" s="351"/>
      <c r="P56" s="351"/>
      <c r="Q56" s="351"/>
      <c r="R56" s="351"/>
      <c r="S56" s="351"/>
      <c r="T56" s="351"/>
      <c r="U56" s="351"/>
      <c r="V56" s="351"/>
      <c r="W56" s="351"/>
      <c r="X56" s="351"/>
      <c r="Y56" s="351"/>
    </row>
    <row r="57" spans="1:25" ht="15">
      <c r="A57" s="366">
        <v>24</v>
      </c>
      <c r="B57" s="598" t="s">
        <v>412</v>
      </c>
      <c r="C57" s="368"/>
      <c r="D57" s="378" t="e">
        <f>D56+D46</f>
        <v>#REF!</v>
      </c>
      <c r="E57" s="578" t="e">
        <f t="shared" ref="E57:J57" si="18">E56+E46</f>
        <v>#REF!</v>
      </c>
      <c r="F57" s="579">
        <f t="shared" si="18"/>
        <v>27.113624831250014</v>
      </c>
      <c r="G57" s="579">
        <f t="shared" si="18"/>
        <v>29.910022718313037</v>
      </c>
      <c r="H57" s="579">
        <f t="shared" si="18"/>
        <v>29.741461864583364</v>
      </c>
      <c r="I57" s="579">
        <f t="shared" si="18"/>
        <v>29.74993796552085</v>
      </c>
      <c r="J57" s="579">
        <f t="shared" si="18"/>
        <v>29.693640081145837</v>
      </c>
      <c r="K57" s="379"/>
      <c r="L57" s="379"/>
      <c r="M57" s="351"/>
      <c r="N57" s="351"/>
      <c r="O57" s="351"/>
      <c r="P57" s="351"/>
      <c r="Q57" s="351"/>
      <c r="R57" s="351"/>
      <c r="S57" s="351"/>
      <c r="T57" s="351"/>
      <c r="U57" s="351"/>
      <c r="V57" s="351"/>
      <c r="W57" s="351"/>
      <c r="X57" s="351"/>
      <c r="Y57" s="351"/>
    </row>
    <row r="58" spans="1:25" ht="14.25" thickBot="1">
      <c r="A58" s="366">
        <v>25</v>
      </c>
      <c r="B58" s="599" t="s">
        <v>413</v>
      </c>
      <c r="C58" s="368"/>
      <c r="D58" s="387" t="e">
        <f>#REF!</f>
        <v>#REF!</v>
      </c>
      <c r="E58" s="582" t="e">
        <f>#REF!</f>
        <v>#REF!</v>
      </c>
      <c r="F58" s="583">
        <f>+PROFITABILITY!D38</f>
        <v>5.2639611181987629</v>
      </c>
      <c r="G58" s="583">
        <f>+PROFITABILITY!E38</f>
        <v>5.9780236469841821</v>
      </c>
      <c r="H58" s="583">
        <f>+PROFITABILITY!F38</f>
        <v>5.921286063618755</v>
      </c>
      <c r="I58" s="583">
        <f>+PROFITABILITY!G38</f>
        <v>5.9241391191943222</v>
      </c>
      <c r="J58" s="583">
        <f>+PROFITABILITY!H38</f>
        <v>5.9051892513136881</v>
      </c>
      <c r="K58" s="388"/>
      <c r="L58" s="388"/>
      <c r="M58" s="351"/>
      <c r="N58" s="351"/>
      <c r="O58" s="351"/>
      <c r="P58" s="351"/>
      <c r="Q58" s="351"/>
      <c r="R58" s="351"/>
      <c r="S58" s="351"/>
      <c r="T58" s="351"/>
      <c r="U58" s="351"/>
      <c r="V58" s="351"/>
      <c r="W58" s="351"/>
      <c r="X58" s="351"/>
      <c r="Y58" s="351"/>
    </row>
    <row r="59" spans="1:25" ht="15">
      <c r="A59" s="366">
        <v>26</v>
      </c>
      <c r="B59" s="598" t="s">
        <v>414</v>
      </c>
      <c r="C59" s="368"/>
      <c r="D59" s="389" t="e">
        <f>D57-D58</f>
        <v>#REF!</v>
      </c>
      <c r="E59" s="584" t="e">
        <f t="shared" ref="E59:J59" si="19">E57-E58</f>
        <v>#REF!</v>
      </c>
      <c r="F59" s="585">
        <f t="shared" si="19"/>
        <v>21.84966371305125</v>
      </c>
      <c r="G59" s="585">
        <f t="shared" si="19"/>
        <v>23.931999071328853</v>
      </c>
      <c r="H59" s="585">
        <f t="shared" si="19"/>
        <v>23.820175800964609</v>
      </c>
      <c r="I59" s="585">
        <f t="shared" si="19"/>
        <v>23.825798846326528</v>
      </c>
      <c r="J59" s="585">
        <f t="shared" si="19"/>
        <v>23.788450829832151</v>
      </c>
      <c r="K59" s="390"/>
      <c r="L59" s="390"/>
      <c r="M59" s="351"/>
      <c r="N59" s="351"/>
      <c r="O59" s="351"/>
      <c r="P59" s="351"/>
      <c r="Q59" s="351"/>
      <c r="R59" s="351"/>
      <c r="S59" s="351"/>
      <c r="T59" s="351"/>
      <c r="U59" s="351"/>
      <c r="V59" s="351"/>
      <c r="W59" s="351"/>
      <c r="X59" s="351"/>
      <c r="Y59" s="351"/>
    </row>
    <row r="60" spans="1:25" ht="15">
      <c r="A60" s="366">
        <v>27</v>
      </c>
      <c r="B60" s="598" t="s">
        <v>415</v>
      </c>
      <c r="C60" s="368"/>
      <c r="D60" s="411" t="e">
        <f>D59+D54+D26</f>
        <v>#REF!</v>
      </c>
      <c r="E60" s="584" t="e">
        <f t="shared" ref="E60:J60" si="20">E59+E54+E26</f>
        <v>#REF!</v>
      </c>
      <c r="F60" s="585">
        <f t="shared" si="20"/>
        <v>24.371163713051249</v>
      </c>
      <c r="G60" s="585">
        <f t="shared" si="20"/>
        <v>26.075274071328852</v>
      </c>
      <c r="H60" s="585">
        <f t="shared" si="20"/>
        <v>25.641959550964607</v>
      </c>
      <c r="I60" s="585">
        <f t="shared" si="20"/>
        <v>25.374315033826527</v>
      </c>
      <c r="J60" s="585">
        <f t="shared" si="20"/>
        <v>25.104689589207151</v>
      </c>
      <c r="K60" s="390"/>
      <c r="L60" s="390"/>
      <c r="M60" s="351"/>
      <c r="N60" s="351"/>
      <c r="O60" s="351"/>
      <c r="P60" s="351"/>
      <c r="Q60" s="351"/>
      <c r="R60" s="351"/>
      <c r="S60" s="351"/>
      <c r="T60" s="351"/>
      <c r="U60" s="351"/>
      <c r="V60" s="351"/>
      <c r="W60" s="351"/>
      <c r="X60" s="351"/>
      <c r="Y60" s="351"/>
    </row>
    <row r="61" spans="1:25" ht="14.25" thickBot="1">
      <c r="A61" s="366">
        <v>28</v>
      </c>
      <c r="B61" s="599" t="s">
        <v>416</v>
      </c>
      <c r="C61" s="368"/>
      <c r="D61" s="412">
        <v>0</v>
      </c>
      <c r="E61" s="594">
        <v>0</v>
      </c>
      <c r="F61" s="595">
        <v>0</v>
      </c>
      <c r="G61" s="595">
        <v>0</v>
      </c>
      <c r="H61" s="595">
        <v>0</v>
      </c>
      <c r="I61" s="595">
        <v>0</v>
      </c>
      <c r="J61" s="595">
        <v>0</v>
      </c>
      <c r="K61" s="413"/>
      <c r="L61" s="413"/>
      <c r="M61" s="351"/>
      <c r="N61" s="351"/>
      <c r="O61" s="351"/>
      <c r="P61" s="351"/>
      <c r="Q61" s="351"/>
      <c r="R61" s="351"/>
      <c r="S61" s="351"/>
      <c r="T61" s="351"/>
      <c r="U61" s="351"/>
      <c r="V61" s="351"/>
      <c r="W61" s="351"/>
      <c r="X61" s="351"/>
      <c r="Y61" s="351"/>
    </row>
    <row r="62" spans="1:25">
      <c r="A62" s="366">
        <v>29</v>
      </c>
      <c r="B62" s="599" t="s">
        <v>417</v>
      </c>
      <c r="C62" s="368"/>
      <c r="D62" s="401" t="e">
        <f>D59-D61</f>
        <v>#REF!</v>
      </c>
      <c r="E62" s="586" t="e">
        <f t="shared" ref="E62:J62" si="21">E59-E61</f>
        <v>#REF!</v>
      </c>
      <c r="F62" s="593">
        <f t="shared" si="21"/>
        <v>21.84966371305125</v>
      </c>
      <c r="G62" s="593">
        <f t="shared" si="21"/>
        <v>23.931999071328853</v>
      </c>
      <c r="H62" s="593">
        <f t="shared" si="21"/>
        <v>23.820175800964609</v>
      </c>
      <c r="I62" s="593">
        <f t="shared" si="21"/>
        <v>23.825798846326528</v>
      </c>
      <c r="J62" s="593">
        <f t="shared" si="21"/>
        <v>23.788450829832151</v>
      </c>
      <c r="K62" s="392"/>
      <c r="L62" s="392"/>
      <c r="M62" s="351"/>
      <c r="N62" s="351"/>
      <c r="O62" s="351"/>
      <c r="P62" s="351"/>
      <c r="Q62" s="351"/>
      <c r="R62" s="351"/>
      <c r="S62" s="351"/>
      <c r="T62" s="351"/>
      <c r="U62" s="351"/>
      <c r="V62" s="351"/>
      <c r="W62" s="351"/>
      <c r="X62" s="351"/>
      <c r="Y62" s="351"/>
    </row>
    <row r="63" spans="1:25">
      <c r="A63" s="366">
        <v>30</v>
      </c>
      <c r="B63" s="599" t="s">
        <v>418</v>
      </c>
      <c r="C63" s="368"/>
      <c r="D63" s="414" t="e">
        <f>D62+D54+D26</f>
        <v>#REF!</v>
      </c>
      <c r="E63" s="586" t="e">
        <f t="shared" ref="E63:J63" si="22">E62+E54+E26</f>
        <v>#REF!</v>
      </c>
      <c r="F63" s="593">
        <f t="shared" si="22"/>
        <v>24.371163713051249</v>
      </c>
      <c r="G63" s="593">
        <f t="shared" si="22"/>
        <v>26.075274071328852</v>
      </c>
      <c r="H63" s="593">
        <f t="shared" si="22"/>
        <v>25.641959550964607</v>
      </c>
      <c r="I63" s="593">
        <f t="shared" si="22"/>
        <v>25.374315033826527</v>
      </c>
      <c r="J63" s="593">
        <f t="shared" si="22"/>
        <v>25.104689589207151</v>
      </c>
      <c r="K63" s="392"/>
      <c r="L63" s="392"/>
      <c r="M63" s="351"/>
      <c r="N63" s="351"/>
      <c r="O63" s="351"/>
      <c r="P63" s="351"/>
      <c r="Q63" s="351"/>
      <c r="R63" s="351"/>
      <c r="S63" s="351"/>
      <c r="T63" s="351"/>
      <c r="U63" s="351"/>
      <c r="V63" s="351"/>
      <c r="W63" s="351"/>
      <c r="X63" s="351"/>
      <c r="Y63" s="351"/>
    </row>
    <row r="64" spans="1:25">
      <c r="A64" s="366">
        <v>30</v>
      </c>
      <c r="B64" s="599" t="s">
        <v>419</v>
      </c>
      <c r="C64" s="368"/>
      <c r="D64" s="381" t="e">
        <f>IF((D15+(D30-D28)+(D34-D32))&gt;0,SUM(D18:D20)/(D15+(D30-D28)+(D34-D32)),0)</f>
        <v>#REF!</v>
      </c>
      <c r="E64" s="580" t="e">
        <f t="shared" ref="E64:J64" si="23">IF((E15+(E30-E28)+(E34-E32))&gt;0,SUM(E18:E20)/(E15+(E30-E28)+(E34-E32)),0)</f>
        <v>#REF!</v>
      </c>
      <c r="F64" s="580">
        <f t="shared" si="23"/>
        <v>0.76609332131862962</v>
      </c>
      <c r="G64" s="580">
        <f t="shared" si="23"/>
        <v>0.73632641426568257</v>
      </c>
      <c r="H64" s="580">
        <f t="shared" si="23"/>
        <v>0.73446732604516829</v>
      </c>
      <c r="I64" s="580">
        <f t="shared" si="23"/>
        <v>0.73443353361038677</v>
      </c>
      <c r="J64" s="580">
        <f t="shared" si="23"/>
        <v>0.73437499999999989</v>
      </c>
      <c r="K64" s="382"/>
      <c r="L64" s="382"/>
      <c r="M64" s="351"/>
      <c r="N64" s="351"/>
      <c r="O64" s="351"/>
      <c r="P64" s="351"/>
      <c r="Q64" s="351"/>
      <c r="R64" s="351"/>
      <c r="S64" s="351"/>
      <c r="T64" s="351"/>
      <c r="U64" s="351"/>
      <c r="V64" s="351"/>
      <c r="W64" s="351"/>
      <c r="X64" s="351"/>
      <c r="Y64" s="351"/>
    </row>
    <row r="65" spans="1:25">
      <c r="A65" s="366">
        <v>31</v>
      </c>
      <c r="B65" s="599" t="s">
        <v>420</v>
      </c>
      <c r="C65" s="368"/>
      <c r="D65" s="415" t="e">
        <f>IF(D15&gt;0,IF((D57+D26+D45)&gt;0,(D57+D26+D45)/D15,"-ve"),0)</f>
        <v>#REF!</v>
      </c>
      <c r="E65" s="596" t="e">
        <f t="shared" ref="E65:J65" si="24">IF(E15&gt;0,IF((E57+E26+E45)&gt;0,(E57+E26+E45)/E15,"-ve"),0)</f>
        <v>#REF!</v>
      </c>
      <c r="F65" s="596">
        <f t="shared" si="24"/>
        <v>0.15322763480392165</v>
      </c>
      <c r="G65" s="596">
        <f t="shared" si="24"/>
        <v>0.15423128857060195</v>
      </c>
      <c r="H65" s="596">
        <f t="shared" si="24"/>
        <v>0.151109664351852</v>
      </c>
      <c r="I65" s="596">
        <f t="shared" si="24"/>
        <v>0.14884469039351861</v>
      </c>
      <c r="J65" s="596">
        <f t="shared" si="24"/>
        <v>0.14646646773726854</v>
      </c>
      <c r="K65" s="416"/>
      <c r="L65" s="416"/>
      <c r="M65" s="351"/>
      <c r="N65" s="351"/>
      <c r="O65" s="351"/>
      <c r="P65" s="351"/>
      <c r="Q65" s="351"/>
      <c r="R65" s="351"/>
      <c r="S65" s="351"/>
      <c r="T65" s="351"/>
      <c r="U65" s="351"/>
      <c r="V65" s="351"/>
      <c r="W65" s="351"/>
      <c r="X65" s="351"/>
      <c r="Y65" s="351"/>
    </row>
    <row r="66" spans="1:25">
      <c r="A66" s="366">
        <v>32</v>
      </c>
      <c r="B66" s="599" t="s">
        <v>421</v>
      </c>
      <c r="C66" s="368"/>
      <c r="D66" s="415" t="e">
        <f>IF(D15&gt;0,IF(D46&gt;0,D46/D15,"-ve"),0)</f>
        <v>#REF!</v>
      </c>
      <c r="E66" s="596" t="e">
        <f t="shared" ref="E66:J66" si="25">IF(E15&gt;0,IF(E46&gt;0,E46/E15,"-ve"),0)</f>
        <v>#REF!</v>
      </c>
      <c r="F66" s="596">
        <f t="shared" si="25"/>
        <v>0.11075827136948536</v>
      </c>
      <c r="G66" s="596">
        <f t="shared" si="25"/>
        <v>0.11539360616633117</v>
      </c>
      <c r="H66" s="596">
        <f t="shared" si="25"/>
        <v>0.11474329423064571</v>
      </c>
      <c r="I66" s="596">
        <f t="shared" si="25"/>
        <v>0.11477599523734897</v>
      </c>
      <c r="J66" s="596">
        <f t="shared" si="25"/>
        <v>0.11455879660935894</v>
      </c>
      <c r="K66" s="416"/>
      <c r="L66" s="416"/>
      <c r="M66" s="351"/>
      <c r="N66" s="351"/>
      <c r="O66" s="351"/>
      <c r="P66" s="351"/>
      <c r="Q66" s="351"/>
      <c r="R66" s="351"/>
      <c r="S66" s="351"/>
      <c r="T66" s="351"/>
      <c r="U66" s="351"/>
      <c r="V66" s="351"/>
      <c r="W66" s="351"/>
      <c r="X66" s="351"/>
      <c r="Y66" s="351"/>
    </row>
    <row r="67" spans="1:25">
      <c r="A67" s="366">
        <v>33</v>
      </c>
      <c r="B67" s="599" t="s">
        <v>422</v>
      </c>
      <c r="C67" s="368"/>
      <c r="D67" s="415" t="e">
        <f>IF(D15&gt;0,IF(D57&gt;0,D57/D15,"-ve"),0)</f>
        <v>#REF!</v>
      </c>
      <c r="E67" s="596" t="e">
        <f t="shared" ref="E67:J67" si="26">IF(E15&gt;0,IF(E57&gt;0,E57/E15,"-ve"),0)</f>
        <v>#REF!</v>
      </c>
      <c r="F67" s="596">
        <f t="shared" si="26"/>
        <v>0.11075827136948536</v>
      </c>
      <c r="G67" s="596">
        <f t="shared" si="26"/>
        <v>0.11539360616633117</v>
      </c>
      <c r="H67" s="596">
        <f t="shared" si="26"/>
        <v>0.11474329423064571</v>
      </c>
      <c r="I67" s="596">
        <f t="shared" si="26"/>
        <v>0.11477599523734897</v>
      </c>
      <c r="J67" s="596">
        <f t="shared" si="26"/>
        <v>0.11455879660935894</v>
      </c>
      <c r="K67" s="416"/>
      <c r="L67" s="416"/>
      <c r="M67" s="351"/>
      <c r="N67" s="351"/>
      <c r="O67" s="351"/>
      <c r="P67" s="351"/>
      <c r="Q67" s="351"/>
      <c r="R67" s="351"/>
      <c r="S67" s="351"/>
      <c r="T67" s="351"/>
      <c r="U67" s="351"/>
      <c r="V67" s="351"/>
      <c r="W67" s="351"/>
      <c r="X67" s="351"/>
      <c r="Y67" s="351"/>
    </row>
    <row r="68" spans="1:25">
      <c r="A68" s="366">
        <v>34</v>
      </c>
      <c r="B68" s="599" t="s">
        <v>423</v>
      </c>
      <c r="C68" s="368"/>
      <c r="D68" s="415" t="e">
        <f>IF(D15&gt;0,IF(D59&gt;0,D59/D15,"-ve"),0)</f>
        <v>#REF!</v>
      </c>
      <c r="E68" s="596" t="e">
        <f t="shared" ref="E68:J68" si="27">IF(E15&gt;0,IF(E59&gt;0,E59/E15,"-ve"),0)</f>
        <v>#REF!</v>
      </c>
      <c r="F68" s="596">
        <f t="shared" si="27"/>
        <v>8.9255162226516555E-2</v>
      </c>
      <c r="G68" s="596">
        <f t="shared" si="27"/>
        <v>9.2330243330744036E-2</v>
      </c>
      <c r="H68" s="596">
        <f t="shared" si="27"/>
        <v>9.1898826392610378E-2</v>
      </c>
      <c r="I68" s="596">
        <f t="shared" si="27"/>
        <v>9.1920520240457285E-2</v>
      </c>
      <c r="J68" s="596">
        <f t="shared" si="27"/>
        <v>9.1776430670648737E-2</v>
      </c>
      <c r="K68" s="416"/>
      <c r="L68" s="416"/>
      <c r="M68" s="351"/>
      <c r="N68" s="351"/>
      <c r="O68" s="351"/>
      <c r="P68" s="351"/>
      <c r="Q68" s="351"/>
      <c r="R68" s="351"/>
      <c r="S68" s="351"/>
      <c r="T68" s="351"/>
      <c r="U68" s="351"/>
      <c r="V68" s="351"/>
      <c r="W68" s="351"/>
      <c r="X68" s="351"/>
      <c r="Y68" s="351"/>
    </row>
    <row r="69" spans="1:25">
      <c r="A69" s="417">
        <v>35</v>
      </c>
      <c r="B69" s="602" t="s">
        <v>424</v>
      </c>
      <c r="C69" s="419"/>
      <c r="D69" s="415" t="e">
        <f>IF(D15&gt;0,IF(D60&gt;0,D60/D15,"-ve"),0)</f>
        <v>#REF!</v>
      </c>
      <c r="E69" s="597" t="e">
        <f t="shared" ref="E69:J69" si="28">IF(E15&gt;0,IF(E60&gt;0,E60/E15,"-ve"),0)</f>
        <v>#REF!</v>
      </c>
      <c r="F69" s="597">
        <f t="shared" si="28"/>
        <v>9.955540732455577E-2</v>
      </c>
      <c r="G69" s="597">
        <f t="shared" si="28"/>
        <v>0.1005990512011144</v>
      </c>
      <c r="H69" s="597">
        <f t="shared" si="28"/>
        <v>9.8927313082425181E-2</v>
      </c>
      <c r="I69" s="597">
        <f t="shared" si="28"/>
        <v>9.7894733926799871E-2</v>
      </c>
      <c r="J69" s="597">
        <f t="shared" si="28"/>
        <v>9.6854512304039936E-2</v>
      </c>
      <c r="K69" s="416"/>
      <c r="L69" s="416"/>
      <c r="M69" s="351"/>
      <c r="N69" s="351"/>
      <c r="O69" s="351"/>
      <c r="P69" s="351"/>
      <c r="Q69" s="351"/>
      <c r="R69" s="351"/>
      <c r="S69" s="351"/>
      <c r="T69" s="351"/>
      <c r="U69" s="351"/>
      <c r="V69" s="351"/>
      <c r="W69" s="351"/>
      <c r="X69" s="351"/>
      <c r="Y69" s="351"/>
    </row>
    <row r="70" spans="1:25" hidden="1">
      <c r="A70" s="356"/>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row>
    <row r="71" spans="1:25" hidden="1">
      <c r="A71" s="420"/>
      <c r="B71" s="357"/>
      <c r="C71" s="357"/>
      <c r="D71" s="416"/>
      <c r="E71" s="416"/>
      <c r="F71" s="416"/>
      <c r="G71" s="416"/>
      <c r="H71" s="416"/>
      <c r="I71" s="416"/>
      <c r="J71" s="416"/>
      <c r="K71" s="416"/>
      <c r="L71" s="416"/>
      <c r="M71" s="351"/>
      <c r="N71" s="351"/>
      <c r="O71" s="351"/>
      <c r="P71" s="351"/>
      <c r="Q71" s="351"/>
      <c r="R71" s="351"/>
      <c r="S71" s="351"/>
      <c r="T71" s="351"/>
      <c r="U71" s="351"/>
      <c r="V71" s="351"/>
      <c r="W71" s="351"/>
      <c r="X71" s="351"/>
      <c r="Y71" s="351"/>
    </row>
    <row r="72" spans="1:25" ht="14.25" hidden="1" thickBot="1">
      <c r="A72" s="420"/>
      <c r="B72" s="357"/>
      <c r="C72" s="357"/>
      <c r="D72" s="351"/>
      <c r="E72" s="351"/>
      <c r="F72" s="351"/>
      <c r="G72" s="351"/>
      <c r="H72" s="351"/>
      <c r="I72" s="351"/>
      <c r="J72" s="351"/>
      <c r="K72" s="351"/>
      <c r="L72" s="351"/>
      <c r="M72" s="351"/>
      <c r="N72" s="351"/>
      <c r="O72" s="351"/>
      <c r="P72" s="351"/>
      <c r="Q72" s="351"/>
      <c r="R72" s="351"/>
      <c r="S72" s="351"/>
      <c r="T72" s="351"/>
      <c r="U72" s="351"/>
      <c r="V72" s="351"/>
      <c r="W72" s="351"/>
      <c r="X72" s="351"/>
      <c r="Y72" s="351"/>
    </row>
    <row r="73" spans="1:25" hidden="1">
      <c r="A73" s="420"/>
      <c r="B73" s="421" t="s">
        <v>425</v>
      </c>
      <c r="C73" s="422"/>
      <c r="D73" s="423"/>
      <c r="E73" s="423"/>
      <c r="F73" s="423"/>
      <c r="G73" s="423"/>
      <c r="H73" s="423"/>
      <c r="I73" s="423"/>
      <c r="J73" s="423"/>
      <c r="K73" s="384"/>
      <c r="L73" s="384"/>
      <c r="M73" s="351"/>
      <c r="N73" s="351"/>
      <c r="O73" s="351"/>
      <c r="P73" s="351"/>
      <c r="Q73" s="351"/>
      <c r="R73" s="351"/>
      <c r="S73" s="351"/>
      <c r="T73" s="351"/>
      <c r="U73" s="351"/>
      <c r="V73" s="351"/>
      <c r="W73" s="351"/>
      <c r="X73" s="351"/>
      <c r="Y73" s="351"/>
    </row>
    <row r="74" spans="1:25" hidden="1">
      <c r="A74" s="420"/>
      <c r="B74" s="424" t="s">
        <v>426</v>
      </c>
      <c r="C74" s="357"/>
      <c r="D74" s="425"/>
      <c r="E74" s="425"/>
      <c r="F74" s="425"/>
      <c r="G74" s="425"/>
      <c r="H74" s="425"/>
      <c r="I74" s="425"/>
      <c r="J74" s="425"/>
      <c r="K74" s="384"/>
      <c r="L74" s="384"/>
      <c r="M74" s="351"/>
      <c r="N74" s="351"/>
      <c r="O74" s="351"/>
      <c r="P74" s="351"/>
      <c r="Q74" s="351"/>
      <c r="R74" s="351"/>
      <c r="S74" s="351"/>
      <c r="T74" s="351"/>
      <c r="U74" s="351"/>
      <c r="V74" s="351"/>
      <c r="W74" s="351"/>
      <c r="X74" s="351"/>
      <c r="Y74" s="351"/>
    </row>
    <row r="75" spans="1:25" ht="14.25" hidden="1" thickBot="1">
      <c r="A75" s="420"/>
      <c r="B75" s="426" t="s">
        <v>427</v>
      </c>
      <c r="C75" s="359"/>
      <c r="D75" s="427"/>
      <c r="E75" s="427"/>
      <c r="F75" s="427"/>
      <c r="G75" s="427"/>
      <c r="H75" s="427"/>
      <c r="I75" s="427"/>
      <c r="J75" s="427"/>
      <c r="K75" s="384"/>
      <c r="L75" s="384"/>
      <c r="M75" s="351"/>
      <c r="N75" s="351"/>
      <c r="O75" s="351"/>
      <c r="P75" s="351"/>
      <c r="Q75" s="351"/>
      <c r="R75" s="351"/>
      <c r="S75" s="351"/>
      <c r="T75" s="351"/>
      <c r="U75" s="351"/>
      <c r="V75" s="351"/>
      <c r="W75" s="351"/>
      <c r="X75" s="351"/>
      <c r="Y75" s="351"/>
    </row>
    <row r="76" spans="1:25">
      <c r="A76" s="420"/>
      <c r="B76" s="357"/>
      <c r="C76" s="357"/>
      <c r="D76" s="384"/>
      <c r="E76" s="384"/>
      <c r="F76" s="384"/>
      <c r="G76" s="384"/>
      <c r="H76" s="384"/>
      <c r="I76" s="384"/>
      <c r="J76" s="384"/>
      <c r="K76" s="384"/>
      <c r="L76" s="384"/>
      <c r="M76" s="351"/>
      <c r="N76" s="351"/>
      <c r="O76" s="351"/>
      <c r="P76" s="351"/>
      <c r="Q76" s="351"/>
      <c r="R76" s="351"/>
      <c r="S76" s="351"/>
      <c r="T76" s="351"/>
      <c r="U76" s="351"/>
      <c r="V76" s="351"/>
      <c r="W76" s="351"/>
      <c r="X76" s="351"/>
      <c r="Y76" s="351"/>
    </row>
    <row r="77" spans="1:25" ht="15" customHeight="1">
      <c r="A77" s="912" t="s">
        <v>428</v>
      </c>
      <c r="B77" s="912"/>
      <c r="C77" s="912"/>
      <c r="D77" s="912"/>
      <c r="E77" s="912"/>
      <c r="F77" s="912"/>
      <c r="G77" s="912"/>
      <c r="H77" s="912"/>
      <c r="I77" s="912"/>
      <c r="J77" s="912"/>
      <c r="K77" s="351"/>
      <c r="L77" s="351"/>
      <c r="M77" s="351"/>
      <c r="N77" s="351"/>
      <c r="O77" s="351"/>
      <c r="P77" s="351"/>
      <c r="Q77" s="351"/>
      <c r="R77" s="351"/>
      <c r="S77" s="351"/>
      <c r="T77" s="351"/>
      <c r="U77" s="351"/>
      <c r="V77" s="351"/>
      <c r="W77" s="351"/>
      <c r="X77" s="351"/>
      <c r="Y77" s="351"/>
    </row>
    <row r="78" spans="1:25" ht="15">
      <c r="A78" s="911" t="s">
        <v>429</v>
      </c>
      <c r="B78" s="911"/>
      <c r="C78" s="911"/>
      <c r="D78" s="911"/>
      <c r="E78" s="911"/>
      <c r="F78" s="911"/>
      <c r="G78" s="911"/>
      <c r="H78" s="911"/>
      <c r="I78" s="911"/>
      <c r="J78" s="911"/>
      <c r="K78" s="351"/>
      <c r="L78" s="351"/>
      <c r="M78" s="351"/>
      <c r="N78" s="351"/>
      <c r="O78" s="351"/>
      <c r="P78" s="351"/>
      <c r="Q78" s="351"/>
      <c r="R78" s="351"/>
      <c r="S78" s="351"/>
      <c r="T78" s="351"/>
      <c r="U78" s="351"/>
      <c r="V78" s="351"/>
      <c r="W78" s="351"/>
      <c r="X78" s="351"/>
      <c r="Y78" s="351"/>
    </row>
    <row r="79" spans="1:25" ht="15">
      <c r="A79" s="428"/>
      <c r="B79" s="367" t="e">
        <f>B5</f>
        <v>#REF!</v>
      </c>
      <c r="C79" s="428"/>
      <c r="D79" s="428"/>
      <c r="E79" s="428"/>
      <c r="F79" s="428"/>
      <c r="G79" s="428"/>
      <c r="H79" s="351"/>
      <c r="I79" s="351"/>
      <c r="J79" s="351"/>
      <c r="K79" s="351"/>
      <c r="L79" s="351"/>
      <c r="M79" s="351"/>
      <c r="N79" s="351"/>
      <c r="O79" s="351"/>
      <c r="P79" s="351"/>
      <c r="Q79" s="351"/>
      <c r="R79" s="351"/>
      <c r="S79" s="351"/>
      <c r="T79" s="351"/>
      <c r="U79" s="351"/>
      <c r="V79" s="351"/>
      <c r="W79" s="351"/>
      <c r="X79" s="351"/>
      <c r="Y79" s="351"/>
    </row>
    <row r="80" spans="1:25" ht="15">
      <c r="A80" s="420"/>
      <c r="B80" s="351"/>
      <c r="C80" s="357"/>
      <c r="D80" s="351"/>
      <c r="E80" s="351"/>
      <c r="F80" s="508" t="str">
        <f>F6</f>
        <v xml:space="preserve">       Rupees in lacs</v>
      </c>
      <c r="G80" s="351"/>
      <c r="H80" s="351"/>
      <c r="I80" s="351"/>
      <c r="J80" s="351"/>
      <c r="K80" s="351"/>
      <c r="L80" s="351"/>
      <c r="M80" s="351"/>
      <c r="N80" s="351"/>
      <c r="O80" s="351"/>
      <c r="P80" s="351"/>
      <c r="Q80" s="351"/>
      <c r="R80" s="351"/>
      <c r="S80" s="351"/>
      <c r="T80" s="351"/>
      <c r="U80" s="351"/>
      <c r="V80" s="351"/>
      <c r="W80" s="351"/>
      <c r="X80" s="351"/>
      <c r="Y80" s="351"/>
    </row>
    <row r="81" spans="1:25">
      <c r="A81" s="564"/>
      <c r="B81" s="604"/>
      <c r="C81" s="566"/>
      <c r="D81" s="429" t="e">
        <f>D7</f>
        <v>#REF!</v>
      </c>
      <c r="E81" s="566"/>
      <c r="F81" s="429" t="str">
        <f>F7</f>
        <v>1st` year</v>
      </c>
      <c r="G81" s="429" t="str">
        <f t="shared" ref="G81:J82" si="29">G7</f>
        <v>2nd</v>
      </c>
      <c r="H81" s="429" t="str">
        <f t="shared" si="29"/>
        <v>3rd</v>
      </c>
      <c r="I81" s="429" t="str">
        <f t="shared" si="29"/>
        <v>4th</v>
      </c>
      <c r="J81" s="429" t="str">
        <f t="shared" si="29"/>
        <v>5th</v>
      </c>
      <c r="K81" s="356"/>
      <c r="L81" s="356"/>
      <c r="M81" s="351"/>
      <c r="N81" s="351"/>
      <c r="O81" s="351"/>
      <c r="P81" s="351"/>
      <c r="Q81" s="351"/>
      <c r="R81" s="351"/>
      <c r="S81" s="351"/>
      <c r="T81" s="351"/>
      <c r="U81" s="351"/>
      <c r="V81" s="351"/>
      <c r="W81" s="351"/>
      <c r="X81" s="351"/>
      <c r="Y81" s="351"/>
    </row>
    <row r="82" spans="1:25">
      <c r="A82" s="568"/>
      <c r="B82" s="418"/>
      <c r="C82" s="419"/>
      <c r="D82" s="605" t="e">
        <f>D8</f>
        <v>#REF!</v>
      </c>
      <c r="E82" s="419"/>
      <c r="F82" s="605" t="e">
        <f>F8</f>
        <v>#REF!</v>
      </c>
      <c r="G82" s="605" t="e">
        <f t="shared" si="29"/>
        <v>#REF!</v>
      </c>
      <c r="H82" s="605" t="e">
        <f t="shared" si="29"/>
        <v>#REF!</v>
      </c>
      <c r="I82" s="605" t="e">
        <f t="shared" si="29"/>
        <v>#REF!</v>
      </c>
      <c r="J82" s="605" t="e">
        <f t="shared" si="29"/>
        <v>#REF!</v>
      </c>
      <c r="K82" s="432"/>
      <c r="L82" s="432"/>
      <c r="M82" s="351"/>
      <c r="N82" s="351"/>
      <c r="O82" s="351"/>
      <c r="P82" s="351"/>
      <c r="Q82" s="351"/>
      <c r="R82" s="351"/>
      <c r="S82" s="351"/>
      <c r="T82" s="351"/>
      <c r="U82" s="351"/>
      <c r="V82" s="351"/>
      <c r="W82" s="351"/>
      <c r="X82" s="351"/>
      <c r="Y82" s="351"/>
    </row>
    <row r="83" spans="1:25" ht="15">
      <c r="A83" s="606"/>
      <c r="B83" s="607" t="s">
        <v>429</v>
      </c>
      <c r="C83" s="566"/>
      <c r="D83" s="383"/>
      <c r="E83" s="608"/>
      <c r="F83" s="608"/>
      <c r="G83" s="608"/>
      <c r="H83" s="608"/>
      <c r="I83" s="608"/>
      <c r="J83" s="608"/>
      <c r="K83" s="351"/>
      <c r="L83" s="351"/>
      <c r="M83" s="351"/>
      <c r="N83" s="351"/>
      <c r="O83" s="351"/>
      <c r="P83" s="351"/>
      <c r="Q83" s="351"/>
      <c r="R83" s="351"/>
      <c r="S83" s="351"/>
      <c r="T83" s="351"/>
      <c r="U83" s="351"/>
      <c r="V83" s="351"/>
      <c r="W83" s="351"/>
      <c r="X83" s="351"/>
      <c r="Y83" s="351"/>
    </row>
    <row r="84" spans="1:25" ht="15">
      <c r="A84" s="366"/>
      <c r="B84" s="367" t="s">
        <v>430</v>
      </c>
      <c r="C84" s="357"/>
      <c r="D84" s="383"/>
      <c r="E84" s="581"/>
      <c r="F84" s="581"/>
      <c r="G84" s="581"/>
      <c r="H84" s="581"/>
      <c r="I84" s="581"/>
      <c r="J84" s="581"/>
      <c r="K84" s="351"/>
      <c r="L84" s="351"/>
      <c r="M84" s="351"/>
      <c r="N84" s="351"/>
      <c r="O84" s="351"/>
      <c r="P84" s="351"/>
      <c r="Q84" s="351"/>
      <c r="R84" s="351"/>
      <c r="S84" s="351"/>
      <c r="T84" s="351"/>
      <c r="U84" s="351"/>
      <c r="V84" s="351"/>
      <c r="W84" s="351"/>
      <c r="X84" s="351"/>
      <c r="Y84" s="351"/>
    </row>
    <row r="85" spans="1:25" ht="27">
      <c r="A85" s="366">
        <v>1</v>
      </c>
      <c r="B85" s="435" t="s">
        <v>431</v>
      </c>
      <c r="C85" s="368"/>
      <c r="D85" s="385" t="e">
        <f>#REF!</f>
        <v>#REF!</v>
      </c>
      <c r="E85" s="575" t="e">
        <f>#REF!</f>
        <v>#REF!</v>
      </c>
      <c r="F85" s="577">
        <f>+'BALANCE SHEET'!D32</f>
        <v>48.755049374999999</v>
      </c>
      <c r="G85" s="577">
        <f>+'BALANCE SHEET'!E32</f>
        <v>51.597216250156251</v>
      </c>
      <c r="H85" s="577">
        <f>+'BALANCE SHEET'!F32</f>
        <v>51.664809375000004</v>
      </c>
      <c r="I85" s="577">
        <f>+'BALANCE SHEET'!G32</f>
        <v>51.707657156250001</v>
      </c>
      <c r="J85" s="577">
        <f>+'BALANCE SHEET'!H32</f>
        <v>51.707657156250001</v>
      </c>
      <c r="K85" s="374"/>
      <c r="L85" s="374"/>
      <c r="M85" s="351"/>
      <c r="N85" s="351"/>
      <c r="O85" s="351"/>
      <c r="P85" s="351"/>
      <c r="Q85" s="351"/>
      <c r="R85" s="351"/>
      <c r="S85" s="351"/>
      <c r="T85" s="351"/>
      <c r="U85" s="351"/>
      <c r="V85" s="351"/>
      <c r="W85" s="351"/>
      <c r="X85" s="351"/>
      <c r="Y85" s="351"/>
    </row>
    <row r="86" spans="1:25" ht="27.75" thickBot="1">
      <c r="A86" s="366"/>
      <c r="B86" s="435" t="s">
        <v>432</v>
      </c>
      <c r="C86" s="368"/>
      <c r="D86" s="408">
        <v>0</v>
      </c>
      <c r="E86" s="609">
        <v>0</v>
      </c>
      <c r="F86" s="609">
        <v>0</v>
      </c>
      <c r="G86" s="609">
        <v>0</v>
      </c>
      <c r="H86" s="609">
        <v>0</v>
      </c>
      <c r="I86" s="609">
        <v>0</v>
      </c>
      <c r="J86" s="609">
        <v>0</v>
      </c>
      <c r="K86" s="388"/>
      <c r="L86" s="388"/>
      <c r="M86" s="351"/>
      <c r="N86" s="351"/>
      <c r="O86" s="351"/>
      <c r="P86" s="351"/>
      <c r="Q86" s="351"/>
      <c r="R86" s="351"/>
      <c r="S86" s="351"/>
      <c r="T86" s="351"/>
      <c r="U86" s="351"/>
      <c r="V86" s="351"/>
      <c r="W86" s="351"/>
      <c r="X86" s="351"/>
      <c r="Y86" s="351"/>
    </row>
    <row r="87" spans="1:25" ht="15">
      <c r="A87" s="366"/>
      <c r="B87" s="424" t="s">
        <v>433</v>
      </c>
      <c r="C87" s="368"/>
      <c r="D87" s="389" t="e">
        <f>D85+D86</f>
        <v>#REF!</v>
      </c>
      <c r="E87" s="436" t="e">
        <f t="shared" ref="E87:J87" si="30">E85+E86</f>
        <v>#REF!</v>
      </c>
      <c r="F87" s="437">
        <f t="shared" si="30"/>
        <v>48.755049374999999</v>
      </c>
      <c r="G87" s="437">
        <f t="shared" si="30"/>
        <v>51.597216250156251</v>
      </c>
      <c r="H87" s="437">
        <f t="shared" si="30"/>
        <v>51.664809375000004</v>
      </c>
      <c r="I87" s="437">
        <f t="shared" si="30"/>
        <v>51.707657156250001</v>
      </c>
      <c r="J87" s="437">
        <f t="shared" si="30"/>
        <v>51.707657156250001</v>
      </c>
      <c r="K87" s="390"/>
      <c r="L87" s="390"/>
      <c r="M87" s="351"/>
      <c r="N87" s="351"/>
      <c r="O87" s="351"/>
      <c r="P87" s="351"/>
      <c r="Q87" s="351"/>
      <c r="R87" s="351"/>
      <c r="S87" s="351"/>
      <c r="T87" s="351"/>
      <c r="U87" s="351"/>
      <c r="V87" s="351"/>
      <c r="W87" s="351"/>
      <c r="X87" s="351"/>
      <c r="Y87" s="351"/>
    </row>
    <row r="88" spans="1:25" ht="15">
      <c r="A88" s="366"/>
      <c r="B88" s="424"/>
      <c r="C88" s="368"/>
      <c r="D88" s="436"/>
      <c r="E88" s="610"/>
      <c r="F88" s="610"/>
      <c r="G88" s="610"/>
      <c r="H88" s="610"/>
      <c r="I88" s="610"/>
      <c r="J88" s="610"/>
      <c r="K88" s="390"/>
      <c r="L88" s="390"/>
      <c r="M88" s="351"/>
      <c r="N88" s="351"/>
      <c r="O88" s="351"/>
      <c r="P88" s="351"/>
      <c r="Q88" s="351"/>
      <c r="R88" s="351"/>
      <c r="S88" s="351"/>
      <c r="T88" s="351"/>
      <c r="U88" s="351"/>
      <c r="V88" s="351"/>
      <c r="W88" s="351"/>
      <c r="X88" s="351"/>
      <c r="Y88" s="351"/>
    </row>
    <row r="89" spans="1:25" ht="15">
      <c r="A89" s="366">
        <v>2</v>
      </c>
      <c r="B89" s="424" t="s">
        <v>434</v>
      </c>
      <c r="C89" s="368"/>
      <c r="D89" s="437">
        <v>0</v>
      </c>
      <c r="E89" s="584">
        <v>0</v>
      </c>
      <c r="F89" s="593" t="e">
        <f>+#REF!</f>
        <v>#REF!</v>
      </c>
      <c r="G89" s="593" t="e">
        <f>+#REF!</f>
        <v>#REF!</v>
      </c>
      <c r="H89" s="593" t="e">
        <f>+#REF!</f>
        <v>#REF!</v>
      </c>
      <c r="I89" s="593" t="e">
        <f>+#REF!</f>
        <v>#REF!</v>
      </c>
      <c r="J89" s="593" t="e">
        <f>+#REF!</f>
        <v>#REF!</v>
      </c>
      <c r="K89" s="390"/>
      <c r="L89" s="390"/>
      <c r="M89" s="351"/>
      <c r="N89" s="351"/>
      <c r="O89" s="351"/>
      <c r="P89" s="351"/>
      <c r="Q89" s="351"/>
      <c r="R89" s="351"/>
      <c r="S89" s="351"/>
      <c r="T89" s="351"/>
      <c r="U89" s="351"/>
      <c r="V89" s="351"/>
      <c r="W89" s="351"/>
      <c r="X89" s="351"/>
      <c r="Y89" s="351"/>
    </row>
    <row r="90" spans="1:25">
      <c r="A90" s="366">
        <v>3</v>
      </c>
      <c r="B90" s="424" t="s">
        <v>435</v>
      </c>
      <c r="C90" s="368"/>
      <c r="D90" s="399" t="e">
        <f>#REF!</f>
        <v>#REF!</v>
      </c>
      <c r="E90" s="582" t="e">
        <f>#REF!</f>
        <v>#REF!</v>
      </c>
      <c r="F90" s="583">
        <f>+'BALANCE SHEET'!D31</f>
        <v>8.9887499999999996</v>
      </c>
      <c r="G90" s="583">
        <f>+'BALANCE SHEET'!E31</f>
        <v>9.5174999999999983</v>
      </c>
      <c r="H90" s="583">
        <f>+'BALANCE SHEET'!F31</f>
        <v>9.5174999999999983</v>
      </c>
      <c r="I90" s="583">
        <f>+'BALANCE SHEET'!G31</f>
        <v>9.5174999999999983</v>
      </c>
      <c r="J90" s="583">
        <f>+'BALANCE SHEET'!H31</f>
        <v>9.5174999999999983</v>
      </c>
      <c r="K90" s="388"/>
      <c r="L90" s="388"/>
      <c r="M90" s="351"/>
      <c r="N90" s="351"/>
      <c r="O90" s="351"/>
      <c r="P90" s="351"/>
      <c r="Q90" s="351"/>
      <c r="R90" s="351"/>
      <c r="S90" s="351"/>
      <c r="T90" s="351"/>
      <c r="U90" s="351"/>
      <c r="V90" s="351"/>
      <c r="W90" s="351"/>
      <c r="X90" s="351"/>
      <c r="Y90" s="351"/>
    </row>
    <row r="91" spans="1:25">
      <c r="A91" s="366">
        <v>4</v>
      </c>
      <c r="B91" s="424" t="s">
        <v>436</v>
      </c>
      <c r="C91" s="368"/>
      <c r="D91" s="399">
        <v>0</v>
      </c>
      <c r="E91" s="582">
        <v>0</v>
      </c>
      <c r="F91" s="583">
        <v>0</v>
      </c>
      <c r="G91" s="583">
        <v>0</v>
      </c>
      <c r="H91" s="583">
        <v>0</v>
      </c>
      <c r="I91" s="583">
        <v>0</v>
      </c>
      <c r="J91" s="583">
        <v>0</v>
      </c>
      <c r="K91" s="388"/>
      <c r="L91" s="388"/>
      <c r="M91" s="351"/>
      <c r="N91" s="351"/>
      <c r="O91" s="351"/>
      <c r="P91" s="351"/>
      <c r="Q91" s="351"/>
      <c r="R91" s="351"/>
      <c r="S91" s="351"/>
      <c r="T91" s="351"/>
      <c r="U91" s="351"/>
      <c r="V91" s="351"/>
      <c r="W91" s="351"/>
      <c r="X91" s="351"/>
      <c r="Y91" s="351"/>
    </row>
    <row r="92" spans="1:25">
      <c r="A92" s="366">
        <v>5</v>
      </c>
      <c r="B92" s="424" t="s">
        <v>437</v>
      </c>
      <c r="C92" s="368"/>
      <c r="D92" s="399" t="e">
        <f>#REF!</f>
        <v>#REF!</v>
      </c>
      <c r="E92" s="582" t="e">
        <f>#REF!</f>
        <v>#REF!</v>
      </c>
      <c r="F92" s="583">
        <v>0</v>
      </c>
      <c r="G92" s="583">
        <v>0</v>
      </c>
      <c r="H92" s="583">
        <v>0</v>
      </c>
      <c r="I92" s="583">
        <v>0</v>
      </c>
      <c r="J92" s="583">
        <v>0</v>
      </c>
      <c r="K92" s="388"/>
      <c r="L92" s="388"/>
      <c r="M92" s="351"/>
      <c r="N92" s="351"/>
      <c r="O92" s="351"/>
      <c r="P92" s="351"/>
      <c r="Q92" s="351"/>
      <c r="R92" s="351"/>
      <c r="S92" s="351"/>
      <c r="T92" s="351"/>
      <c r="U92" s="351"/>
      <c r="V92" s="351"/>
      <c r="W92" s="351"/>
      <c r="X92" s="351"/>
      <c r="Y92" s="351"/>
    </row>
    <row r="93" spans="1:25">
      <c r="A93" s="366">
        <v>6</v>
      </c>
      <c r="B93" s="424" t="s">
        <v>438</v>
      </c>
      <c r="C93" s="368"/>
      <c r="D93" s="399">
        <v>0</v>
      </c>
      <c r="E93" s="582">
        <v>0</v>
      </c>
      <c r="F93" s="583">
        <v>0</v>
      </c>
      <c r="G93" s="583">
        <v>0</v>
      </c>
      <c r="H93" s="583">
        <v>0</v>
      </c>
      <c r="I93" s="583">
        <v>0</v>
      </c>
      <c r="J93" s="583">
        <v>0</v>
      </c>
      <c r="K93" s="388"/>
      <c r="L93" s="388"/>
      <c r="M93" s="351"/>
      <c r="N93" s="351"/>
      <c r="O93" s="351"/>
      <c r="P93" s="351"/>
      <c r="Q93" s="351"/>
      <c r="R93" s="351"/>
      <c r="S93" s="351"/>
      <c r="T93" s="351"/>
      <c r="U93" s="351"/>
      <c r="V93" s="351"/>
      <c r="W93" s="351"/>
      <c r="X93" s="351"/>
      <c r="Y93" s="351"/>
    </row>
    <row r="94" spans="1:25">
      <c r="A94" s="366">
        <v>7</v>
      </c>
      <c r="B94" s="424" t="s">
        <v>439</v>
      </c>
      <c r="C94" s="368"/>
      <c r="D94" s="399">
        <v>0</v>
      </c>
      <c r="E94" s="582">
        <v>0</v>
      </c>
      <c r="F94" s="583">
        <v>0</v>
      </c>
      <c r="G94" s="583">
        <v>0</v>
      </c>
      <c r="H94" s="583">
        <v>0</v>
      </c>
      <c r="I94" s="583">
        <v>0</v>
      </c>
      <c r="J94" s="583">
        <v>0</v>
      </c>
      <c r="K94" s="388"/>
      <c r="L94" s="388"/>
      <c r="M94" s="351"/>
      <c r="N94" s="351"/>
      <c r="O94" s="351"/>
      <c r="P94" s="351"/>
      <c r="Q94" s="351"/>
      <c r="R94" s="351"/>
      <c r="S94" s="351"/>
      <c r="T94" s="351"/>
      <c r="U94" s="351"/>
      <c r="V94" s="351"/>
      <c r="W94" s="351"/>
      <c r="X94" s="351"/>
      <c r="Y94" s="351"/>
    </row>
    <row r="95" spans="1:25">
      <c r="A95" s="366">
        <v>8</v>
      </c>
      <c r="B95" s="424" t="s">
        <v>440</v>
      </c>
      <c r="C95" s="368"/>
      <c r="D95" s="407"/>
      <c r="E95" s="582"/>
      <c r="F95" s="582"/>
      <c r="G95" s="582"/>
      <c r="H95" s="582"/>
      <c r="I95" s="582"/>
      <c r="J95" s="582"/>
      <c r="K95" s="388"/>
      <c r="L95" s="388"/>
      <c r="M95" s="351"/>
      <c r="N95" s="351"/>
      <c r="O95" s="351"/>
      <c r="P95" s="351"/>
      <c r="Q95" s="351"/>
      <c r="R95" s="351"/>
      <c r="S95" s="351"/>
      <c r="T95" s="351"/>
      <c r="U95" s="351"/>
      <c r="V95" s="351"/>
      <c r="W95" s="351"/>
      <c r="X95" s="351"/>
      <c r="Y95" s="351"/>
    </row>
    <row r="96" spans="1:25" ht="40.5">
      <c r="A96" s="366">
        <v>9</v>
      </c>
      <c r="B96" s="435" t="s">
        <v>441</v>
      </c>
      <c r="C96" s="407">
        <v>0</v>
      </c>
      <c r="D96" s="407">
        <v>0</v>
      </c>
      <c r="E96" s="582">
        <f>+CASHFLOW!D24</f>
        <v>2.1016666666666666</v>
      </c>
      <c r="F96" s="582">
        <f>+CASHFLOW!E24</f>
        <v>2.5220000000000002</v>
      </c>
      <c r="G96" s="582">
        <f>+CASHFLOW!F24</f>
        <v>2.5220000000000002</v>
      </c>
      <c r="H96" s="582">
        <f>+CASHFLOW!G24</f>
        <v>2.5220000000000002</v>
      </c>
      <c r="I96" s="582">
        <f>+CASHFLOW!H24</f>
        <v>2.5220000000000002</v>
      </c>
      <c r="J96" s="582">
        <f>+CASHFLOW!I24</f>
        <v>0.42033333333333334</v>
      </c>
      <c r="K96" s="388"/>
      <c r="L96" s="388"/>
      <c r="M96" s="351"/>
      <c r="N96" s="351"/>
      <c r="O96" s="351"/>
      <c r="P96" s="351"/>
      <c r="Q96" s="351"/>
      <c r="R96" s="351"/>
      <c r="S96" s="351"/>
      <c r="T96" s="351"/>
      <c r="U96" s="351"/>
      <c r="V96" s="351"/>
      <c r="W96" s="351"/>
      <c r="X96" s="351"/>
      <c r="Y96" s="351"/>
    </row>
    <row r="97" spans="1:25" ht="27">
      <c r="A97" s="366">
        <v>10</v>
      </c>
      <c r="B97" s="435" t="s">
        <v>442</v>
      </c>
      <c r="C97" s="368"/>
      <c r="D97" s="615" t="e">
        <f>#REF!</f>
        <v>#REF!</v>
      </c>
      <c r="E97" s="609" t="e">
        <f>#REF!</f>
        <v>#REF!</v>
      </c>
      <c r="F97" s="616" t="e">
        <f>#REF!</f>
        <v>#REF!</v>
      </c>
      <c r="G97" s="616" t="e">
        <f>#REF!</f>
        <v>#REF!</v>
      </c>
      <c r="H97" s="616" t="e">
        <f>#REF!</f>
        <v>#REF!</v>
      </c>
      <c r="I97" s="616" t="e">
        <f>#REF!</f>
        <v>#REF!</v>
      </c>
      <c r="J97" s="616" t="e">
        <f>#REF!</f>
        <v>#REF!</v>
      </c>
      <c r="K97" s="388"/>
      <c r="L97" s="388"/>
      <c r="M97" s="351"/>
      <c r="N97" s="351"/>
      <c r="O97" s="351"/>
      <c r="P97" s="351"/>
      <c r="Q97" s="351"/>
      <c r="R97" s="351"/>
      <c r="S97" s="351"/>
      <c r="T97" s="351"/>
      <c r="U97" s="351"/>
      <c r="V97" s="351"/>
      <c r="W97" s="351"/>
      <c r="X97" s="351"/>
      <c r="Y97" s="351"/>
    </row>
    <row r="98" spans="1:25" ht="15">
      <c r="A98" s="366">
        <v>11</v>
      </c>
      <c r="B98" s="424" t="s">
        <v>443</v>
      </c>
      <c r="C98" s="436">
        <f t="shared" ref="C98:J98" si="31">SUM(C89:C97)</f>
        <v>0</v>
      </c>
      <c r="D98" s="437" t="e">
        <f t="shared" si="31"/>
        <v>#REF!</v>
      </c>
      <c r="E98" s="437" t="e">
        <f t="shared" si="31"/>
        <v>#REF!</v>
      </c>
      <c r="F98" s="437" t="e">
        <f t="shared" si="31"/>
        <v>#REF!</v>
      </c>
      <c r="G98" s="437" t="e">
        <f t="shared" si="31"/>
        <v>#REF!</v>
      </c>
      <c r="H98" s="437" t="e">
        <f t="shared" si="31"/>
        <v>#REF!</v>
      </c>
      <c r="I98" s="437" t="e">
        <f t="shared" si="31"/>
        <v>#REF!</v>
      </c>
      <c r="J98" s="437" t="e">
        <f t="shared" si="31"/>
        <v>#REF!</v>
      </c>
      <c r="K98" s="390"/>
      <c r="L98" s="390"/>
      <c r="M98" s="351"/>
      <c r="N98" s="351"/>
      <c r="O98" s="351"/>
      <c r="P98" s="351"/>
      <c r="Q98" s="351"/>
      <c r="R98" s="351"/>
      <c r="S98" s="351"/>
      <c r="T98" s="351"/>
      <c r="U98" s="351"/>
      <c r="V98" s="351"/>
      <c r="W98" s="351"/>
      <c r="X98" s="351"/>
      <c r="Y98" s="351"/>
    </row>
    <row r="99" spans="1:25" ht="15">
      <c r="A99" s="366">
        <v>12</v>
      </c>
      <c r="B99" s="433" t="s">
        <v>444</v>
      </c>
      <c r="C99" s="368"/>
      <c r="D99" s="389" t="e">
        <f>D87+D98</f>
        <v>#REF!</v>
      </c>
      <c r="E99" s="617" t="e">
        <f t="shared" ref="E99:J99" si="32">E87+E98</f>
        <v>#REF!</v>
      </c>
      <c r="F99" s="618" t="e">
        <f t="shared" si="32"/>
        <v>#REF!</v>
      </c>
      <c r="G99" s="618" t="e">
        <f t="shared" si="32"/>
        <v>#REF!</v>
      </c>
      <c r="H99" s="618" t="e">
        <f t="shared" si="32"/>
        <v>#REF!</v>
      </c>
      <c r="I99" s="618" t="e">
        <f t="shared" si="32"/>
        <v>#REF!</v>
      </c>
      <c r="J99" s="618" t="e">
        <f t="shared" si="32"/>
        <v>#REF!</v>
      </c>
      <c r="K99" s="390"/>
      <c r="L99" s="390"/>
      <c r="M99" s="351"/>
      <c r="N99" s="351"/>
      <c r="O99" s="351"/>
      <c r="P99" s="351"/>
      <c r="Q99" s="351"/>
      <c r="R99" s="351"/>
      <c r="S99" s="351"/>
      <c r="T99" s="351"/>
      <c r="U99" s="351"/>
      <c r="V99" s="351"/>
      <c r="W99" s="351"/>
      <c r="X99" s="351"/>
      <c r="Y99" s="351"/>
    </row>
    <row r="100" spans="1:25" ht="15">
      <c r="A100" s="366"/>
      <c r="B100" s="433" t="s">
        <v>445</v>
      </c>
      <c r="C100" s="368"/>
      <c r="D100" s="406"/>
      <c r="E100" s="586"/>
      <c r="F100" s="586"/>
      <c r="G100" s="586"/>
      <c r="H100" s="586"/>
      <c r="I100" s="586"/>
      <c r="J100" s="586"/>
      <c r="K100" s="392"/>
      <c r="L100" s="392"/>
      <c r="M100" s="351"/>
      <c r="N100" s="351"/>
      <c r="O100" s="351"/>
      <c r="P100" s="351"/>
      <c r="Q100" s="351"/>
      <c r="R100" s="351"/>
      <c r="S100" s="351"/>
      <c r="T100" s="351"/>
      <c r="U100" s="351"/>
      <c r="V100" s="351"/>
      <c r="W100" s="351"/>
      <c r="X100" s="351"/>
      <c r="Y100" s="351"/>
    </row>
    <row r="101" spans="1:25">
      <c r="A101" s="366">
        <v>13</v>
      </c>
      <c r="B101" s="424" t="s">
        <v>446</v>
      </c>
      <c r="C101" s="368"/>
      <c r="D101" s="407"/>
      <c r="E101" s="582"/>
      <c r="F101" s="582"/>
      <c r="G101" s="582"/>
      <c r="H101" s="582"/>
      <c r="I101" s="582"/>
      <c r="J101" s="582"/>
      <c r="K101" s="388"/>
      <c r="L101" s="388"/>
      <c r="M101" s="351"/>
      <c r="N101" s="351"/>
      <c r="O101" s="351"/>
      <c r="P101" s="351"/>
      <c r="Q101" s="351"/>
      <c r="R101" s="351"/>
      <c r="S101" s="351"/>
      <c r="T101" s="351"/>
      <c r="U101" s="351"/>
      <c r="V101" s="351"/>
      <c r="W101" s="351"/>
      <c r="X101" s="351"/>
      <c r="Y101" s="351"/>
    </row>
    <row r="102" spans="1:25">
      <c r="A102" s="366">
        <v>14</v>
      </c>
      <c r="B102" s="424" t="s">
        <v>447</v>
      </c>
      <c r="C102" s="368"/>
      <c r="D102" s="399" t="e">
        <f>#REF!-D96</f>
        <v>#REF!</v>
      </c>
      <c r="E102" s="582">
        <f>-E96</f>
        <v>-2.1016666666666666</v>
      </c>
      <c r="F102" s="583">
        <f>+'BALANCE SHEET'!D11-Sheet3!F96</f>
        <v>7.9863333333333397</v>
      </c>
      <c r="G102" s="583">
        <f>+'BALANCE SHEET'!E11-Sheet3!G96</f>
        <v>5.4643333333333475</v>
      </c>
      <c r="H102" s="583">
        <f>+'BALANCE SHEET'!F11-Sheet3!H96</f>
        <v>2.9423333333333455</v>
      </c>
      <c r="I102" s="583">
        <f>+'BALANCE SHEET'!G11-Sheet3!I96</f>
        <v>0.42033333333334344</v>
      </c>
      <c r="J102" s="583">
        <f>+'BALANCE SHEET'!H11-Sheet3!J96</f>
        <v>1.0047518372857667E-14</v>
      </c>
      <c r="K102" s="388"/>
      <c r="L102" s="388"/>
      <c r="M102" s="351"/>
      <c r="N102" s="351"/>
      <c r="O102" s="351"/>
      <c r="P102" s="351"/>
      <c r="Q102" s="351"/>
      <c r="R102" s="351"/>
      <c r="S102" s="351"/>
      <c r="T102" s="351"/>
      <c r="U102" s="351"/>
      <c r="V102" s="351"/>
      <c r="W102" s="351"/>
      <c r="X102" s="351"/>
      <c r="Y102" s="351"/>
    </row>
    <row r="103" spans="1:25" ht="40.5">
      <c r="A103" s="366">
        <v>14</v>
      </c>
      <c r="B103" s="435" t="s">
        <v>448</v>
      </c>
      <c r="C103" s="368"/>
      <c r="D103" s="407"/>
      <c r="E103" s="582"/>
      <c r="F103" s="582"/>
      <c r="G103" s="582"/>
      <c r="H103" s="582"/>
      <c r="I103" s="582"/>
      <c r="J103" s="582"/>
      <c r="K103" s="388"/>
      <c r="L103" s="388"/>
      <c r="M103" s="351"/>
      <c r="N103" s="351"/>
      <c r="O103" s="351"/>
      <c r="P103" s="351"/>
      <c r="Q103" s="351"/>
      <c r="R103" s="351"/>
      <c r="S103" s="351"/>
      <c r="T103" s="351"/>
      <c r="U103" s="351"/>
      <c r="V103" s="351"/>
      <c r="W103" s="351"/>
      <c r="X103" s="351"/>
      <c r="Y103" s="351"/>
    </row>
    <row r="104" spans="1:25" ht="40.5">
      <c r="A104" s="366">
        <v>15</v>
      </c>
      <c r="B104" s="435" t="s">
        <v>449</v>
      </c>
      <c r="C104" s="368"/>
      <c r="D104" s="407"/>
      <c r="E104" s="582"/>
      <c r="F104" s="582"/>
      <c r="G104" s="582"/>
      <c r="H104" s="582"/>
      <c r="I104" s="582"/>
      <c r="J104" s="582"/>
      <c r="K104" s="388"/>
      <c r="L104" s="388"/>
      <c r="M104" s="351"/>
      <c r="N104" s="351"/>
      <c r="O104" s="351"/>
      <c r="P104" s="351"/>
      <c r="Q104" s="351"/>
      <c r="R104" s="351"/>
      <c r="S104" s="351"/>
      <c r="T104" s="351"/>
      <c r="U104" s="351"/>
      <c r="V104" s="351"/>
      <c r="W104" s="351"/>
      <c r="X104" s="351"/>
      <c r="Y104" s="351"/>
    </row>
    <row r="105" spans="1:25">
      <c r="A105" s="366">
        <v>16</v>
      </c>
      <c r="B105" s="424" t="s">
        <v>450</v>
      </c>
      <c r="C105" s="368"/>
      <c r="D105" s="407"/>
      <c r="E105" s="582"/>
      <c r="F105" s="582"/>
      <c r="G105" s="582"/>
      <c r="H105" s="582"/>
      <c r="I105" s="582"/>
      <c r="J105" s="582"/>
      <c r="K105" s="388"/>
      <c r="L105" s="388"/>
      <c r="M105" s="351"/>
      <c r="N105" s="351"/>
      <c r="O105" s="351"/>
      <c r="P105" s="351"/>
      <c r="Q105" s="351"/>
      <c r="R105" s="351"/>
      <c r="S105" s="351"/>
      <c r="T105" s="351"/>
      <c r="U105" s="351"/>
      <c r="V105" s="351"/>
      <c r="W105" s="351"/>
      <c r="X105" s="351"/>
      <c r="Y105" s="351"/>
    </row>
    <row r="106" spans="1:25" ht="14.25" thickBot="1">
      <c r="A106" s="366">
        <v>17</v>
      </c>
      <c r="B106" s="424" t="s">
        <v>451</v>
      </c>
      <c r="C106" s="368"/>
      <c r="D106" s="408" t="e">
        <f>#REF!</f>
        <v>#REF!</v>
      </c>
      <c r="E106" s="609">
        <v>0</v>
      </c>
      <c r="F106" s="609">
        <f>+'BALANCE SHEET'!D13</f>
        <v>10</v>
      </c>
      <c r="G106" s="609">
        <f>+'BALANCE SHEET'!E13</f>
        <v>6</v>
      </c>
      <c r="H106" s="609">
        <f>+'BALANCE SHEET'!F13</f>
        <v>2</v>
      </c>
      <c r="I106" s="609">
        <f>+'BALANCE SHEET'!G13</f>
        <v>-2</v>
      </c>
      <c r="J106" s="609">
        <f>+'BALANCE SHEET'!H13</f>
        <v>-2.94</v>
      </c>
      <c r="K106" s="388"/>
      <c r="L106" s="388"/>
      <c r="M106" s="351"/>
      <c r="N106" s="351"/>
      <c r="O106" s="351"/>
      <c r="P106" s="351"/>
      <c r="Q106" s="351"/>
      <c r="R106" s="351"/>
      <c r="S106" s="351"/>
      <c r="T106" s="351"/>
      <c r="U106" s="351"/>
      <c r="V106" s="351"/>
      <c r="W106" s="351"/>
      <c r="X106" s="351"/>
      <c r="Y106" s="351"/>
    </row>
    <row r="107" spans="1:25" ht="15">
      <c r="A107" s="366">
        <v>18</v>
      </c>
      <c r="B107" s="433" t="s">
        <v>452</v>
      </c>
      <c r="C107" s="368"/>
      <c r="D107" s="439" t="e">
        <f>SUM(D101:D106)</f>
        <v>#REF!</v>
      </c>
      <c r="E107" s="436">
        <f t="shared" ref="E107:J107" si="33">SUM(E101:E106)</f>
        <v>-2.1016666666666666</v>
      </c>
      <c r="F107" s="436">
        <f t="shared" si="33"/>
        <v>17.986333333333341</v>
      </c>
      <c r="G107" s="436">
        <f t="shared" si="33"/>
        <v>11.464333333333347</v>
      </c>
      <c r="H107" s="436">
        <f t="shared" si="33"/>
        <v>4.9423333333333455</v>
      </c>
      <c r="I107" s="436">
        <f t="shared" si="33"/>
        <v>-1.5796666666666566</v>
      </c>
      <c r="J107" s="436">
        <f t="shared" si="33"/>
        <v>-2.9399999999999897</v>
      </c>
      <c r="K107" s="390"/>
      <c r="L107" s="390"/>
      <c r="M107" s="351"/>
      <c r="N107" s="351"/>
      <c r="O107" s="351"/>
      <c r="P107" s="351"/>
      <c r="Q107" s="351"/>
      <c r="R107" s="351"/>
      <c r="S107" s="351"/>
      <c r="T107" s="351"/>
      <c r="U107" s="351"/>
      <c r="V107" s="351"/>
      <c r="W107" s="351"/>
      <c r="X107" s="351"/>
      <c r="Y107" s="351"/>
    </row>
    <row r="108" spans="1:25" ht="15">
      <c r="A108" s="366">
        <v>19</v>
      </c>
      <c r="B108" s="433" t="s">
        <v>453</v>
      </c>
      <c r="C108" s="368"/>
      <c r="D108" s="389" t="e">
        <f>D107+D99</f>
        <v>#REF!</v>
      </c>
      <c r="E108" s="436" t="e">
        <f t="shared" ref="E108:J108" si="34">E107+E99</f>
        <v>#REF!</v>
      </c>
      <c r="F108" s="437" t="e">
        <f>F107+F99</f>
        <v>#REF!</v>
      </c>
      <c r="G108" s="437" t="e">
        <f t="shared" si="34"/>
        <v>#REF!</v>
      </c>
      <c r="H108" s="437" t="e">
        <f t="shared" si="34"/>
        <v>#REF!</v>
      </c>
      <c r="I108" s="437" t="e">
        <f t="shared" si="34"/>
        <v>#REF!</v>
      </c>
      <c r="J108" s="437" t="e">
        <f t="shared" si="34"/>
        <v>#REF!</v>
      </c>
      <c r="K108" s="390"/>
      <c r="L108" s="390"/>
      <c r="M108" s="351"/>
      <c r="N108" s="351"/>
      <c r="O108" s="351"/>
      <c r="P108" s="351"/>
      <c r="Q108" s="351"/>
      <c r="R108" s="351"/>
      <c r="S108" s="351"/>
      <c r="T108" s="351"/>
      <c r="U108" s="351"/>
      <c r="V108" s="351"/>
      <c r="W108" s="351"/>
      <c r="X108" s="351"/>
      <c r="Y108" s="351"/>
    </row>
    <row r="109" spans="1:25" ht="15">
      <c r="A109" s="366"/>
      <c r="B109" s="433" t="s">
        <v>454</v>
      </c>
      <c r="C109" s="368"/>
      <c r="D109" s="445"/>
      <c r="E109" s="613"/>
      <c r="F109" s="613"/>
      <c r="G109" s="613"/>
      <c r="H109" s="613"/>
      <c r="I109" s="613"/>
      <c r="J109" s="613"/>
      <c r="K109" s="392"/>
      <c r="L109" s="392"/>
      <c r="M109" s="351"/>
      <c r="N109" s="351"/>
      <c r="O109" s="351"/>
      <c r="P109" s="351"/>
      <c r="Q109" s="351"/>
      <c r="R109" s="351"/>
      <c r="S109" s="351"/>
      <c r="T109" s="351"/>
      <c r="U109" s="351"/>
      <c r="V109" s="351"/>
      <c r="W109" s="351"/>
      <c r="X109" s="351"/>
      <c r="Y109" s="351"/>
    </row>
    <row r="110" spans="1:25">
      <c r="A110" s="366">
        <v>20</v>
      </c>
      <c r="B110" s="424" t="s">
        <v>455</v>
      </c>
      <c r="C110" s="368"/>
      <c r="D110" s="392" t="e">
        <f>#REF!</f>
        <v>#REF!</v>
      </c>
      <c r="E110" s="586" t="e">
        <f>#REF!</f>
        <v>#REF!</v>
      </c>
      <c r="F110" s="586">
        <f>+'BALANCE SHEET'!D6</f>
        <v>8</v>
      </c>
      <c r="G110" s="586">
        <f>+'BALANCE SHEET'!E6</f>
        <v>8</v>
      </c>
      <c r="H110" s="586">
        <f>+'BALANCE SHEET'!F6</f>
        <v>8</v>
      </c>
      <c r="I110" s="586">
        <f>+'BALANCE SHEET'!G6</f>
        <v>8</v>
      </c>
      <c r="J110" s="586">
        <f>+'BALANCE SHEET'!H6</f>
        <v>8</v>
      </c>
      <c r="K110" s="440"/>
      <c r="L110" s="440"/>
      <c r="M110" s="351"/>
      <c r="N110" s="351"/>
      <c r="O110" s="351"/>
      <c r="P110" s="351"/>
      <c r="Q110" s="351"/>
      <c r="R110" s="351"/>
      <c r="S110" s="351"/>
      <c r="T110" s="351"/>
      <c r="U110" s="351"/>
      <c r="V110" s="351"/>
      <c r="W110" s="351"/>
      <c r="X110" s="351"/>
      <c r="Y110" s="351"/>
    </row>
    <row r="111" spans="1:25">
      <c r="A111" s="366">
        <v>21</v>
      </c>
      <c r="B111" s="424" t="s">
        <v>456</v>
      </c>
      <c r="C111" s="368"/>
      <c r="D111" s="611">
        <v>0</v>
      </c>
      <c r="E111" s="582">
        <v>0</v>
      </c>
      <c r="F111" s="583">
        <f>+'BALANCE SHEET'!D7</f>
        <v>10.374663713051278</v>
      </c>
      <c r="G111" s="583">
        <f>+'BALANCE SHEET'!E7</f>
        <v>22.156662784380178</v>
      </c>
      <c r="H111" s="583">
        <f>+'BALANCE SHEET'!F7</f>
        <v>33.826838585344774</v>
      </c>
      <c r="I111" s="583">
        <f>+'BALANCE SHEET'!G7</f>
        <v>45.502637431671317</v>
      </c>
      <c r="J111" s="583">
        <f>+'BALANCE SHEET'!H7</f>
        <v>57.141088261503469</v>
      </c>
      <c r="K111" s="388"/>
      <c r="L111" s="388"/>
      <c r="M111" s="351"/>
      <c r="N111" s="351"/>
      <c r="O111" s="351"/>
      <c r="P111" s="351"/>
      <c r="Q111" s="351"/>
      <c r="R111" s="351"/>
      <c r="S111" s="351"/>
      <c r="T111" s="351"/>
      <c r="U111" s="351"/>
      <c r="V111" s="351"/>
      <c r="W111" s="351"/>
      <c r="X111" s="351"/>
      <c r="Y111" s="351"/>
    </row>
    <row r="112" spans="1:25">
      <c r="A112" s="366">
        <v>22</v>
      </c>
      <c r="B112" s="424" t="s">
        <v>457</v>
      </c>
      <c r="C112" s="368"/>
      <c r="D112" s="611">
        <v>0</v>
      </c>
      <c r="E112" s="582">
        <v>0</v>
      </c>
      <c r="F112" s="583">
        <v>0</v>
      </c>
      <c r="G112" s="583">
        <v>0</v>
      </c>
      <c r="H112" s="583">
        <v>0</v>
      </c>
      <c r="I112" s="583">
        <v>0</v>
      </c>
      <c r="J112" s="583">
        <v>0</v>
      </c>
      <c r="K112" s="388"/>
      <c r="L112" s="388"/>
      <c r="M112" s="351"/>
      <c r="N112" s="351"/>
      <c r="O112" s="351"/>
      <c r="P112" s="351"/>
      <c r="Q112" s="351"/>
      <c r="R112" s="351"/>
      <c r="S112" s="351"/>
      <c r="T112" s="351"/>
      <c r="U112" s="351"/>
      <c r="V112" s="351"/>
      <c r="W112" s="351"/>
      <c r="X112" s="351"/>
      <c r="Y112" s="351"/>
    </row>
    <row r="113" spans="1:25" ht="14.25" thickBot="1">
      <c r="A113" s="366">
        <v>23</v>
      </c>
      <c r="B113" s="424" t="s">
        <v>458</v>
      </c>
      <c r="C113" s="368"/>
      <c r="D113" s="612" t="e">
        <f>#REF!</f>
        <v>#REF!</v>
      </c>
      <c r="E113" s="609" t="e">
        <f>#REF!</f>
        <v>#REF!</v>
      </c>
      <c r="F113" s="616">
        <v>0</v>
      </c>
      <c r="G113" s="616">
        <v>0</v>
      </c>
      <c r="H113" s="616">
        <v>0</v>
      </c>
      <c r="I113" s="616">
        <v>0</v>
      </c>
      <c r="J113" s="616">
        <v>0</v>
      </c>
      <c r="K113" s="388"/>
      <c r="L113" s="388"/>
      <c r="M113" s="351"/>
      <c r="N113" s="351"/>
      <c r="O113" s="351"/>
      <c r="P113" s="351"/>
      <c r="Q113" s="351"/>
      <c r="R113" s="351"/>
      <c r="S113" s="351"/>
      <c r="T113" s="351"/>
      <c r="U113" s="351"/>
      <c r="V113" s="351"/>
      <c r="W113" s="351"/>
      <c r="X113" s="351"/>
      <c r="Y113" s="351"/>
    </row>
    <row r="114" spans="1:25" ht="14.25" thickBot="1">
      <c r="A114" s="366">
        <v>24</v>
      </c>
      <c r="B114" s="424" t="s">
        <v>459</v>
      </c>
      <c r="C114" s="368"/>
      <c r="D114" s="387" t="e">
        <f>#REF!</f>
        <v>#REF!</v>
      </c>
      <c r="E114" s="407" t="e">
        <f>#REF!</f>
        <v>#REF!</v>
      </c>
      <c r="F114" s="399">
        <v>0</v>
      </c>
      <c r="G114" s="399">
        <v>0</v>
      </c>
      <c r="H114" s="399">
        <v>0</v>
      </c>
      <c r="I114" s="399">
        <v>0</v>
      </c>
      <c r="J114" s="399">
        <v>0</v>
      </c>
      <c r="K114" s="388"/>
      <c r="L114" s="388"/>
      <c r="M114" s="351"/>
      <c r="N114" s="351"/>
      <c r="O114" s="351"/>
      <c r="P114" s="351"/>
      <c r="Q114" s="351"/>
      <c r="R114" s="351"/>
      <c r="S114" s="351"/>
      <c r="T114" s="351"/>
      <c r="U114" s="351"/>
      <c r="V114" s="351"/>
      <c r="W114" s="351"/>
      <c r="X114" s="351"/>
      <c r="Y114" s="351"/>
    </row>
    <row r="115" spans="1:25" ht="15">
      <c r="A115" s="366">
        <v>24</v>
      </c>
      <c r="B115" s="433" t="s">
        <v>454</v>
      </c>
      <c r="C115" s="368"/>
      <c r="D115" s="389" t="e">
        <f>D110+D113+D114</f>
        <v>#REF!</v>
      </c>
      <c r="E115" s="389" t="e">
        <f>E110+E113+E114</f>
        <v>#REF!</v>
      </c>
      <c r="F115" s="389">
        <f>F110+F113+F114+F111</f>
        <v>18.374663713051277</v>
      </c>
      <c r="G115" s="389">
        <f>G110+G113+G114+G111</f>
        <v>30.156662784380178</v>
      </c>
      <c r="H115" s="389">
        <f>H110+H113+H114+H111</f>
        <v>41.826838585344774</v>
      </c>
      <c r="I115" s="389">
        <f>I110+I113+I114+I111</f>
        <v>53.502637431671317</v>
      </c>
      <c r="J115" s="389">
        <f>J110+J113+J114+J111</f>
        <v>65.141088261503469</v>
      </c>
      <c r="K115" s="390"/>
      <c r="L115" s="390"/>
      <c r="M115" s="351"/>
      <c r="N115" s="351"/>
      <c r="O115" s="351"/>
      <c r="P115" s="351"/>
      <c r="Q115" s="351"/>
      <c r="R115" s="351"/>
      <c r="S115" s="351"/>
      <c r="T115" s="351"/>
      <c r="U115" s="351"/>
      <c r="V115" s="351"/>
      <c r="W115" s="351"/>
      <c r="X115" s="351"/>
      <c r="Y115" s="351"/>
    </row>
    <row r="116" spans="1:25" ht="15">
      <c r="A116" s="417">
        <v>25</v>
      </c>
      <c r="B116" s="441" t="s">
        <v>460</v>
      </c>
      <c r="C116" s="419"/>
      <c r="D116" s="437" t="e">
        <f>D108+D115</f>
        <v>#REF!</v>
      </c>
      <c r="E116" s="437" t="e">
        <f t="shared" ref="E116:J116" si="35">E108+E115</f>
        <v>#REF!</v>
      </c>
      <c r="F116" s="437" t="e">
        <f t="shared" si="35"/>
        <v>#REF!</v>
      </c>
      <c r="G116" s="437" t="e">
        <f t="shared" si="35"/>
        <v>#REF!</v>
      </c>
      <c r="H116" s="437" t="e">
        <f t="shared" si="35"/>
        <v>#REF!</v>
      </c>
      <c r="I116" s="437" t="e">
        <f t="shared" si="35"/>
        <v>#REF!</v>
      </c>
      <c r="J116" s="437" t="e">
        <f t="shared" si="35"/>
        <v>#REF!</v>
      </c>
      <c r="K116" s="390"/>
      <c r="L116" s="390"/>
      <c r="M116" s="351"/>
      <c r="N116" s="351"/>
      <c r="O116" s="351"/>
      <c r="P116" s="351"/>
      <c r="Q116" s="351"/>
      <c r="R116" s="351"/>
      <c r="S116" s="351"/>
      <c r="T116" s="351"/>
      <c r="U116" s="351"/>
      <c r="V116" s="351"/>
      <c r="W116" s="351"/>
      <c r="X116" s="351"/>
      <c r="Y116" s="351"/>
    </row>
    <row r="117" spans="1:25">
      <c r="A117" s="420"/>
      <c r="B117" s="357"/>
      <c r="C117" s="357"/>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row>
    <row r="118" spans="1:25">
      <c r="A118" s="420"/>
      <c r="B118" s="357"/>
      <c r="C118" s="357"/>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row>
    <row r="119" spans="1:25">
      <c r="A119" s="420"/>
      <c r="B119" s="357"/>
      <c r="C119" s="357"/>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row>
    <row r="120" spans="1:25">
      <c r="A120" s="420"/>
      <c r="B120" s="357"/>
      <c r="C120" s="357"/>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row>
    <row r="121" spans="1:25">
      <c r="A121" s="420"/>
      <c r="B121" s="357"/>
      <c r="C121" s="357"/>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row>
    <row r="122" spans="1:25">
      <c r="A122" s="420"/>
      <c r="B122" s="357"/>
      <c r="C122" s="357"/>
      <c r="D122" s="351"/>
      <c r="E122" s="351"/>
      <c r="F122" s="351"/>
      <c r="G122" s="351"/>
      <c r="H122" s="351"/>
      <c r="I122" s="351"/>
      <c r="J122" s="351"/>
      <c r="K122" s="351"/>
      <c r="L122" s="351"/>
      <c r="M122" s="351"/>
      <c r="N122" s="351"/>
      <c r="O122" s="351"/>
      <c r="P122" s="351"/>
      <c r="Q122" s="351"/>
      <c r="R122" s="351"/>
      <c r="S122" s="351"/>
      <c r="T122" s="351"/>
      <c r="U122" s="351"/>
      <c r="V122" s="351"/>
      <c r="W122" s="351"/>
      <c r="X122" s="351"/>
      <c r="Y122" s="351"/>
    </row>
    <row r="123" spans="1:25">
      <c r="A123" s="420"/>
      <c r="B123" s="357"/>
      <c r="C123" s="357"/>
      <c r="D123" s="351"/>
      <c r="E123" s="351"/>
      <c r="F123" s="351"/>
      <c r="G123" s="351"/>
      <c r="H123" s="351"/>
      <c r="I123" s="351"/>
      <c r="J123" s="351"/>
      <c r="K123" s="351"/>
      <c r="L123" s="351"/>
      <c r="M123" s="351"/>
      <c r="N123" s="351"/>
      <c r="O123" s="351"/>
      <c r="P123" s="351"/>
      <c r="Q123" s="351"/>
      <c r="R123" s="351"/>
      <c r="S123" s="351"/>
      <c r="T123" s="351"/>
      <c r="U123" s="351"/>
      <c r="V123" s="351"/>
      <c r="W123" s="351"/>
      <c r="X123" s="351"/>
      <c r="Y123" s="351"/>
    </row>
    <row r="124" spans="1:25">
      <c r="A124" s="420"/>
      <c r="B124" s="357"/>
      <c r="C124" s="357"/>
      <c r="D124" s="351"/>
      <c r="E124" s="351"/>
      <c r="F124" s="351"/>
      <c r="G124" s="351"/>
      <c r="H124" s="351"/>
      <c r="I124" s="351"/>
      <c r="J124" s="351"/>
      <c r="K124" s="351"/>
      <c r="L124" s="351"/>
      <c r="M124" s="351"/>
      <c r="N124" s="351"/>
      <c r="O124" s="351"/>
      <c r="P124" s="351"/>
      <c r="Q124" s="351"/>
      <c r="R124" s="351"/>
      <c r="S124" s="351"/>
      <c r="T124" s="351"/>
      <c r="U124" s="351"/>
      <c r="V124" s="351"/>
      <c r="W124" s="351"/>
      <c r="X124" s="351"/>
      <c r="Y124" s="351"/>
    </row>
    <row r="125" spans="1:25">
      <c r="A125" s="420"/>
      <c r="B125" s="357"/>
      <c r="C125" s="357"/>
      <c r="D125" s="351"/>
      <c r="E125" s="351"/>
      <c r="F125" s="351"/>
      <c r="G125" s="351"/>
      <c r="H125" s="351"/>
      <c r="I125" s="351"/>
      <c r="J125" s="351"/>
      <c r="K125" s="351"/>
      <c r="L125" s="351"/>
      <c r="M125" s="351"/>
      <c r="N125" s="351"/>
      <c r="O125" s="351"/>
      <c r="P125" s="351"/>
      <c r="Q125" s="351"/>
      <c r="R125" s="351"/>
      <c r="S125" s="351"/>
      <c r="T125" s="351"/>
      <c r="U125" s="351"/>
      <c r="V125" s="351"/>
      <c r="W125" s="351"/>
      <c r="X125" s="351"/>
      <c r="Y125" s="351"/>
    </row>
    <row r="126" spans="1:25">
      <c r="A126" s="420"/>
      <c r="B126" s="357"/>
      <c r="C126" s="357"/>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351"/>
    </row>
    <row r="127" spans="1:25">
      <c r="A127" s="420"/>
      <c r="B127" s="357"/>
      <c r="C127" s="357"/>
      <c r="D127" s="351"/>
      <c r="E127" s="351"/>
      <c r="F127" s="351"/>
      <c r="G127" s="351"/>
      <c r="H127" s="351"/>
      <c r="I127" s="351"/>
      <c r="J127" s="351"/>
      <c r="K127" s="351"/>
      <c r="L127" s="351"/>
      <c r="M127" s="351"/>
      <c r="N127" s="351"/>
      <c r="O127" s="351"/>
      <c r="P127" s="351"/>
      <c r="Q127" s="351"/>
      <c r="R127" s="351"/>
      <c r="S127" s="351"/>
      <c r="T127" s="351"/>
      <c r="U127" s="351"/>
      <c r="V127" s="351"/>
      <c r="W127" s="351"/>
      <c r="X127" s="351"/>
      <c r="Y127" s="351"/>
    </row>
    <row r="128" spans="1:25">
      <c r="A128" s="420"/>
      <c r="B128" s="357"/>
      <c r="C128" s="357"/>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row>
    <row r="129" spans="1:25">
      <c r="A129" s="420"/>
      <c r="B129" s="357"/>
      <c r="C129" s="357"/>
      <c r="D129" s="351"/>
      <c r="E129" s="351"/>
      <c r="F129" s="351"/>
      <c r="G129" s="351"/>
      <c r="H129" s="351"/>
      <c r="I129" s="351"/>
      <c r="J129" s="351"/>
      <c r="K129" s="351"/>
      <c r="L129" s="351"/>
      <c r="M129" s="351"/>
      <c r="N129" s="351"/>
      <c r="O129" s="351"/>
      <c r="P129" s="351"/>
      <c r="Q129" s="351"/>
      <c r="R129" s="351"/>
      <c r="S129" s="351"/>
      <c r="T129" s="351"/>
      <c r="U129" s="351"/>
      <c r="V129" s="351"/>
      <c r="W129" s="351"/>
      <c r="X129" s="351"/>
      <c r="Y129" s="351"/>
    </row>
    <row r="130" spans="1:25">
      <c r="A130" s="420"/>
      <c r="B130" s="357"/>
      <c r="C130" s="357"/>
      <c r="D130" s="351"/>
      <c r="E130" s="351"/>
      <c r="F130" s="351"/>
      <c r="G130" s="351"/>
      <c r="H130" s="351"/>
      <c r="I130" s="351"/>
      <c r="J130" s="351"/>
      <c r="K130" s="351"/>
      <c r="L130" s="351"/>
      <c r="M130" s="351"/>
      <c r="N130" s="351"/>
      <c r="O130" s="351"/>
      <c r="P130" s="351"/>
      <c r="Q130" s="351"/>
      <c r="R130" s="351"/>
      <c r="S130" s="351"/>
      <c r="T130" s="351"/>
      <c r="U130" s="351"/>
      <c r="V130" s="351"/>
      <c r="W130" s="351"/>
      <c r="X130" s="351"/>
      <c r="Y130" s="351"/>
    </row>
    <row r="131" spans="1:25">
      <c r="A131" s="420"/>
      <c r="B131" s="357"/>
      <c r="C131" s="357"/>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row>
    <row r="132" spans="1:25">
      <c r="A132" s="420"/>
      <c r="B132" s="357"/>
      <c r="C132" s="357"/>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row>
    <row r="133" spans="1:25">
      <c r="A133" s="420"/>
      <c r="B133" s="357"/>
      <c r="C133" s="357"/>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row>
    <row r="134" spans="1:25">
      <c r="A134" s="420"/>
      <c r="B134" s="357"/>
      <c r="C134" s="357"/>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row>
    <row r="135" spans="1:25">
      <c r="A135" s="420"/>
      <c r="B135" s="357"/>
      <c r="C135" s="357"/>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row>
    <row r="136" spans="1:25">
      <c r="A136" s="420"/>
      <c r="B136" s="357"/>
      <c r="C136" s="357"/>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row>
    <row r="137" spans="1:25" ht="15" customHeight="1">
      <c r="A137" s="912" t="s">
        <v>428</v>
      </c>
      <c r="B137" s="912"/>
      <c r="C137" s="912"/>
      <c r="D137" s="912"/>
      <c r="E137" s="912"/>
      <c r="F137" s="912"/>
      <c r="G137" s="912"/>
      <c r="H137" s="912"/>
      <c r="I137" s="912"/>
      <c r="J137" s="912"/>
      <c r="K137" s="351"/>
      <c r="L137" s="351"/>
      <c r="M137" s="351"/>
      <c r="N137" s="351"/>
      <c r="O137" s="351"/>
      <c r="P137" s="351"/>
      <c r="Q137" s="351"/>
      <c r="R137" s="351"/>
      <c r="S137" s="351"/>
      <c r="T137" s="351"/>
      <c r="U137" s="351"/>
      <c r="V137" s="351"/>
      <c r="W137" s="351"/>
      <c r="X137" s="351"/>
      <c r="Y137" s="351"/>
    </row>
    <row r="138" spans="1:25" ht="15" customHeight="1">
      <c r="A138" s="912" t="s">
        <v>461</v>
      </c>
      <c r="B138" s="912"/>
      <c r="C138" s="912"/>
      <c r="D138" s="912"/>
      <c r="E138" s="912"/>
      <c r="F138" s="912"/>
      <c r="G138" s="912"/>
      <c r="H138" s="912"/>
      <c r="I138" s="912"/>
      <c r="J138" s="912"/>
      <c r="K138" s="351"/>
      <c r="L138" s="351"/>
      <c r="M138" s="351"/>
      <c r="N138" s="351"/>
      <c r="O138" s="351"/>
      <c r="P138" s="351"/>
      <c r="Q138" s="351"/>
      <c r="R138" s="351"/>
      <c r="S138" s="351"/>
      <c r="T138" s="351"/>
      <c r="U138" s="351"/>
      <c r="V138" s="351"/>
      <c r="W138" s="351"/>
      <c r="X138" s="351"/>
      <c r="Y138" s="351"/>
    </row>
    <row r="139" spans="1:25" ht="15" customHeight="1">
      <c r="A139" s="350"/>
      <c r="B139" s="367" t="e">
        <f>B5</f>
        <v>#REF!</v>
      </c>
      <c r="C139" s="350"/>
      <c r="D139" s="350"/>
      <c r="E139" s="350"/>
      <c r="F139" s="350"/>
      <c r="G139" s="350"/>
      <c r="H139" s="351"/>
      <c r="I139" s="351"/>
      <c r="J139" s="351"/>
      <c r="K139" s="351"/>
      <c r="L139" s="351"/>
      <c r="M139" s="351"/>
      <c r="N139" s="351"/>
      <c r="O139" s="351"/>
      <c r="P139" s="351"/>
      <c r="Q139" s="351"/>
      <c r="R139" s="351"/>
      <c r="S139" s="351"/>
      <c r="T139" s="351"/>
      <c r="U139" s="351"/>
      <c r="V139" s="351"/>
      <c r="W139" s="351"/>
      <c r="X139" s="351"/>
      <c r="Y139" s="351"/>
    </row>
    <row r="140" spans="1:25" ht="15">
      <c r="A140" s="420"/>
      <c r="C140" s="357"/>
      <c r="D140" s="351"/>
      <c r="E140" s="351"/>
      <c r="F140" s="508" t="str">
        <f>F6</f>
        <v xml:space="preserve">       Rupees in lacs</v>
      </c>
      <c r="G140" s="351"/>
      <c r="H140" s="351"/>
      <c r="I140" s="351"/>
      <c r="J140" s="351"/>
      <c r="K140" s="351"/>
      <c r="L140" s="351"/>
      <c r="M140" s="351"/>
      <c r="N140" s="351"/>
      <c r="O140" s="351"/>
      <c r="P140" s="351"/>
      <c r="Q140" s="351"/>
      <c r="R140" s="351"/>
      <c r="S140" s="351"/>
      <c r="T140" s="351"/>
      <c r="U140" s="351"/>
      <c r="V140" s="351"/>
      <c r="W140" s="351"/>
      <c r="X140" s="351"/>
      <c r="Y140" s="351"/>
    </row>
    <row r="141" spans="1:25">
      <c r="A141" s="564"/>
      <c r="B141" s="565"/>
      <c r="C141" s="566"/>
      <c r="D141" s="429" t="e">
        <f>D7</f>
        <v>#REF!</v>
      </c>
      <c r="E141" s="566"/>
      <c r="F141" s="429" t="str">
        <f t="shared" ref="F141:J142" si="36">F7</f>
        <v>1st` year</v>
      </c>
      <c r="G141" s="429" t="str">
        <f t="shared" si="36"/>
        <v>2nd</v>
      </c>
      <c r="H141" s="429" t="str">
        <f t="shared" si="36"/>
        <v>3rd</v>
      </c>
      <c r="I141" s="429" t="str">
        <f t="shared" si="36"/>
        <v>4th</v>
      </c>
      <c r="J141" s="429" t="str">
        <f t="shared" si="36"/>
        <v>5th</v>
      </c>
      <c r="K141" s="356"/>
      <c r="L141" s="356"/>
      <c r="M141" s="351"/>
      <c r="N141" s="351"/>
      <c r="O141" s="351"/>
      <c r="P141" s="351"/>
      <c r="Q141" s="351"/>
      <c r="R141" s="351"/>
      <c r="S141" s="351"/>
      <c r="T141" s="351"/>
      <c r="U141" s="351"/>
      <c r="V141" s="351"/>
      <c r="W141" s="351"/>
      <c r="X141" s="351"/>
      <c r="Y141" s="351"/>
    </row>
    <row r="142" spans="1:25">
      <c r="A142" s="568"/>
      <c r="B142" s="551"/>
      <c r="C142" s="419"/>
      <c r="D142" s="605" t="e">
        <f>D8</f>
        <v>#REF!</v>
      </c>
      <c r="E142" s="419"/>
      <c r="F142" s="605" t="e">
        <f t="shared" si="36"/>
        <v>#REF!</v>
      </c>
      <c r="G142" s="605" t="e">
        <f t="shared" si="36"/>
        <v>#REF!</v>
      </c>
      <c r="H142" s="605" t="e">
        <f t="shared" si="36"/>
        <v>#REF!</v>
      </c>
      <c r="I142" s="605" t="e">
        <f t="shared" si="36"/>
        <v>#REF!</v>
      </c>
      <c r="J142" s="605" t="e">
        <f t="shared" si="36"/>
        <v>#REF!</v>
      </c>
      <c r="K142" s="432"/>
      <c r="L142" s="432"/>
      <c r="M142" s="351"/>
      <c r="N142" s="351"/>
      <c r="O142" s="351"/>
      <c r="P142" s="351"/>
      <c r="Q142" s="351"/>
      <c r="R142" s="351"/>
      <c r="S142" s="351"/>
      <c r="T142" s="351"/>
      <c r="U142" s="351"/>
      <c r="V142" s="351"/>
      <c r="W142" s="351"/>
      <c r="X142" s="351"/>
      <c r="Y142" s="351"/>
    </row>
    <row r="143" spans="1:25" ht="15">
      <c r="A143" s="366"/>
      <c r="B143" s="913" t="s">
        <v>461</v>
      </c>
      <c r="C143" s="909"/>
      <c r="D143" s="434"/>
      <c r="E143" s="603"/>
      <c r="F143" s="603"/>
      <c r="G143" s="603"/>
      <c r="H143" s="603"/>
      <c r="I143" s="603"/>
      <c r="J143" s="603"/>
      <c r="K143" s="351"/>
      <c r="L143" s="351"/>
      <c r="M143" s="351"/>
      <c r="N143" s="351"/>
      <c r="O143" s="351"/>
      <c r="P143" s="351"/>
      <c r="Q143" s="351"/>
      <c r="R143" s="351"/>
      <c r="S143" s="351"/>
      <c r="T143" s="351"/>
      <c r="U143" s="351"/>
      <c r="V143" s="351"/>
      <c r="W143" s="351"/>
      <c r="X143" s="351"/>
      <c r="Y143" s="351"/>
    </row>
    <row r="144" spans="1:25" ht="15">
      <c r="A144" s="366"/>
      <c r="B144" s="913" t="s">
        <v>255</v>
      </c>
      <c r="C144" s="909"/>
      <c r="D144" s="383"/>
      <c r="E144" s="581"/>
      <c r="F144" s="581"/>
      <c r="G144" s="581"/>
      <c r="H144" s="581"/>
      <c r="I144" s="581"/>
      <c r="J144" s="581"/>
      <c r="K144" s="351"/>
      <c r="L144" s="351"/>
      <c r="M144" s="351"/>
      <c r="N144" s="351"/>
      <c r="O144" s="351"/>
      <c r="P144" s="351"/>
      <c r="Q144" s="351"/>
      <c r="R144" s="351"/>
      <c r="S144" s="351"/>
      <c r="T144" s="351"/>
      <c r="U144" s="351"/>
      <c r="V144" s="351"/>
      <c r="W144" s="351"/>
      <c r="X144" s="351"/>
      <c r="Y144" s="351"/>
    </row>
    <row r="145" spans="1:25">
      <c r="A145" s="366">
        <v>26</v>
      </c>
      <c r="B145" s="910" t="s">
        <v>462</v>
      </c>
      <c r="C145" s="909"/>
      <c r="D145" s="399" t="e">
        <f>#REF!</f>
        <v>#REF!</v>
      </c>
      <c r="E145" s="582" t="e">
        <f>#REF!</f>
        <v>#REF!</v>
      </c>
      <c r="F145" s="583">
        <f>+'BALANCE SHEET'!D29</f>
        <v>5.3436576713846051</v>
      </c>
      <c r="G145" s="583">
        <f>+'BALANCE SHEET'!E29</f>
        <v>6.6571782007864222</v>
      </c>
      <c r="H145" s="583">
        <f>+'BALANCE SHEET'!F29</f>
        <v>8.5163462936781045</v>
      </c>
      <c r="I145" s="583">
        <f>+'BALANCE SHEET'!G29</f>
        <v>10.149205296254642</v>
      </c>
      <c r="J145" s="583">
        <f>+'BALANCE SHEET'!H29</f>
        <v>14.641894885461792</v>
      </c>
      <c r="K145" s="388"/>
      <c r="L145" s="388"/>
      <c r="M145" s="351"/>
      <c r="N145" s="351"/>
      <c r="O145" s="351"/>
      <c r="P145" s="351"/>
      <c r="Q145" s="351"/>
      <c r="R145" s="351"/>
      <c r="S145" s="351"/>
      <c r="T145" s="351"/>
      <c r="U145" s="351"/>
      <c r="V145" s="351"/>
      <c r="W145" s="351"/>
      <c r="X145" s="351"/>
      <c r="Y145" s="351"/>
    </row>
    <row r="146" spans="1:25">
      <c r="A146" s="366">
        <v>27</v>
      </c>
      <c r="B146" s="910" t="s">
        <v>463</v>
      </c>
      <c r="C146" s="909"/>
      <c r="D146" s="399">
        <v>0</v>
      </c>
      <c r="E146" s="582">
        <v>0</v>
      </c>
      <c r="F146" s="583">
        <v>0</v>
      </c>
      <c r="G146" s="583">
        <v>0</v>
      </c>
      <c r="H146" s="583">
        <v>0</v>
      </c>
      <c r="I146" s="583">
        <v>0</v>
      </c>
      <c r="J146" s="583">
        <v>0</v>
      </c>
      <c r="K146" s="388"/>
      <c r="L146" s="388"/>
      <c r="M146" s="351"/>
      <c r="N146" s="351"/>
      <c r="O146" s="351"/>
      <c r="P146" s="351"/>
      <c r="Q146" s="351"/>
      <c r="R146" s="351"/>
      <c r="S146" s="351"/>
      <c r="T146" s="351"/>
      <c r="U146" s="351"/>
      <c r="V146" s="351"/>
      <c r="W146" s="351"/>
      <c r="X146" s="351"/>
      <c r="Y146" s="351"/>
    </row>
    <row r="147" spans="1:25">
      <c r="A147" s="366">
        <v>28</v>
      </c>
      <c r="B147" s="910" t="s">
        <v>464</v>
      </c>
      <c r="C147" s="909"/>
      <c r="D147" s="399" t="e">
        <f>#REF!</f>
        <v>#REF!</v>
      </c>
      <c r="E147" s="582" t="e">
        <f>#REF!</f>
        <v>#REF!</v>
      </c>
      <c r="F147" s="583" t="e">
        <f>#REF!</f>
        <v>#REF!</v>
      </c>
      <c r="G147" s="583" t="e">
        <f>#REF!</f>
        <v>#REF!</v>
      </c>
      <c r="H147" s="583" t="e">
        <f>#REF!</f>
        <v>#REF!</v>
      </c>
      <c r="I147" s="583" t="e">
        <f>#REF!</f>
        <v>#REF!</v>
      </c>
      <c r="J147" s="583" t="e">
        <f>#REF!</f>
        <v>#REF!</v>
      </c>
      <c r="K147" s="388"/>
      <c r="L147" s="388"/>
      <c r="M147" s="351"/>
      <c r="N147" s="351"/>
      <c r="O147" s="351"/>
      <c r="P147" s="351"/>
      <c r="Q147" s="351"/>
      <c r="R147" s="351"/>
      <c r="S147" s="351"/>
      <c r="T147" s="351"/>
      <c r="U147" s="351"/>
      <c r="V147" s="351"/>
      <c r="W147" s="351"/>
      <c r="X147" s="351"/>
      <c r="Y147" s="351"/>
    </row>
    <row r="148" spans="1:25">
      <c r="A148" s="366">
        <v>29</v>
      </c>
      <c r="B148" s="908" t="s">
        <v>465</v>
      </c>
      <c r="C148" s="909"/>
      <c r="D148" s="399" t="e">
        <f>#REF!</f>
        <v>#REF!</v>
      </c>
      <c r="E148" s="582" t="e">
        <f>#REF!</f>
        <v>#REF!</v>
      </c>
      <c r="F148" s="583">
        <f>+'BALANCE SHEET'!D26</f>
        <v>40.799999999999997</v>
      </c>
      <c r="G148" s="583">
        <f>+'BALANCE SHEET'!E26</f>
        <v>43.2</v>
      </c>
      <c r="H148" s="583">
        <f>+'BALANCE SHEET'!F26</f>
        <v>43.2</v>
      </c>
      <c r="I148" s="583">
        <f>+'BALANCE SHEET'!G26</f>
        <v>43.2</v>
      </c>
      <c r="J148" s="583">
        <f>+'BALANCE SHEET'!H26</f>
        <v>43.2</v>
      </c>
      <c r="K148" s="388"/>
      <c r="L148" s="388"/>
      <c r="M148" s="351"/>
      <c r="N148" s="351"/>
      <c r="O148" s="351"/>
      <c r="P148" s="351"/>
      <c r="Q148" s="351"/>
      <c r="R148" s="351"/>
      <c r="S148" s="351"/>
      <c r="T148" s="351"/>
      <c r="U148" s="351"/>
      <c r="V148" s="351"/>
      <c r="W148" s="351"/>
      <c r="X148" s="351"/>
      <c r="Y148" s="351"/>
    </row>
    <row r="149" spans="1:25">
      <c r="A149" s="366">
        <v>30</v>
      </c>
      <c r="B149" s="910" t="s">
        <v>466</v>
      </c>
      <c r="C149" s="909"/>
      <c r="D149" s="399">
        <v>0</v>
      </c>
      <c r="E149" s="582">
        <v>0</v>
      </c>
      <c r="F149" s="583">
        <v>0</v>
      </c>
      <c r="G149" s="583">
        <v>0</v>
      </c>
      <c r="H149" s="583">
        <v>0</v>
      </c>
      <c r="I149" s="583">
        <v>0</v>
      </c>
      <c r="J149" s="583">
        <v>0</v>
      </c>
      <c r="K149" s="388"/>
      <c r="L149" s="388"/>
      <c r="M149" s="351"/>
      <c r="N149" s="351"/>
      <c r="O149" s="351"/>
      <c r="P149" s="351"/>
      <c r="Q149" s="351"/>
      <c r="R149" s="351"/>
      <c r="S149" s="351"/>
      <c r="T149" s="351"/>
      <c r="U149" s="351"/>
      <c r="V149" s="351"/>
      <c r="W149" s="351"/>
      <c r="X149" s="351"/>
      <c r="Y149" s="351"/>
    </row>
    <row r="150" spans="1:25">
      <c r="A150" s="366">
        <v>31</v>
      </c>
      <c r="B150" s="910" t="s">
        <v>467</v>
      </c>
      <c r="C150" s="909"/>
      <c r="D150" s="399">
        <v>0</v>
      </c>
      <c r="E150" s="582">
        <v>0</v>
      </c>
      <c r="F150" s="583">
        <v>0</v>
      </c>
      <c r="G150" s="583">
        <v>0</v>
      </c>
      <c r="H150" s="583">
        <v>0</v>
      </c>
      <c r="I150" s="583">
        <v>0</v>
      </c>
      <c r="J150" s="583">
        <v>0</v>
      </c>
      <c r="K150" s="388"/>
      <c r="L150" s="388"/>
      <c r="M150" s="351"/>
      <c r="N150" s="351"/>
      <c r="O150" s="351"/>
      <c r="P150" s="351"/>
      <c r="Q150" s="351"/>
      <c r="R150" s="351"/>
      <c r="S150" s="351"/>
      <c r="T150" s="351"/>
      <c r="U150" s="351"/>
      <c r="V150" s="351"/>
      <c r="W150" s="351"/>
      <c r="X150" s="351"/>
      <c r="Y150" s="351"/>
    </row>
    <row r="151" spans="1:25">
      <c r="A151" s="366">
        <v>32</v>
      </c>
      <c r="B151" s="910" t="s">
        <v>468</v>
      </c>
      <c r="C151" s="909"/>
      <c r="D151" s="399">
        <v>0</v>
      </c>
      <c r="E151" s="582">
        <v>0</v>
      </c>
      <c r="F151" s="583">
        <v>0</v>
      </c>
      <c r="G151" s="583">
        <v>0</v>
      </c>
      <c r="H151" s="583">
        <v>0</v>
      </c>
      <c r="I151" s="583">
        <v>0</v>
      </c>
      <c r="J151" s="583">
        <v>0</v>
      </c>
      <c r="K151" s="388"/>
      <c r="L151" s="388"/>
      <c r="M151" s="351"/>
      <c r="N151" s="351"/>
      <c r="O151" s="351"/>
      <c r="P151" s="351"/>
      <c r="Q151" s="351"/>
      <c r="R151" s="351"/>
      <c r="S151" s="351"/>
      <c r="T151" s="351"/>
      <c r="U151" s="351"/>
      <c r="V151" s="351"/>
      <c r="W151" s="351"/>
      <c r="X151" s="351"/>
      <c r="Y151" s="351"/>
    </row>
    <row r="152" spans="1:25">
      <c r="A152" s="366">
        <v>33</v>
      </c>
      <c r="B152" s="910" t="s">
        <v>469</v>
      </c>
      <c r="C152" s="909"/>
      <c r="D152" s="443" t="e">
        <f t="shared" ref="D152:J152" si="37">+D30</f>
        <v>#REF!</v>
      </c>
      <c r="E152" s="587" t="e">
        <f t="shared" si="37"/>
        <v>#REF!</v>
      </c>
      <c r="F152" s="587">
        <f t="shared" si="37"/>
        <v>14.981249999999999</v>
      </c>
      <c r="G152" s="587">
        <f t="shared" si="37"/>
        <v>15.862499999999995</v>
      </c>
      <c r="H152" s="587">
        <f t="shared" si="37"/>
        <v>15.862499999999995</v>
      </c>
      <c r="I152" s="587">
        <f t="shared" si="37"/>
        <v>15.862499999999995</v>
      </c>
      <c r="J152" s="587">
        <f t="shared" si="37"/>
        <v>15.862499999999995</v>
      </c>
      <c r="K152" s="394"/>
      <c r="L152" s="394"/>
      <c r="M152" s="351"/>
      <c r="N152" s="351"/>
      <c r="O152" s="351"/>
      <c r="P152" s="351"/>
      <c r="Q152" s="351"/>
      <c r="R152" s="351"/>
      <c r="S152" s="351"/>
      <c r="T152" s="351"/>
      <c r="U152" s="351"/>
      <c r="V152" s="351"/>
      <c r="W152" s="351"/>
      <c r="X152" s="351"/>
      <c r="Y152" s="351"/>
    </row>
    <row r="153" spans="1:25">
      <c r="A153" s="366">
        <v>34</v>
      </c>
      <c r="B153" s="910" t="s">
        <v>470</v>
      </c>
      <c r="C153" s="909"/>
      <c r="D153" s="443">
        <v>0</v>
      </c>
      <c r="E153" s="587">
        <v>0</v>
      </c>
      <c r="F153" s="587">
        <v>0</v>
      </c>
      <c r="G153" s="587">
        <v>0</v>
      </c>
      <c r="H153" s="587">
        <v>0</v>
      </c>
      <c r="I153" s="587">
        <v>0</v>
      </c>
      <c r="J153" s="587">
        <v>0</v>
      </c>
      <c r="K153" s="394"/>
      <c r="L153" s="394"/>
      <c r="M153" s="351"/>
      <c r="N153" s="351"/>
      <c r="O153" s="351"/>
      <c r="P153" s="351"/>
      <c r="Q153" s="351"/>
      <c r="R153" s="351"/>
      <c r="S153" s="351"/>
      <c r="T153" s="351"/>
      <c r="U153" s="351"/>
      <c r="V153" s="351"/>
      <c r="W153" s="351"/>
      <c r="X153" s="351"/>
      <c r="Y153" s="351"/>
    </row>
    <row r="154" spans="1:25">
      <c r="A154" s="366">
        <v>35</v>
      </c>
      <c r="B154" s="910" t="s">
        <v>471</v>
      </c>
      <c r="C154" s="909"/>
      <c r="D154" s="444" t="e">
        <f t="shared" ref="D154:J154" si="38">+D34</f>
        <v>#REF!</v>
      </c>
      <c r="E154" s="587" t="e">
        <f t="shared" si="38"/>
        <v>#REF!</v>
      </c>
      <c r="F154" s="588">
        <f t="shared" si="38"/>
        <v>18.214232499999998</v>
      </c>
      <c r="G154" s="588">
        <f t="shared" si="38"/>
        <v>19.251288333541659</v>
      </c>
      <c r="H154" s="588">
        <f t="shared" si="38"/>
        <v>19.341412499999997</v>
      </c>
      <c r="I154" s="588">
        <f t="shared" si="38"/>
        <v>19.398542874999997</v>
      </c>
      <c r="J154" s="588">
        <f t="shared" si="38"/>
        <v>19.398542874999997</v>
      </c>
      <c r="K154" s="394"/>
      <c r="L154" s="394"/>
      <c r="M154" s="351"/>
      <c r="N154" s="351"/>
      <c r="O154" s="351"/>
      <c r="P154" s="351"/>
      <c r="Q154" s="351"/>
      <c r="R154" s="351"/>
      <c r="S154" s="351"/>
      <c r="T154" s="351"/>
      <c r="U154" s="351"/>
      <c r="V154" s="351"/>
      <c r="W154" s="351"/>
      <c r="X154" s="351"/>
      <c r="Y154" s="351"/>
    </row>
    <row r="155" spans="1:25">
      <c r="A155" s="366">
        <v>36</v>
      </c>
      <c r="B155" s="910" t="s">
        <v>472</v>
      </c>
      <c r="C155" s="909"/>
      <c r="D155" s="399">
        <v>0</v>
      </c>
      <c r="E155" s="582">
        <v>0</v>
      </c>
      <c r="F155" s="583">
        <v>0</v>
      </c>
      <c r="G155" s="583">
        <v>0</v>
      </c>
      <c r="H155" s="583">
        <v>0</v>
      </c>
      <c r="I155" s="583">
        <v>0</v>
      </c>
      <c r="J155" s="583">
        <v>0</v>
      </c>
      <c r="K155" s="388"/>
      <c r="L155" s="388"/>
      <c r="M155" s="351"/>
      <c r="N155" s="351"/>
      <c r="O155" s="351"/>
      <c r="P155" s="351"/>
      <c r="Q155" s="351"/>
      <c r="R155" s="351"/>
      <c r="S155" s="351"/>
      <c r="T155" s="351"/>
      <c r="U155" s="351"/>
      <c r="V155" s="351"/>
      <c r="W155" s="351"/>
      <c r="X155" s="351"/>
      <c r="Y155" s="351"/>
    </row>
    <row r="156" spans="1:25">
      <c r="A156" s="366">
        <v>37</v>
      </c>
      <c r="B156" s="910" t="s">
        <v>473</v>
      </c>
      <c r="C156" s="909"/>
      <c r="D156" s="399">
        <v>0</v>
      </c>
      <c r="E156" s="582">
        <v>0</v>
      </c>
      <c r="F156" s="583">
        <v>0</v>
      </c>
      <c r="G156" s="583">
        <v>0</v>
      </c>
      <c r="H156" s="583">
        <v>0</v>
      </c>
      <c r="I156" s="583">
        <v>0</v>
      </c>
      <c r="J156" s="583">
        <v>0</v>
      </c>
      <c r="K156" s="388"/>
      <c r="L156" s="388"/>
      <c r="M156" s="351"/>
      <c r="N156" s="351"/>
      <c r="O156" s="351"/>
      <c r="P156" s="351"/>
      <c r="Q156" s="351"/>
      <c r="R156" s="351"/>
      <c r="S156" s="351"/>
      <c r="T156" s="351"/>
      <c r="U156" s="351"/>
      <c r="V156" s="351"/>
      <c r="W156" s="351"/>
      <c r="X156" s="351"/>
      <c r="Y156" s="351"/>
    </row>
    <row r="157" spans="1:25">
      <c r="A157" s="366">
        <v>38</v>
      </c>
      <c r="B157" s="910" t="s">
        <v>474</v>
      </c>
      <c r="C157" s="909"/>
      <c r="D157" s="399">
        <v>0</v>
      </c>
      <c r="E157" s="582">
        <v>0</v>
      </c>
      <c r="F157" s="583">
        <v>0</v>
      </c>
      <c r="G157" s="583">
        <v>0</v>
      </c>
      <c r="H157" s="583">
        <v>0</v>
      </c>
      <c r="I157" s="583">
        <v>0</v>
      </c>
      <c r="J157" s="583">
        <v>0</v>
      </c>
      <c r="K157" s="388"/>
      <c r="L157" s="388"/>
      <c r="M157" s="351"/>
      <c r="N157" s="351"/>
      <c r="O157" s="351"/>
      <c r="P157" s="351"/>
      <c r="Q157" s="351"/>
      <c r="R157" s="351"/>
      <c r="S157" s="351"/>
      <c r="T157" s="351"/>
      <c r="U157" s="351"/>
      <c r="V157" s="351"/>
      <c r="W157" s="351"/>
      <c r="X157" s="351"/>
      <c r="Y157" s="351"/>
    </row>
    <row r="158" spans="1:25">
      <c r="A158" s="366">
        <v>39</v>
      </c>
      <c r="B158" s="910" t="s">
        <v>475</v>
      </c>
      <c r="C158" s="909"/>
      <c r="D158" s="399">
        <v>0</v>
      </c>
      <c r="E158" s="582">
        <v>0</v>
      </c>
      <c r="F158" s="583">
        <v>0</v>
      </c>
      <c r="G158" s="583">
        <v>0</v>
      </c>
      <c r="H158" s="583">
        <v>0</v>
      </c>
      <c r="I158" s="583">
        <v>0</v>
      </c>
      <c r="J158" s="583">
        <v>0</v>
      </c>
      <c r="K158" s="388"/>
      <c r="L158" s="388"/>
      <c r="M158" s="351"/>
      <c r="N158" s="351"/>
      <c r="O158" s="351"/>
      <c r="P158" s="351"/>
      <c r="Q158" s="351"/>
      <c r="R158" s="351"/>
      <c r="S158" s="351"/>
      <c r="T158" s="351"/>
      <c r="U158" s="351"/>
      <c r="V158" s="351"/>
      <c r="W158" s="351"/>
      <c r="X158" s="351"/>
      <c r="Y158" s="351"/>
    </row>
    <row r="159" spans="1:25">
      <c r="A159" s="366">
        <v>40</v>
      </c>
      <c r="B159" s="910" t="s">
        <v>476</v>
      </c>
      <c r="C159" s="909"/>
      <c r="D159" s="445" t="e">
        <f>+#REF!</f>
        <v>#REF!</v>
      </c>
      <c r="E159" s="614" t="e">
        <f>+#REF!</f>
        <v>#REF!</v>
      </c>
      <c r="F159" s="614">
        <f>+'BALANCE SHEET'!D28</f>
        <v>2.9991562499999986</v>
      </c>
      <c r="G159" s="614">
        <f>+'BALANCE SHEET'!E28</f>
        <v>3.1415208335416658</v>
      </c>
      <c r="H159" s="614">
        <f>+'BALANCE SHEET'!F28</f>
        <v>3.2297812499999985</v>
      </c>
      <c r="I159" s="614">
        <f>+'BALANCE SHEET'!G28</f>
        <v>3.2849546874999973</v>
      </c>
      <c r="J159" s="586">
        <f>+'BALANCE SHEET'!H28</f>
        <v>3.2849546874999973</v>
      </c>
      <c r="K159" s="392"/>
      <c r="L159" s="392"/>
      <c r="M159" s="351"/>
      <c r="N159" s="351"/>
      <c r="O159" s="351"/>
      <c r="P159" s="351"/>
      <c r="Q159" s="351"/>
      <c r="R159" s="351"/>
      <c r="S159" s="351"/>
      <c r="T159" s="351"/>
      <c r="U159" s="351"/>
      <c r="V159" s="351"/>
      <c r="W159" s="351"/>
      <c r="X159" s="351"/>
      <c r="Y159" s="351"/>
    </row>
    <row r="160" spans="1:25" ht="15">
      <c r="A160" s="366">
        <v>41</v>
      </c>
      <c r="B160" s="913" t="s">
        <v>477</v>
      </c>
      <c r="C160" s="909"/>
      <c r="D160" s="439" t="e">
        <f t="shared" ref="D160:J160" si="39">SUM(D143:D159)</f>
        <v>#REF!</v>
      </c>
      <c r="E160" s="621" t="e">
        <f t="shared" si="39"/>
        <v>#REF!</v>
      </c>
      <c r="F160" s="621" t="e">
        <f t="shared" si="39"/>
        <v>#REF!</v>
      </c>
      <c r="G160" s="621" t="e">
        <f t="shared" si="39"/>
        <v>#REF!</v>
      </c>
      <c r="H160" s="621" t="e">
        <f t="shared" si="39"/>
        <v>#REF!</v>
      </c>
      <c r="I160" s="621" t="e">
        <f t="shared" si="39"/>
        <v>#REF!</v>
      </c>
      <c r="J160" s="621" t="e">
        <f t="shared" si="39"/>
        <v>#REF!</v>
      </c>
      <c r="K160" s="390"/>
      <c r="L160" s="390"/>
      <c r="M160" s="351"/>
      <c r="N160" s="351"/>
      <c r="O160" s="351"/>
      <c r="P160" s="351"/>
      <c r="Q160" s="351"/>
      <c r="R160" s="351"/>
      <c r="S160" s="351"/>
      <c r="T160" s="351"/>
      <c r="U160" s="351"/>
      <c r="V160" s="351"/>
      <c r="W160" s="351"/>
      <c r="X160" s="351"/>
      <c r="Y160" s="351"/>
    </row>
    <row r="161" spans="1:25" ht="15">
      <c r="A161" s="366"/>
      <c r="B161" s="913" t="s">
        <v>250</v>
      </c>
      <c r="C161" s="909"/>
      <c r="D161" s="383"/>
      <c r="E161" s="608"/>
      <c r="F161" s="608"/>
      <c r="G161" s="608"/>
      <c r="H161" s="608"/>
      <c r="I161" s="608"/>
      <c r="J161" s="608"/>
      <c r="K161" s="351"/>
      <c r="L161" s="351"/>
      <c r="M161" s="351"/>
      <c r="N161" s="351"/>
      <c r="O161" s="351"/>
      <c r="P161" s="351"/>
      <c r="Q161" s="351"/>
      <c r="R161" s="351"/>
      <c r="S161" s="351"/>
      <c r="T161" s="351"/>
      <c r="U161" s="351"/>
      <c r="V161" s="351"/>
      <c r="W161" s="351"/>
      <c r="X161" s="351"/>
      <c r="Y161" s="351"/>
    </row>
    <row r="162" spans="1:25">
      <c r="A162" s="366">
        <v>42</v>
      </c>
      <c r="B162" s="910" t="s">
        <v>478</v>
      </c>
      <c r="C162" s="909"/>
      <c r="D162" s="399" t="e">
        <f>#REF!</f>
        <v>#REF!</v>
      </c>
      <c r="E162" s="582" t="e">
        <f>+E164+E165</f>
        <v>#REF!</v>
      </c>
      <c r="F162" s="583" t="e">
        <f>+#REF!</f>
        <v>#REF!</v>
      </c>
      <c r="G162" s="583" t="e">
        <f>+F163+F162</f>
        <v>#REF!</v>
      </c>
      <c r="H162" s="583" t="e">
        <f>+G163+G162</f>
        <v>#REF!</v>
      </c>
      <c r="I162" s="583" t="e">
        <f>+H163+H162</f>
        <v>#REF!</v>
      </c>
      <c r="J162" s="583" t="e">
        <f>+I163+I162</f>
        <v>#REF!</v>
      </c>
      <c r="K162" s="388"/>
      <c r="L162" s="388"/>
      <c r="M162" s="351"/>
      <c r="N162" s="351"/>
      <c r="O162" s="351"/>
      <c r="P162" s="351"/>
      <c r="Q162" s="351"/>
      <c r="R162" s="351"/>
      <c r="S162" s="351"/>
      <c r="T162" s="351"/>
      <c r="U162" s="351"/>
      <c r="V162" s="351"/>
      <c r="W162" s="351"/>
      <c r="X162" s="351"/>
      <c r="Y162" s="351"/>
    </row>
    <row r="163" spans="1:25">
      <c r="A163" s="366">
        <v>43</v>
      </c>
      <c r="B163" s="910" t="s">
        <v>479</v>
      </c>
      <c r="C163" s="909"/>
      <c r="D163" s="399" t="e">
        <f>#REF!</f>
        <v>#REF!</v>
      </c>
      <c r="E163" s="582" t="e">
        <f>#REF!</f>
        <v>#REF!</v>
      </c>
      <c r="F163" s="583">
        <f>+CASHFLOW!C20</f>
        <v>16.810000000000002</v>
      </c>
      <c r="G163" s="583" t="e">
        <f>#REF!</f>
        <v>#REF!</v>
      </c>
      <c r="H163" s="583" t="e">
        <f>#REF!</f>
        <v>#REF!</v>
      </c>
      <c r="I163" s="583" t="e">
        <f>#REF!</f>
        <v>#REF!</v>
      </c>
      <c r="J163" s="583" t="e">
        <f>#REF!</f>
        <v>#REF!</v>
      </c>
      <c r="K163" s="388"/>
      <c r="L163" s="388"/>
      <c r="M163" s="351"/>
      <c r="N163" s="351"/>
      <c r="O163" s="351"/>
      <c r="P163" s="351"/>
      <c r="Q163" s="351"/>
      <c r="R163" s="351"/>
      <c r="S163" s="351"/>
      <c r="T163" s="351"/>
      <c r="U163" s="351"/>
      <c r="V163" s="351"/>
      <c r="W163" s="351"/>
      <c r="X163" s="351"/>
      <c r="Y163" s="351"/>
    </row>
    <row r="164" spans="1:25">
      <c r="A164" s="366">
        <v>44</v>
      </c>
      <c r="B164" s="424" t="s">
        <v>480</v>
      </c>
      <c r="C164" s="368"/>
      <c r="D164" s="399" t="e">
        <f>#REF!</f>
        <v>#REF!</v>
      </c>
      <c r="E164" s="582" t="e">
        <f t="shared" ref="E164:J164" si="40">IF(E15&gt;0,D164+E26,0)</f>
        <v>#REF!</v>
      </c>
      <c r="F164" s="583" t="e">
        <f t="shared" si="40"/>
        <v>#REF!</v>
      </c>
      <c r="G164" s="583" t="e">
        <f t="shared" si="40"/>
        <v>#REF!</v>
      </c>
      <c r="H164" s="583" t="e">
        <f t="shared" si="40"/>
        <v>#REF!</v>
      </c>
      <c r="I164" s="583" t="e">
        <f t="shared" si="40"/>
        <v>#REF!</v>
      </c>
      <c r="J164" s="583" t="e">
        <f t="shared" si="40"/>
        <v>#REF!</v>
      </c>
      <c r="K164" s="388"/>
      <c r="L164" s="388"/>
      <c r="M164" s="351"/>
      <c r="N164" s="351"/>
      <c r="O164" s="351"/>
      <c r="P164" s="351"/>
      <c r="Q164" s="351"/>
      <c r="R164" s="351"/>
      <c r="S164" s="351"/>
      <c r="T164" s="351"/>
      <c r="U164" s="351"/>
      <c r="V164" s="351"/>
      <c r="W164" s="351"/>
      <c r="X164" s="351"/>
      <c r="Y164" s="351"/>
    </row>
    <row r="165" spans="1:25" ht="15">
      <c r="A165" s="366">
        <v>45</v>
      </c>
      <c r="B165" s="913" t="s">
        <v>253</v>
      </c>
      <c r="C165" s="909"/>
      <c r="D165" s="399" t="e">
        <f>#REF!</f>
        <v>#REF!</v>
      </c>
      <c r="E165" s="582" t="e">
        <f>#REF!</f>
        <v>#REF!</v>
      </c>
      <c r="F165" s="583">
        <f>+'BALANCE SHEET'!D21</f>
        <v>14.288500000000003</v>
      </c>
      <c r="G165" s="583">
        <f>+'BALANCE SHEET'!E21</f>
        <v>12.145225000000003</v>
      </c>
      <c r="H165" s="583">
        <f>+'BALANCE SHEET'!F21</f>
        <v>10.323441250000004</v>
      </c>
      <c r="I165" s="583">
        <f>+'BALANCE SHEET'!G21</f>
        <v>8.774925062500003</v>
      </c>
      <c r="J165" s="583">
        <f>+'BALANCE SHEET'!H21</f>
        <v>7.4586863031250026</v>
      </c>
      <c r="K165" s="388"/>
      <c r="L165" s="388"/>
      <c r="M165" s="351"/>
      <c r="N165" s="351"/>
      <c r="O165" s="351"/>
      <c r="P165" s="351"/>
      <c r="Q165" s="351"/>
      <c r="R165" s="351"/>
      <c r="S165" s="351"/>
      <c r="T165" s="351"/>
      <c r="U165" s="351"/>
      <c r="V165" s="351"/>
      <c r="W165" s="351"/>
      <c r="X165" s="351"/>
      <c r="Y165" s="351"/>
    </row>
    <row r="166" spans="1:25" ht="15">
      <c r="A166" s="366">
        <v>46</v>
      </c>
      <c r="B166" s="913" t="s">
        <v>481</v>
      </c>
      <c r="C166" s="909"/>
      <c r="D166" s="383"/>
      <c r="E166" s="581"/>
      <c r="F166" s="581"/>
      <c r="G166" s="581"/>
      <c r="H166" s="581"/>
      <c r="I166" s="581"/>
      <c r="J166" s="581"/>
      <c r="K166" s="351"/>
      <c r="L166" s="351"/>
      <c r="M166" s="351"/>
      <c r="N166" s="351"/>
      <c r="O166" s="351"/>
      <c r="P166" s="351"/>
      <c r="Q166" s="351"/>
      <c r="R166" s="351"/>
      <c r="S166" s="351"/>
      <c r="T166" s="351"/>
      <c r="U166" s="351"/>
      <c r="V166" s="351"/>
      <c r="W166" s="351"/>
      <c r="X166" s="351"/>
      <c r="Y166" s="351"/>
    </row>
    <row r="167" spans="1:25">
      <c r="A167" s="366"/>
      <c r="B167" s="910" t="s">
        <v>482</v>
      </c>
      <c r="C167" s="909"/>
      <c r="D167" s="399">
        <v>0</v>
      </c>
      <c r="E167" s="582">
        <v>0</v>
      </c>
      <c r="F167" s="583">
        <v>0</v>
      </c>
      <c r="G167" s="583">
        <v>0</v>
      </c>
      <c r="H167" s="583">
        <v>0</v>
      </c>
      <c r="I167" s="583">
        <v>0</v>
      </c>
      <c r="J167" s="583">
        <v>0</v>
      </c>
      <c r="K167" s="388"/>
      <c r="L167" s="388"/>
      <c r="M167" s="351"/>
      <c r="N167" s="351"/>
      <c r="O167" s="351"/>
      <c r="P167" s="351"/>
      <c r="Q167" s="351"/>
      <c r="R167" s="351"/>
      <c r="S167" s="351"/>
      <c r="T167" s="351"/>
      <c r="U167" s="351"/>
      <c r="V167" s="351"/>
      <c r="W167" s="351"/>
      <c r="X167" s="351"/>
      <c r="Y167" s="351"/>
    </row>
    <row r="168" spans="1:25">
      <c r="A168" s="366"/>
      <c r="B168" s="910" t="s">
        <v>483</v>
      </c>
      <c r="C168" s="909"/>
      <c r="D168" s="399">
        <v>0</v>
      </c>
      <c r="E168" s="582">
        <v>0</v>
      </c>
      <c r="F168" s="583">
        <f>+'BALANCE SHEET'!D27</f>
        <v>0</v>
      </c>
      <c r="G168" s="583">
        <f>+'BALANCE SHEET'!E27</f>
        <v>5</v>
      </c>
      <c r="H168" s="583">
        <f>+'BALANCE SHEET'!F27</f>
        <v>10</v>
      </c>
      <c r="I168" s="583">
        <f>+'BALANCE SHEET'!G27</f>
        <v>15</v>
      </c>
      <c r="J168" s="583">
        <f>+'BALANCE SHEET'!H27</f>
        <v>20</v>
      </c>
      <c r="K168" s="388"/>
      <c r="L168" s="388"/>
      <c r="M168" s="351"/>
      <c r="N168" s="351"/>
      <c r="O168" s="351"/>
      <c r="P168" s="351"/>
      <c r="Q168" s="351"/>
      <c r="R168" s="351"/>
      <c r="S168" s="351"/>
      <c r="T168" s="351"/>
      <c r="U168" s="351"/>
      <c r="V168" s="351"/>
      <c r="W168" s="351"/>
      <c r="X168" s="351"/>
      <c r="Y168" s="351"/>
    </row>
    <row r="169" spans="1:25">
      <c r="A169" s="366"/>
      <c r="B169" s="908" t="s">
        <v>484</v>
      </c>
      <c r="C169" s="909"/>
      <c r="D169" s="399">
        <v>0</v>
      </c>
      <c r="E169" s="582">
        <v>0</v>
      </c>
      <c r="F169" s="583">
        <v>0</v>
      </c>
      <c r="G169" s="583">
        <v>0</v>
      </c>
      <c r="H169" s="583">
        <v>0</v>
      </c>
      <c r="I169" s="583">
        <v>0</v>
      </c>
      <c r="J169" s="583">
        <v>0</v>
      </c>
      <c r="K169" s="388"/>
      <c r="L169" s="388"/>
      <c r="M169" s="351"/>
      <c r="N169" s="351"/>
      <c r="O169" s="351"/>
      <c r="P169" s="351"/>
      <c r="Q169" s="351"/>
      <c r="R169" s="351"/>
      <c r="S169" s="351"/>
      <c r="T169" s="351"/>
      <c r="U169" s="351"/>
      <c r="V169" s="351"/>
      <c r="W169" s="351"/>
      <c r="X169" s="351"/>
      <c r="Y169" s="351"/>
    </row>
    <row r="170" spans="1:25">
      <c r="A170" s="366"/>
      <c r="B170" s="424" t="s">
        <v>485</v>
      </c>
      <c r="C170" s="368"/>
      <c r="D170" s="399">
        <v>0</v>
      </c>
      <c r="E170" s="582">
        <v>0</v>
      </c>
      <c r="F170" s="583">
        <v>0</v>
      </c>
      <c r="G170" s="583">
        <v>0</v>
      </c>
      <c r="H170" s="583">
        <v>0</v>
      </c>
      <c r="I170" s="583">
        <v>0</v>
      </c>
      <c r="J170" s="583">
        <v>0</v>
      </c>
      <c r="K170" s="388"/>
      <c r="L170" s="388"/>
      <c r="M170" s="351"/>
      <c r="N170" s="351"/>
      <c r="O170" s="351"/>
      <c r="P170" s="351"/>
      <c r="Q170" s="351"/>
      <c r="R170" s="351"/>
      <c r="S170" s="351"/>
      <c r="T170" s="351"/>
      <c r="U170" s="351"/>
      <c r="V170" s="351"/>
      <c r="W170" s="351"/>
      <c r="X170" s="351"/>
      <c r="Y170" s="351"/>
    </row>
    <row r="171" spans="1:25">
      <c r="A171" s="366"/>
      <c r="B171" s="910" t="s">
        <v>486</v>
      </c>
      <c r="C171" s="909"/>
      <c r="D171" s="399">
        <v>0</v>
      </c>
      <c r="E171" s="582">
        <v>0</v>
      </c>
      <c r="F171" s="583">
        <v>0</v>
      </c>
      <c r="G171" s="583">
        <v>0</v>
      </c>
      <c r="H171" s="583">
        <v>0</v>
      </c>
      <c r="I171" s="583">
        <v>0</v>
      </c>
      <c r="J171" s="583">
        <v>0</v>
      </c>
      <c r="K171" s="388"/>
      <c r="L171" s="388"/>
      <c r="M171" s="351"/>
      <c r="N171" s="351"/>
      <c r="O171" s="351"/>
      <c r="P171" s="351"/>
      <c r="Q171" s="351"/>
      <c r="R171" s="351"/>
      <c r="S171" s="351"/>
      <c r="T171" s="351"/>
      <c r="U171" s="351"/>
      <c r="V171" s="351"/>
      <c r="W171" s="351"/>
      <c r="X171" s="351"/>
      <c r="Y171" s="351"/>
    </row>
    <row r="172" spans="1:25">
      <c r="A172" s="366"/>
      <c r="B172" s="910" t="s">
        <v>487</v>
      </c>
      <c r="C172" s="909"/>
      <c r="D172" s="399">
        <v>0</v>
      </c>
      <c r="E172" s="582">
        <v>0</v>
      </c>
      <c r="F172" s="583">
        <v>0</v>
      </c>
      <c r="G172" s="583">
        <v>0</v>
      </c>
      <c r="H172" s="583">
        <v>0</v>
      </c>
      <c r="I172" s="583">
        <v>0</v>
      </c>
      <c r="J172" s="583">
        <v>0</v>
      </c>
      <c r="K172" s="388"/>
      <c r="L172" s="388"/>
      <c r="M172" s="351"/>
      <c r="N172" s="351"/>
      <c r="O172" s="351"/>
      <c r="P172" s="351"/>
      <c r="Q172" s="351"/>
      <c r="R172" s="351"/>
      <c r="S172" s="351"/>
      <c r="T172" s="351"/>
      <c r="U172" s="351"/>
      <c r="V172" s="351"/>
      <c r="W172" s="351"/>
      <c r="X172" s="351"/>
      <c r="Y172" s="351"/>
    </row>
    <row r="173" spans="1:25">
      <c r="A173" s="366"/>
      <c r="B173" s="908" t="s">
        <v>488</v>
      </c>
      <c r="C173" s="909"/>
      <c r="D173" s="399">
        <v>0</v>
      </c>
      <c r="E173" s="582">
        <v>0</v>
      </c>
      <c r="F173" s="583">
        <v>0</v>
      </c>
      <c r="G173" s="583">
        <v>0</v>
      </c>
      <c r="H173" s="583">
        <v>0</v>
      </c>
      <c r="I173" s="583">
        <v>0</v>
      </c>
      <c r="J173" s="583">
        <v>0</v>
      </c>
      <c r="K173" s="388"/>
      <c r="L173" s="388"/>
      <c r="M173" s="351"/>
      <c r="N173" s="351"/>
      <c r="O173" s="351"/>
      <c r="P173" s="351"/>
      <c r="Q173" s="351"/>
      <c r="R173" s="351"/>
      <c r="S173" s="351"/>
      <c r="T173" s="351"/>
      <c r="U173" s="351"/>
      <c r="V173" s="351"/>
      <c r="W173" s="351"/>
      <c r="X173" s="351"/>
      <c r="Y173" s="351"/>
    </row>
    <row r="174" spans="1:25" ht="15">
      <c r="A174" s="366"/>
      <c r="B174" s="433" t="s">
        <v>489</v>
      </c>
      <c r="C174" s="368"/>
      <c r="D174" s="389">
        <f t="shared" ref="D174:J174" si="41">SUM(D167:D173)</f>
        <v>0</v>
      </c>
      <c r="E174" s="584">
        <f t="shared" si="41"/>
        <v>0</v>
      </c>
      <c r="F174" s="585">
        <f t="shared" si="41"/>
        <v>0</v>
      </c>
      <c r="G174" s="585">
        <f t="shared" si="41"/>
        <v>5</v>
      </c>
      <c r="H174" s="585">
        <f t="shared" si="41"/>
        <v>10</v>
      </c>
      <c r="I174" s="585">
        <f t="shared" si="41"/>
        <v>15</v>
      </c>
      <c r="J174" s="585">
        <f t="shared" si="41"/>
        <v>20</v>
      </c>
      <c r="K174" s="390"/>
      <c r="L174" s="390"/>
      <c r="M174" s="351"/>
      <c r="N174" s="351"/>
      <c r="O174" s="351"/>
      <c r="P174" s="351"/>
      <c r="Q174" s="351"/>
      <c r="R174" s="351"/>
      <c r="S174" s="351"/>
      <c r="T174" s="351"/>
      <c r="U174" s="351"/>
      <c r="V174" s="351"/>
      <c r="W174" s="351"/>
      <c r="X174" s="351"/>
      <c r="Y174" s="351"/>
    </row>
    <row r="175" spans="1:25" ht="15">
      <c r="A175" s="366">
        <v>47</v>
      </c>
      <c r="B175" s="913" t="s">
        <v>490</v>
      </c>
      <c r="C175" s="909"/>
      <c r="D175" s="406"/>
      <c r="E175" s="586"/>
      <c r="F175" s="586"/>
      <c r="G175" s="586"/>
      <c r="H175" s="586"/>
      <c r="I175" s="586"/>
      <c r="J175" s="586"/>
      <c r="K175" s="392"/>
      <c r="L175" s="392"/>
      <c r="M175" s="351"/>
      <c r="N175" s="351"/>
      <c r="O175" s="351"/>
      <c r="P175" s="351"/>
      <c r="Q175" s="351"/>
      <c r="R175" s="351"/>
      <c r="S175" s="351"/>
      <c r="T175" s="351"/>
      <c r="U175" s="351"/>
      <c r="V175" s="351"/>
      <c r="W175" s="351"/>
      <c r="X175" s="351"/>
      <c r="Y175" s="351"/>
    </row>
    <row r="176" spans="1:25">
      <c r="A176" s="366"/>
      <c r="B176" s="910" t="s">
        <v>491</v>
      </c>
      <c r="C176" s="909"/>
      <c r="D176" s="414">
        <f>+[2]bsheet!E40/100000</f>
        <v>0</v>
      </c>
      <c r="E176" s="586">
        <v>0</v>
      </c>
      <c r="F176" s="593">
        <v>0</v>
      </c>
      <c r="G176" s="593">
        <v>0</v>
      </c>
      <c r="H176" s="593">
        <v>0</v>
      </c>
      <c r="I176" s="593">
        <v>0</v>
      </c>
      <c r="J176" s="593">
        <v>0</v>
      </c>
      <c r="K176" s="392"/>
      <c r="L176" s="392"/>
      <c r="M176" s="351"/>
      <c r="N176" s="351"/>
      <c r="O176" s="351"/>
      <c r="P176" s="351"/>
      <c r="Q176" s="351"/>
      <c r="R176" s="351"/>
      <c r="S176" s="351"/>
      <c r="T176" s="351"/>
      <c r="U176" s="351"/>
      <c r="V176" s="351"/>
      <c r="W176" s="351"/>
      <c r="X176" s="351"/>
      <c r="Y176" s="351"/>
    </row>
    <row r="177" spans="1:25">
      <c r="A177" s="366"/>
      <c r="B177" s="910" t="s">
        <v>492</v>
      </c>
      <c r="C177" s="909"/>
      <c r="D177" s="414">
        <v>0</v>
      </c>
      <c r="E177" s="586">
        <v>0</v>
      </c>
      <c r="F177" s="593">
        <v>0</v>
      </c>
      <c r="G177" s="593">
        <v>0</v>
      </c>
      <c r="H177" s="593">
        <v>0</v>
      </c>
      <c r="I177" s="593">
        <v>0</v>
      </c>
      <c r="J177" s="593">
        <v>0</v>
      </c>
      <c r="K177" s="392"/>
      <c r="L177" s="392"/>
      <c r="M177" s="351"/>
      <c r="N177" s="351"/>
      <c r="O177" s="351"/>
      <c r="P177" s="351"/>
      <c r="Q177" s="351"/>
      <c r="R177" s="351"/>
      <c r="S177" s="351"/>
      <c r="T177" s="351"/>
      <c r="U177" s="351"/>
      <c r="V177" s="351"/>
      <c r="W177" s="351"/>
      <c r="X177" s="351"/>
      <c r="Y177" s="351"/>
    </row>
    <row r="178" spans="1:25" ht="14.25" thickBot="1">
      <c r="A178" s="366"/>
      <c r="B178" s="910" t="s">
        <v>493</v>
      </c>
      <c r="C178" s="909"/>
      <c r="D178" s="414">
        <v>0</v>
      </c>
      <c r="E178" s="586">
        <v>0</v>
      </c>
      <c r="F178" s="593">
        <v>0</v>
      </c>
      <c r="G178" s="593">
        <v>0</v>
      </c>
      <c r="H178" s="593">
        <v>0</v>
      </c>
      <c r="I178" s="593">
        <v>0</v>
      </c>
      <c r="J178" s="593">
        <v>0</v>
      </c>
      <c r="K178" s="392"/>
      <c r="L178" s="392"/>
      <c r="M178" s="351"/>
      <c r="N178" s="351"/>
      <c r="O178" s="351"/>
      <c r="P178" s="351"/>
      <c r="Q178" s="351"/>
      <c r="R178" s="351"/>
      <c r="S178" s="351"/>
      <c r="T178" s="351"/>
      <c r="U178" s="351"/>
      <c r="V178" s="351"/>
      <c r="W178" s="351"/>
      <c r="X178" s="351"/>
      <c r="Y178" s="351"/>
    </row>
    <row r="179" spans="1:25" ht="15.75" thickBot="1">
      <c r="A179" s="366"/>
      <c r="B179" s="913" t="s">
        <v>494</v>
      </c>
      <c r="C179" s="909"/>
      <c r="D179" s="438">
        <f t="shared" ref="D179:J179" si="42">SUM(D176:D178)</f>
        <v>0</v>
      </c>
      <c r="E179" s="624">
        <f t="shared" si="42"/>
        <v>0</v>
      </c>
      <c r="F179" s="625">
        <f t="shared" si="42"/>
        <v>0</v>
      </c>
      <c r="G179" s="625">
        <f t="shared" si="42"/>
        <v>0</v>
      </c>
      <c r="H179" s="625">
        <f t="shared" si="42"/>
        <v>0</v>
      </c>
      <c r="I179" s="625">
        <f t="shared" si="42"/>
        <v>0</v>
      </c>
      <c r="J179" s="625">
        <f t="shared" si="42"/>
        <v>0</v>
      </c>
      <c r="K179" s="390"/>
      <c r="L179" s="390"/>
      <c r="M179" s="351"/>
      <c r="N179" s="351"/>
      <c r="O179" s="351"/>
      <c r="P179" s="351"/>
      <c r="Q179" s="351"/>
      <c r="R179" s="351"/>
      <c r="S179" s="351"/>
      <c r="T179" s="351"/>
      <c r="U179" s="351"/>
      <c r="V179" s="351"/>
      <c r="W179" s="351"/>
      <c r="X179" s="351"/>
      <c r="Y179" s="351"/>
    </row>
    <row r="180" spans="1:25" ht="15">
      <c r="A180" s="366">
        <v>48</v>
      </c>
      <c r="B180" s="913" t="s">
        <v>268</v>
      </c>
      <c r="C180" s="915"/>
      <c r="D180" s="389" t="e">
        <f t="shared" ref="D180:J180" si="43">D179+D174+D165+D160</f>
        <v>#REF!</v>
      </c>
      <c r="E180" s="389" t="e">
        <f t="shared" si="43"/>
        <v>#REF!</v>
      </c>
      <c r="F180" s="389" t="e">
        <f t="shared" si="43"/>
        <v>#REF!</v>
      </c>
      <c r="G180" s="389" t="e">
        <f t="shared" si="43"/>
        <v>#REF!</v>
      </c>
      <c r="H180" s="389" t="e">
        <f t="shared" si="43"/>
        <v>#REF!</v>
      </c>
      <c r="I180" s="389" t="e">
        <f t="shared" si="43"/>
        <v>#REF!</v>
      </c>
      <c r="J180" s="389" t="e">
        <f t="shared" si="43"/>
        <v>#REF!</v>
      </c>
      <c r="K180" s="390"/>
      <c r="L180" s="390"/>
      <c r="M180" s="351" t="s">
        <v>271</v>
      </c>
      <c r="N180" s="351"/>
      <c r="O180" s="351"/>
      <c r="P180" s="351"/>
      <c r="Q180" s="351"/>
      <c r="R180" s="351"/>
      <c r="S180" s="351"/>
      <c r="T180" s="351"/>
      <c r="U180" s="351"/>
      <c r="V180" s="351"/>
      <c r="W180" s="351"/>
      <c r="X180" s="351"/>
      <c r="Y180" s="351"/>
    </row>
    <row r="181" spans="1:25">
      <c r="A181" s="366"/>
      <c r="B181" s="910"/>
      <c r="C181" s="909"/>
      <c r="D181" s="383"/>
      <c r="E181" s="608"/>
      <c r="F181" s="608"/>
      <c r="G181" s="608"/>
      <c r="H181" s="608"/>
      <c r="I181" s="608"/>
      <c r="J181" s="608"/>
      <c r="K181" s="351"/>
      <c r="L181" s="351"/>
      <c r="M181" s="351" t="s">
        <v>271</v>
      </c>
      <c r="N181" s="351"/>
      <c r="O181" s="351"/>
      <c r="P181" s="351"/>
      <c r="Q181" s="351"/>
      <c r="R181" s="351"/>
      <c r="S181" s="351"/>
      <c r="T181" s="351"/>
      <c r="U181" s="351"/>
      <c r="V181" s="351"/>
      <c r="W181" s="351"/>
      <c r="X181" s="351"/>
      <c r="Y181" s="351"/>
    </row>
    <row r="182" spans="1:25">
      <c r="A182" s="366">
        <v>49</v>
      </c>
      <c r="B182" s="910" t="s">
        <v>495</v>
      </c>
      <c r="C182" s="909"/>
      <c r="D182" s="414" t="e">
        <f t="shared" ref="D182:J182" si="44">D115-D179</f>
        <v>#REF!</v>
      </c>
      <c r="E182" s="586" t="e">
        <f t="shared" si="44"/>
        <v>#REF!</v>
      </c>
      <c r="F182" s="593">
        <f t="shared" si="44"/>
        <v>18.374663713051277</v>
      </c>
      <c r="G182" s="593">
        <f t="shared" si="44"/>
        <v>30.156662784380178</v>
      </c>
      <c r="H182" s="593">
        <f t="shared" si="44"/>
        <v>41.826838585344774</v>
      </c>
      <c r="I182" s="593">
        <f t="shared" si="44"/>
        <v>53.502637431671317</v>
      </c>
      <c r="J182" s="593">
        <f t="shared" si="44"/>
        <v>65.141088261503469</v>
      </c>
      <c r="K182" s="392"/>
      <c r="L182" s="392"/>
      <c r="M182" s="351" t="s">
        <v>271</v>
      </c>
      <c r="N182" s="351"/>
      <c r="O182" s="351"/>
      <c r="P182" s="351"/>
      <c r="Q182" s="351"/>
      <c r="R182" s="351"/>
      <c r="S182" s="351"/>
      <c r="T182" s="351"/>
      <c r="U182" s="351"/>
      <c r="V182" s="351"/>
      <c r="W182" s="351"/>
      <c r="X182" s="351"/>
      <c r="Y182" s="351"/>
    </row>
    <row r="183" spans="1:25">
      <c r="A183" s="366">
        <v>50</v>
      </c>
      <c r="B183" s="910" t="s">
        <v>496</v>
      </c>
      <c r="C183" s="909"/>
      <c r="D183" s="414" t="e">
        <f t="shared" ref="D183:J183" si="45">D160-D99</f>
        <v>#REF!</v>
      </c>
      <c r="E183" s="586" t="e">
        <f t="shared" si="45"/>
        <v>#REF!</v>
      </c>
      <c r="F183" s="593" t="e">
        <f t="shared" si="45"/>
        <v>#REF!</v>
      </c>
      <c r="G183" s="593" t="e">
        <f t="shared" si="45"/>
        <v>#REF!</v>
      </c>
      <c r="H183" s="593" t="e">
        <f t="shared" si="45"/>
        <v>#REF!</v>
      </c>
      <c r="I183" s="593" t="e">
        <f t="shared" si="45"/>
        <v>#REF!</v>
      </c>
      <c r="J183" s="593" t="e">
        <f t="shared" si="45"/>
        <v>#REF!</v>
      </c>
      <c r="K183" s="392"/>
      <c r="L183" s="392"/>
      <c r="M183" s="351"/>
      <c r="N183" s="351"/>
      <c r="O183" s="351"/>
      <c r="P183" s="351"/>
      <c r="Q183" s="351"/>
      <c r="R183" s="351"/>
      <c r="S183" s="351"/>
      <c r="T183" s="351"/>
      <c r="U183" s="351"/>
      <c r="V183" s="351"/>
      <c r="W183" s="351"/>
      <c r="X183" s="351"/>
      <c r="Y183" s="351"/>
    </row>
    <row r="184" spans="1:25">
      <c r="A184" s="366"/>
      <c r="B184" s="424"/>
      <c r="C184" s="368"/>
      <c r="D184" s="406"/>
      <c r="E184" s="586"/>
      <c r="F184" s="586"/>
      <c r="G184" s="586"/>
      <c r="H184" s="586"/>
      <c r="I184" s="586"/>
      <c r="J184" s="586"/>
      <c r="K184" s="392"/>
      <c r="L184" s="392"/>
      <c r="M184" s="351"/>
      <c r="N184" s="351"/>
      <c r="O184" s="351"/>
      <c r="P184" s="351"/>
      <c r="Q184" s="351"/>
      <c r="R184" s="351"/>
      <c r="S184" s="351"/>
      <c r="T184" s="351"/>
      <c r="U184" s="351"/>
      <c r="V184" s="351"/>
      <c r="W184" s="351"/>
      <c r="X184" s="351"/>
      <c r="Y184" s="351"/>
    </row>
    <row r="185" spans="1:25" ht="15">
      <c r="A185" s="446"/>
      <c r="B185" s="433" t="s">
        <v>497</v>
      </c>
      <c r="C185" s="368"/>
      <c r="D185" s="447"/>
      <c r="E185" s="626"/>
      <c r="F185" s="626"/>
      <c r="G185" s="580"/>
      <c r="H185" s="580"/>
      <c r="I185" s="580"/>
      <c r="J185" s="580"/>
      <c r="K185" s="382"/>
      <c r="L185" s="382"/>
      <c r="M185" s="351"/>
      <c r="N185" s="351"/>
      <c r="O185" s="351"/>
      <c r="P185" s="351"/>
      <c r="Q185" s="351"/>
      <c r="R185" s="351"/>
      <c r="S185" s="351"/>
      <c r="T185" s="351"/>
      <c r="U185" s="351"/>
      <c r="V185" s="351"/>
      <c r="W185" s="351"/>
      <c r="X185" s="351"/>
      <c r="Y185" s="351"/>
    </row>
    <row r="186" spans="1:25">
      <c r="A186" s="448"/>
      <c r="B186" s="424" t="s">
        <v>498</v>
      </c>
      <c r="C186" s="368"/>
      <c r="D186" s="449" t="e">
        <f t="shared" ref="D186:J186" si="46">IF(D15&gt;0,C191,0)</f>
        <v>#REF!</v>
      </c>
      <c r="E186" s="627" t="e">
        <f t="shared" si="46"/>
        <v>#REF!</v>
      </c>
      <c r="F186" s="627" t="e">
        <f t="shared" si="46"/>
        <v>#REF!</v>
      </c>
      <c r="G186" s="627">
        <f t="shared" si="46"/>
        <v>18.374663713051277</v>
      </c>
      <c r="H186" s="627">
        <f t="shared" si="46"/>
        <v>30.156662784380178</v>
      </c>
      <c r="I186" s="627">
        <f t="shared" si="46"/>
        <v>41.826838585344774</v>
      </c>
      <c r="J186" s="627">
        <f t="shared" si="46"/>
        <v>53.502637431671317</v>
      </c>
      <c r="K186" s="450"/>
      <c r="L186" s="450"/>
      <c r="M186" s="351"/>
      <c r="N186" s="351"/>
      <c r="O186" s="351"/>
      <c r="P186" s="351"/>
      <c r="Q186" s="351"/>
      <c r="R186" s="351"/>
      <c r="S186" s="351"/>
      <c r="T186" s="351"/>
      <c r="U186" s="351"/>
      <c r="V186" s="351"/>
      <c r="W186" s="351"/>
      <c r="X186" s="351"/>
      <c r="Y186" s="351"/>
    </row>
    <row r="187" spans="1:25">
      <c r="A187" s="448"/>
      <c r="B187" s="424" t="s">
        <v>499</v>
      </c>
      <c r="C187" s="368"/>
      <c r="D187" s="449" t="e">
        <f t="shared" ref="D187:J187" si="47">IF(D15&gt;0,D62,0)</f>
        <v>#REF!</v>
      </c>
      <c r="E187" s="627" t="e">
        <f t="shared" si="47"/>
        <v>#REF!</v>
      </c>
      <c r="F187" s="627">
        <f t="shared" si="47"/>
        <v>21.84966371305125</v>
      </c>
      <c r="G187" s="627">
        <f t="shared" si="47"/>
        <v>23.931999071328853</v>
      </c>
      <c r="H187" s="627">
        <f t="shared" si="47"/>
        <v>23.820175800964609</v>
      </c>
      <c r="I187" s="627">
        <f t="shared" si="47"/>
        <v>23.825798846326528</v>
      </c>
      <c r="J187" s="627">
        <f t="shared" si="47"/>
        <v>23.788450829832151</v>
      </c>
      <c r="K187" s="450"/>
      <c r="L187" s="450"/>
      <c r="M187" s="351"/>
      <c r="N187" s="351"/>
      <c r="O187" s="351"/>
      <c r="P187" s="351"/>
      <c r="Q187" s="351"/>
      <c r="R187" s="351"/>
      <c r="S187" s="351"/>
      <c r="T187" s="351"/>
      <c r="U187" s="351"/>
      <c r="V187" s="351"/>
      <c r="W187" s="351"/>
      <c r="X187" s="351"/>
      <c r="Y187" s="351"/>
    </row>
    <row r="188" spans="1:25">
      <c r="A188" s="448"/>
      <c r="B188" s="424" t="s">
        <v>500</v>
      </c>
      <c r="C188" s="368"/>
      <c r="D188" s="449" t="e">
        <f t="shared" ref="D188:J188" si="48">IF(D15&gt;0,D115-C115-D62,0)</f>
        <v>#REF!</v>
      </c>
      <c r="E188" s="627" t="e">
        <f t="shared" si="48"/>
        <v>#REF!</v>
      </c>
      <c r="F188" s="627" t="e">
        <f t="shared" si="48"/>
        <v>#REF!</v>
      </c>
      <c r="G188" s="627">
        <f t="shared" si="48"/>
        <v>-12.149999999999952</v>
      </c>
      <c r="H188" s="627">
        <f t="shared" si="48"/>
        <v>-12.150000000000013</v>
      </c>
      <c r="I188" s="627">
        <f t="shared" si="48"/>
        <v>-12.149999999999984</v>
      </c>
      <c r="J188" s="627">
        <f t="shared" si="48"/>
        <v>-12.149999999999999</v>
      </c>
      <c r="K188" s="450"/>
      <c r="L188" s="450"/>
      <c r="M188" s="351"/>
      <c r="N188" s="351"/>
      <c r="O188" s="351"/>
      <c r="P188" s="351"/>
      <c r="Q188" s="351"/>
      <c r="R188" s="351"/>
      <c r="S188" s="351"/>
      <c r="T188" s="351"/>
      <c r="U188" s="351"/>
      <c r="V188" s="351"/>
      <c r="W188" s="351"/>
      <c r="X188" s="351"/>
      <c r="Y188" s="351"/>
    </row>
    <row r="189" spans="1:25">
      <c r="A189" s="448"/>
      <c r="B189" s="424" t="s">
        <v>501</v>
      </c>
      <c r="C189" s="368"/>
      <c r="D189" s="449" t="e">
        <f t="shared" ref="D189:J189" si="49">IF(D15&gt;0,-(D179-C179),0)</f>
        <v>#REF!</v>
      </c>
      <c r="E189" s="627" t="e">
        <f t="shared" si="49"/>
        <v>#REF!</v>
      </c>
      <c r="F189" s="627">
        <f t="shared" si="49"/>
        <v>0</v>
      </c>
      <c r="G189" s="627">
        <f t="shared" si="49"/>
        <v>0</v>
      </c>
      <c r="H189" s="627">
        <f t="shared" si="49"/>
        <v>0</v>
      </c>
      <c r="I189" s="627">
        <f t="shared" si="49"/>
        <v>0</v>
      </c>
      <c r="J189" s="627">
        <f t="shared" si="49"/>
        <v>0</v>
      </c>
      <c r="K189" s="450"/>
      <c r="L189" s="450"/>
      <c r="M189" s="351"/>
      <c r="N189" s="351"/>
      <c r="O189" s="351"/>
      <c r="P189" s="351"/>
      <c r="Q189" s="351"/>
      <c r="R189" s="351"/>
      <c r="S189" s="351"/>
      <c r="T189" s="351"/>
      <c r="U189" s="351"/>
      <c r="V189" s="351"/>
      <c r="W189" s="351"/>
      <c r="X189" s="351"/>
      <c r="Y189" s="351"/>
    </row>
    <row r="190" spans="1:25">
      <c r="A190" s="448"/>
      <c r="B190" s="424" t="s">
        <v>502</v>
      </c>
      <c r="C190" s="368"/>
      <c r="D190" s="451">
        <v>0</v>
      </c>
      <c r="E190" s="628">
        <v>0</v>
      </c>
      <c r="F190" s="629">
        <v>0</v>
      </c>
      <c r="G190" s="629">
        <v>0</v>
      </c>
      <c r="H190" s="629">
        <v>0</v>
      </c>
      <c r="I190" s="629">
        <v>0</v>
      </c>
      <c r="J190" s="629">
        <v>0</v>
      </c>
      <c r="K190" s="450"/>
      <c r="L190" s="450"/>
      <c r="M190" s="351"/>
      <c r="N190" s="351"/>
      <c r="O190" s="351"/>
      <c r="P190" s="351"/>
      <c r="Q190" s="351"/>
      <c r="R190" s="351"/>
      <c r="S190" s="351"/>
      <c r="T190" s="351"/>
      <c r="U190" s="351"/>
      <c r="V190" s="351"/>
      <c r="W190" s="351"/>
      <c r="X190" s="351"/>
      <c r="Y190" s="351"/>
    </row>
    <row r="191" spans="1:25" ht="15">
      <c r="A191" s="448"/>
      <c r="B191" s="424" t="s">
        <v>503</v>
      </c>
      <c r="C191" s="368"/>
      <c r="D191" s="452" t="e">
        <f t="shared" ref="D191:J191" si="50">D182</f>
        <v>#REF!</v>
      </c>
      <c r="E191" s="452" t="e">
        <f t="shared" si="50"/>
        <v>#REF!</v>
      </c>
      <c r="F191" s="452">
        <f t="shared" si="50"/>
        <v>18.374663713051277</v>
      </c>
      <c r="G191" s="452">
        <f t="shared" si="50"/>
        <v>30.156662784380178</v>
      </c>
      <c r="H191" s="452">
        <f t="shared" si="50"/>
        <v>41.826838585344774</v>
      </c>
      <c r="I191" s="452">
        <f t="shared" si="50"/>
        <v>53.502637431671317</v>
      </c>
      <c r="J191" s="452">
        <f t="shared" si="50"/>
        <v>65.141088261503469</v>
      </c>
      <c r="K191" s="453"/>
      <c r="L191" s="453"/>
      <c r="M191" s="351"/>
      <c r="N191" s="351"/>
      <c r="O191" s="351"/>
      <c r="P191" s="351"/>
      <c r="Q191" s="351"/>
      <c r="R191" s="351"/>
      <c r="S191" s="351"/>
      <c r="T191" s="351"/>
      <c r="U191" s="351"/>
      <c r="V191" s="351"/>
      <c r="W191" s="351"/>
      <c r="X191" s="351"/>
      <c r="Y191" s="351"/>
    </row>
    <row r="192" spans="1:25">
      <c r="A192" s="446"/>
      <c r="B192" s="424"/>
      <c r="C192" s="368"/>
      <c r="D192" s="451"/>
      <c r="E192" s="630"/>
      <c r="F192" s="631"/>
      <c r="G192" s="631"/>
      <c r="H192" s="631"/>
      <c r="I192" s="631"/>
      <c r="J192" s="631"/>
      <c r="K192" s="450"/>
      <c r="L192" s="450"/>
      <c r="M192" s="351"/>
      <c r="N192" s="351"/>
      <c r="O192" s="351"/>
      <c r="P192" s="351"/>
      <c r="Q192" s="351"/>
      <c r="R192" s="351"/>
      <c r="S192" s="351"/>
      <c r="T192" s="351"/>
      <c r="U192" s="351"/>
      <c r="V192" s="351"/>
      <c r="W192" s="351"/>
      <c r="X192" s="351"/>
      <c r="Y192" s="351"/>
    </row>
    <row r="193" spans="1:25">
      <c r="A193" s="366"/>
      <c r="B193" s="910" t="s">
        <v>504</v>
      </c>
      <c r="C193" s="909"/>
      <c r="D193" s="454" t="e">
        <f t="shared" ref="D193:J193" si="51">IF(D99&gt;0,D160/D99,0)</f>
        <v>#REF!</v>
      </c>
      <c r="E193" s="632" t="e">
        <f t="shared" si="51"/>
        <v>#REF!</v>
      </c>
      <c r="F193" s="633" t="e">
        <f t="shared" si="51"/>
        <v>#REF!</v>
      </c>
      <c r="G193" s="633" t="e">
        <f t="shared" si="51"/>
        <v>#REF!</v>
      </c>
      <c r="H193" s="633" t="e">
        <f t="shared" si="51"/>
        <v>#REF!</v>
      </c>
      <c r="I193" s="633" t="e">
        <f t="shared" si="51"/>
        <v>#REF!</v>
      </c>
      <c r="J193" s="633" t="e">
        <f t="shared" si="51"/>
        <v>#REF!</v>
      </c>
      <c r="K193" s="455"/>
      <c r="L193" s="455"/>
      <c r="M193" s="351"/>
      <c r="N193" s="351"/>
      <c r="O193" s="351"/>
      <c r="P193" s="351"/>
      <c r="Q193" s="351"/>
      <c r="R193" s="351"/>
      <c r="S193" s="351"/>
      <c r="T193" s="351"/>
      <c r="U193" s="351"/>
      <c r="V193" s="351"/>
      <c r="W193" s="351"/>
      <c r="X193" s="351"/>
      <c r="Y193" s="351"/>
    </row>
    <row r="194" spans="1:25">
      <c r="A194" s="366"/>
      <c r="B194" s="908" t="s">
        <v>505</v>
      </c>
      <c r="C194" s="914"/>
      <c r="D194" s="454" t="e">
        <f t="shared" ref="D194:J194" si="52">IF(D182&gt;0,D107/D182,0)</f>
        <v>#REF!</v>
      </c>
      <c r="E194" s="632" t="e">
        <f t="shared" si="52"/>
        <v>#REF!</v>
      </c>
      <c r="F194" s="633">
        <f t="shared" si="52"/>
        <v>0.97886598711234596</v>
      </c>
      <c r="G194" s="633">
        <f t="shared" si="52"/>
        <v>0.38015921772588729</v>
      </c>
      <c r="H194" s="633">
        <f t="shared" si="52"/>
        <v>0.11816177125720023</v>
      </c>
      <c r="I194" s="633">
        <f t="shared" si="52"/>
        <v>-2.9525024232385975E-2</v>
      </c>
      <c r="J194" s="633">
        <f t="shared" si="52"/>
        <v>-4.5132804478144495E-2</v>
      </c>
      <c r="K194" s="455"/>
      <c r="L194" s="455"/>
      <c r="M194" s="351"/>
      <c r="N194" s="351"/>
      <c r="O194" s="351"/>
      <c r="P194" s="351"/>
      <c r="Q194" s="351"/>
      <c r="R194" s="351"/>
      <c r="S194" s="351"/>
      <c r="T194" s="351"/>
      <c r="U194" s="351"/>
      <c r="V194" s="351"/>
      <c r="W194" s="351"/>
      <c r="X194" s="351"/>
      <c r="Y194" s="351"/>
    </row>
    <row r="195" spans="1:25">
      <c r="A195" s="366"/>
      <c r="B195" s="908" t="s">
        <v>506</v>
      </c>
      <c r="C195" s="914"/>
      <c r="D195" s="454" t="e">
        <f t="shared" ref="D195:J195" si="53">IF(D182&gt;0,D108/D182,0)</f>
        <v>#REF!</v>
      </c>
      <c r="E195" s="632" t="e">
        <f t="shared" si="53"/>
        <v>#REF!</v>
      </c>
      <c r="F195" s="633" t="e">
        <f t="shared" si="53"/>
        <v>#REF!</v>
      </c>
      <c r="G195" s="633" t="e">
        <f t="shared" si="53"/>
        <v>#REF!</v>
      </c>
      <c r="H195" s="633" t="e">
        <f t="shared" si="53"/>
        <v>#REF!</v>
      </c>
      <c r="I195" s="633" t="e">
        <f t="shared" si="53"/>
        <v>#REF!</v>
      </c>
      <c r="J195" s="633" t="e">
        <f t="shared" si="53"/>
        <v>#REF!</v>
      </c>
      <c r="K195" s="455"/>
      <c r="L195" s="455"/>
      <c r="M195" s="351"/>
      <c r="N195" s="351"/>
      <c r="O195" s="351"/>
      <c r="P195" s="351"/>
      <c r="Q195" s="351"/>
      <c r="R195" s="351"/>
      <c r="S195" s="351"/>
      <c r="T195" s="351"/>
      <c r="U195" s="351"/>
      <c r="V195" s="351"/>
      <c r="W195" s="351"/>
      <c r="X195" s="351"/>
      <c r="Y195" s="351"/>
    </row>
    <row r="196" spans="1:25">
      <c r="A196" s="366"/>
      <c r="B196" s="908" t="s">
        <v>507</v>
      </c>
      <c r="C196" s="914"/>
      <c r="D196" s="454" t="e">
        <f t="shared" ref="D196:J196" si="54">IF((D180-D179)&gt;0,D160/(D180-D179),0)</f>
        <v>#REF!</v>
      </c>
      <c r="E196" s="632" t="e">
        <f t="shared" si="54"/>
        <v>#REF!</v>
      </c>
      <c r="F196" s="633" t="e">
        <f t="shared" si="54"/>
        <v>#REF!</v>
      </c>
      <c r="G196" s="633" t="e">
        <f t="shared" si="54"/>
        <v>#REF!</v>
      </c>
      <c r="H196" s="633" t="e">
        <f t="shared" si="54"/>
        <v>#REF!</v>
      </c>
      <c r="I196" s="633" t="e">
        <f t="shared" si="54"/>
        <v>#REF!</v>
      </c>
      <c r="J196" s="633" t="e">
        <f t="shared" si="54"/>
        <v>#REF!</v>
      </c>
      <c r="K196" s="455"/>
      <c r="L196" s="455"/>
      <c r="M196" s="351"/>
      <c r="N196" s="351"/>
      <c r="O196" s="351"/>
      <c r="P196" s="351"/>
      <c r="Q196" s="351"/>
      <c r="R196" s="351"/>
      <c r="S196" s="351"/>
      <c r="T196" s="351"/>
      <c r="U196" s="351"/>
      <c r="V196" s="351"/>
      <c r="W196" s="351"/>
      <c r="X196" s="351"/>
      <c r="Y196" s="351"/>
    </row>
    <row r="197" spans="1:25">
      <c r="A197" s="366"/>
      <c r="B197" s="908" t="s">
        <v>508</v>
      </c>
      <c r="C197" s="914"/>
      <c r="D197" s="454" t="e">
        <f t="shared" ref="D197:J197" si="55">IF((D180-D179)&gt;0,IF((D56+D41+D26)&gt;0,(D56+D41+D26)/(D180-D179),"-ve"),0)</f>
        <v>#REF!</v>
      </c>
      <c r="E197" s="632" t="e">
        <f t="shared" si="55"/>
        <v>#REF!</v>
      </c>
      <c r="F197" s="633" t="e">
        <f t="shared" si="55"/>
        <v>#REF!</v>
      </c>
      <c r="G197" s="633" t="e">
        <f t="shared" si="55"/>
        <v>#REF!</v>
      </c>
      <c r="H197" s="633" t="e">
        <f t="shared" si="55"/>
        <v>#REF!</v>
      </c>
      <c r="I197" s="633" t="e">
        <f t="shared" si="55"/>
        <v>#REF!</v>
      </c>
      <c r="J197" s="633" t="e">
        <f t="shared" si="55"/>
        <v>#REF!</v>
      </c>
      <c r="K197" s="455"/>
      <c r="L197" s="455"/>
      <c r="M197" s="351"/>
      <c r="N197" s="351"/>
      <c r="O197" s="351"/>
      <c r="P197" s="351"/>
      <c r="Q197" s="351"/>
      <c r="R197" s="351"/>
      <c r="S197" s="351"/>
      <c r="T197" s="351"/>
      <c r="U197" s="351"/>
      <c r="V197" s="351"/>
      <c r="W197" s="351"/>
      <c r="X197" s="351"/>
      <c r="Y197" s="351"/>
    </row>
    <row r="198" spans="1:25">
      <c r="A198" s="366"/>
      <c r="B198" s="908" t="s">
        <v>509</v>
      </c>
      <c r="C198" s="914"/>
      <c r="D198" s="457" t="e">
        <f t="shared" ref="D198:J198" si="56">IF(D15&gt;0,SUM(D148:D156)/D15*365,0)</f>
        <v>#REF!</v>
      </c>
      <c r="E198" s="634" t="e">
        <f t="shared" si="56"/>
        <v>#REF!</v>
      </c>
      <c r="F198" s="635">
        <f t="shared" si="56"/>
        <v>110.32823166870915</v>
      </c>
      <c r="G198" s="635">
        <f t="shared" si="56"/>
        <v>110.27983310857525</v>
      </c>
      <c r="H198" s="635">
        <f t="shared" si="56"/>
        <v>110.40674406828704</v>
      </c>
      <c r="I198" s="635">
        <f t="shared" si="56"/>
        <v>110.48719386332948</v>
      </c>
      <c r="J198" s="635">
        <f t="shared" si="56"/>
        <v>110.48719386332948</v>
      </c>
      <c r="K198" s="458"/>
      <c r="L198" s="458"/>
      <c r="M198" s="351"/>
      <c r="N198" s="351"/>
      <c r="O198" s="351"/>
      <c r="P198" s="351"/>
      <c r="Q198" s="351"/>
      <c r="R198" s="351"/>
      <c r="S198" s="351"/>
      <c r="T198" s="351"/>
      <c r="U198" s="351"/>
      <c r="V198" s="351"/>
      <c r="W198" s="351"/>
      <c r="X198" s="351"/>
      <c r="Y198" s="351"/>
    </row>
    <row r="199" spans="1:25">
      <c r="A199" s="366"/>
      <c r="B199" s="435"/>
      <c r="C199" s="456"/>
      <c r="D199" s="459"/>
      <c r="E199" s="581"/>
      <c r="F199" s="581"/>
      <c r="G199" s="581"/>
      <c r="H199" s="581"/>
      <c r="I199" s="581"/>
      <c r="J199" s="581"/>
      <c r="K199" s="351"/>
      <c r="L199" s="351"/>
      <c r="M199" s="351"/>
      <c r="N199" s="351"/>
      <c r="O199" s="351"/>
      <c r="P199" s="351"/>
      <c r="Q199" s="351"/>
      <c r="R199" s="351"/>
      <c r="S199" s="351"/>
      <c r="T199" s="351"/>
      <c r="U199" s="351"/>
      <c r="V199" s="351"/>
      <c r="W199" s="351"/>
      <c r="X199" s="351"/>
      <c r="Y199" s="351"/>
    </row>
    <row r="200" spans="1:25" ht="15">
      <c r="A200" s="366"/>
      <c r="B200" s="913" t="s">
        <v>510</v>
      </c>
      <c r="C200" s="909"/>
      <c r="D200" s="383"/>
      <c r="E200" s="581"/>
      <c r="F200" s="581"/>
      <c r="G200" s="581"/>
      <c r="H200" s="581"/>
      <c r="I200" s="581"/>
      <c r="J200" s="581"/>
      <c r="K200" s="351"/>
      <c r="L200" s="351"/>
      <c r="M200" s="351"/>
      <c r="N200" s="351"/>
      <c r="O200" s="351"/>
      <c r="P200" s="351"/>
      <c r="Q200" s="351"/>
      <c r="R200" s="351"/>
      <c r="S200" s="351"/>
      <c r="T200" s="351"/>
      <c r="U200" s="351"/>
      <c r="V200" s="351"/>
      <c r="W200" s="351"/>
      <c r="X200" s="351"/>
      <c r="Y200" s="351"/>
    </row>
    <row r="201" spans="1:25">
      <c r="A201" s="366"/>
      <c r="B201" s="910" t="s">
        <v>511</v>
      </c>
      <c r="C201" s="909"/>
      <c r="D201" s="425"/>
      <c r="E201" s="636"/>
      <c r="F201" s="636"/>
      <c r="G201" s="636"/>
      <c r="H201" s="636"/>
      <c r="I201" s="636"/>
      <c r="J201" s="636"/>
      <c r="K201" s="384"/>
      <c r="L201" s="384"/>
      <c r="M201" s="351"/>
      <c r="N201" s="351"/>
      <c r="O201" s="351"/>
      <c r="P201" s="351"/>
      <c r="Q201" s="351"/>
      <c r="R201" s="351"/>
      <c r="S201" s="351"/>
      <c r="T201" s="351"/>
      <c r="U201" s="351"/>
      <c r="V201" s="351"/>
      <c r="W201" s="351"/>
      <c r="X201" s="351"/>
      <c r="Y201" s="351"/>
    </row>
    <row r="202" spans="1:25">
      <c r="A202" s="366"/>
      <c r="B202" s="910" t="s">
        <v>512</v>
      </c>
      <c r="C202" s="909"/>
      <c r="D202" s="425"/>
      <c r="E202" s="636"/>
      <c r="F202" s="636"/>
      <c r="G202" s="636"/>
      <c r="H202" s="636"/>
      <c r="I202" s="636"/>
      <c r="J202" s="636"/>
      <c r="K202" s="384"/>
      <c r="L202" s="384"/>
      <c r="M202" s="351"/>
      <c r="N202" s="351"/>
      <c r="O202" s="351"/>
      <c r="P202" s="351"/>
      <c r="Q202" s="351"/>
      <c r="R202" s="351"/>
      <c r="S202" s="351"/>
      <c r="T202" s="351"/>
      <c r="U202" s="351"/>
      <c r="V202" s="351"/>
      <c r="W202" s="351"/>
      <c r="X202" s="351"/>
      <c r="Y202" s="351"/>
    </row>
    <row r="203" spans="1:25">
      <c r="A203" s="366"/>
      <c r="B203" s="910" t="s">
        <v>513</v>
      </c>
      <c r="C203" s="909"/>
      <c r="D203" s="425"/>
      <c r="E203" s="636"/>
      <c r="F203" s="636"/>
      <c r="G203" s="636"/>
      <c r="H203" s="636"/>
      <c r="I203" s="636"/>
      <c r="J203" s="636"/>
      <c r="K203" s="384"/>
      <c r="L203" s="384"/>
      <c r="M203" s="351"/>
      <c r="N203" s="351"/>
      <c r="O203" s="351"/>
      <c r="P203" s="351"/>
      <c r="Q203" s="351"/>
      <c r="R203" s="351"/>
      <c r="S203" s="351"/>
      <c r="T203" s="351"/>
      <c r="U203" s="351"/>
      <c r="V203" s="351"/>
      <c r="W203" s="351"/>
      <c r="X203" s="351"/>
      <c r="Y203" s="351"/>
    </row>
    <row r="204" spans="1:25">
      <c r="A204" s="366"/>
      <c r="B204" s="910" t="s">
        <v>514</v>
      </c>
      <c r="C204" s="909"/>
      <c r="D204" s="425"/>
      <c r="E204" s="636"/>
      <c r="F204" s="636"/>
      <c r="G204" s="636"/>
      <c r="H204" s="636"/>
      <c r="I204" s="636"/>
      <c r="J204" s="636"/>
      <c r="K204" s="384"/>
      <c r="L204" s="384"/>
      <c r="M204" s="351"/>
      <c r="N204" s="351"/>
      <c r="O204" s="351"/>
      <c r="P204" s="351"/>
      <c r="Q204" s="351"/>
      <c r="R204" s="351"/>
      <c r="S204" s="351"/>
      <c r="T204" s="351"/>
      <c r="U204" s="351"/>
      <c r="V204" s="351"/>
      <c r="W204" s="351"/>
      <c r="X204" s="351"/>
      <c r="Y204" s="351"/>
    </row>
    <row r="205" spans="1:25">
      <c r="A205" s="366"/>
      <c r="B205" s="910" t="s">
        <v>515</v>
      </c>
      <c r="C205" s="909"/>
      <c r="D205" s="425"/>
      <c r="E205" s="636"/>
      <c r="F205" s="636"/>
      <c r="G205" s="636"/>
      <c r="H205" s="636"/>
      <c r="I205" s="636"/>
      <c r="J205" s="636"/>
      <c r="K205" s="384"/>
      <c r="L205" s="384"/>
      <c r="M205" s="351"/>
      <c r="N205" s="351"/>
      <c r="O205" s="351"/>
      <c r="P205" s="351"/>
      <c r="Q205" s="351"/>
      <c r="R205" s="351"/>
      <c r="S205" s="351"/>
      <c r="T205" s="351"/>
      <c r="U205" s="351"/>
      <c r="V205" s="351"/>
      <c r="W205" s="351"/>
      <c r="X205" s="351"/>
      <c r="Y205" s="351"/>
    </row>
    <row r="206" spans="1:25">
      <c r="A206" s="417"/>
      <c r="B206" s="923" t="s">
        <v>516</v>
      </c>
      <c r="C206" s="923"/>
      <c r="D206" s="460"/>
      <c r="E206" s="637"/>
      <c r="F206" s="637"/>
      <c r="G206" s="637"/>
      <c r="H206" s="637"/>
      <c r="I206" s="637"/>
      <c r="J206" s="637"/>
      <c r="K206" s="384"/>
      <c r="L206" s="384"/>
      <c r="M206" s="351"/>
      <c r="N206" s="351"/>
      <c r="O206" s="351"/>
      <c r="P206" s="351"/>
      <c r="Q206" s="351"/>
      <c r="R206" s="351"/>
      <c r="S206" s="351"/>
      <c r="T206" s="351"/>
      <c r="U206" s="351"/>
      <c r="V206" s="351"/>
      <c r="W206" s="351"/>
      <c r="X206" s="351"/>
      <c r="Y206" s="351"/>
    </row>
    <row r="207" spans="1:25">
      <c r="A207" s="356"/>
      <c r="B207" s="351"/>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row>
    <row r="208" spans="1:25" ht="15">
      <c r="A208" s="912" t="s">
        <v>528</v>
      </c>
      <c r="B208" s="912"/>
      <c r="C208" s="912"/>
      <c r="D208" s="912"/>
      <c r="E208" s="912"/>
      <c r="F208" s="912"/>
      <c r="G208" s="912"/>
      <c r="H208" s="351"/>
      <c r="I208" s="351"/>
      <c r="J208" s="351"/>
      <c r="K208" s="351"/>
      <c r="L208" s="351"/>
      <c r="M208" s="351"/>
      <c r="N208" s="351"/>
      <c r="O208" s="351"/>
      <c r="P208" s="351"/>
      <c r="Q208" s="351"/>
      <c r="R208" s="351"/>
      <c r="S208" s="351"/>
      <c r="T208" s="351"/>
      <c r="U208" s="351"/>
      <c r="V208" s="351"/>
      <c r="W208" s="351"/>
      <c r="X208" s="351"/>
      <c r="Y208" s="351"/>
    </row>
    <row r="209" spans="1:25" ht="15.75" thickBot="1">
      <c r="A209" s="356"/>
      <c r="B209" s="494"/>
      <c r="C209" s="357"/>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row>
    <row r="210" spans="1:25" ht="15">
      <c r="A210" s="420"/>
      <c r="B210" s="367" t="e">
        <f>B5</f>
        <v>#REF!</v>
      </c>
      <c r="C210" s="357"/>
      <c r="D210" s="351"/>
      <c r="E210" s="351"/>
      <c r="F210" s="351"/>
      <c r="G210" s="351"/>
      <c r="H210" s="351"/>
      <c r="I210" s="351"/>
      <c r="J210" s="351"/>
      <c r="K210" s="461"/>
      <c r="L210" s="921" t="s">
        <v>517</v>
      </c>
      <c r="M210" s="922"/>
      <c r="N210" s="462"/>
      <c r="O210" s="462"/>
      <c r="P210" s="463"/>
      <c r="Q210" s="464"/>
      <c r="R210" s="464"/>
      <c r="S210" s="464"/>
      <c r="T210" s="464"/>
      <c r="U210" s="465"/>
      <c r="V210" s="351"/>
      <c r="W210" s="351"/>
      <c r="X210" s="351"/>
      <c r="Y210" s="351"/>
    </row>
    <row r="211" spans="1:25" ht="15">
      <c r="A211" s="420"/>
      <c r="B211" s="357"/>
      <c r="C211" s="357"/>
      <c r="D211" s="351"/>
      <c r="E211" s="351"/>
      <c r="F211" s="508" t="str">
        <f>F6</f>
        <v xml:space="preserve">       Rupees in lacs</v>
      </c>
      <c r="G211" s="351"/>
      <c r="H211" s="351"/>
      <c r="I211" s="351"/>
      <c r="J211" s="351"/>
      <c r="K211" s="466">
        <v>1</v>
      </c>
      <c r="L211" s="918" t="s">
        <v>518</v>
      </c>
      <c r="M211" s="919"/>
      <c r="N211" s="469" t="e">
        <f t="shared" ref="N211:T211" si="57">+D116-D180</f>
        <v>#REF!</v>
      </c>
      <c r="O211" s="469" t="e">
        <f t="shared" si="57"/>
        <v>#REF!</v>
      </c>
      <c r="P211" s="469" t="e">
        <f t="shared" si="57"/>
        <v>#REF!</v>
      </c>
      <c r="Q211" s="469" t="e">
        <f t="shared" si="57"/>
        <v>#REF!</v>
      </c>
      <c r="R211" s="469" t="e">
        <f t="shared" si="57"/>
        <v>#REF!</v>
      </c>
      <c r="S211" s="469" t="e">
        <f t="shared" si="57"/>
        <v>#REF!</v>
      </c>
      <c r="T211" s="469" t="e">
        <f t="shared" si="57"/>
        <v>#REF!</v>
      </c>
      <c r="U211" s="470"/>
      <c r="V211" s="351"/>
      <c r="W211" s="351"/>
      <c r="X211" s="351"/>
      <c r="Y211" s="351"/>
    </row>
    <row r="212" spans="1:25">
      <c r="A212" s="606"/>
      <c r="B212" s="604"/>
      <c r="C212" s="566"/>
      <c r="D212" s="429" t="e">
        <f t="shared" ref="D212:J213" si="58">D141</f>
        <v>#REF!</v>
      </c>
      <c r="E212" s="566"/>
      <c r="F212" s="429" t="str">
        <f t="shared" si="58"/>
        <v>1st` year</v>
      </c>
      <c r="G212" s="429" t="str">
        <f t="shared" si="58"/>
        <v>2nd</v>
      </c>
      <c r="H212" s="429" t="str">
        <f t="shared" si="58"/>
        <v>3rd</v>
      </c>
      <c r="I212" s="429" t="str">
        <f t="shared" si="58"/>
        <v>4th</v>
      </c>
      <c r="J212" s="429" t="str">
        <f t="shared" si="58"/>
        <v>5th</v>
      </c>
      <c r="K212" s="478">
        <v>2</v>
      </c>
      <c r="L212" s="920" t="s">
        <v>519</v>
      </c>
      <c r="M212" s="919"/>
      <c r="N212" s="472">
        <v>0</v>
      </c>
      <c r="O212" s="472">
        <v>0</v>
      </c>
      <c r="P212" s="472">
        <v>0</v>
      </c>
      <c r="Q212" s="473">
        <v>0</v>
      </c>
      <c r="R212" s="473">
        <v>0</v>
      </c>
      <c r="S212" s="473">
        <v>0</v>
      </c>
      <c r="T212" s="473">
        <v>0</v>
      </c>
      <c r="U212" s="470"/>
      <c r="V212" s="351"/>
      <c r="W212" s="351"/>
      <c r="X212" s="351"/>
      <c r="Y212" s="351"/>
    </row>
    <row r="213" spans="1:25">
      <c r="A213" s="417"/>
      <c r="B213" s="418"/>
      <c r="C213" s="419"/>
      <c r="D213" s="605" t="e">
        <f t="shared" si="58"/>
        <v>#REF!</v>
      </c>
      <c r="E213" s="419"/>
      <c r="F213" s="605" t="e">
        <f t="shared" si="58"/>
        <v>#REF!</v>
      </c>
      <c r="G213" s="605" t="e">
        <f t="shared" si="58"/>
        <v>#REF!</v>
      </c>
      <c r="H213" s="605" t="e">
        <f t="shared" si="58"/>
        <v>#REF!</v>
      </c>
      <c r="I213" s="605" t="e">
        <f t="shared" si="58"/>
        <v>#REF!</v>
      </c>
      <c r="J213" s="605" t="e">
        <f t="shared" si="58"/>
        <v>#REF!</v>
      </c>
      <c r="K213" s="478">
        <v>3</v>
      </c>
      <c r="L213" s="920" t="s">
        <v>520</v>
      </c>
      <c r="M213" s="924"/>
      <c r="N213" s="474">
        <v>0</v>
      </c>
      <c r="O213" s="474">
        <v>0</v>
      </c>
      <c r="P213" s="474">
        <v>0</v>
      </c>
      <c r="Q213" s="475">
        <v>0</v>
      </c>
      <c r="R213" s="475">
        <v>0</v>
      </c>
      <c r="S213" s="475">
        <v>0</v>
      </c>
      <c r="T213" s="475">
        <v>0</v>
      </c>
      <c r="U213" s="470"/>
      <c r="V213" s="351"/>
      <c r="W213" s="351"/>
      <c r="X213" s="351"/>
      <c r="Y213" s="351"/>
    </row>
    <row r="214" spans="1:25" ht="14.25" thickBot="1">
      <c r="A214" s="366" t="s">
        <v>271</v>
      </c>
      <c r="B214" s="357" t="s">
        <v>529</v>
      </c>
      <c r="C214" s="357"/>
      <c r="D214" s="434"/>
      <c r="E214" s="603"/>
      <c r="F214" s="603"/>
      <c r="G214" s="603"/>
      <c r="H214" s="603"/>
      <c r="I214" s="603"/>
      <c r="J214" s="603"/>
      <c r="K214" s="673">
        <v>4</v>
      </c>
      <c r="L214" s="925" t="s">
        <v>521</v>
      </c>
      <c r="M214" s="926"/>
      <c r="N214" s="476" t="e">
        <f t="shared" ref="N214:T214" si="59">IF(D15&gt;0,IF((C95+C96-D95)&lt;(C107-D107),(C95+C96-D95)-(C107-D107),0),0)</f>
        <v>#REF!</v>
      </c>
      <c r="O214" s="476" t="e">
        <f t="shared" si="59"/>
        <v>#REF!</v>
      </c>
      <c r="P214" s="476">
        <f t="shared" si="59"/>
        <v>0</v>
      </c>
      <c r="Q214" s="476">
        <f t="shared" si="59"/>
        <v>-3.9999999999999947</v>
      </c>
      <c r="R214" s="476">
        <f t="shared" si="59"/>
        <v>-4.0000000000000009</v>
      </c>
      <c r="S214" s="476">
        <f t="shared" si="59"/>
        <v>-4.0000000000000018</v>
      </c>
      <c r="T214" s="476">
        <f t="shared" si="59"/>
        <v>0</v>
      </c>
      <c r="U214" s="477"/>
      <c r="V214" s="351"/>
      <c r="W214" s="351"/>
      <c r="X214" s="351"/>
      <c r="Y214" s="351"/>
    </row>
    <row r="215" spans="1:25">
      <c r="A215" s="366"/>
      <c r="B215" s="424"/>
      <c r="C215" s="368"/>
      <c r="D215" s="434"/>
      <c r="E215" s="581"/>
      <c r="F215" s="581"/>
      <c r="G215" s="581"/>
      <c r="H215" s="581"/>
      <c r="I215" s="581"/>
      <c r="J215" s="581"/>
      <c r="K215" s="478"/>
      <c r="L215" s="479"/>
      <c r="M215" s="479"/>
      <c r="N215" s="480"/>
      <c r="O215" s="480"/>
      <c r="P215" s="480"/>
      <c r="Q215" s="480"/>
      <c r="R215" s="351"/>
      <c r="S215" s="351"/>
      <c r="T215" s="351"/>
      <c r="U215" s="351"/>
      <c r="V215" s="351"/>
      <c r="W215" s="351"/>
      <c r="X215" s="351"/>
      <c r="Y215" s="351"/>
    </row>
    <row r="216" spans="1:25">
      <c r="A216" s="366"/>
      <c r="B216" s="910" t="s">
        <v>530</v>
      </c>
      <c r="C216" s="909"/>
      <c r="D216" s="414">
        <f t="shared" ref="D216:J217" si="60">IF(D18&gt;0,ROUND(D151/(D18/365),0),0)</f>
        <v>0</v>
      </c>
      <c r="E216" s="586">
        <f t="shared" si="60"/>
        <v>0</v>
      </c>
      <c r="F216" s="593">
        <f t="shared" si="60"/>
        <v>0</v>
      </c>
      <c r="G216" s="593">
        <f t="shared" si="60"/>
        <v>0</v>
      </c>
      <c r="H216" s="593">
        <f t="shared" si="60"/>
        <v>0</v>
      </c>
      <c r="I216" s="593">
        <f t="shared" si="60"/>
        <v>0</v>
      </c>
      <c r="J216" s="593">
        <f t="shared" si="60"/>
        <v>0</v>
      </c>
      <c r="K216" s="478"/>
      <c r="L216" s="481" t="s">
        <v>522</v>
      </c>
      <c r="M216" s="479"/>
      <c r="N216" s="480"/>
      <c r="O216" s="480"/>
      <c r="P216" s="480"/>
      <c r="Q216" s="480"/>
      <c r="R216" s="351"/>
      <c r="S216" s="351"/>
      <c r="T216" s="351"/>
      <c r="U216" s="351"/>
      <c r="V216" s="351"/>
      <c r="W216" s="351"/>
      <c r="X216" s="351"/>
      <c r="Y216" s="351"/>
    </row>
    <row r="217" spans="1:25" ht="15">
      <c r="A217" s="366"/>
      <c r="B217" s="910" t="s">
        <v>531</v>
      </c>
      <c r="C217" s="909"/>
      <c r="D217" s="414" t="e">
        <f t="shared" si="60"/>
        <v>#REF!</v>
      </c>
      <c r="E217" s="586" t="e">
        <f t="shared" si="60"/>
        <v>#REF!</v>
      </c>
      <c r="F217" s="593">
        <f t="shared" si="60"/>
        <v>26</v>
      </c>
      <c r="G217" s="593">
        <f t="shared" si="60"/>
        <v>30</v>
      </c>
      <c r="H217" s="593">
        <f t="shared" si="60"/>
        <v>30</v>
      </c>
      <c r="I217" s="593">
        <f t="shared" si="60"/>
        <v>30</v>
      </c>
      <c r="J217" s="593">
        <f t="shared" si="60"/>
        <v>30</v>
      </c>
      <c r="K217" s="674"/>
      <c r="L217" s="482" t="s">
        <v>523</v>
      </c>
      <c r="M217" s="483"/>
      <c r="N217" s="484">
        <f t="shared" ref="N217:T217" si="61">C96</f>
        <v>0</v>
      </c>
      <c r="O217" s="484">
        <f t="shared" si="61"/>
        <v>0</v>
      </c>
      <c r="P217" s="484">
        <f t="shared" si="61"/>
        <v>2.1016666666666666</v>
      </c>
      <c r="Q217" s="484">
        <f t="shared" si="61"/>
        <v>2.5220000000000002</v>
      </c>
      <c r="R217" s="484">
        <f t="shared" si="61"/>
        <v>2.5220000000000002</v>
      </c>
      <c r="S217" s="484">
        <f t="shared" si="61"/>
        <v>2.5220000000000002</v>
      </c>
      <c r="T217" s="484">
        <f t="shared" si="61"/>
        <v>2.5220000000000002</v>
      </c>
      <c r="U217" s="485"/>
      <c r="V217" s="351"/>
      <c r="W217" s="351"/>
      <c r="X217" s="351"/>
      <c r="Y217" s="351"/>
    </row>
    <row r="218" spans="1:25">
      <c r="A218" s="366"/>
      <c r="B218" s="910" t="s">
        <v>532</v>
      </c>
      <c r="C218" s="909"/>
      <c r="D218" s="414">
        <f t="shared" ref="D218:J218" si="62">IF(D20&gt;0,ROUND(D155/(D20/365),0),0)</f>
        <v>0</v>
      </c>
      <c r="E218" s="586">
        <f t="shared" si="62"/>
        <v>0</v>
      </c>
      <c r="F218" s="593">
        <f t="shared" si="62"/>
        <v>0</v>
      </c>
      <c r="G218" s="593">
        <f t="shared" si="62"/>
        <v>0</v>
      </c>
      <c r="H218" s="593">
        <f t="shared" si="62"/>
        <v>0</v>
      </c>
      <c r="I218" s="593">
        <f t="shared" si="62"/>
        <v>0</v>
      </c>
      <c r="J218" s="593">
        <f t="shared" si="62"/>
        <v>0</v>
      </c>
      <c r="K218" s="478"/>
      <c r="L218" s="479"/>
      <c r="M218" s="479"/>
      <c r="N218" s="480"/>
      <c r="O218" s="480"/>
      <c r="P218" s="480"/>
      <c r="Q218" s="480"/>
      <c r="R218" s="351"/>
      <c r="S218" s="351"/>
      <c r="T218" s="351"/>
      <c r="U218" s="351"/>
      <c r="V218" s="351"/>
      <c r="W218" s="351"/>
      <c r="X218" s="351"/>
      <c r="Y218" s="351"/>
    </row>
    <row r="219" spans="1:25">
      <c r="A219" s="366"/>
      <c r="B219" s="910" t="s">
        <v>533</v>
      </c>
      <c r="C219" s="909"/>
      <c r="D219" s="414" t="e">
        <f>IF(D21&gt;0,ROUND(D156/(D21/365),0),0)</f>
        <v>#REF!</v>
      </c>
      <c r="E219" s="586" t="e">
        <f>IF(E21&gt;0,ROUND(E156/(E21/365),0),0)</f>
        <v>#REF!</v>
      </c>
      <c r="F219" s="593">
        <v>0</v>
      </c>
      <c r="G219" s="593">
        <v>0</v>
      </c>
      <c r="H219" s="593">
        <v>0</v>
      </c>
      <c r="I219" s="593">
        <v>0</v>
      </c>
      <c r="J219" s="593">
        <v>0</v>
      </c>
      <c r="K219" s="478"/>
      <c r="L219" s="916" t="s">
        <v>524</v>
      </c>
      <c r="M219" s="917"/>
      <c r="N219" s="917"/>
      <c r="O219" s="917"/>
      <c r="P219" s="917"/>
      <c r="Q219" s="917"/>
      <c r="R219" s="351"/>
      <c r="S219" s="351"/>
      <c r="T219" s="351"/>
      <c r="U219" s="351"/>
      <c r="V219" s="351"/>
      <c r="W219" s="351"/>
      <c r="X219" s="351"/>
      <c r="Y219" s="351"/>
    </row>
    <row r="220" spans="1:25" ht="27">
      <c r="A220" s="366"/>
      <c r="B220" s="910" t="s">
        <v>534</v>
      </c>
      <c r="C220" s="909"/>
      <c r="D220" s="414" t="e">
        <f t="shared" ref="D220:J220" si="63">IF(D31&gt;0,ROUND(D153/(D31/365),0),0)</f>
        <v>#REF!</v>
      </c>
      <c r="E220" s="586" t="e">
        <f t="shared" si="63"/>
        <v>#REF!</v>
      </c>
      <c r="F220" s="593">
        <f t="shared" si="63"/>
        <v>0</v>
      </c>
      <c r="G220" s="593">
        <f t="shared" si="63"/>
        <v>0</v>
      </c>
      <c r="H220" s="593">
        <f t="shared" si="63"/>
        <v>0</v>
      </c>
      <c r="I220" s="593">
        <f t="shared" si="63"/>
        <v>0</v>
      </c>
      <c r="J220" s="593">
        <f t="shared" si="63"/>
        <v>0</v>
      </c>
      <c r="K220" s="675"/>
      <c r="L220" s="471" t="s">
        <v>525</v>
      </c>
      <c r="M220" s="486"/>
      <c r="N220" s="487"/>
      <c r="O220" s="487"/>
      <c r="P220" s="487"/>
      <c r="Q220" s="487"/>
      <c r="R220" s="487"/>
      <c r="S220" s="486"/>
      <c r="T220" s="486"/>
      <c r="U220" s="486"/>
      <c r="V220" s="351"/>
      <c r="W220" s="351"/>
      <c r="X220" s="351"/>
      <c r="Y220" s="351"/>
    </row>
    <row r="221" spans="1:25">
      <c r="A221" s="366"/>
      <c r="B221" s="910" t="s">
        <v>535</v>
      </c>
      <c r="C221" s="909"/>
      <c r="D221" s="495" t="e">
        <f t="shared" ref="D221:J221" si="64">IF(D35&gt;0,ROUND(D154/(D35/365),0),0)</f>
        <v>#REF!</v>
      </c>
      <c r="E221" s="638" t="e">
        <f t="shared" si="64"/>
        <v>#REF!</v>
      </c>
      <c r="F221" s="639">
        <f t="shared" si="64"/>
        <v>34</v>
      </c>
      <c r="G221" s="639">
        <f t="shared" si="64"/>
        <v>34</v>
      </c>
      <c r="H221" s="639">
        <f t="shared" si="64"/>
        <v>34</v>
      </c>
      <c r="I221" s="639">
        <f t="shared" si="64"/>
        <v>34</v>
      </c>
      <c r="J221" s="639">
        <f t="shared" si="64"/>
        <v>34</v>
      </c>
      <c r="K221" s="478"/>
      <c r="L221" s="467" t="s">
        <v>526</v>
      </c>
      <c r="M221" s="468"/>
      <c r="N221" s="488"/>
      <c r="O221" s="488"/>
      <c r="P221" s="488"/>
      <c r="Q221" s="489"/>
      <c r="R221" s="489"/>
      <c r="S221" s="490"/>
      <c r="T221" s="490"/>
      <c r="U221" s="490"/>
      <c r="V221" s="351"/>
      <c r="W221" s="351"/>
      <c r="X221" s="351"/>
      <c r="Y221" s="351"/>
    </row>
    <row r="222" spans="1:25">
      <c r="A222" s="366"/>
      <c r="B222" s="910"/>
      <c r="C222" s="909"/>
      <c r="D222" s="414"/>
      <c r="E222" s="586"/>
      <c r="F222" s="593"/>
      <c r="G222" s="593"/>
      <c r="H222" s="593"/>
      <c r="I222" s="593"/>
      <c r="J222" s="593"/>
      <c r="K222" s="676"/>
      <c r="L222" s="491" t="s">
        <v>527</v>
      </c>
      <c r="M222" s="492"/>
      <c r="N222" s="488"/>
      <c r="O222" s="488"/>
      <c r="P222" s="488"/>
      <c r="Q222" s="488"/>
      <c r="R222" s="488"/>
      <c r="S222" s="493"/>
      <c r="T222" s="493"/>
      <c r="U222" s="493"/>
      <c r="V222" s="351"/>
      <c r="W222" s="351"/>
      <c r="X222" s="351"/>
      <c r="Y222" s="351"/>
    </row>
    <row r="223" spans="1:25">
      <c r="A223" s="366"/>
      <c r="B223" s="910" t="s">
        <v>536</v>
      </c>
      <c r="C223" s="909"/>
      <c r="D223" s="414" t="e">
        <f t="shared" ref="D223:J223" si="65">SUM(D151:D156)</f>
        <v>#REF!</v>
      </c>
      <c r="E223" s="586" t="e">
        <f t="shared" si="65"/>
        <v>#REF!</v>
      </c>
      <c r="F223" s="593">
        <f t="shared" si="65"/>
        <v>33.195482499999997</v>
      </c>
      <c r="G223" s="593">
        <f t="shared" si="65"/>
        <v>35.113788333541656</v>
      </c>
      <c r="H223" s="593">
        <f t="shared" si="65"/>
        <v>35.203912499999994</v>
      </c>
      <c r="I223" s="593">
        <f t="shared" si="65"/>
        <v>35.261042874999994</v>
      </c>
      <c r="J223" s="593">
        <f t="shared" si="65"/>
        <v>35.261042874999994</v>
      </c>
      <c r="K223" s="478"/>
      <c r="L223" s="479"/>
      <c r="M223" s="479"/>
      <c r="N223" s="480"/>
      <c r="O223" s="480"/>
      <c r="P223" s="480"/>
      <c r="Q223" s="480"/>
      <c r="R223" s="351"/>
      <c r="S223" s="351"/>
      <c r="T223" s="351"/>
      <c r="U223" s="351"/>
      <c r="V223" s="351"/>
      <c r="W223" s="351"/>
      <c r="X223" s="351"/>
      <c r="Y223" s="351"/>
    </row>
    <row r="224" spans="1:25">
      <c r="A224" s="366"/>
      <c r="B224" s="910" t="s">
        <v>537</v>
      </c>
      <c r="C224" s="909"/>
      <c r="D224" s="495" t="e">
        <f t="shared" ref="D224:J224" si="66">IF(D15&gt;0,D223*365/D15,0)</f>
        <v>#REF!</v>
      </c>
      <c r="E224" s="638" t="e">
        <f t="shared" si="66"/>
        <v>#REF!</v>
      </c>
      <c r="F224" s="639">
        <f t="shared" si="66"/>
        <v>49.494898335375815</v>
      </c>
      <c r="G224" s="639">
        <f t="shared" si="66"/>
        <v>49.446499775241918</v>
      </c>
      <c r="H224" s="639">
        <f t="shared" si="66"/>
        <v>49.573410734953697</v>
      </c>
      <c r="I224" s="639">
        <f t="shared" si="66"/>
        <v>49.653860529996138</v>
      </c>
      <c r="J224" s="639">
        <f t="shared" si="66"/>
        <v>49.653860529996138</v>
      </c>
      <c r="K224" s="478"/>
      <c r="L224" s="479"/>
      <c r="M224" s="479"/>
      <c r="N224" s="480"/>
      <c r="O224" s="480"/>
      <c r="P224" s="480"/>
      <c r="Q224" s="480"/>
      <c r="R224" s="351"/>
      <c r="S224" s="351"/>
      <c r="T224" s="351"/>
      <c r="U224" s="351"/>
      <c r="V224" s="351"/>
      <c r="W224" s="351"/>
      <c r="X224" s="351"/>
      <c r="Y224" s="351"/>
    </row>
    <row r="225" spans="1:25" ht="15" customHeight="1">
      <c r="A225" s="366"/>
      <c r="B225" s="910"/>
      <c r="C225" s="909"/>
      <c r="D225" s="414"/>
      <c r="E225" s="586"/>
      <c r="F225" s="593"/>
      <c r="G225" s="593"/>
      <c r="H225" s="593"/>
      <c r="I225" s="593"/>
      <c r="J225" s="593"/>
      <c r="K225" s="351"/>
      <c r="L225" s="351"/>
      <c r="M225" s="351"/>
      <c r="N225" s="351"/>
      <c r="O225" s="351"/>
      <c r="P225" s="351"/>
      <c r="Q225" s="351"/>
      <c r="R225" s="351"/>
      <c r="S225" s="351"/>
      <c r="T225" s="351"/>
      <c r="U225" s="351"/>
      <c r="V225" s="351"/>
      <c r="W225" s="351"/>
      <c r="X225" s="351"/>
      <c r="Y225" s="351"/>
    </row>
    <row r="226" spans="1:25">
      <c r="A226" s="366"/>
      <c r="B226" s="910" t="s">
        <v>538</v>
      </c>
      <c r="C226" s="909"/>
      <c r="D226" s="495" t="e">
        <f t="shared" ref="D226:J226" si="67">IF(D11&gt;0,ROUND(D148/(+D11/365),0),0)</f>
        <v>#REF!</v>
      </c>
      <c r="E226" s="638" t="e">
        <f t="shared" si="67"/>
        <v>#REF!</v>
      </c>
      <c r="F226" s="639">
        <f t="shared" si="67"/>
        <v>61</v>
      </c>
      <c r="G226" s="639">
        <f t="shared" si="67"/>
        <v>61</v>
      </c>
      <c r="H226" s="639">
        <f t="shared" si="67"/>
        <v>61</v>
      </c>
      <c r="I226" s="639">
        <f t="shared" si="67"/>
        <v>61</v>
      </c>
      <c r="J226" s="639">
        <f t="shared" si="67"/>
        <v>61</v>
      </c>
      <c r="K226" s="351"/>
      <c r="L226" s="351"/>
      <c r="M226" s="351"/>
      <c r="N226" s="351"/>
      <c r="O226" s="351"/>
      <c r="P226" s="351"/>
      <c r="Q226" s="351"/>
      <c r="R226" s="351"/>
      <c r="S226" s="351"/>
      <c r="T226" s="351"/>
      <c r="U226" s="351"/>
      <c r="V226" s="351"/>
      <c r="W226" s="351"/>
      <c r="X226" s="351"/>
      <c r="Y226" s="351"/>
    </row>
    <row r="227" spans="1:25">
      <c r="A227" s="366"/>
      <c r="B227" s="910" t="s">
        <v>539</v>
      </c>
      <c r="C227" s="909"/>
      <c r="D227" s="495">
        <f t="shared" ref="D227:J227" si="68">IF(D12&gt;0,ROUND(D149/(+D12/365),2),0)</f>
        <v>0</v>
      </c>
      <c r="E227" s="638">
        <f t="shared" si="68"/>
        <v>0</v>
      </c>
      <c r="F227" s="639">
        <f t="shared" si="68"/>
        <v>0</v>
      </c>
      <c r="G227" s="639">
        <f t="shared" si="68"/>
        <v>0</v>
      </c>
      <c r="H227" s="639">
        <f t="shared" si="68"/>
        <v>0</v>
      </c>
      <c r="I227" s="639">
        <f t="shared" si="68"/>
        <v>0</v>
      </c>
      <c r="J227" s="639">
        <f t="shared" si="68"/>
        <v>0</v>
      </c>
      <c r="K227" s="351"/>
      <c r="L227" s="351"/>
      <c r="M227" s="351"/>
      <c r="N227" s="351"/>
      <c r="O227" s="351"/>
      <c r="P227" s="351"/>
      <c r="Q227" s="351"/>
      <c r="R227" s="351"/>
      <c r="S227" s="351"/>
      <c r="T227" s="351"/>
      <c r="U227" s="351"/>
      <c r="V227" s="351"/>
      <c r="W227" s="351"/>
      <c r="X227" s="351"/>
      <c r="Y227" s="351"/>
    </row>
    <row r="228" spans="1:25">
      <c r="A228" s="366"/>
      <c r="B228" s="910"/>
      <c r="C228" s="909"/>
      <c r="D228" s="414"/>
      <c r="E228" s="586"/>
      <c r="F228" s="593"/>
      <c r="G228" s="593"/>
      <c r="H228" s="593"/>
      <c r="I228" s="593"/>
      <c r="J228" s="593"/>
      <c r="K228" s="351"/>
      <c r="L228" s="351"/>
      <c r="M228" s="351"/>
      <c r="N228" s="351"/>
      <c r="O228" s="351"/>
      <c r="P228" s="351"/>
      <c r="Q228" s="351"/>
      <c r="R228" s="351"/>
      <c r="S228" s="351"/>
      <c r="T228" s="351"/>
      <c r="U228" s="351"/>
      <c r="V228" s="351"/>
      <c r="W228" s="351"/>
      <c r="X228" s="351"/>
      <c r="Y228" s="351"/>
    </row>
    <row r="229" spans="1:25">
      <c r="A229" s="366"/>
      <c r="B229" s="910" t="s">
        <v>540</v>
      </c>
      <c r="C229" s="909"/>
      <c r="D229" s="414" t="e">
        <f t="shared" ref="D229:J229" si="69">D148+D149</f>
        <v>#REF!</v>
      </c>
      <c r="E229" s="586" t="e">
        <f t="shared" si="69"/>
        <v>#REF!</v>
      </c>
      <c r="F229" s="593">
        <f t="shared" si="69"/>
        <v>40.799999999999997</v>
      </c>
      <c r="G229" s="593">
        <f t="shared" si="69"/>
        <v>43.2</v>
      </c>
      <c r="H229" s="593">
        <f t="shared" si="69"/>
        <v>43.2</v>
      </c>
      <c r="I229" s="593">
        <f t="shared" si="69"/>
        <v>43.2</v>
      </c>
      <c r="J229" s="593">
        <f t="shared" si="69"/>
        <v>43.2</v>
      </c>
      <c r="K229" s="356"/>
      <c r="L229" s="356"/>
      <c r="M229" s="351"/>
      <c r="N229" s="351"/>
      <c r="O229" s="351"/>
      <c r="P229" s="351"/>
      <c r="Q229" s="351"/>
      <c r="R229" s="351"/>
      <c r="S229" s="351"/>
      <c r="T229" s="351"/>
      <c r="U229" s="351"/>
      <c r="V229" s="351"/>
      <c r="W229" s="351"/>
      <c r="X229" s="351"/>
      <c r="Y229" s="351"/>
    </row>
    <row r="230" spans="1:25">
      <c r="A230" s="366"/>
      <c r="B230" s="910" t="s">
        <v>541</v>
      </c>
      <c r="C230" s="909"/>
      <c r="D230" s="495" t="e">
        <f>IF(D13&gt;0,D229*365/D13,0)</f>
        <v>#REF!</v>
      </c>
      <c r="E230" s="638" t="e">
        <f>IF(E13&gt;0,E229*365/E13,0)</f>
        <v>#REF!</v>
      </c>
      <c r="F230" s="639">
        <v>30</v>
      </c>
      <c r="G230" s="639">
        <f>IF(G13&gt;0,G229*365/G13,0)</f>
        <v>60.833333333333343</v>
      </c>
      <c r="H230" s="639">
        <f>IF(H13&gt;0,H229*365/H13,0)</f>
        <v>60.833333333333343</v>
      </c>
      <c r="I230" s="639">
        <f>IF(I13&gt;0,I229*365/I13,0)</f>
        <v>60.833333333333343</v>
      </c>
      <c r="J230" s="639">
        <f>IF(J13&gt;0,J229*365/J13,0)</f>
        <v>60.833333333333343</v>
      </c>
      <c r="K230" s="432"/>
      <c r="L230" s="432"/>
      <c r="M230" s="351"/>
      <c r="N230" s="351"/>
      <c r="O230" s="351"/>
      <c r="P230" s="351"/>
      <c r="Q230" s="351"/>
      <c r="R230" s="351"/>
      <c r="S230" s="351"/>
      <c r="T230" s="351"/>
      <c r="U230" s="351"/>
      <c r="V230" s="351"/>
      <c r="W230" s="351"/>
      <c r="X230" s="351"/>
      <c r="Y230" s="351"/>
    </row>
    <row r="231" spans="1:25">
      <c r="A231" s="366" t="s">
        <v>271</v>
      </c>
      <c r="B231" s="910"/>
      <c r="C231" s="909"/>
      <c r="D231" s="414"/>
      <c r="E231" s="586"/>
      <c r="F231" s="593"/>
      <c r="G231" s="593"/>
      <c r="H231" s="593"/>
      <c r="I231" s="593"/>
      <c r="J231" s="593"/>
      <c r="K231" s="351"/>
      <c r="L231" s="351"/>
      <c r="M231" s="351"/>
      <c r="N231" s="351"/>
      <c r="O231" s="351"/>
      <c r="P231" s="351"/>
      <c r="Q231" s="351"/>
      <c r="R231" s="351"/>
      <c r="S231" s="351"/>
      <c r="T231" s="351"/>
      <c r="U231" s="351"/>
      <c r="V231" s="351"/>
      <c r="W231" s="351"/>
      <c r="X231" s="351"/>
      <c r="Y231" s="351"/>
    </row>
    <row r="232" spans="1:25">
      <c r="A232" s="366"/>
      <c r="B232" s="910" t="s">
        <v>542</v>
      </c>
      <c r="C232" s="909"/>
      <c r="D232" s="495" t="e">
        <f t="shared" ref="D232:J232" si="70">IF((D19+D25)&gt;0,ROUND(D90*365/(D19+D25),0),0)</f>
        <v>#REF!</v>
      </c>
      <c r="E232" s="638" t="e">
        <f t="shared" si="70"/>
        <v>#REF!</v>
      </c>
      <c r="F232" s="639">
        <f t="shared" si="70"/>
        <v>15</v>
      </c>
      <c r="G232" s="639">
        <f t="shared" si="70"/>
        <v>18</v>
      </c>
      <c r="H232" s="639">
        <f t="shared" si="70"/>
        <v>18</v>
      </c>
      <c r="I232" s="639">
        <f t="shared" si="70"/>
        <v>18</v>
      </c>
      <c r="J232" s="639">
        <f t="shared" si="70"/>
        <v>18</v>
      </c>
      <c r="K232" s="351"/>
      <c r="L232" s="351"/>
      <c r="M232" s="351"/>
      <c r="N232" s="351"/>
      <c r="O232" s="351"/>
      <c r="P232" s="351"/>
      <c r="Q232" s="351"/>
      <c r="R232" s="351"/>
      <c r="S232" s="351"/>
      <c r="T232" s="351"/>
      <c r="U232" s="351"/>
      <c r="V232" s="351"/>
      <c r="W232" s="351"/>
      <c r="X232" s="351"/>
      <c r="Y232" s="351"/>
    </row>
    <row r="233" spans="1:25">
      <c r="A233" s="366"/>
      <c r="B233" s="910"/>
      <c r="C233" s="909"/>
      <c r="D233" s="414"/>
      <c r="E233" s="622"/>
      <c r="F233" s="623"/>
      <c r="G233" s="623"/>
      <c r="H233" s="623"/>
      <c r="I233" s="623"/>
      <c r="J233" s="623"/>
      <c r="K233" s="392"/>
      <c r="L233" s="392"/>
      <c r="M233" s="351"/>
      <c r="N233" s="351"/>
      <c r="O233" s="351"/>
      <c r="P233" s="351"/>
      <c r="Q233" s="351"/>
      <c r="R233" s="351"/>
      <c r="S233" s="351"/>
      <c r="T233" s="351"/>
      <c r="U233" s="351"/>
      <c r="V233" s="351"/>
      <c r="W233" s="351"/>
      <c r="X233" s="351"/>
      <c r="Y233" s="351"/>
    </row>
    <row r="234" spans="1:25" ht="15">
      <c r="A234" s="366"/>
      <c r="B234" s="910" t="s">
        <v>543</v>
      </c>
      <c r="C234" s="909"/>
      <c r="D234" s="437" t="e">
        <f t="shared" ref="D234:J234" si="71">D160</f>
        <v>#REF!</v>
      </c>
      <c r="E234" s="436" t="e">
        <f t="shared" si="71"/>
        <v>#REF!</v>
      </c>
      <c r="F234" s="437" t="e">
        <f t="shared" si="71"/>
        <v>#REF!</v>
      </c>
      <c r="G234" s="437" t="e">
        <f t="shared" si="71"/>
        <v>#REF!</v>
      </c>
      <c r="H234" s="437" t="e">
        <f t="shared" si="71"/>
        <v>#REF!</v>
      </c>
      <c r="I234" s="437" t="e">
        <f t="shared" si="71"/>
        <v>#REF!</v>
      </c>
      <c r="J234" s="437" t="e">
        <f t="shared" si="71"/>
        <v>#REF!</v>
      </c>
      <c r="K234" s="392"/>
      <c r="L234" s="392"/>
      <c r="M234" s="351"/>
      <c r="N234" s="351"/>
      <c r="O234" s="351"/>
      <c r="P234" s="351"/>
      <c r="Q234" s="351"/>
      <c r="R234" s="351"/>
      <c r="S234" s="351"/>
      <c r="T234" s="351"/>
      <c r="U234" s="351"/>
      <c r="V234" s="351"/>
      <c r="W234" s="351"/>
      <c r="X234" s="351"/>
      <c r="Y234" s="351"/>
    </row>
    <row r="235" spans="1:25" ht="15">
      <c r="A235" s="366"/>
      <c r="B235" s="913" t="s">
        <v>544</v>
      </c>
      <c r="C235" s="909"/>
      <c r="D235" s="497"/>
      <c r="E235" s="603"/>
      <c r="F235" s="678"/>
      <c r="G235" s="678"/>
      <c r="H235" s="678"/>
      <c r="I235" s="678"/>
      <c r="J235" s="678"/>
      <c r="K235" s="392"/>
      <c r="L235" s="392"/>
      <c r="M235" s="351"/>
      <c r="N235" s="351"/>
      <c r="O235" s="351"/>
      <c r="P235" s="351"/>
      <c r="Q235" s="351"/>
      <c r="R235" s="351"/>
      <c r="S235" s="351"/>
      <c r="T235" s="351"/>
      <c r="U235" s="351"/>
      <c r="V235" s="351"/>
      <c r="W235" s="351"/>
      <c r="X235" s="351"/>
      <c r="Y235" s="351"/>
    </row>
    <row r="236" spans="1:25">
      <c r="A236" s="366"/>
      <c r="B236" s="910" t="s">
        <v>545</v>
      </c>
      <c r="C236" s="909"/>
      <c r="D236" s="498" t="e">
        <f t="shared" ref="D236:J236" si="72">IF(D234&gt;0,D90/D234,0)</f>
        <v>#REF!</v>
      </c>
      <c r="E236" s="640" t="e">
        <f t="shared" si="72"/>
        <v>#REF!</v>
      </c>
      <c r="F236" s="641" t="e">
        <f t="shared" si="72"/>
        <v>#REF!</v>
      </c>
      <c r="G236" s="641" t="e">
        <f t="shared" si="72"/>
        <v>#REF!</v>
      </c>
      <c r="H236" s="641" t="e">
        <f t="shared" si="72"/>
        <v>#REF!</v>
      </c>
      <c r="I236" s="641" t="e">
        <f t="shared" si="72"/>
        <v>#REF!</v>
      </c>
      <c r="J236" s="641" t="e">
        <f t="shared" si="72"/>
        <v>#REF!</v>
      </c>
      <c r="K236" s="392"/>
      <c r="L236" s="392"/>
      <c r="M236" s="351"/>
      <c r="N236" s="351"/>
      <c r="O236" s="351"/>
      <c r="P236" s="351"/>
      <c r="Q236" s="351"/>
      <c r="R236" s="351"/>
      <c r="S236" s="351"/>
      <c r="T236" s="351"/>
      <c r="U236" s="351"/>
      <c r="V236" s="351"/>
      <c r="W236" s="351"/>
      <c r="X236" s="351"/>
      <c r="Y236" s="351"/>
    </row>
    <row r="237" spans="1:25">
      <c r="A237" s="366"/>
      <c r="B237" s="424" t="s">
        <v>546</v>
      </c>
      <c r="C237" s="368"/>
      <c r="D237" s="498" t="e">
        <f t="shared" ref="D237:J237" si="73">IF(D234&gt;0,(D98-D90)/D234,0)</f>
        <v>#REF!</v>
      </c>
      <c r="E237" s="640" t="e">
        <f t="shared" si="73"/>
        <v>#REF!</v>
      </c>
      <c r="F237" s="641" t="e">
        <f t="shared" si="73"/>
        <v>#REF!</v>
      </c>
      <c r="G237" s="641" t="e">
        <f t="shared" si="73"/>
        <v>#REF!</v>
      </c>
      <c r="H237" s="641" t="e">
        <f t="shared" si="73"/>
        <v>#REF!</v>
      </c>
      <c r="I237" s="641" t="e">
        <f t="shared" si="73"/>
        <v>#REF!</v>
      </c>
      <c r="J237" s="641" t="e">
        <f t="shared" si="73"/>
        <v>#REF!</v>
      </c>
      <c r="K237" s="392"/>
      <c r="L237" s="392"/>
      <c r="M237" s="351"/>
      <c r="N237" s="351"/>
      <c r="O237" s="351"/>
      <c r="P237" s="351"/>
      <c r="Q237" s="351"/>
      <c r="R237" s="351"/>
      <c r="S237" s="351"/>
      <c r="T237" s="351"/>
      <c r="U237" s="351"/>
      <c r="V237" s="351"/>
      <c r="W237" s="351"/>
      <c r="X237" s="351"/>
      <c r="Y237" s="351"/>
    </row>
    <row r="238" spans="1:25">
      <c r="A238" s="366"/>
      <c r="B238" s="910" t="s">
        <v>547</v>
      </c>
      <c r="C238" s="909"/>
      <c r="D238" s="498" t="e">
        <f t="shared" ref="D238:J238" si="74">IF(D234&gt;0,D87/D234,0)</f>
        <v>#REF!</v>
      </c>
      <c r="E238" s="640" t="e">
        <f t="shared" si="74"/>
        <v>#REF!</v>
      </c>
      <c r="F238" s="641" t="e">
        <f t="shared" si="74"/>
        <v>#REF!</v>
      </c>
      <c r="G238" s="641" t="e">
        <f t="shared" si="74"/>
        <v>#REF!</v>
      </c>
      <c r="H238" s="641" t="e">
        <f t="shared" si="74"/>
        <v>#REF!</v>
      </c>
      <c r="I238" s="641" t="e">
        <f t="shared" si="74"/>
        <v>#REF!</v>
      </c>
      <c r="J238" s="641" t="e">
        <f t="shared" si="74"/>
        <v>#REF!</v>
      </c>
      <c r="K238" s="496"/>
      <c r="L238" s="496"/>
      <c r="M238" s="351"/>
      <c r="N238" s="351"/>
      <c r="O238" s="351"/>
      <c r="P238" s="351"/>
      <c r="Q238" s="351"/>
      <c r="R238" s="351"/>
      <c r="S238" s="351"/>
      <c r="T238" s="351"/>
      <c r="U238" s="351"/>
      <c r="V238" s="351"/>
      <c r="W238" s="351"/>
      <c r="X238" s="351"/>
      <c r="Y238" s="351"/>
    </row>
    <row r="239" spans="1:25">
      <c r="A239" s="366"/>
      <c r="B239" s="910" t="s">
        <v>548</v>
      </c>
      <c r="C239" s="909"/>
      <c r="D239" s="500" t="e">
        <f t="shared" ref="D239:J239" si="75">IF(D234&gt;0,D183/D234,0)</f>
        <v>#REF!</v>
      </c>
      <c r="E239" s="642" t="e">
        <f t="shared" si="75"/>
        <v>#REF!</v>
      </c>
      <c r="F239" s="643" t="e">
        <f t="shared" si="75"/>
        <v>#REF!</v>
      </c>
      <c r="G239" s="643" t="e">
        <f t="shared" si="75"/>
        <v>#REF!</v>
      </c>
      <c r="H239" s="643" t="e">
        <f t="shared" si="75"/>
        <v>#REF!</v>
      </c>
      <c r="I239" s="643" t="e">
        <f t="shared" si="75"/>
        <v>#REF!</v>
      </c>
      <c r="J239" s="643" t="e">
        <f t="shared" si="75"/>
        <v>#REF!</v>
      </c>
      <c r="K239" s="392"/>
      <c r="L239" s="392"/>
      <c r="M239" s="351"/>
      <c r="N239" s="351"/>
      <c r="O239" s="351"/>
      <c r="P239" s="351"/>
      <c r="Q239" s="351"/>
      <c r="R239" s="351"/>
      <c r="S239" s="351"/>
      <c r="T239" s="351"/>
      <c r="U239" s="351"/>
      <c r="V239" s="351"/>
      <c r="W239" s="351"/>
      <c r="X239" s="351"/>
      <c r="Y239" s="351"/>
    </row>
    <row r="240" spans="1:25" ht="15">
      <c r="A240" s="364"/>
      <c r="B240" s="424"/>
      <c r="C240" s="357"/>
      <c r="D240" s="501">
        <v>0</v>
      </c>
      <c r="E240" s="502">
        <v>0</v>
      </c>
      <c r="F240" s="501">
        <v>0</v>
      </c>
      <c r="G240" s="502">
        <v>0</v>
      </c>
      <c r="H240" s="502">
        <v>0</v>
      </c>
      <c r="I240" s="502">
        <v>0</v>
      </c>
      <c r="J240" s="502">
        <v>0</v>
      </c>
      <c r="K240" s="392"/>
      <c r="L240" s="392"/>
      <c r="M240" s="351"/>
      <c r="N240" s="351"/>
      <c r="O240" s="351"/>
      <c r="P240" s="351"/>
      <c r="Q240" s="351"/>
      <c r="R240" s="351"/>
      <c r="S240" s="351"/>
      <c r="T240" s="351"/>
      <c r="U240" s="351"/>
      <c r="V240" s="351"/>
      <c r="W240" s="351"/>
      <c r="X240" s="351"/>
      <c r="Y240" s="351"/>
    </row>
    <row r="241" spans="1:25" ht="15">
      <c r="A241" s="366"/>
      <c r="B241" s="357"/>
      <c r="C241" s="357"/>
      <c r="D241" s="503"/>
      <c r="E241" s="504"/>
      <c r="F241" s="504"/>
      <c r="G241" s="504"/>
      <c r="H241" s="504"/>
      <c r="I241" s="504"/>
      <c r="J241" s="504"/>
      <c r="K241" s="496"/>
      <c r="L241" s="496"/>
      <c r="M241" s="351"/>
      <c r="N241" s="351"/>
      <c r="O241" s="351"/>
      <c r="P241" s="351"/>
      <c r="Q241" s="351"/>
      <c r="R241" s="351"/>
      <c r="S241" s="351"/>
      <c r="T241" s="351"/>
      <c r="U241" s="351"/>
      <c r="V241" s="351"/>
      <c r="W241" s="351"/>
      <c r="X241" s="351"/>
      <c r="Y241" s="351"/>
    </row>
    <row r="242" spans="1:25" ht="15">
      <c r="A242" s="366"/>
      <c r="B242" s="367" t="s">
        <v>549</v>
      </c>
      <c r="C242" s="357"/>
      <c r="D242" s="505" t="s">
        <v>271</v>
      </c>
      <c r="E242" s="677" t="s">
        <v>271</v>
      </c>
      <c r="F242" s="677" t="s">
        <v>272</v>
      </c>
      <c r="G242" s="677" t="s">
        <v>271</v>
      </c>
      <c r="H242" s="677" t="s">
        <v>271</v>
      </c>
      <c r="I242" s="677" t="s">
        <v>271</v>
      </c>
      <c r="J242" s="677" t="s">
        <v>271</v>
      </c>
      <c r="K242" s="392"/>
      <c r="L242" s="392"/>
      <c r="M242" s="351"/>
      <c r="N242" s="351"/>
      <c r="O242" s="351"/>
      <c r="P242" s="351"/>
      <c r="Q242" s="351"/>
      <c r="R242" s="351"/>
      <c r="S242" s="351"/>
      <c r="T242" s="351"/>
      <c r="U242" s="351"/>
      <c r="V242" s="351"/>
      <c r="W242" s="351"/>
      <c r="X242" s="351"/>
      <c r="Y242" s="351"/>
    </row>
    <row r="243" spans="1:25">
      <c r="A243" s="366"/>
      <c r="B243" s="357" t="s">
        <v>550</v>
      </c>
      <c r="C243" s="357"/>
      <c r="D243" s="443" t="e">
        <f t="shared" ref="D243:J243" si="76">+D234</f>
        <v>#REF!</v>
      </c>
      <c r="E243" s="587" t="e">
        <f t="shared" si="76"/>
        <v>#REF!</v>
      </c>
      <c r="F243" s="587" t="e">
        <f t="shared" si="76"/>
        <v>#REF!</v>
      </c>
      <c r="G243" s="587" t="e">
        <f t="shared" si="76"/>
        <v>#REF!</v>
      </c>
      <c r="H243" s="587" t="e">
        <f t="shared" si="76"/>
        <v>#REF!</v>
      </c>
      <c r="I243" s="587" t="e">
        <f t="shared" si="76"/>
        <v>#REF!</v>
      </c>
      <c r="J243" s="587" t="e">
        <f t="shared" si="76"/>
        <v>#REF!</v>
      </c>
      <c r="K243" s="496"/>
      <c r="L243" s="496"/>
      <c r="M243" s="351"/>
      <c r="N243" s="351"/>
      <c r="O243" s="351"/>
      <c r="P243" s="351"/>
      <c r="Q243" s="351"/>
      <c r="R243" s="351"/>
      <c r="S243" s="351"/>
      <c r="T243" s="351"/>
      <c r="U243" s="351"/>
      <c r="V243" s="351"/>
      <c r="W243" s="351"/>
      <c r="X243" s="351"/>
      <c r="Y243" s="351"/>
    </row>
    <row r="244" spans="1:25">
      <c r="A244" s="366"/>
      <c r="B244" s="357" t="s">
        <v>551</v>
      </c>
      <c r="C244" s="357"/>
      <c r="D244" s="443" t="e">
        <f t="shared" ref="D244:J244" si="77">+D98</f>
        <v>#REF!</v>
      </c>
      <c r="E244" s="587" t="e">
        <f t="shared" si="77"/>
        <v>#REF!</v>
      </c>
      <c r="F244" s="587" t="e">
        <f t="shared" si="77"/>
        <v>#REF!</v>
      </c>
      <c r="G244" s="587" t="e">
        <f t="shared" si="77"/>
        <v>#REF!</v>
      </c>
      <c r="H244" s="587" t="e">
        <f t="shared" si="77"/>
        <v>#REF!</v>
      </c>
      <c r="I244" s="587" t="e">
        <f t="shared" si="77"/>
        <v>#REF!</v>
      </c>
      <c r="J244" s="587" t="e">
        <f t="shared" si="77"/>
        <v>#REF!</v>
      </c>
      <c r="K244" s="496"/>
      <c r="L244" s="496"/>
      <c r="M244" s="351"/>
      <c r="N244" s="351"/>
      <c r="O244" s="351"/>
      <c r="P244" s="351"/>
      <c r="Q244" s="351"/>
      <c r="R244" s="351"/>
      <c r="S244" s="351"/>
      <c r="T244" s="351"/>
      <c r="U244" s="351"/>
      <c r="V244" s="351"/>
      <c r="W244" s="351"/>
      <c r="X244" s="351"/>
      <c r="Y244" s="351"/>
    </row>
    <row r="245" spans="1:25">
      <c r="A245" s="366"/>
      <c r="B245" s="357" t="s">
        <v>552</v>
      </c>
      <c r="C245" s="357"/>
      <c r="D245" s="443" t="e">
        <f t="shared" ref="D245:J245" si="78">+D243-D244</f>
        <v>#REF!</v>
      </c>
      <c r="E245" s="587" t="e">
        <f t="shared" si="78"/>
        <v>#REF!</v>
      </c>
      <c r="F245" s="587" t="e">
        <f t="shared" si="78"/>
        <v>#REF!</v>
      </c>
      <c r="G245" s="587" t="e">
        <f t="shared" si="78"/>
        <v>#REF!</v>
      </c>
      <c r="H245" s="587" t="e">
        <f t="shared" si="78"/>
        <v>#REF!</v>
      </c>
      <c r="I245" s="587" t="e">
        <f t="shared" si="78"/>
        <v>#REF!</v>
      </c>
      <c r="J245" s="587" t="e">
        <f t="shared" si="78"/>
        <v>#REF!</v>
      </c>
      <c r="K245" s="392"/>
      <c r="L245" s="392"/>
      <c r="M245" s="351"/>
      <c r="N245" s="351"/>
      <c r="O245" s="351"/>
      <c r="P245" s="351"/>
      <c r="Q245" s="351"/>
      <c r="R245" s="351"/>
      <c r="S245" s="351"/>
      <c r="T245" s="351"/>
      <c r="U245" s="351"/>
      <c r="V245" s="351"/>
      <c r="W245" s="351"/>
      <c r="X245" s="351"/>
      <c r="Y245" s="351"/>
    </row>
    <row r="246" spans="1:25">
      <c r="A246" s="366"/>
      <c r="B246" s="357" t="s">
        <v>553</v>
      </c>
      <c r="C246" s="357"/>
      <c r="D246" s="443" t="e">
        <f t="shared" ref="D246:J246" si="79">+D183</f>
        <v>#REF!</v>
      </c>
      <c r="E246" s="587" t="e">
        <f t="shared" si="79"/>
        <v>#REF!</v>
      </c>
      <c r="F246" s="587" t="e">
        <f t="shared" si="79"/>
        <v>#REF!</v>
      </c>
      <c r="G246" s="587" t="e">
        <f t="shared" si="79"/>
        <v>#REF!</v>
      </c>
      <c r="H246" s="587" t="e">
        <f t="shared" si="79"/>
        <v>#REF!</v>
      </c>
      <c r="I246" s="587" t="e">
        <f t="shared" si="79"/>
        <v>#REF!</v>
      </c>
      <c r="J246" s="587" t="e">
        <f t="shared" si="79"/>
        <v>#REF!</v>
      </c>
      <c r="K246" s="392"/>
      <c r="L246" s="392"/>
      <c r="M246" s="351"/>
      <c r="N246" s="351"/>
      <c r="O246" s="351"/>
      <c r="P246" s="351"/>
      <c r="Q246" s="351"/>
      <c r="R246" s="351"/>
      <c r="S246" s="351"/>
      <c r="T246" s="351"/>
      <c r="U246" s="351"/>
      <c r="V246" s="351"/>
      <c r="W246" s="351"/>
      <c r="X246" s="351"/>
      <c r="Y246" s="351"/>
    </row>
    <row r="247" spans="1:25">
      <c r="A247" s="366"/>
      <c r="B247" s="357" t="s">
        <v>554</v>
      </c>
      <c r="C247" s="357"/>
      <c r="D247" s="506" t="e">
        <f t="shared" ref="D247:J247" si="80">+D243*25%</f>
        <v>#REF!</v>
      </c>
      <c r="E247" s="771" t="e">
        <f t="shared" si="80"/>
        <v>#REF!</v>
      </c>
      <c r="F247" s="771" t="e">
        <f t="shared" si="80"/>
        <v>#REF!</v>
      </c>
      <c r="G247" s="771" t="e">
        <f t="shared" si="80"/>
        <v>#REF!</v>
      </c>
      <c r="H247" s="771" t="e">
        <f t="shared" si="80"/>
        <v>#REF!</v>
      </c>
      <c r="I247" s="771" t="e">
        <f t="shared" si="80"/>
        <v>#REF!</v>
      </c>
      <c r="J247" s="771" t="e">
        <f t="shared" si="80"/>
        <v>#REF!</v>
      </c>
      <c r="K247" s="496"/>
      <c r="L247" s="496"/>
      <c r="M247" s="351"/>
      <c r="N247" s="351"/>
      <c r="O247" s="351"/>
      <c r="P247" s="351"/>
      <c r="Q247" s="351"/>
      <c r="R247" s="351"/>
      <c r="S247" s="351"/>
      <c r="T247" s="351"/>
      <c r="U247" s="351"/>
      <c r="V247" s="351"/>
      <c r="W247" s="351"/>
      <c r="X247" s="351"/>
      <c r="Y247" s="351"/>
    </row>
    <row r="248" spans="1:25">
      <c r="A248" s="366"/>
      <c r="B248" s="357" t="s">
        <v>555</v>
      </c>
      <c r="C248" s="357"/>
      <c r="D248" s="443" t="e">
        <f t="shared" ref="D248:J248" si="81">+D245-D246</f>
        <v>#REF!</v>
      </c>
      <c r="E248" s="644" t="e">
        <f t="shared" si="81"/>
        <v>#REF!</v>
      </c>
      <c r="F248" s="644" t="e">
        <f t="shared" si="81"/>
        <v>#REF!</v>
      </c>
      <c r="G248" s="644" t="e">
        <f t="shared" si="81"/>
        <v>#REF!</v>
      </c>
      <c r="H248" s="644" t="e">
        <f t="shared" si="81"/>
        <v>#REF!</v>
      </c>
      <c r="I248" s="644" t="e">
        <f t="shared" si="81"/>
        <v>#REF!</v>
      </c>
      <c r="J248" s="644" t="e">
        <f t="shared" si="81"/>
        <v>#REF!</v>
      </c>
      <c r="K248" s="392"/>
      <c r="L248" s="392"/>
      <c r="M248" s="351"/>
      <c r="N248" s="351"/>
      <c r="O248" s="351"/>
      <c r="P248" s="351"/>
      <c r="Q248" s="351"/>
      <c r="R248" s="351"/>
      <c r="S248" s="351"/>
      <c r="T248" s="351"/>
      <c r="U248" s="351"/>
      <c r="V248" s="351"/>
      <c r="W248" s="351"/>
      <c r="X248" s="351"/>
      <c r="Y248" s="351"/>
    </row>
    <row r="249" spans="1:25" ht="15">
      <c r="A249" s="417"/>
      <c r="B249" s="418" t="s">
        <v>271</v>
      </c>
      <c r="C249" s="419"/>
      <c r="D249" s="502" t="s">
        <v>271</v>
      </c>
      <c r="E249" s="502" t="s">
        <v>271</v>
      </c>
      <c r="F249" s="502" t="s">
        <v>271</v>
      </c>
      <c r="G249" s="502" t="s">
        <v>271</v>
      </c>
      <c r="H249" s="502" t="s">
        <v>271</v>
      </c>
      <c r="I249" s="502" t="s">
        <v>271</v>
      </c>
      <c r="J249" s="502" t="s">
        <v>271</v>
      </c>
      <c r="K249" s="496"/>
      <c r="L249" s="496"/>
      <c r="M249" s="351"/>
      <c r="N249" s="351"/>
      <c r="O249" s="351"/>
      <c r="P249" s="351"/>
      <c r="Q249" s="351"/>
      <c r="R249" s="351"/>
      <c r="S249" s="351"/>
      <c r="T249" s="351"/>
      <c r="U249" s="351"/>
      <c r="V249" s="351"/>
      <c r="W249" s="351"/>
      <c r="X249" s="351"/>
      <c r="Y249" s="351"/>
    </row>
    <row r="250" spans="1:25" ht="15">
      <c r="A250" s="420"/>
      <c r="B250" s="357"/>
      <c r="C250" s="357"/>
      <c r="D250" s="508"/>
      <c r="E250" s="508"/>
      <c r="F250" s="508"/>
      <c r="G250" s="508"/>
      <c r="H250" s="351"/>
      <c r="I250" s="351"/>
      <c r="J250" s="351"/>
      <c r="K250" s="392"/>
      <c r="L250" s="392"/>
      <c r="M250" s="351"/>
      <c r="N250" s="351"/>
      <c r="O250" s="351"/>
      <c r="P250" s="351"/>
      <c r="Q250" s="351"/>
      <c r="R250" s="351"/>
      <c r="S250" s="351"/>
      <c r="T250" s="351"/>
      <c r="U250" s="351"/>
      <c r="V250" s="351"/>
      <c r="W250" s="351"/>
      <c r="X250" s="351"/>
      <c r="Y250" s="351"/>
    </row>
    <row r="251" spans="1:25" ht="15">
      <c r="A251" s="420"/>
      <c r="B251" s="357"/>
      <c r="C251" s="357"/>
      <c r="D251" s="508"/>
      <c r="E251" s="508"/>
      <c r="F251" s="508"/>
      <c r="G251" s="508"/>
      <c r="H251" s="351"/>
      <c r="I251" s="351"/>
      <c r="J251" s="351"/>
      <c r="K251" s="390"/>
      <c r="L251" s="390"/>
      <c r="M251" s="386" t="s">
        <v>271</v>
      </c>
      <c r="N251" s="351"/>
      <c r="O251" s="351"/>
      <c r="P251" s="351"/>
      <c r="Q251" s="351"/>
      <c r="R251" s="351"/>
      <c r="S251" s="351"/>
      <c r="T251" s="351"/>
      <c r="U251" s="351"/>
      <c r="V251" s="351"/>
      <c r="W251" s="351"/>
      <c r="X251" s="351"/>
      <c r="Y251" s="351"/>
    </row>
    <row r="252" spans="1:25" ht="15">
      <c r="A252" s="420"/>
      <c r="B252" s="357"/>
      <c r="C252" s="357"/>
      <c r="D252" s="508"/>
      <c r="E252" s="508"/>
      <c r="F252" s="508"/>
      <c r="G252" s="508"/>
      <c r="H252" s="351"/>
      <c r="I252" s="351"/>
      <c r="J252" s="351"/>
      <c r="K252" s="351"/>
      <c r="L252" s="351"/>
      <c r="M252" s="351"/>
      <c r="N252" s="351"/>
      <c r="O252" s="351"/>
      <c r="P252" s="351"/>
      <c r="Q252" s="351"/>
      <c r="R252" s="351"/>
      <c r="S252" s="351"/>
      <c r="T252" s="351"/>
      <c r="U252" s="351"/>
      <c r="V252" s="351"/>
      <c r="W252" s="351"/>
      <c r="X252" s="351"/>
      <c r="Y252" s="351"/>
    </row>
    <row r="253" spans="1:25" ht="15">
      <c r="A253" s="420"/>
      <c r="B253" s="357"/>
      <c r="C253" s="357"/>
      <c r="D253" s="508"/>
      <c r="E253" s="508"/>
      <c r="F253" s="508"/>
      <c r="G253" s="508"/>
      <c r="H253" s="351"/>
      <c r="I253" s="351"/>
      <c r="J253" s="351"/>
      <c r="K253" s="499"/>
      <c r="L253" s="499"/>
      <c r="M253" s="351"/>
      <c r="N253" s="351"/>
      <c r="O253" s="351"/>
      <c r="P253" s="351"/>
      <c r="Q253" s="351"/>
      <c r="R253" s="351"/>
      <c r="S253" s="351"/>
      <c r="T253" s="351"/>
      <c r="U253" s="351"/>
      <c r="V253" s="351"/>
      <c r="W253" s="351"/>
      <c r="X253" s="351"/>
      <c r="Y253" s="351"/>
    </row>
    <row r="254" spans="1:25" ht="15">
      <c r="A254" s="420"/>
      <c r="B254" s="357"/>
      <c r="C254" s="357"/>
      <c r="D254" s="508"/>
      <c r="E254" s="508"/>
      <c r="F254" s="508"/>
      <c r="G254" s="508"/>
      <c r="H254" s="351"/>
      <c r="I254" s="351"/>
      <c r="J254" s="351"/>
      <c r="K254" s="499"/>
      <c r="L254" s="499"/>
      <c r="M254" s="351"/>
      <c r="N254" s="351"/>
      <c r="O254" s="351"/>
      <c r="P254" s="351"/>
      <c r="Q254" s="351"/>
      <c r="R254" s="351"/>
      <c r="S254" s="351"/>
      <c r="T254" s="351"/>
      <c r="U254" s="351"/>
      <c r="V254" s="351"/>
      <c r="W254" s="351"/>
      <c r="X254" s="351"/>
      <c r="Y254" s="351"/>
    </row>
    <row r="255" spans="1:25" ht="15">
      <c r="A255" s="420"/>
      <c r="B255" s="357"/>
      <c r="C255" s="357"/>
      <c r="D255" s="508"/>
      <c r="E255" s="508"/>
      <c r="F255" s="508"/>
      <c r="G255" s="508"/>
      <c r="H255" s="351"/>
      <c r="I255" s="351"/>
      <c r="J255" s="351"/>
      <c r="K255" s="499"/>
      <c r="L255" s="499"/>
      <c r="M255" s="351"/>
      <c r="N255" s="351"/>
      <c r="O255" s="351"/>
      <c r="P255" s="351"/>
      <c r="Q255" s="351"/>
      <c r="R255" s="351"/>
      <c r="S255" s="351"/>
      <c r="T255" s="351"/>
      <c r="U255" s="351"/>
      <c r="V255" s="351"/>
      <c r="W255" s="351"/>
      <c r="X255" s="351"/>
      <c r="Y255" s="351"/>
    </row>
    <row r="256" spans="1:25" ht="15">
      <c r="A256" s="420"/>
      <c r="B256" s="357"/>
      <c r="C256" s="357"/>
      <c r="D256" s="508"/>
      <c r="E256" s="508"/>
      <c r="F256" s="508"/>
      <c r="G256" s="508"/>
      <c r="H256" s="351"/>
      <c r="I256" s="351"/>
      <c r="J256" s="351"/>
      <c r="K256" s="499"/>
      <c r="L256" s="499"/>
      <c r="M256" s="351"/>
      <c r="N256" s="351"/>
      <c r="O256" s="351"/>
      <c r="P256" s="351"/>
      <c r="Q256" s="351"/>
      <c r="R256" s="351"/>
      <c r="S256" s="351"/>
      <c r="T256" s="351"/>
      <c r="U256" s="351"/>
      <c r="V256" s="351"/>
      <c r="W256" s="351"/>
      <c r="X256" s="351"/>
      <c r="Y256" s="351"/>
    </row>
    <row r="257" spans="1:25" ht="15">
      <c r="A257" s="420"/>
      <c r="B257" s="357"/>
      <c r="C257" s="357"/>
      <c r="D257" s="508"/>
      <c r="E257" s="508"/>
      <c r="F257" s="508"/>
      <c r="G257" s="508"/>
      <c r="H257" s="351"/>
      <c r="I257" s="351"/>
      <c r="J257" s="351"/>
      <c r="K257" s="503"/>
      <c r="L257" s="503"/>
      <c r="M257" s="351"/>
      <c r="N257" s="351"/>
      <c r="O257" s="351"/>
      <c r="P257" s="351"/>
      <c r="Q257" s="351"/>
      <c r="R257" s="351"/>
      <c r="S257" s="351"/>
      <c r="T257" s="351"/>
      <c r="U257" s="351"/>
      <c r="V257" s="351"/>
      <c r="W257" s="351"/>
      <c r="X257" s="351"/>
      <c r="Y257" s="351"/>
    </row>
    <row r="258" spans="1:25" ht="15">
      <c r="A258" s="420"/>
      <c r="B258" s="357"/>
      <c r="C258" s="357"/>
      <c r="D258" s="508"/>
      <c r="E258" s="508"/>
      <c r="F258" s="508"/>
      <c r="G258" s="508"/>
      <c r="H258" s="351"/>
      <c r="I258" s="351"/>
      <c r="J258" s="351"/>
      <c r="K258" s="503"/>
      <c r="L258" s="503"/>
      <c r="M258" s="351"/>
      <c r="N258" s="351"/>
      <c r="O258" s="351"/>
      <c r="P258" s="351"/>
      <c r="Q258" s="351"/>
      <c r="R258" s="351"/>
      <c r="S258" s="351"/>
      <c r="T258" s="351"/>
      <c r="U258" s="351"/>
      <c r="V258" s="351"/>
      <c r="W258" s="351"/>
      <c r="X258" s="351"/>
      <c r="Y258" s="351"/>
    </row>
    <row r="259" spans="1:25" ht="15">
      <c r="A259" s="420"/>
      <c r="B259" s="357"/>
      <c r="C259" s="357"/>
      <c r="D259" s="508"/>
      <c r="E259" s="508"/>
      <c r="F259" s="508"/>
      <c r="G259" s="508"/>
      <c r="H259" s="351"/>
      <c r="I259" s="351"/>
      <c r="J259" s="351"/>
      <c r="K259" s="503"/>
      <c r="L259" s="503"/>
      <c r="M259" s="351"/>
      <c r="N259" s="351"/>
      <c r="O259" s="351"/>
      <c r="P259" s="351"/>
      <c r="Q259" s="351"/>
      <c r="R259" s="351"/>
      <c r="S259" s="351"/>
      <c r="T259" s="351"/>
      <c r="U259" s="351"/>
      <c r="V259" s="351"/>
      <c r="W259" s="351"/>
      <c r="X259" s="351"/>
      <c r="Y259" s="351"/>
    </row>
    <row r="260" spans="1:25" ht="15">
      <c r="A260" s="420"/>
      <c r="B260" s="357"/>
      <c r="C260" s="357"/>
      <c r="D260" s="508"/>
      <c r="E260" s="508"/>
      <c r="F260" s="508"/>
      <c r="G260" s="508"/>
      <c r="H260" s="351"/>
      <c r="I260" s="351"/>
      <c r="J260" s="351"/>
      <c r="K260" s="394"/>
      <c r="L260" s="394"/>
      <c r="M260" s="351"/>
      <c r="N260" s="351"/>
      <c r="O260" s="351"/>
      <c r="P260" s="351"/>
      <c r="Q260" s="351"/>
      <c r="R260" s="351"/>
      <c r="S260" s="351"/>
      <c r="T260" s="351"/>
      <c r="U260" s="351"/>
      <c r="V260" s="351"/>
      <c r="W260" s="351"/>
      <c r="X260" s="351"/>
      <c r="Y260" s="351"/>
    </row>
    <row r="261" spans="1:25" ht="15">
      <c r="A261" s="420"/>
      <c r="B261" s="357"/>
      <c r="C261" s="357"/>
      <c r="D261" s="508"/>
      <c r="E261" s="508"/>
      <c r="F261" s="508"/>
      <c r="G261" s="508"/>
      <c r="H261" s="351"/>
      <c r="I261" s="351"/>
      <c r="J261" s="351"/>
      <c r="K261" s="394"/>
      <c r="L261" s="394"/>
      <c r="M261" s="351"/>
      <c r="N261" s="351"/>
      <c r="O261" s="351"/>
      <c r="P261" s="351"/>
      <c r="Q261" s="351"/>
      <c r="R261" s="351"/>
      <c r="S261" s="351"/>
      <c r="T261" s="351"/>
      <c r="U261" s="351"/>
      <c r="V261" s="351"/>
      <c r="W261" s="351"/>
      <c r="X261" s="351"/>
      <c r="Y261" s="351"/>
    </row>
    <row r="262" spans="1:25" ht="15">
      <c r="A262" s="420"/>
      <c r="B262" s="357"/>
      <c r="C262" s="357"/>
      <c r="D262" s="508"/>
      <c r="E262" s="508"/>
      <c r="F262" s="508"/>
      <c r="G262" s="508"/>
      <c r="H262" s="351"/>
      <c r="I262" s="351"/>
      <c r="J262" s="351"/>
      <c r="K262" s="394"/>
      <c r="L262" s="394"/>
      <c r="M262" s="351"/>
      <c r="N262" s="351"/>
      <c r="O262" s="351"/>
      <c r="P262" s="351"/>
      <c r="Q262" s="351"/>
      <c r="R262" s="351"/>
      <c r="S262" s="351"/>
      <c r="T262" s="351"/>
      <c r="U262" s="351"/>
      <c r="V262" s="351"/>
      <c r="W262" s="351"/>
      <c r="X262" s="351"/>
      <c r="Y262" s="351"/>
    </row>
    <row r="263" spans="1:25" ht="15">
      <c r="A263" s="420"/>
      <c r="B263" s="357"/>
      <c r="C263" s="357"/>
      <c r="D263" s="508"/>
      <c r="E263" s="508"/>
      <c r="F263" s="508"/>
      <c r="G263" s="508"/>
      <c r="H263" s="351"/>
      <c r="I263" s="351"/>
      <c r="J263" s="351"/>
      <c r="K263" s="394"/>
      <c r="L263" s="394"/>
      <c r="M263" s="351"/>
      <c r="N263" s="351"/>
      <c r="O263" s="351"/>
      <c r="P263" s="351"/>
      <c r="Q263" s="351"/>
      <c r="R263" s="351"/>
      <c r="S263" s="351"/>
      <c r="T263" s="351"/>
      <c r="U263" s="351"/>
      <c r="V263" s="351"/>
      <c r="W263" s="351"/>
      <c r="X263" s="351"/>
      <c r="Y263" s="351"/>
    </row>
    <row r="264" spans="1:25" ht="15">
      <c r="A264" s="420"/>
      <c r="B264" s="357"/>
      <c r="C264" s="357"/>
      <c r="D264" s="508"/>
      <c r="E264" s="508"/>
      <c r="F264" s="508"/>
      <c r="G264" s="508"/>
      <c r="H264" s="351"/>
      <c r="I264" s="351"/>
      <c r="J264" s="351"/>
      <c r="K264" s="507"/>
      <c r="L264" s="507"/>
      <c r="M264" s="351"/>
      <c r="N264" s="351"/>
      <c r="O264" s="351"/>
      <c r="P264" s="351"/>
      <c r="Q264" s="351"/>
      <c r="R264" s="351"/>
      <c r="S264" s="351"/>
      <c r="T264" s="351"/>
      <c r="U264" s="351"/>
      <c r="V264" s="351"/>
      <c r="W264" s="351"/>
      <c r="X264" s="351"/>
      <c r="Y264" s="351"/>
    </row>
    <row r="265" spans="1:25" ht="15">
      <c r="A265" s="420"/>
      <c r="B265" s="357"/>
      <c r="C265" s="357"/>
      <c r="D265" s="508"/>
      <c r="E265" s="508"/>
      <c r="F265" s="508"/>
      <c r="G265" s="508"/>
      <c r="H265" s="351"/>
      <c r="I265" s="351"/>
      <c r="J265" s="351"/>
      <c r="K265" s="394"/>
      <c r="L265" s="394"/>
      <c r="M265" s="351"/>
      <c r="N265" s="351"/>
      <c r="O265" s="351"/>
      <c r="P265" s="351"/>
      <c r="Q265" s="351"/>
      <c r="R265" s="351"/>
      <c r="S265" s="351"/>
      <c r="T265" s="351"/>
      <c r="U265" s="351"/>
      <c r="V265" s="351"/>
      <c r="W265" s="351"/>
      <c r="X265" s="351"/>
      <c r="Y265" s="351"/>
    </row>
    <row r="266" spans="1:25" ht="15">
      <c r="A266" s="420"/>
      <c r="B266" s="357"/>
      <c r="C266" s="357"/>
      <c r="D266" s="508"/>
      <c r="E266" s="508"/>
      <c r="F266" s="508"/>
      <c r="G266" s="508"/>
      <c r="H266" s="351"/>
      <c r="I266" s="351"/>
      <c r="J266" s="351"/>
      <c r="K266" s="503"/>
      <c r="L266" s="503"/>
      <c r="M266" s="351"/>
      <c r="N266" s="351"/>
      <c r="O266" s="351"/>
      <c r="P266" s="351"/>
      <c r="Q266" s="351"/>
      <c r="R266" s="351"/>
      <c r="S266" s="351"/>
      <c r="T266" s="351"/>
      <c r="U266" s="351"/>
      <c r="V266" s="351"/>
      <c r="W266" s="351"/>
      <c r="X266" s="351"/>
      <c r="Y266" s="351"/>
    </row>
    <row r="267" spans="1:25" ht="15">
      <c r="A267" s="420"/>
      <c r="B267" s="357"/>
      <c r="C267" s="357"/>
      <c r="D267" s="508"/>
      <c r="E267" s="508"/>
      <c r="F267" s="508"/>
      <c r="G267" s="508"/>
      <c r="H267" s="351"/>
      <c r="I267" s="351"/>
      <c r="J267" s="351"/>
      <c r="K267" s="351"/>
      <c r="L267" s="351"/>
      <c r="M267" s="351"/>
      <c r="N267" s="351"/>
      <c r="O267" s="351"/>
      <c r="P267" s="351"/>
      <c r="Q267" s="351"/>
      <c r="R267" s="351"/>
      <c r="S267" s="351"/>
      <c r="T267" s="351"/>
      <c r="U267" s="351"/>
      <c r="V267" s="351"/>
      <c r="W267" s="351"/>
      <c r="X267" s="351"/>
      <c r="Y267" s="351"/>
    </row>
    <row r="268" spans="1:25" ht="15">
      <c r="A268" s="420"/>
      <c r="B268" s="357"/>
      <c r="C268" s="357"/>
      <c r="D268" s="508"/>
      <c r="E268" s="508"/>
      <c r="F268" s="508"/>
      <c r="G268" s="508"/>
      <c r="H268" s="351"/>
      <c r="I268" s="351"/>
      <c r="J268" s="351"/>
      <c r="K268" s="351"/>
      <c r="L268" s="351"/>
      <c r="M268" s="351"/>
      <c r="N268" s="351"/>
      <c r="O268" s="351"/>
      <c r="P268" s="351"/>
      <c r="Q268" s="351"/>
      <c r="R268" s="351"/>
      <c r="S268" s="351"/>
      <c r="T268" s="351"/>
      <c r="U268" s="351"/>
      <c r="V268" s="351"/>
      <c r="W268" s="351"/>
      <c r="X268" s="351"/>
      <c r="Y268" s="351"/>
    </row>
    <row r="269" spans="1:25" ht="15">
      <c r="A269" s="420"/>
      <c r="B269" s="357"/>
      <c r="C269" s="357"/>
      <c r="D269" s="508"/>
      <c r="E269" s="508"/>
      <c r="F269" s="508"/>
      <c r="G269" s="508"/>
      <c r="H269" s="351"/>
      <c r="I269" s="351"/>
      <c r="J269" s="351"/>
      <c r="K269" s="351"/>
      <c r="L269" s="351"/>
      <c r="M269" s="351"/>
      <c r="N269" s="351"/>
      <c r="O269" s="351"/>
      <c r="P269" s="351"/>
      <c r="Q269" s="351"/>
      <c r="R269" s="351"/>
      <c r="S269" s="351"/>
      <c r="T269" s="351"/>
      <c r="U269" s="351"/>
      <c r="V269" s="351"/>
      <c r="W269" s="351"/>
      <c r="X269" s="351"/>
      <c r="Y269" s="351"/>
    </row>
    <row r="270" spans="1:25" ht="15">
      <c r="A270" s="420"/>
      <c r="B270" s="357"/>
      <c r="C270" s="357"/>
      <c r="D270" s="508"/>
      <c r="E270" s="508"/>
      <c r="F270" s="508"/>
      <c r="G270" s="508"/>
      <c r="H270" s="351"/>
      <c r="I270" s="351"/>
      <c r="J270" s="351"/>
      <c r="K270" s="351"/>
      <c r="L270" s="351"/>
      <c r="M270" s="351"/>
      <c r="N270" s="351"/>
      <c r="O270" s="351"/>
      <c r="P270" s="351"/>
      <c r="Q270" s="351"/>
      <c r="R270" s="351"/>
      <c r="S270" s="351"/>
      <c r="T270" s="351"/>
      <c r="U270" s="351"/>
      <c r="V270" s="351"/>
      <c r="W270" s="351"/>
      <c r="X270" s="351"/>
      <c r="Y270" s="351"/>
    </row>
    <row r="271" spans="1:25" ht="15">
      <c r="A271" s="420"/>
      <c r="B271" s="357"/>
      <c r="C271" s="357"/>
      <c r="D271" s="508"/>
      <c r="E271" s="508"/>
      <c r="F271" s="508"/>
      <c r="G271" s="508"/>
      <c r="H271" s="351"/>
      <c r="I271" s="351"/>
      <c r="J271" s="351"/>
      <c r="K271" s="351"/>
      <c r="L271" s="351"/>
      <c r="M271" s="351"/>
      <c r="N271" s="351"/>
      <c r="O271" s="351"/>
      <c r="P271" s="351"/>
      <c r="Q271" s="351"/>
      <c r="R271" s="351"/>
      <c r="S271" s="351"/>
      <c r="T271" s="351"/>
      <c r="U271" s="351"/>
      <c r="V271" s="351"/>
      <c r="W271" s="351"/>
      <c r="X271" s="351"/>
      <c r="Y271" s="351"/>
    </row>
    <row r="272" spans="1:25" ht="15">
      <c r="A272" s="420"/>
      <c r="B272" s="357"/>
      <c r="C272" s="357"/>
      <c r="D272" s="508"/>
      <c r="E272" s="508"/>
      <c r="F272" s="508"/>
      <c r="G272" s="508"/>
      <c r="H272" s="351"/>
      <c r="I272" s="351"/>
      <c r="J272" s="351"/>
      <c r="K272" s="351"/>
      <c r="L272" s="351"/>
      <c r="M272" s="351"/>
      <c r="N272" s="351"/>
      <c r="O272" s="351"/>
      <c r="P272" s="351"/>
      <c r="Q272" s="351"/>
      <c r="R272" s="351"/>
      <c r="S272" s="351"/>
      <c r="T272" s="351"/>
      <c r="U272" s="351"/>
      <c r="V272" s="351"/>
      <c r="W272" s="351"/>
      <c r="X272" s="351"/>
      <c r="Y272" s="351"/>
    </row>
    <row r="273" spans="1:25" ht="15">
      <c r="A273" s="420"/>
      <c r="B273" s="357"/>
      <c r="C273" s="357"/>
      <c r="D273" s="508"/>
      <c r="E273" s="508"/>
      <c r="F273" s="508"/>
      <c r="G273" s="508"/>
      <c r="H273" s="351"/>
      <c r="I273" s="351"/>
      <c r="J273" s="351"/>
      <c r="K273" s="351"/>
      <c r="L273" s="351"/>
      <c r="M273" s="351"/>
      <c r="N273" s="351"/>
      <c r="O273" s="351"/>
      <c r="P273" s="351"/>
      <c r="Q273" s="351"/>
      <c r="R273" s="351"/>
      <c r="S273" s="351"/>
      <c r="T273" s="351"/>
      <c r="U273" s="351"/>
      <c r="V273" s="351"/>
      <c r="W273" s="351"/>
      <c r="X273" s="351"/>
      <c r="Y273" s="351"/>
    </row>
    <row r="274" spans="1:25" ht="15">
      <c r="A274" s="911" t="s">
        <v>556</v>
      </c>
      <c r="B274" s="911"/>
      <c r="C274" s="911"/>
      <c r="D274" s="911"/>
      <c r="E274" s="911"/>
      <c r="F274" s="911"/>
      <c r="G274" s="911"/>
      <c r="H274" s="911"/>
      <c r="I274" s="911"/>
      <c r="J274" s="911"/>
      <c r="K274" s="351"/>
      <c r="L274" s="351"/>
      <c r="M274" s="351"/>
      <c r="N274" s="351"/>
      <c r="O274" s="351"/>
      <c r="P274" s="351"/>
      <c r="Q274" s="351"/>
      <c r="R274" s="351"/>
      <c r="S274" s="351"/>
      <c r="T274" s="351"/>
      <c r="U274" s="351"/>
      <c r="V274" s="351"/>
      <c r="W274" s="351"/>
      <c r="X274" s="351"/>
      <c r="Y274" s="351"/>
    </row>
    <row r="275" spans="1:25" ht="15">
      <c r="A275" s="428"/>
      <c r="B275" s="428"/>
      <c r="C275" s="428"/>
      <c r="D275" s="428"/>
      <c r="E275" s="428"/>
      <c r="F275" s="428"/>
      <c r="G275" s="428"/>
      <c r="H275" s="351"/>
      <c r="I275" s="351"/>
      <c r="J275" s="351"/>
      <c r="K275" s="351"/>
      <c r="L275" s="351"/>
      <c r="M275" s="351"/>
      <c r="N275" s="351"/>
      <c r="O275" s="351"/>
      <c r="P275" s="351"/>
      <c r="Q275" s="351"/>
      <c r="R275" s="351"/>
      <c r="S275" s="351"/>
      <c r="T275" s="351"/>
      <c r="U275" s="351"/>
      <c r="V275" s="351"/>
      <c r="W275" s="351"/>
      <c r="X275" s="351"/>
      <c r="Y275" s="351"/>
    </row>
    <row r="276" spans="1:25" ht="15">
      <c r="A276" s="420"/>
      <c r="B276" s="509" t="e">
        <f>B5</f>
        <v>#REF!</v>
      </c>
      <c r="C276" s="357"/>
      <c r="D276" s="351"/>
      <c r="E276" s="351"/>
      <c r="F276" s="351"/>
      <c r="G276" s="351"/>
      <c r="H276" s="351"/>
      <c r="I276" s="351"/>
      <c r="J276" s="351"/>
      <c r="K276" s="351"/>
      <c r="L276" s="351"/>
      <c r="M276" s="351"/>
      <c r="N276" s="351"/>
      <c r="O276" s="351"/>
      <c r="P276" s="351"/>
      <c r="Q276" s="351"/>
      <c r="R276" s="351"/>
      <c r="S276" s="351"/>
      <c r="T276" s="351"/>
      <c r="U276" s="351"/>
      <c r="V276" s="351"/>
      <c r="W276" s="351"/>
      <c r="X276" s="351"/>
      <c r="Y276" s="351"/>
    </row>
    <row r="277" spans="1:25" ht="15">
      <c r="A277" s="420"/>
      <c r="B277" s="357"/>
      <c r="C277" s="357"/>
      <c r="D277" s="351"/>
      <c r="E277" s="351"/>
      <c r="F277" s="508" t="str">
        <f>F6</f>
        <v xml:space="preserve">       Rupees in lacs</v>
      </c>
      <c r="G277" s="351"/>
      <c r="H277" s="351"/>
      <c r="I277" s="351"/>
      <c r="J277" s="351"/>
      <c r="K277" s="351"/>
      <c r="L277" s="351"/>
      <c r="M277" s="351"/>
      <c r="N277" s="351"/>
      <c r="O277" s="351"/>
      <c r="P277" s="351"/>
      <c r="Q277" s="351"/>
      <c r="R277" s="351"/>
      <c r="S277" s="351"/>
      <c r="T277" s="351"/>
      <c r="U277" s="351"/>
      <c r="V277" s="351"/>
      <c r="W277" s="351"/>
      <c r="X277" s="351"/>
      <c r="Y277" s="351"/>
    </row>
    <row r="278" spans="1:25" ht="15">
      <c r="A278" s="564"/>
      <c r="B278" s="607" t="s">
        <v>14</v>
      </c>
      <c r="C278" s="566"/>
      <c r="D278" s="671" t="e">
        <f t="shared" ref="D278:J279" si="82">D7</f>
        <v>#REF!</v>
      </c>
      <c r="E278" s="566"/>
      <c r="F278" s="429" t="str">
        <f t="shared" si="82"/>
        <v>1st` year</v>
      </c>
      <c r="G278" s="429" t="str">
        <f t="shared" si="82"/>
        <v>2nd</v>
      </c>
      <c r="H278" s="429" t="str">
        <f t="shared" si="82"/>
        <v>3rd</v>
      </c>
      <c r="I278" s="429" t="str">
        <f t="shared" si="82"/>
        <v>4th</v>
      </c>
      <c r="J278" s="429" t="str">
        <f t="shared" si="82"/>
        <v>5th</v>
      </c>
      <c r="K278" s="351"/>
      <c r="L278" s="351"/>
      <c r="M278" s="351"/>
      <c r="N278" s="351"/>
      <c r="O278" s="351"/>
      <c r="P278" s="351"/>
      <c r="Q278" s="351"/>
      <c r="R278" s="351"/>
      <c r="S278" s="351"/>
      <c r="T278" s="351"/>
      <c r="U278" s="351"/>
      <c r="V278" s="351"/>
      <c r="W278" s="351"/>
      <c r="X278" s="351"/>
      <c r="Y278" s="351"/>
    </row>
    <row r="279" spans="1:25">
      <c r="A279" s="568"/>
      <c r="B279" s="551"/>
      <c r="C279" s="419"/>
      <c r="D279" s="672" t="e">
        <f t="shared" si="82"/>
        <v>#REF!</v>
      </c>
      <c r="E279" s="419"/>
      <c r="F279" s="605" t="e">
        <f t="shared" si="82"/>
        <v>#REF!</v>
      </c>
      <c r="G279" s="605" t="e">
        <f t="shared" si="82"/>
        <v>#REF!</v>
      </c>
      <c r="H279" s="605" t="e">
        <f t="shared" si="82"/>
        <v>#REF!</v>
      </c>
      <c r="I279" s="605" t="e">
        <f t="shared" si="82"/>
        <v>#REF!</v>
      </c>
      <c r="J279" s="605" t="e">
        <f t="shared" si="82"/>
        <v>#REF!</v>
      </c>
      <c r="K279" s="351"/>
      <c r="L279" s="351"/>
      <c r="M279" s="351"/>
      <c r="N279" s="351"/>
      <c r="O279" s="351"/>
      <c r="P279" s="351"/>
      <c r="Q279" s="351"/>
      <c r="R279" s="351"/>
      <c r="S279" s="351"/>
      <c r="T279" s="351"/>
      <c r="U279" s="351"/>
      <c r="V279" s="351"/>
      <c r="W279" s="351"/>
      <c r="X279" s="351"/>
      <c r="Y279" s="351"/>
    </row>
    <row r="280" spans="1:25" ht="15">
      <c r="A280" s="364"/>
      <c r="B280" s="433" t="s">
        <v>557</v>
      </c>
      <c r="C280" s="368"/>
      <c r="D280" s="434"/>
      <c r="E280" s="668"/>
      <c r="F280" s="669"/>
      <c r="G280" s="669"/>
      <c r="H280" s="669"/>
      <c r="I280" s="669"/>
      <c r="J280" s="670"/>
      <c r="K280" s="351"/>
      <c r="L280" s="351"/>
      <c r="M280" s="351"/>
      <c r="N280" s="351"/>
      <c r="O280" s="351"/>
      <c r="P280" s="351"/>
      <c r="Q280" s="351"/>
      <c r="R280" s="351"/>
      <c r="S280" s="351"/>
      <c r="T280" s="351"/>
      <c r="U280" s="351"/>
      <c r="V280" s="351"/>
      <c r="W280" s="351"/>
      <c r="X280" s="351"/>
      <c r="Y280" s="351"/>
    </row>
    <row r="281" spans="1:25" ht="15">
      <c r="A281" s="364">
        <v>1</v>
      </c>
      <c r="B281" s="433" t="s">
        <v>558</v>
      </c>
      <c r="C281" s="368"/>
      <c r="D281" s="510"/>
      <c r="E281" s="646"/>
      <c r="F281" s="647"/>
      <c r="G281" s="647"/>
      <c r="H281" s="647"/>
      <c r="I281" s="647"/>
      <c r="J281" s="648"/>
      <c r="K281" s="351"/>
      <c r="L281" s="351"/>
      <c r="M281" s="351"/>
      <c r="N281" s="351"/>
      <c r="O281" s="351"/>
      <c r="P281" s="351"/>
      <c r="Q281" s="351"/>
      <c r="R281" s="351"/>
      <c r="S281" s="351"/>
      <c r="T281" s="351"/>
      <c r="U281" s="351"/>
      <c r="V281" s="351"/>
      <c r="W281" s="351"/>
      <c r="X281" s="351"/>
      <c r="Y281" s="351"/>
    </row>
    <row r="282" spans="1:25">
      <c r="A282" s="364"/>
      <c r="B282" s="424" t="s">
        <v>559</v>
      </c>
      <c r="C282" s="368"/>
      <c r="D282" s="406" t="e">
        <f t="shared" ref="D282:J282" si="83">IF(D15&gt;0,IF(D59&gt;0,D59,0),0)</f>
        <v>#REF!</v>
      </c>
      <c r="E282" s="649" t="e">
        <f t="shared" si="83"/>
        <v>#REF!</v>
      </c>
      <c r="F282" s="650">
        <f t="shared" si="83"/>
        <v>21.84966371305125</v>
      </c>
      <c r="G282" s="650">
        <f t="shared" si="83"/>
        <v>23.931999071328853</v>
      </c>
      <c r="H282" s="650">
        <f t="shared" si="83"/>
        <v>23.820175800964609</v>
      </c>
      <c r="I282" s="650">
        <f t="shared" si="83"/>
        <v>23.825798846326528</v>
      </c>
      <c r="J282" s="651">
        <f t="shared" si="83"/>
        <v>23.788450829832151</v>
      </c>
      <c r="K282" s="351"/>
      <c r="L282" s="351"/>
      <c r="M282" s="351"/>
      <c r="N282" s="351"/>
      <c r="O282" s="351"/>
      <c r="P282" s="351"/>
      <c r="Q282" s="351"/>
      <c r="R282" s="351"/>
      <c r="S282" s="351"/>
      <c r="T282" s="351"/>
      <c r="U282" s="351"/>
      <c r="V282" s="351"/>
      <c r="W282" s="351"/>
      <c r="X282" s="351"/>
      <c r="Y282" s="351"/>
    </row>
    <row r="283" spans="1:25">
      <c r="A283" s="364"/>
      <c r="B283" s="424" t="s">
        <v>24</v>
      </c>
      <c r="C283" s="368"/>
      <c r="D283" s="406" t="e">
        <f t="shared" ref="D283:J283" si="84">IF(D164-C164&gt;0,D164-C164,0)</f>
        <v>#REF!</v>
      </c>
      <c r="E283" s="649" t="e">
        <f t="shared" si="84"/>
        <v>#REF!</v>
      </c>
      <c r="F283" s="650" t="e">
        <f t="shared" si="84"/>
        <v>#REF!</v>
      </c>
      <c r="G283" s="650" t="e">
        <f t="shared" si="84"/>
        <v>#REF!</v>
      </c>
      <c r="H283" s="650" t="e">
        <f t="shared" si="84"/>
        <v>#REF!</v>
      </c>
      <c r="I283" s="650" t="e">
        <f t="shared" si="84"/>
        <v>#REF!</v>
      </c>
      <c r="J283" s="651" t="e">
        <f t="shared" si="84"/>
        <v>#REF!</v>
      </c>
      <c r="K283" s="351"/>
      <c r="L283" s="351"/>
      <c r="M283" s="351"/>
      <c r="N283" s="351"/>
      <c r="O283" s="351"/>
      <c r="P283" s="351"/>
      <c r="Q283" s="351"/>
      <c r="R283" s="351"/>
      <c r="S283" s="351"/>
      <c r="T283" s="351"/>
      <c r="U283" s="351"/>
      <c r="V283" s="351"/>
      <c r="W283" s="351"/>
      <c r="X283" s="351"/>
      <c r="Y283" s="351"/>
    </row>
    <row r="284" spans="1:25">
      <c r="A284" s="364"/>
      <c r="B284" s="424" t="s">
        <v>501</v>
      </c>
      <c r="C284" s="368"/>
      <c r="D284" s="406" t="e">
        <f t="shared" ref="D284:J284" si="85">IF(D15&gt;0,IF(D54&gt;0,D54,0),0)</f>
        <v>#REF!</v>
      </c>
      <c r="E284" s="649" t="e">
        <f t="shared" si="85"/>
        <v>#REF!</v>
      </c>
      <c r="F284" s="650">
        <f t="shared" si="85"/>
        <v>0</v>
      </c>
      <c r="G284" s="650">
        <f t="shared" si="85"/>
        <v>0</v>
      </c>
      <c r="H284" s="650">
        <f t="shared" si="85"/>
        <v>0</v>
      </c>
      <c r="I284" s="650">
        <f t="shared" si="85"/>
        <v>0</v>
      </c>
      <c r="J284" s="651">
        <f t="shared" si="85"/>
        <v>0</v>
      </c>
      <c r="K284" s="351"/>
      <c r="L284" s="351"/>
      <c r="M284" s="351"/>
      <c r="N284" s="351"/>
      <c r="O284" s="351"/>
      <c r="P284" s="351"/>
      <c r="Q284" s="351"/>
      <c r="R284" s="351"/>
      <c r="S284" s="351"/>
      <c r="T284" s="351"/>
      <c r="U284" s="351"/>
      <c r="V284" s="351"/>
      <c r="W284" s="351"/>
      <c r="X284" s="351"/>
      <c r="Y284" s="351"/>
    </row>
    <row r="285" spans="1:25">
      <c r="A285" s="364"/>
      <c r="B285" s="424" t="s">
        <v>560</v>
      </c>
      <c r="C285" s="368"/>
      <c r="D285" s="406" t="e">
        <f t="shared" ref="D285:J285" si="86">IF((D115-C115-D62)&gt;0,D115-C115-D62,0)</f>
        <v>#REF!</v>
      </c>
      <c r="E285" s="649" t="e">
        <f t="shared" si="86"/>
        <v>#REF!</v>
      </c>
      <c r="F285" s="650" t="e">
        <f t="shared" si="86"/>
        <v>#REF!</v>
      </c>
      <c r="G285" s="650">
        <f t="shared" si="86"/>
        <v>0</v>
      </c>
      <c r="H285" s="650">
        <f t="shared" si="86"/>
        <v>0</v>
      </c>
      <c r="I285" s="650">
        <f t="shared" si="86"/>
        <v>0</v>
      </c>
      <c r="J285" s="651">
        <f t="shared" si="86"/>
        <v>0</v>
      </c>
      <c r="K285" s="351"/>
      <c r="L285" s="351"/>
      <c r="M285" s="351"/>
      <c r="N285" s="351"/>
      <c r="O285" s="351"/>
      <c r="P285" s="351"/>
      <c r="Q285" s="351"/>
      <c r="R285" s="351"/>
      <c r="S285" s="351"/>
      <c r="T285" s="351"/>
      <c r="U285" s="351"/>
      <c r="V285" s="351"/>
      <c r="W285" s="351"/>
      <c r="X285" s="351"/>
      <c r="Y285" s="351"/>
    </row>
    <row r="286" spans="1:25">
      <c r="A286" s="364"/>
      <c r="B286" s="424" t="s">
        <v>561</v>
      </c>
      <c r="C286" s="368"/>
      <c r="D286" s="406" t="e">
        <f>IF(16&gt;0,IF((D107-C107+C95+C96-D95)&gt;0,D107-C107+C95+C96+D96-D95,0))</f>
        <v>#REF!</v>
      </c>
      <c r="E286" s="649" t="e">
        <f>IF(16&gt;0,IF((E107-D107+D95+D96-E95)&gt;0,E107-D107+D95+D96+E96-E95,0))</f>
        <v>#REF!</v>
      </c>
      <c r="F286" s="650">
        <f>IF(16&gt;0,IF((F107-E107+E95-F95)&gt;0,F107-E107+F96,0))</f>
        <v>22.610000000000007</v>
      </c>
      <c r="G286" s="650">
        <f>IF(16&gt;0,IF((G107-F107+F95-G95)&gt;0,G107-F107+G96,0))</f>
        <v>0</v>
      </c>
      <c r="H286" s="650">
        <f>IF(16&gt;0,IF((H107-G107+G95-H95)&gt;0,H107-G107+H96,0))</f>
        <v>0</v>
      </c>
      <c r="I286" s="650">
        <f>IF(16&gt;0,IF((I107-H107+H95-I95)&gt;0,I107-H107+I96,0))</f>
        <v>0</v>
      </c>
      <c r="J286" s="651">
        <f>IF(16&gt;0,IF((J107-I107+I95-J95)&gt;0,J107-I107+J96,0))</f>
        <v>0</v>
      </c>
      <c r="K286" s="351"/>
      <c r="L286" s="351"/>
      <c r="M286" s="351"/>
      <c r="N286" s="351"/>
      <c r="O286" s="351"/>
      <c r="P286" s="351"/>
      <c r="Q286" s="351"/>
      <c r="R286" s="351"/>
      <c r="S286" s="351"/>
      <c r="T286" s="351"/>
      <c r="U286" s="351"/>
      <c r="V286" s="351"/>
      <c r="W286" s="351"/>
      <c r="X286" s="351"/>
      <c r="Y286" s="351"/>
    </row>
    <row r="287" spans="1:25">
      <c r="A287" s="364"/>
      <c r="B287" s="424" t="s">
        <v>562</v>
      </c>
      <c r="C287" s="368"/>
      <c r="D287" s="511" t="e">
        <f t="shared" ref="D287:J287" si="87">IF(D15&gt;0,IF((-D162-D163+C162+C163)&gt;0,-D162-D163+C162+C163,0),0)</f>
        <v>#REF!</v>
      </c>
      <c r="E287" s="652" t="e">
        <f t="shared" si="87"/>
        <v>#REF!</v>
      </c>
      <c r="F287" s="653" t="e">
        <f t="shared" si="87"/>
        <v>#REF!</v>
      </c>
      <c r="G287" s="653" t="e">
        <f t="shared" si="87"/>
        <v>#REF!</v>
      </c>
      <c r="H287" s="653" t="e">
        <f t="shared" si="87"/>
        <v>#REF!</v>
      </c>
      <c r="I287" s="653" t="e">
        <f t="shared" si="87"/>
        <v>#REF!</v>
      </c>
      <c r="J287" s="654" t="e">
        <f t="shared" si="87"/>
        <v>#REF!</v>
      </c>
      <c r="K287" s="351"/>
      <c r="L287" s="351"/>
      <c r="M287" s="351"/>
      <c r="N287" s="351"/>
      <c r="O287" s="351"/>
      <c r="P287" s="351"/>
      <c r="Q287" s="351"/>
      <c r="R287" s="351"/>
      <c r="S287" s="351"/>
      <c r="T287" s="351"/>
      <c r="U287" s="351"/>
      <c r="V287" s="351"/>
      <c r="W287" s="351"/>
      <c r="X287" s="351"/>
      <c r="Y287" s="351"/>
    </row>
    <row r="288" spans="1:25" ht="14.25" thickBot="1">
      <c r="A288" s="364"/>
      <c r="B288" s="910" t="s">
        <v>563</v>
      </c>
      <c r="C288" s="909"/>
      <c r="D288" s="512" t="e">
        <f t="shared" ref="D288:J288" si="88">IF(D15&gt;0,IF(-D174+C174&gt;0,-D174+C174,0),0)</f>
        <v>#REF!</v>
      </c>
      <c r="E288" s="655" t="e">
        <f t="shared" si="88"/>
        <v>#REF!</v>
      </c>
      <c r="F288" s="656">
        <f t="shared" si="88"/>
        <v>0</v>
      </c>
      <c r="G288" s="656">
        <f t="shared" si="88"/>
        <v>0</v>
      </c>
      <c r="H288" s="656">
        <f t="shared" si="88"/>
        <v>0</v>
      </c>
      <c r="I288" s="656">
        <f t="shared" si="88"/>
        <v>0</v>
      </c>
      <c r="J288" s="657">
        <f t="shared" si="88"/>
        <v>0</v>
      </c>
      <c r="K288" s="351"/>
      <c r="L288" s="351"/>
      <c r="M288" s="351"/>
      <c r="N288" s="351"/>
      <c r="O288" s="351"/>
      <c r="P288" s="351"/>
      <c r="Q288" s="351"/>
      <c r="R288" s="351"/>
      <c r="S288" s="351"/>
      <c r="T288" s="351"/>
      <c r="U288" s="351"/>
      <c r="V288" s="351"/>
      <c r="W288" s="351"/>
      <c r="X288" s="351"/>
      <c r="Y288" s="351"/>
    </row>
    <row r="289" spans="1:25" ht="15">
      <c r="A289" s="364"/>
      <c r="B289" s="424"/>
      <c r="C289" s="368"/>
      <c r="D289" s="439" t="e">
        <f t="shared" ref="D289:J289" si="89">SUM(D282:D288)</f>
        <v>#REF!</v>
      </c>
      <c r="E289" s="439" t="e">
        <f t="shared" si="89"/>
        <v>#REF!</v>
      </c>
      <c r="F289" s="439" t="e">
        <f t="shared" si="89"/>
        <v>#REF!</v>
      </c>
      <c r="G289" s="439" t="e">
        <f t="shared" si="89"/>
        <v>#REF!</v>
      </c>
      <c r="H289" s="439" t="e">
        <f t="shared" si="89"/>
        <v>#REF!</v>
      </c>
      <c r="I289" s="439" t="e">
        <f t="shared" si="89"/>
        <v>#REF!</v>
      </c>
      <c r="J289" s="439" t="e">
        <f t="shared" si="89"/>
        <v>#REF!</v>
      </c>
      <c r="K289" s="351"/>
      <c r="L289" s="351"/>
      <c r="M289" s="351"/>
      <c r="N289" s="351"/>
      <c r="O289" s="351"/>
      <c r="P289" s="351"/>
      <c r="Q289" s="351"/>
      <c r="R289" s="351"/>
      <c r="S289" s="351"/>
      <c r="T289" s="351"/>
      <c r="U289" s="351"/>
      <c r="V289" s="351"/>
      <c r="W289" s="351"/>
      <c r="X289" s="351"/>
      <c r="Y289" s="351"/>
    </row>
    <row r="290" spans="1:25" ht="15">
      <c r="A290" s="364">
        <v>2</v>
      </c>
      <c r="B290" s="433" t="s">
        <v>564</v>
      </c>
      <c r="C290" s="368"/>
      <c r="D290" s="510"/>
      <c r="E290" s="658"/>
      <c r="F290" s="659"/>
      <c r="G290" s="659"/>
      <c r="H290" s="659"/>
      <c r="I290" s="659"/>
      <c r="J290" s="660"/>
      <c r="K290" s="351"/>
      <c r="L290" s="351"/>
      <c r="M290" s="351"/>
      <c r="N290" s="351"/>
      <c r="O290" s="351"/>
      <c r="P290" s="351"/>
      <c r="Q290" s="351"/>
      <c r="R290" s="351"/>
      <c r="S290" s="351"/>
      <c r="T290" s="351"/>
      <c r="U290" s="351"/>
      <c r="V290" s="351"/>
      <c r="W290" s="351"/>
      <c r="X290" s="351"/>
      <c r="Y290" s="351"/>
    </row>
    <row r="291" spans="1:25" ht="15" customHeight="1">
      <c r="A291" s="364"/>
      <c r="B291" s="424" t="s">
        <v>565</v>
      </c>
      <c r="C291" s="368"/>
      <c r="D291" s="406">
        <f t="shared" ref="D291:J291" si="90">IF(C15&gt;0,IF(D59&lt;0,-D59,0),0)</f>
        <v>0</v>
      </c>
      <c r="E291" s="649" t="e">
        <f t="shared" si="90"/>
        <v>#REF!</v>
      </c>
      <c r="F291" s="650" t="e">
        <f t="shared" si="90"/>
        <v>#REF!</v>
      </c>
      <c r="G291" s="650">
        <f t="shared" si="90"/>
        <v>0</v>
      </c>
      <c r="H291" s="650">
        <f t="shared" si="90"/>
        <v>0</v>
      </c>
      <c r="I291" s="650">
        <f t="shared" si="90"/>
        <v>0</v>
      </c>
      <c r="J291" s="651">
        <f t="shared" si="90"/>
        <v>0</v>
      </c>
      <c r="K291" s="351"/>
      <c r="L291" s="351"/>
      <c r="M291" s="351"/>
      <c r="N291" s="351"/>
      <c r="O291" s="351"/>
      <c r="P291" s="351"/>
      <c r="Q291" s="351"/>
      <c r="R291" s="351"/>
      <c r="S291" s="351"/>
      <c r="T291" s="351"/>
      <c r="U291" s="351"/>
      <c r="V291" s="351"/>
      <c r="W291" s="351"/>
      <c r="X291" s="351"/>
      <c r="Y291" s="351"/>
    </row>
    <row r="292" spans="1:25" ht="15" customHeight="1">
      <c r="A292" s="364"/>
      <c r="B292" s="424" t="s">
        <v>566</v>
      </c>
      <c r="C292" s="368"/>
      <c r="D292" s="406">
        <f t="shared" ref="D292:J292" si="91">IF((D179-C179)&gt;0,D179-C179,0)</f>
        <v>0</v>
      </c>
      <c r="E292" s="649">
        <f t="shared" si="91"/>
        <v>0</v>
      </c>
      <c r="F292" s="650">
        <f t="shared" si="91"/>
        <v>0</v>
      </c>
      <c r="G292" s="650">
        <f t="shared" si="91"/>
        <v>0</v>
      </c>
      <c r="H292" s="650">
        <f t="shared" si="91"/>
        <v>0</v>
      </c>
      <c r="I292" s="650">
        <f t="shared" si="91"/>
        <v>0</v>
      </c>
      <c r="J292" s="651">
        <f t="shared" si="91"/>
        <v>0</v>
      </c>
      <c r="K292" s="351"/>
      <c r="L292" s="351"/>
      <c r="M292" s="351"/>
      <c r="N292" s="351"/>
      <c r="O292" s="351"/>
      <c r="P292" s="351"/>
      <c r="Q292" s="351"/>
      <c r="R292" s="351"/>
      <c r="S292" s="351"/>
      <c r="T292" s="351"/>
      <c r="U292" s="351"/>
      <c r="V292" s="351"/>
      <c r="W292" s="351"/>
      <c r="X292" s="351"/>
      <c r="Y292" s="351"/>
    </row>
    <row r="293" spans="1:25">
      <c r="A293" s="364"/>
      <c r="B293" s="910" t="s">
        <v>567</v>
      </c>
      <c r="C293" s="909"/>
      <c r="D293" s="406" t="e">
        <f t="shared" ref="D293:J293" si="92">IF(D15&gt;0,IF((D115-C115-D62)&lt;0,-(D115-C115-D62),0),0)</f>
        <v>#REF!</v>
      </c>
      <c r="E293" s="649" t="e">
        <f t="shared" si="92"/>
        <v>#REF!</v>
      </c>
      <c r="F293" s="650" t="e">
        <f t="shared" si="92"/>
        <v>#REF!</v>
      </c>
      <c r="G293" s="650">
        <f t="shared" si="92"/>
        <v>12.149999999999952</v>
      </c>
      <c r="H293" s="650">
        <f t="shared" si="92"/>
        <v>12.150000000000013</v>
      </c>
      <c r="I293" s="650">
        <f t="shared" si="92"/>
        <v>12.149999999999984</v>
      </c>
      <c r="J293" s="651">
        <f t="shared" si="92"/>
        <v>12.149999999999999</v>
      </c>
      <c r="K293" s="351"/>
      <c r="L293" s="351"/>
      <c r="M293" s="351"/>
      <c r="N293" s="351"/>
      <c r="O293" s="351"/>
      <c r="P293" s="351"/>
      <c r="Q293" s="351"/>
      <c r="R293" s="351"/>
      <c r="S293" s="351"/>
      <c r="T293" s="351"/>
      <c r="U293" s="351"/>
      <c r="V293" s="351"/>
      <c r="W293" s="351"/>
      <c r="X293" s="351"/>
      <c r="Y293" s="351"/>
    </row>
    <row r="294" spans="1:25">
      <c r="A294" s="364"/>
      <c r="B294" s="424" t="s">
        <v>568</v>
      </c>
      <c r="C294" s="368"/>
      <c r="D294" s="406" t="e">
        <f t="shared" ref="D294:J294" si="93">IF(D15&gt;0,IF((C95+C96-D95)&gt;0,(C95+C96-D95),0),0)</f>
        <v>#REF!</v>
      </c>
      <c r="E294" s="649" t="e">
        <f t="shared" si="93"/>
        <v>#REF!</v>
      </c>
      <c r="F294" s="650">
        <f t="shared" si="93"/>
        <v>2.1016666666666666</v>
      </c>
      <c r="G294" s="650">
        <f t="shared" si="93"/>
        <v>2.5220000000000002</v>
      </c>
      <c r="H294" s="650">
        <f t="shared" si="93"/>
        <v>2.5220000000000002</v>
      </c>
      <c r="I294" s="650">
        <f t="shared" si="93"/>
        <v>2.5220000000000002</v>
      </c>
      <c r="J294" s="651">
        <f t="shared" si="93"/>
        <v>2.5220000000000002</v>
      </c>
      <c r="K294" s="351"/>
      <c r="L294" s="351"/>
      <c r="M294" s="351"/>
      <c r="N294" s="351"/>
      <c r="O294" s="351"/>
      <c r="P294" s="351"/>
      <c r="Q294" s="351"/>
      <c r="R294" s="351"/>
      <c r="S294" s="351"/>
      <c r="T294" s="351"/>
      <c r="U294" s="351"/>
      <c r="V294" s="351"/>
      <c r="W294" s="351"/>
      <c r="X294" s="351"/>
      <c r="Y294" s="351"/>
    </row>
    <row r="295" spans="1:25">
      <c r="A295" s="364"/>
      <c r="B295" s="424" t="s">
        <v>686</v>
      </c>
      <c r="C295" s="368"/>
      <c r="D295" s="406"/>
      <c r="E295" s="649">
        <v>0</v>
      </c>
      <c r="F295" s="650">
        <f>IF(F15&gt;0,IF((E106-F106)&gt;0,(E106-F106),0),0)</f>
        <v>0</v>
      </c>
      <c r="G295" s="650">
        <f>IF(G15&gt;0,IF((F106-G106)&gt;0,(F106-G106),0),0)</f>
        <v>4</v>
      </c>
      <c r="H295" s="650">
        <f>IF(H15&gt;0,IF((G106-H106)&gt;0,(G106-H106),0),0)</f>
        <v>4</v>
      </c>
      <c r="I295" s="650">
        <f>IF(I15&gt;0,IF((H106-I106)&gt;0,(H106-I106),0),0)</f>
        <v>4</v>
      </c>
      <c r="J295" s="651">
        <f>IF(J15&gt;0,IF((I106-J106)&gt;0,(I106-J106),0),0)</f>
        <v>0.94</v>
      </c>
      <c r="K295" s="351"/>
      <c r="L295" s="351"/>
      <c r="M295" s="351"/>
      <c r="N295" s="351"/>
      <c r="O295" s="351"/>
      <c r="P295" s="351"/>
      <c r="Q295" s="351"/>
      <c r="R295" s="351"/>
      <c r="S295" s="351"/>
      <c r="T295" s="351"/>
      <c r="U295" s="351"/>
      <c r="V295" s="351"/>
      <c r="W295" s="351"/>
      <c r="X295" s="351"/>
      <c r="Y295" s="351"/>
    </row>
    <row r="296" spans="1:25">
      <c r="A296" s="364"/>
      <c r="B296" s="424" t="s">
        <v>569</v>
      </c>
      <c r="C296" s="368"/>
      <c r="D296" s="406" t="e">
        <f t="shared" ref="D296:J296" si="94">IF((-D162-D163+C162+C163)&lt;0,D162+D163-C162-C163,0)</f>
        <v>#REF!</v>
      </c>
      <c r="E296" s="649" t="e">
        <f t="shared" si="94"/>
        <v>#REF!</v>
      </c>
      <c r="F296" s="650" t="e">
        <f t="shared" si="94"/>
        <v>#REF!</v>
      </c>
      <c r="G296" s="650" t="e">
        <f t="shared" si="94"/>
        <v>#REF!</v>
      </c>
      <c r="H296" s="650" t="e">
        <f t="shared" si="94"/>
        <v>#REF!</v>
      </c>
      <c r="I296" s="650" t="e">
        <f t="shared" si="94"/>
        <v>#REF!</v>
      </c>
      <c r="J296" s="651" t="e">
        <f t="shared" si="94"/>
        <v>#REF!</v>
      </c>
      <c r="K296" s="356"/>
      <c r="L296" s="356"/>
      <c r="M296" s="351"/>
      <c r="N296" s="351"/>
      <c r="O296" s="351"/>
      <c r="P296" s="351"/>
      <c r="Q296" s="351"/>
      <c r="R296" s="351"/>
      <c r="S296" s="351"/>
      <c r="T296" s="351"/>
      <c r="U296" s="351"/>
      <c r="V296" s="351"/>
      <c r="W296" s="351"/>
      <c r="X296" s="351"/>
      <c r="Y296" s="351"/>
    </row>
    <row r="297" spans="1:25">
      <c r="A297" s="364"/>
      <c r="B297" s="910" t="s">
        <v>570</v>
      </c>
      <c r="C297" s="909"/>
      <c r="D297" s="406">
        <f t="shared" ref="D297:J297" si="95">IF(D174-C174&gt;0,D174-C174,0)</f>
        <v>0</v>
      </c>
      <c r="E297" s="649">
        <f t="shared" si="95"/>
        <v>0</v>
      </c>
      <c r="F297" s="650">
        <f t="shared" si="95"/>
        <v>0</v>
      </c>
      <c r="G297" s="650">
        <f t="shared" si="95"/>
        <v>5</v>
      </c>
      <c r="H297" s="650">
        <f t="shared" si="95"/>
        <v>5</v>
      </c>
      <c r="I297" s="650">
        <f t="shared" si="95"/>
        <v>5</v>
      </c>
      <c r="J297" s="651">
        <f t="shared" si="95"/>
        <v>5</v>
      </c>
      <c r="K297" s="432"/>
      <c r="L297" s="432"/>
      <c r="M297" s="351"/>
      <c r="N297" s="351"/>
      <c r="O297" s="351"/>
      <c r="P297" s="351"/>
      <c r="Q297" s="351"/>
      <c r="R297" s="351"/>
      <c r="S297" s="351"/>
      <c r="T297" s="351"/>
      <c r="U297" s="351"/>
      <c r="V297" s="351"/>
      <c r="W297" s="351"/>
      <c r="X297" s="351"/>
      <c r="Y297" s="351"/>
    </row>
    <row r="298" spans="1:25">
      <c r="A298" s="364"/>
      <c r="B298" s="424" t="s">
        <v>566</v>
      </c>
      <c r="C298" s="368"/>
      <c r="D298" s="406"/>
      <c r="E298" s="649"/>
      <c r="F298" s="650"/>
      <c r="G298" s="650"/>
      <c r="H298" s="650"/>
      <c r="I298" s="650"/>
      <c r="J298" s="651"/>
      <c r="K298" s="351"/>
      <c r="L298" s="351"/>
      <c r="M298" s="351"/>
      <c r="N298" s="351"/>
      <c r="O298" s="351"/>
      <c r="P298" s="351"/>
      <c r="Q298" s="351"/>
      <c r="R298" s="351"/>
      <c r="S298" s="351"/>
      <c r="T298" s="351"/>
      <c r="U298" s="351"/>
      <c r="V298" s="351"/>
      <c r="W298" s="351"/>
      <c r="X298" s="351"/>
      <c r="Y298" s="351"/>
    </row>
    <row r="299" spans="1:25" ht="14.25" thickBot="1">
      <c r="A299" s="364"/>
      <c r="B299" s="424" t="s">
        <v>571</v>
      </c>
      <c r="C299" s="368"/>
      <c r="D299" s="391">
        <f t="shared" ref="D299:J299" si="96">D61</f>
        <v>0</v>
      </c>
      <c r="E299" s="661">
        <f t="shared" si="96"/>
        <v>0</v>
      </c>
      <c r="F299" s="662">
        <f t="shared" si="96"/>
        <v>0</v>
      </c>
      <c r="G299" s="662">
        <f t="shared" si="96"/>
        <v>0</v>
      </c>
      <c r="H299" s="662">
        <f t="shared" si="96"/>
        <v>0</v>
      </c>
      <c r="I299" s="662">
        <f t="shared" si="96"/>
        <v>0</v>
      </c>
      <c r="J299" s="663">
        <f t="shared" si="96"/>
        <v>0</v>
      </c>
      <c r="K299" s="358"/>
      <c r="L299" s="358"/>
      <c r="M299" s="351"/>
      <c r="N299" s="351"/>
      <c r="O299" s="351"/>
      <c r="P299" s="351"/>
      <c r="Q299" s="351"/>
      <c r="R299" s="351"/>
      <c r="S299" s="351"/>
      <c r="T299" s="351"/>
      <c r="U299" s="351"/>
      <c r="V299" s="351"/>
      <c r="W299" s="351"/>
      <c r="X299" s="351"/>
      <c r="Y299" s="351"/>
    </row>
    <row r="300" spans="1:25" ht="15">
      <c r="A300" s="364"/>
      <c r="B300" s="433"/>
      <c r="C300" s="368"/>
      <c r="D300" s="439" t="e">
        <f t="shared" ref="D300:J300" si="97">SUM(D291:D299)</f>
        <v>#REF!</v>
      </c>
      <c r="E300" s="439" t="e">
        <f t="shared" si="97"/>
        <v>#REF!</v>
      </c>
      <c r="F300" s="439" t="e">
        <f t="shared" si="97"/>
        <v>#REF!</v>
      </c>
      <c r="G300" s="439" t="e">
        <f t="shared" si="97"/>
        <v>#REF!</v>
      </c>
      <c r="H300" s="439" t="e">
        <f t="shared" si="97"/>
        <v>#REF!</v>
      </c>
      <c r="I300" s="439" t="e">
        <f t="shared" si="97"/>
        <v>#REF!</v>
      </c>
      <c r="J300" s="439" t="e">
        <f t="shared" si="97"/>
        <v>#REF!</v>
      </c>
      <c r="K300" s="392"/>
      <c r="L300" s="392"/>
      <c r="M300" s="351"/>
      <c r="N300" s="351"/>
      <c r="O300" s="351"/>
      <c r="P300" s="351"/>
      <c r="Q300" s="351"/>
      <c r="R300" s="351"/>
      <c r="S300" s="351"/>
      <c r="T300" s="351"/>
      <c r="U300" s="351"/>
      <c r="V300" s="351"/>
      <c r="W300" s="351"/>
      <c r="X300" s="351"/>
      <c r="Y300" s="351"/>
    </row>
    <row r="301" spans="1:25" ht="15">
      <c r="A301" s="364"/>
      <c r="B301" s="433" t="s">
        <v>572</v>
      </c>
      <c r="C301" s="368"/>
      <c r="D301" s="436" t="e">
        <f t="shared" ref="D301:J301" si="98">D289-D300</f>
        <v>#REF!</v>
      </c>
      <c r="E301" s="436" t="e">
        <f t="shared" si="98"/>
        <v>#REF!</v>
      </c>
      <c r="F301" s="436" t="e">
        <f t="shared" si="98"/>
        <v>#REF!</v>
      </c>
      <c r="G301" s="436" t="e">
        <f t="shared" si="98"/>
        <v>#REF!</v>
      </c>
      <c r="H301" s="436" t="e">
        <f t="shared" si="98"/>
        <v>#REF!</v>
      </c>
      <c r="I301" s="436" t="e">
        <f t="shared" si="98"/>
        <v>#REF!</v>
      </c>
      <c r="J301" s="436" t="e">
        <f t="shared" si="98"/>
        <v>#REF!</v>
      </c>
      <c r="K301" s="392"/>
      <c r="L301" s="392"/>
      <c r="M301" s="351"/>
      <c r="N301" s="351"/>
      <c r="O301" s="351"/>
      <c r="P301" s="351"/>
      <c r="Q301" s="351"/>
      <c r="R301" s="351"/>
      <c r="S301" s="351"/>
      <c r="T301" s="351"/>
      <c r="U301" s="351"/>
      <c r="V301" s="351"/>
      <c r="W301" s="351"/>
      <c r="X301" s="351"/>
      <c r="Y301" s="351"/>
    </row>
    <row r="302" spans="1:25" ht="15">
      <c r="A302" s="364">
        <v>1</v>
      </c>
      <c r="B302" s="433" t="s">
        <v>573</v>
      </c>
      <c r="C302" s="368"/>
      <c r="D302" s="436"/>
      <c r="E302" s="664"/>
      <c r="F302" s="665"/>
      <c r="G302" s="665"/>
      <c r="H302" s="665"/>
      <c r="I302" s="665"/>
      <c r="J302" s="666"/>
      <c r="K302" s="392"/>
      <c r="L302" s="392"/>
      <c r="M302" s="351"/>
      <c r="N302" s="351"/>
      <c r="O302" s="351"/>
      <c r="P302" s="351"/>
      <c r="Q302" s="351"/>
      <c r="R302" s="351"/>
      <c r="S302" s="351"/>
      <c r="T302" s="351"/>
      <c r="U302" s="351"/>
      <c r="V302" s="351"/>
      <c r="W302" s="351"/>
      <c r="X302" s="351"/>
      <c r="Y302" s="351"/>
    </row>
    <row r="303" spans="1:25">
      <c r="A303" s="364"/>
      <c r="B303" s="424" t="s">
        <v>574</v>
      </c>
      <c r="C303" s="368"/>
      <c r="D303" s="511" t="e">
        <f t="shared" ref="D303:J303" si="99">-IF((-D87+C87)&lt;0,(-D87+C87),0)</f>
        <v>#REF!</v>
      </c>
      <c r="E303" s="652" t="e">
        <f t="shared" si="99"/>
        <v>#REF!</v>
      </c>
      <c r="F303" s="653" t="e">
        <f t="shared" si="99"/>
        <v>#REF!</v>
      </c>
      <c r="G303" s="653">
        <f t="shared" si="99"/>
        <v>2.8421668751562521</v>
      </c>
      <c r="H303" s="653">
        <f t="shared" si="99"/>
        <v>6.7593124843753571E-2</v>
      </c>
      <c r="I303" s="653">
        <f t="shared" si="99"/>
        <v>4.2847781249996331E-2</v>
      </c>
      <c r="J303" s="654">
        <f t="shared" si="99"/>
        <v>0</v>
      </c>
      <c r="K303" s="392"/>
      <c r="L303" s="392"/>
      <c r="M303" s="351"/>
      <c r="N303" s="351"/>
      <c r="O303" s="351"/>
      <c r="P303" s="351"/>
      <c r="Q303" s="351"/>
      <c r="R303" s="351"/>
      <c r="S303" s="351"/>
      <c r="T303" s="351"/>
      <c r="U303" s="351"/>
      <c r="V303" s="351"/>
      <c r="W303" s="351"/>
      <c r="X303" s="351"/>
      <c r="Y303" s="351"/>
    </row>
    <row r="304" spans="1:25">
      <c r="A304" s="364"/>
      <c r="B304" s="910" t="s">
        <v>575</v>
      </c>
      <c r="C304" s="909"/>
      <c r="D304" s="511" t="e">
        <f t="shared" ref="D304:J304" si="100">IF(D15&gt;0,IF((D98-C98)&gt;0,D98-C98-D96+C96,0))</f>
        <v>#REF!</v>
      </c>
      <c r="E304" s="652" t="e">
        <f t="shared" si="100"/>
        <v>#REF!</v>
      </c>
      <c r="F304" s="653" t="e">
        <f t="shared" si="100"/>
        <v>#REF!</v>
      </c>
      <c r="G304" s="653" t="e">
        <f t="shared" si="100"/>
        <v>#REF!</v>
      </c>
      <c r="H304" s="653" t="e">
        <f t="shared" si="100"/>
        <v>#REF!</v>
      </c>
      <c r="I304" s="653" t="e">
        <f t="shared" si="100"/>
        <v>#REF!</v>
      </c>
      <c r="J304" s="654" t="e">
        <f t="shared" si="100"/>
        <v>#REF!</v>
      </c>
      <c r="K304" s="392"/>
      <c r="L304" s="392"/>
      <c r="M304" s="351"/>
      <c r="N304" s="351"/>
      <c r="O304" s="351"/>
      <c r="P304" s="351"/>
      <c r="Q304" s="351"/>
      <c r="R304" s="351"/>
      <c r="S304" s="351"/>
      <c r="T304" s="351"/>
      <c r="U304" s="351"/>
      <c r="V304" s="351"/>
      <c r="W304" s="351"/>
      <c r="X304" s="351"/>
      <c r="Y304" s="351"/>
    </row>
    <row r="305" spans="1:25">
      <c r="A305" s="364"/>
      <c r="B305" s="424" t="s">
        <v>576</v>
      </c>
      <c r="C305" s="368"/>
      <c r="D305" s="511" t="e">
        <f t="shared" ref="D305:J305" si="101">IF(D15&gt;0,IF(SUM(D151:D156)-SUM(C151:C156)&lt;0,-SUM(D151:D156)+SUM(C151:C156),0),0)</f>
        <v>#REF!</v>
      </c>
      <c r="E305" s="652" t="e">
        <f t="shared" si="101"/>
        <v>#REF!</v>
      </c>
      <c r="F305" s="653" t="e">
        <f t="shared" si="101"/>
        <v>#REF!</v>
      </c>
      <c r="G305" s="653">
        <f t="shared" si="101"/>
        <v>0</v>
      </c>
      <c r="H305" s="653">
        <f t="shared" si="101"/>
        <v>0</v>
      </c>
      <c r="I305" s="653">
        <f t="shared" si="101"/>
        <v>0</v>
      </c>
      <c r="J305" s="654">
        <f t="shared" si="101"/>
        <v>0</v>
      </c>
      <c r="K305" s="455"/>
      <c r="L305" s="455"/>
      <c r="M305" s="351"/>
      <c r="N305" s="351"/>
      <c r="O305" s="351"/>
      <c r="P305" s="351"/>
      <c r="Q305" s="351"/>
      <c r="R305" s="351"/>
      <c r="S305" s="351"/>
      <c r="T305" s="351"/>
      <c r="U305" s="351"/>
      <c r="V305" s="351"/>
      <c r="W305" s="351"/>
      <c r="X305" s="351"/>
      <c r="Y305" s="351"/>
    </row>
    <row r="306" spans="1:25">
      <c r="A306" s="364"/>
      <c r="B306" s="424" t="s">
        <v>577</v>
      </c>
      <c r="C306" s="368"/>
      <c r="D306" s="511" t="e">
        <f t="shared" ref="D306:J306" si="102">IF(D15&gt;0,IF((D148+D149)-(C148+C149)&lt;0,-(D148+D149)+(C148+C149),0),0)</f>
        <v>#REF!</v>
      </c>
      <c r="E306" s="652" t="e">
        <f t="shared" si="102"/>
        <v>#REF!</v>
      </c>
      <c r="F306" s="653" t="e">
        <f t="shared" si="102"/>
        <v>#REF!</v>
      </c>
      <c r="G306" s="653">
        <f t="shared" si="102"/>
        <v>0</v>
      </c>
      <c r="H306" s="653">
        <f t="shared" si="102"/>
        <v>0</v>
      </c>
      <c r="I306" s="653">
        <f t="shared" si="102"/>
        <v>0</v>
      </c>
      <c r="J306" s="654">
        <f t="shared" si="102"/>
        <v>0</v>
      </c>
      <c r="K306" s="455"/>
      <c r="L306" s="455"/>
      <c r="M306" s="351"/>
      <c r="N306" s="351"/>
      <c r="O306" s="351"/>
      <c r="P306" s="351"/>
      <c r="Q306" s="351"/>
      <c r="R306" s="351"/>
      <c r="S306" s="351"/>
      <c r="T306" s="351"/>
      <c r="U306" s="351"/>
      <c r="V306" s="351"/>
      <c r="W306" s="351"/>
      <c r="X306" s="351"/>
      <c r="Y306" s="351"/>
    </row>
    <row r="307" spans="1:25" ht="15">
      <c r="A307" s="364"/>
      <c r="B307" s="910" t="s">
        <v>578</v>
      </c>
      <c r="C307" s="909"/>
      <c r="D307" s="511" t="e">
        <f t="shared" ref="D307:J307" si="103">IF(D15&gt;0,IF((SUM(D145:D147)-SUM(C145:C147))&lt;0,-SUM(D145:D147)+SUM(C145:C147),0),0)</f>
        <v>#REF!</v>
      </c>
      <c r="E307" s="652" t="e">
        <f t="shared" si="103"/>
        <v>#REF!</v>
      </c>
      <c r="F307" s="653" t="e">
        <f t="shared" si="103"/>
        <v>#REF!</v>
      </c>
      <c r="G307" s="653" t="e">
        <f t="shared" si="103"/>
        <v>#REF!</v>
      </c>
      <c r="H307" s="653" t="e">
        <f t="shared" si="103"/>
        <v>#REF!</v>
      </c>
      <c r="I307" s="653" t="e">
        <f t="shared" si="103"/>
        <v>#REF!</v>
      </c>
      <c r="J307" s="654" t="e">
        <f t="shared" si="103"/>
        <v>#REF!</v>
      </c>
      <c r="K307" s="390"/>
      <c r="L307" s="390"/>
      <c r="M307" s="351"/>
      <c r="N307" s="351"/>
      <c r="O307" s="351"/>
      <c r="P307" s="351"/>
      <c r="Q307" s="351"/>
      <c r="R307" s="351"/>
      <c r="S307" s="351"/>
      <c r="T307" s="351"/>
      <c r="U307" s="351"/>
      <c r="V307" s="351"/>
      <c r="W307" s="351"/>
      <c r="X307" s="351"/>
      <c r="Y307" s="351"/>
    </row>
    <row r="308" spans="1:25" ht="14.25" thickBot="1">
      <c r="A308" s="364"/>
      <c r="B308" s="910" t="s">
        <v>579</v>
      </c>
      <c r="C308" s="909"/>
      <c r="D308" s="512" t="e">
        <f t="shared" ref="D308:J308" si="104">IF(D15&gt;0,IF((SUM(D157:D159)+D150-SUM(C157:C159)-C150)&lt;0,-SUM(D157:D159)+D150+SUM(C157:C159)-C150,0),0)</f>
        <v>#REF!</v>
      </c>
      <c r="E308" s="655" t="e">
        <f t="shared" si="104"/>
        <v>#REF!</v>
      </c>
      <c r="F308" s="656" t="e">
        <f t="shared" si="104"/>
        <v>#REF!</v>
      </c>
      <c r="G308" s="656">
        <f t="shared" si="104"/>
        <v>0</v>
      </c>
      <c r="H308" s="656">
        <f t="shared" si="104"/>
        <v>0</v>
      </c>
      <c r="I308" s="656">
        <f t="shared" si="104"/>
        <v>0</v>
      </c>
      <c r="J308" s="657">
        <f t="shared" si="104"/>
        <v>0</v>
      </c>
      <c r="K308" s="358"/>
      <c r="L308" s="358"/>
      <c r="M308" s="351"/>
      <c r="N308" s="351"/>
      <c r="O308" s="351"/>
      <c r="P308" s="351"/>
      <c r="Q308" s="351"/>
      <c r="R308" s="351"/>
      <c r="S308" s="351"/>
      <c r="T308" s="351"/>
      <c r="U308" s="351"/>
      <c r="V308" s="351"/>
      <c r="W308" s="351"/>
      <c r="X308" s="351"/>
      <c r="Y308" s="351"/>
    </row>
    <row r="309" spans="1:25" ht="15">
      <c r="A309" s="364"/>
      <c r="B309" s="424"/>
      <c r="C309" s="368"/>
      <c r="D309" s="439" t="e">
        <f t="shared" ref="D309:J309" si="105">SUM(D303:D308)</f>
        <v>#REF!</v>
      </c>
      <c r="E309" s="439" t="e">
        <f t="shared" si="105"/>
        <v>#REF!</v>
      </c>
      <c r="F309" s="439" t="e">
        <f t="shared" si="105"/>
        <v>#REF!</v>
      </c>
      <c r="G309" s="439" t="e">
        <f t="shared" si="105"/>
        <v>#REF!</v>
      </c>
      <c r="H309" s="439" t="e">
        <f t="shared" si="105"/>
        <v>#REF!</v>
      </c>
      <c r="I309" s="439" t="e">
        <f t="shared" si="105"/>
        <v>#REF!</v>
      </c>
      <c r="J309" s="439" t="e">
        <f t="shared" si="105"/>
        <v>#REF!</v>
      </c>
      <c r="K309" s="392"/>
      <c r="L309" s="392"/>
      <c r="M309" s="351"/>
      <c r="N309" s="351"/>
      <c r="O309" s="351"/>
      <c r="P309" s="351"/>
      <c r="Q309" s="351"/>
      <c r="R309" s="351"/>
      <c r="S309" s="351"/>
      <c r="T309" s="351"/>
      <c r="U309" s="351"/>
      <c r="V309" s="351"/>
      <c r="W309" s="351"/>
      <c r="X309" s="351"/>
      <c r="Y309" s="351"/>
    </row>
    <row r="310" spans="1:25" ht="15">
      <c r="A310" s="364">
        <v>2</v>
      </c>
      <c r="B310" s="433" t="s">
        <v>580</v>
      </c>
      <c r="C310" s="368"/>
      <c r="D310" s="436"/>
      <c r="E310" s="610"/>
      <c r="F310" s="610"/>
      <c r="G310" s="610"/>
      <c r="H310" s="610"/>
      <c r="I310" s="610"/>
      <c r="J310" s="610"/>
      <c r="K310" s="392"/>
      <c r="L310" s="392"/>
      <c r="M310" s="351"/>
      <c r="N310" s="351"/>
      <c r="O310" s="351"/>
      <c r="P310" s="351"/>
      <c r="Q310" s="351"/>
      <c r="R310" s="351"/>
      <c r="S310" s="351"/>
      <c r="T310" s="351"/>
      <c r="U310" s="351"/>
      <c r="V310" s="351"/>
      <c r="W310" s="351"/>
      <c r="X310" s="351"/>
      <c r="Y310" s="351"/>
    </row>
    <row r="311" spans="1:25">
      <c r="A311" s="364"/>
      <c r="B311" s="424" t="s">
        <v>581</v>
      </c>
      <c r="C311" s="368"/>
      <c r="D311" s="511" t="e">
        <f t="shared" ref="D311:J311" si="106">IF(SUM(D151:D156)-SUM(C151:C156)&gt;0,SUM(D151:D156)-SUM(C151:C156),0)</f>
        <v>#REF!</v>
      </c>
      <c r="E311" s="632" t="e">
        <f t="shared" si="106"/>
        <v>#REF!</v>
      </c>
      <c r="F311" s="632" t="e">
        <f t="shared" si="106"/>
        <v>#REF!</v>
      </c>
      <c r="G311" s="632">
        <f t="shared" si="106"/>
        <v>1.918305833541659</v>
      </c>
      <c r="H311" s="632">
        <f t="shared" si="106"/>
        <v>9.0124166458338095E-2</v>
      </c>
      <c r="I311" s="632">
        <f t="shared" si="106"/>
        <v>5.7130374999999844E-2</v>
      </c>
      <c r="J311" s="632">
        <f t="shared" si="106"/>
        <v>0</v>
      </c>
      <c r="K311" s="392"/>
      <c r="L311" s="392"/>
      <c r="M311" s="351"/>
      <c r="N311" s="351"/>
      <c r="O311" s="351"/>
      <c r="P311" s="351"/>
      <c r="Q311" s="351"/>
      <c r="R311" s="351"/>
      <c r="S311" s="351"/>
      <c r="T311" s="351"/>
      <c r="U311" s="351"/>
      <c r="V311" s="351"/>
      <c r="W311" s="351"/>
      <c r="X311" s="351"/>
      <c r="Y311" s="351"/>
    </row>
    <row r="312" spans="1:25">
      <c r="A312" s="366"/>
      <c r="B312" s="357" t="s">
        <v>582</v>
      </c>
      <c r="C312" s="368"/>
      <c r="D312" s="511" t="e">
        <f t="shared" ref="D312:J312" si="107">IF((D148+D149)-(C148+C149)&gt;0,(D148+D149)-(C148+C149),0)</f>
        <v>#REF!</v>
      </c>
      <c r="E312" s="632" t="e">
        <f t="shared" si="107"/>
        <v>#REF!</v>
      </c>
      <c r="F312" s="632" t="e">
        <f t="shared" si="107"/>
        <v>#REF!</v>
      </c>
      <c r="G312" s="632">
        <f t="shared" si="107"/>
        <v>2.4000000000000057</v>
      </c>
      <c r="H312" s="632">
        <f t="shared" si="107"/>
        <v>0</v>
      </c>
      <c r="I312" s="632">
        <f t="shared" si="107"/>
        <v>0</v>
      </c>
      <c r="J312" s="632">
        <f t="shared" si="107"/>
        <v>0</v>
      </c>
      <c r="K312" s="392"/>
      <c r="L312" s="392"/>
      <c r="M312" s="351"/>
      <c r="N312" s="351"/>
      <c r="O312" s="351"/>
      <c r="P312" s="351"/>
      <c r="Q312" s="351"/>
      <c r="R312" s="351"/>
      <c r="S312" s="351"/>
      <c r="T312" s="351"/>
      <c r="U312" s="351"/>
      <c r="V312" s="351"/>
      <c r="W312" s="351"/>
      <c r="X312" s="351"/>
      <c r="Y312" s="351"/>
    </row>
    <row r="313" spans="1:25">
      <c r="A313" s="366"/>
      <c r="B313" s="927" t="s">
        <v>583</v>
      </c>
      <c r="C313" s="909"/>
      <c r="D313" s="511" t="e">
        <f t="shared" ref="D313:J313" si="108">IF((SUM(D145:D147)-SUM(C145:C147))&gt;0,SUM(D145:D147)-SUM(C145:C147),0)</f>
        <v>#REF!</v>
      </c>
      <c r="E313" s="632" t="e">
        <f t="shared" si="108"/>
        <v>#REF!</v>
      </c>
      <c r="F313" s="632" t="e">
        <f t="shared" si="108"/>
        <v>#REF!</v>
      </c>
      <c r="G313" s="632" t="e">
        <f t="shared" si="108"/>
        <v>#REF!</v>
      </c>
      <c r="H313" s="632" t="e">
        <f t="shared" si="108"/>
        <v>#REF!</v>
      </c>
      <c r="I313" s="632" t="e">
        <f t="shared" si="108"/>
        <v>#REF!</v>
      </c>
      <c r="J313" s="632" t="e">
        <f t="shared" si="108"/>
        <v>#REF!</v>
      </c>
      <c r="K313" s="392"/>
      <c r="L313" s="392"/>
      <c r="M313" s="351"/>
      <c r="N313" s="351"/>
      <c r="O313" s="351"/>
      <c r="P313" s="351"/>
      <c r="Q313" s="351"/>
      <c r="R313" s="351"/>
      <c r="S313" s="351"/>
      <c r="T313" s="351"/>
      <c r="U313" s="351"/>
      <c r="V313" s="351"/>
      <c r="W313" s="351"/>
      <c r="X313" s="351"/>
      <c r="Y313" s="351"/>
    </row>
    <row r="314" spans="1:25">
      <c r="A314" s="364"/>
      <c r="B314" s="424" t="s">
        <v>584</v>
      </c>
      <c r="C314" s="368"/>
      <c r="D314" s="511" t="e">
        <f t="shared" ref="D314:J314" si="109">IF((SUM(D157:D159)+D150-SUM(C157:C159)-C150)&gt;0,SUM(D157:D159)+D150-SUM(C157:C159)-C150,0)</f>
        <v>#REF!</v>
      </c>
      <c r="E314" s="632" t="e">
        <f t="shared" si="109"/>
        <v>#REF!</v>
      </c>
      <c r="F314" s="632" t="e">
        <f t="shared" si="109"/>
        <v>#REF!</v>
      </c>
      <c r="G314" s="632">
        <f t="shared" si="109"/>
        <v>0.14236458354166714</v>
      </c>
      <c r="H314" s="632">
        <f t="shared" si="109"/>
        <v>8.8260416458332713E-2</v>
      </c>
      <c r="I314" s="632">
        <f t="shared" si="109"/>
        <v>5.5173437499998812E-2</v>
      </c>
      <c r="J314" s="632">
        <f t="shared" si="109"/>
        <v>0</v>
      </c>
      <c r="K314" s="392"/>
      <c r="L314" s="392"/>
      <c r="M314" s="351"/>
      <c r="N314" s="351"/>
      <c r="O314" s="351"/>
      <c r="P314" s="351"/>
      <c r="Q314" s="351"/>
      <c r="R314" s="351"/>
      <c r="S314" s="351"/>
      <c r="T314" s="351"/>
      <c r="U314" s="351"/>
      <c r="V314" s="351"/>
      <c r="W314" s="351"/>
      <c r="X314" s="351"/>
      <c r="Y314" s="351"/>
    </row>
    <row r="315" spans="1:25">
      <c r="A315" s="364"/>
      <c r="B315" s="910" t="s">
        <v>585</v>
      </c>
      <c r="C315" s="909"/>
      <c r="D315" s="511" t="e">
        <f t="shared" ref="D315:I315" si="110">IF(D15&gt;0,IF((C98-D98)&gt;0,C98-D98,0))</f>
        <v>#REF!</v>
      </c>
      <c r="E315" s="632" t="e">
        <f t="shared" si="110"/>
        <v>#REF!</v>
      </c>
      <c r="F315" s="632" t="e">
        <f t="shared" si="110"/>
        <v>#REF!</v>
      </c>
      <c r="G315" s="632" t="e">
        <f t="shared" si="110"/>
        <v>#REF!</v>
      </c>
      <c r="H315" s="632" t="e">
        <f t="shared" si="110"/>
        <v>#REF!</v>
      </c>
      <c r="I315" s="632" t="e">
        <f t="shared" si="110"/>
        <v>#REF!</v>
      </c>
      <c r="J315" s="632" t="e">
        <f>IF(J15&gt;0,IF((I98-J98)&gt;0,I98-J98+J96-I96))</f>
        <v>#REF!</v>
      </c>
      <c r="K315" s="392"/>
      <c r="L315" s="392"/>
      <c r="M315" s="351"/>
      <c r="N315" s="351"/>
      <c r="O315" s="351"/>
      <c r="P315" s="351"/>
      <c r="Q315" s="351"/>
      <c r="R315" s="351"/>
      <c r="S315" s="351"/>
      <c r="T315" s="351"/>
      <c r="U315" s="351"/>
      <c r="V315" s="351"/>
      <c r="W315" s="351"/>
      <c r="X315" s="351"/>
      <c r="Y315" s="351"/>
    </row>
    <row r="316" spans="1:25" ht="14.25" thickBot="1">
      <c r="A316" s="364"/>
      <c r="B316" s="424" t="s">
        <v>586</v>
      </c>
      <c r="C316" s="368"/>
      <c r="D316" s="512" t="e">
        <f t="shared" ref="D316:J316" si="111">IF(D15&gt;0,IF((C87-D87)&gt;0,(C87-D87),0),0)</f>
        <v>#REF!</v>
      </c>
      <c r="E316" s="667" t="e">
        <f t="shared" si="111"/>
        <v>#REF!</v>
      </c>
      <c r="F316" s="667" t="e">
        <f t="shared" si="111"/>
        <v>#REF!</v>
      </c>
      <c r="G316" s="667">
        <f t="shared" si="111"/>
        <v>0</v>
      </c>
      <c r="H316" s="667">
        <f t="shared" si="111"/>
        <v>0</v>
      </c>
      <c r="I316" s="667">
        <f t="shared" si="111"/>
        <v>0</v>
      </c>
      <c r="J316" s="667">
        <f t="shared" si="111"/>
        <v>0</v>
      </c>
      <c r="K316" s="392"/>
      <c r="L316" s="392"/>
      <c r="M316" s="351"/>
      <c r="N316" s="351"/>
      <c r="O316" s="351"/>
      <c r="P316" s="351"/>
      <c r="Q316" s="351"/>
      <c r="R316" s="351"/>
      <c r="S316" s="351"/>
      <c r="T316" s="351"/>
      <c r="U316" s="351"/>
      <c r="V316" s="351"/>
      <c r="W316" s="351"/>
      <c r="X316" s="351"/>
      <c r="Y316" s="351"/>
    </row>
    <row r="317" spans="1:25" ht="15">
      <c r="A317" s="364"/>
      <c r="B317" s="424"/>
      <c r="C317" s="368"/>
      <c r="D317" s="439" t="e">
        <f t="shared" ref="D317:J317" si="112">SUM(D311:D316)</f>
        <v>#REF!</v>
      </c>
      <c r="E317" s="439" t="e">
        <f t="shared" si="112"/>
        <v>#REF!</v>
      </c>
      <c r="F317" s="439" t="e">
        <f t="shared" si="112"/>
        <v>#REF!</v>
      </c>
      <c r="G317" s="439" t="e">
        <f t="shared" si="112"/>
        <v>#REF!</v>
      </c>
      <c r="H317" s="439" t="e">
        <f t="shared" si="112"/>
        <v>#REF!</v>
      </c>
      <c r="I317" s="439" t="e">
        <f t="shared" si="112"/>
        <v>#REF!</v>
      </c>
      <c r="J317" s="439" t="e">
        <f t="shared" si="112"/>
        <v>#REF!</v>
      </c>
      <c r="K317" s="390"/>
      <c r="L317" s="390"/>
      <c r="M317" s="351"/>
      <c r="N317" s="351"/>
      <c r="O317" s="351"/>
      <c r="P317" s="351"/>
      <c r="Q317" s="351"/>
      <c r="R317" s="351"/>
      <c r="S317" s="351"/>
      <c r="T317" s="351"/>
      <c r="U317" s="351"/>
      <c r="V317" s="351"/>
      <c r="W317" s="351"/>
      <c r="X317" s="351"/>
      <c r="Y317" s="351"/>
    </row>
    <row r="318" spans="1:25" ht="15">
      <c r="A318" s="364"/>
      <c r="B318" s="433" t="s">
        <v>587</v>
      </c>
      <c r="C318" s="368"/>
      <c r="D318" s="406"/>
      <c r="E318" s="613"/>
      <c r="F318" s="613"/>
      <c r="G318" s="613"/>
      <c r="H318" s="613"/>
      <c r="I318" s="613"/>
      <c r="J318" s="613"/>
      <c r="K318" s="390"/>
      <c r="L318" s="390"/>
      <c r="M318" s="351"/>
      <c r="N318" s="351"/>
      <c r="O318" s="351"/>
      <c r="P318" s="351"/>
      <c r="Q318" s="351"/>
      <c r="R318" s="351"/>
      <c r="S318" s="351"/>
      <c r="T318" s="351"/>
      <c r="U318" s="351"/>
      <c r="V318" s="351"/>
      <c r="W318" s="351"/>
      <c r="X318" s="351"/>
      <c r="Y318" s="351"/>
    </row>
    <row r="319" spans="1:25" ht="15">
      <c r="A319" s="364"/>
      <c r="B319" s="424" t="s">
        <v>588</v>
      </c>
      <c r="C319" s="368"/>
      <c r="D319" s="406" t="e">
        <f t="shared" ref="D319:J319" si="113">D289</f>
        <v>#REF!</v>
      </c>
      <c r="E319" s="586" t="e">
        <f t="shared" si="113"/>
        <v>#REF!</v>
      </c>
      <c r="F319" s="586" t="e">
        <f t="shared" si="113"/>
        <v>#REF!</v>
      </c>
      <c r="G319" s="586" t="e">
        <f t="shared" si="113"/>
        <v>#REF!</v>
      </c>
      <c r="H319" s="586" t="e">
        <f t="shared" si="113"/>
        <v>#REF!</v>
      </c>
      <c r="I319" s="586" t="e">
        <f t="shared" si="113"/>
        <v>#REF!</v>
      </c>
      <c r="J319" s="586" t="e">
        <f t="shared" si="113"/>
        <v>#REF!</v>
      </c>
      <c r="K319" s="390"/>
      <c r="L319" s="390"/>
      <c r="M319" s="351"/>
      <c r="N319" s="351"/>
      <c r="O319" s="351"/>
      <c r="P319" s="351"/>
      <c r="Q319" s="351"/>
      <c r="R319" s="351"/>
      <c r="S319" s="351"/>
      <c r="T319" s="351"/>
      <c r="U319" s="351"/>
      <c r="V319" s="351"/>
      <c r="W319" s="351"/>
      <c r="X319" s="351"/>
      <c r="Y319" s="351"/>
    </row>
    <row r="320" spans="1:25">
      <c r="A320" s="364"/>
      <c r="B320" s="424" t="s">
        <v>589</v>
      </c>
      <c r="C320" s="368"/>
      <c r="D320" s="406" t="e">
        <f t="shared" ref="D320:J320" si="114">D300</f>
        <v>#REF!</v>
      </c>
      <c r="E320" s="586" t="e">
        <f t="shared" si="114"/>
        <v>#REF!</v>
      </c>
      <c r="F320" s="586" t="e">
        <f t="shared" si="114"/>
        <v>#REF!</v>
      </c>
      <c r="G320" s="586" t="e">
        <f t="shared" si="114"/>
        <v>#REF!</v>
      </c>
      <c r="H320" s="586" t="e">
        <f t="shared" si="114"/>
        <v>#REF!</v>
      </c>
      <c r="I320" s="586" t="e">
        <f t="shared" si="114"/>
        <v>#REF!</v>
      </c>
      <c r="J320" s="586" t="e">
        <f t="shared" si="114"/>
        <v>#REF!</v>
      </c>
      <c r="K320" s="455"/>
      <c r="L320" s="455"/>
      <c r="M320" s="351"/>
      <c r="N320" s="351"/>
      <c r="O320" s="351"/>
      <c r="P320" s="351"/>
      <c r="Q320" s="351"/>
      <c r="R320" s="351"/>
      <c r="S320" s="351"/>
      <c r="T320" s="351"/>
      <c r="U320" s="351"/>
      <c r="V320" s="351"/>
      <c r="W320" s="351"/>
      <c r="X320" s="351"/>
      <c r="Y320" s="351"/>
    </row>
    <row r="321" spans="1:25" ht="15">
      <c r="A321" s="364"/>
      <c r="B321" s="424" t="s">
        <v>590</v>
      </c>
      <c r="C321" s="368"/>
      <c r="D321" s="436" t="e">
        <f t="shared" ref="D321:J321" si="115">D319-D320</f>
        <v>#REF!</v>
      </c>
      <c r="E321" s="584" t="e">
        <f t="shared" si="115"/>
        <v>#REF!</v>
      </c>
      <c r="F321" s="584" t="e">
        <f t="shared" si="115"/>
        <v>#REF!</v>
      </c>
      <c r="G321" s="584" t="e">
        <f t="shared" si="115"/>
        <v>#REF!</v>
      </c>
      <c r="H321" s="584" t="e">
        <f t="shared" si="115"/>
        <v>#REF!</v>
      </c>
      <c r="I321" s="584" t="e">
        <f t="shared" si="115"/>
        <v>#REF!</v>
      </c>
      <c r="J321" s="584" t="e">
        <f t="shared" si="115"/>
        <v>#REF!</v>
      </c>
      <c r="K321" s="455"/>
      <c r="L321" s="455"/>
      <c r="M321" s="351"/>
      <c r="N321" s="351"/>
      <c r="O321" s="351"/>
      <c r="P321" s="351"/>
      <c r="Q321" s="351"/>
      <c r="R321" s="351"/>
      <c r="S321" s="351"/>
      <c r="T321" s="351"/>
      <c r="U321" s="351"/>
      <c r="V321" s="351"/>
      <c r="W321" s="351"/>
      <c r="X321" s="351"/>
      <c r="Y321" s="351"/>
    </row>
    <row r="322" spans="1:25">
      <c r="A322" s="364"/>
      <c r="B322" s="424" t="s">
        <v>591</v>
      </c>
      <c r="C322" s="368"/>
      <c r="D322" s="406" t="e">
        <f t="shared" ref="D322:J322" si="116">D309</f>
        <v>#REF!</v>
      </c>
      <c r="E322" s="586" t="e">
        <f t="shared" si="116"/>
        <v>#REF!</v>
      </c>
      <c r="F322" s="586" t="e">
        <f t="shared" si="116"/>
        <v>#REF!</v>
      </c>
      <c r="G322" s="586" t="e">
        <f t="shared" si="116"/>
        <v>#REF!</v>
      </c>
      <c r="H322" s="586" t="e">
        <f t="shared" si="116"/>
        <v>#REF!</v>
      </c>
      <c r="I322" s="586" t="e">
        <f t="shared" si="116"/>
        <v>#REF!</v>
      </c>
      <c r="J322" s="586" t="e">
        <f t="shared" si="116"/>
        <v>#REF!</v>
      </c>
      <c r="K322" s="455"/>
      <c r="L322" s="455"/>
      <c r="M322" s="351"/>
      <c r="N322" s="351"/>
      <c r="O322" s="351"/>
      <c r="P322" s="351"/>
      <c r="Q322" s="351"/>
      <c r="R322" s="351"/>
      <c r="S322" s="351"/>
      <c r="T322" s="351"/>
      <c r="U322" s="351"/>
      <c r="V322" s="351"/>
      <c r="W322" s="351"/>
      <c r="X322" s="351"/>
      <c r="Y322" s="351"/>
    </row>
    <row r="323" spans="1:25">
      <c r="A323" s="364"/>
      <c r="B323" s="424" t="s">
        <v>592</v>
      </c>
      <c r="C323" s="368"/>
      <c r="D323" s="406" t="e">
        <f t="shared" ref="D323:J323" si="117">D317</f>
        <v>#REF!</v>
      </c>
      <c r="E323" s="586" t="e">
        <f t="shared" si="117"/>
        <v>#REF!</v>
      </c>
      <c r="F323" s="586" t="e">
        <f t="shared" si="117"/>
        <v>#REF!</v>
      </c>
      <c r="G323" s="586" t="e">
        <f t="shared" si="117"/>
        <v>#REF!</v>
      </c>
      <c r="H323" s="586" t="e">
        <f t="shared" si="117"/>
        <v>#REF!</v>
      </c>
      <c r="I323" s="586" t="e">
        <f t="shared" si="117"/>
        <v>#REF!</v>
      </c>
      <c r="J323" s="586" t="e">
        <f t="shared" si="117"/>
        <v>#REF!</v>
      </c>
      <c r="K323" s="455"/>
      <c r="L323" s="455"/>
      <c r="M323" s="351"/>
      <c r="N323" s="351"/>
      <c r="O323" s="351"/>
      <c r="P323" s="351"/>
      <c r="Q323" s="351"/>
      <c r="R323" s="351"/>
      <c r="S323" s="351"/>
      <c r="T323" s="351"/>
      <c r="U323" s="351"/>
      <c r="V323" s="351"/>
      <c r="W323" s="351"/>
      <c r="X323" s="351"/>
      <c r="Y323" s="351"/>
    </row>
    <row r="324" spans="1:25" ht="15">
      <c r="A324" s="364"/>
      <c r="B324" s="424" t="s">
        <v>593</v>
      </c>
      <c r="C324" s="411" t="s">
        <v>271</v>
      </c>
      <c r="D324" s="436" t="e">
        <f t="shared" ref="D324:J324" si="118">D322-D323</f>
        <v>#REF!</v>
      </c>
      <c r="E324" s="624" t="e">
        <f t="shared" si="118"/>
        <v>#REF!</v>
      </c>
      <c r="F324" s="624" t="e">
        <f t="shared" si="118"/>
        <v>#REF!</v>
      </c>
      <c r="G324" s="624" t="e">
        <f t="shared" si="118"/>
        <v>#REF!</v>
      </c>
      <c r="H324" s="624" t="e">
        <f t="shared" si="118"/>
        <v>#REF!</v>
      </c>
      <c r="I324" s="624" t="e">
        <f t="shared" si="118"/>
        <v>#REF!</v>
      </c>
      <c r="J324" s="624" t="e">
        <f t="shared" si="118"/>
        <v>#REF!</v>
      </c>
      <c r="K324" s="455"/>
      <c r="L324" s="455"/>
      <c r="M324" s="351"/>
      <c r="N324" s="351"/>
      <c r="O324" s="351"/>
      <c r="P324" s="351"/>
      <c r="Q324" s="351"/>
      <c r="R324" s="351"/>
      <c r="S324" s="351"/>
      <c r="T324" s="351"/>
      <c r="U324" s="351"/>
      <c r="V324" s="351"/>
      <c r="W324" s="351"/>
      <c r="X324" s="351"/>
      <c r="Y324" s="351"/>
    </row>
    <row r="325" spans="1:25">
      <c r="A325" s="417"/>
      <c r="B325" s="513" t="s">
        <v>594</v>
      </c>
      <c r="C325" s="418"/>
      <c r="D325" s="514" t="e">
        <f t="shared" ref="D325:J325" si="119">+D321+D324</f>
        <v>#REF!</v>
      </c>
      <c r="E325" s="514" t="e">
        <f t="shared" si="119"/>
        <v>#REF!</v>
      </c>
      <c r="F325" s="514" t="e">
        <f t="shared" si="119"/>
        <v>#REF!</v>
      </c>
      <c r="G325" s="514" t="e">
        <f t="shared" si="119"/>
        <v>#REF!</v>
      </c>
      <c r="H325" s="514" t="e">
        <f t="shared" si="119"/>
        <v>#REF!</v>
      </c>
      <c r="I325" s="514" t="e">
        <f t="shared" si="119"/>
        <v>#REF!</v>
      </c>
      <c r="J325" s="514" t="e">
        <f t="shared" si="119"/>
        <v>#REF!</v>
      </c>
      <c r="K325" s="455"/>
      <c r="L325" s="455"/>
      <c r="M325" s="351"/>
      <c r="N325" s="351"/>
      <c r="O325" s="351"/>
      <c r="P325" s="351"/>
      <c r="Q325" s="351"/>
      <c r="R325" s="351"/>
      <c r="S325" s="351"/>
      <c r="T325" s="351"/>
      <c r="U325" s="351"/>
      <c r="V325" s="351"/>
      <c r="W325" s="351"/>
      <c r="X325" s="351"/>
      <c r="Y325" s="351"/>
    </row>
    <row r="326" spans="1:25" ht="15">
      <c r="A326" s="420"/>
      <c r="B326" s="357"/>
      <c r="C326" s="357"/>
      <c r="D326" s="358"/>
      <c r="E326" s="358"/>
      <c r="F326" s="358"/>
      <c r="G326" s="358"/>
      <c r="H326" s="351"/>
      <c r="I326" s="351"/>
      <c r="J326" s="351"/>
      <c r="K326" s="390"/>
      <c r="L326" s="390"/>
      <c r="M326" s="351"/>
      <c r="N326" s="351"/>
      <c r="O326" s="351"/>
      <c r="P326" s="351"/>
      <c r="Q326" s="351"/>
      <c r="R326" s="351"/>
      <c r="S326" s="351"/>
      <c r="T326" s="351"/>
      <c r="U326" s="351"/>
      <c r="V326" s="351"/>
      <c r="W326" s="351"/>
      <c r="X326" s="351"/>
      <c r="Y326" s="351"/>
    </row>
    <row r="327" spans="1:25" ht="15">
      <c r="A327" s="420"/>
      <c r="B327" s="357"/>
      <c r="C327" s="357"/>
      <c r="D327" s="358"/>
      <c r="E327" s="358"/>
      <c r="F327" s="358"/>
      <c r="G327" s="358"/>
      <c r="H327" s="351"/>
      <c r="I327" s="351"/>
      <c r="J327" s="351"/>
      <c r="K327" s="390"/>
      <c r="L327" s="390"/>
      <c r="M327" s="351"/>
      <c r="N327" s="351"/>
      <c r="O327" s="351"/>
      <c r="P327" s="351"/>
      <c r="Q327" s="351"/>
      <c r="R327" s="351"/>
      <c r="S327" s="351"/>
      <c r="T327" s="351"/>
      <c r="U327" s="351"/>
      <c r="V327" s="351"/>
      <c r="W327" s="351"/>
      <c r="X327" s="351"/>
      <c r="Y327" s="351"/>
    </row>
    <row r="328" spans="1:25">
      <c r="A328" s="420"/>
      <c r="B328" s="357"/>
      <c r="C328" s="357"/>
      <c r="D328" s="358"/>
      <c r="E328" s="358"/>
      <c r="F328" s="358"/>
      <c r="G328" s="358"/>
      <c r="H328" s="351"/>
      <c r="I328" s="351"/>
      <c r="J328" s="351"/>
      <c r="K328" s="455"/>
      <c r="L328" s="455"/>
      <c r="M328" s="351"/>
      <c r="N328" s="351"/>
      <c r="O328" s="351"/>
      <c r="P328" s="351"/>
      <c r="Q328" s="351"/>
      <c r="R328" s="351"/>
      <c r="S328" s="351"/>
      <c r="T328" s="351"/>
      <c r="U328" s="351"/>
      <c r="V328" s="351"/>
      <c r="W328" s="351"/>
      <c r="X328" s="351"/>
      <c r="Y328" s="351"/>
    </row>
    <row r="329" spans="1:25">
      <c r="A329" s="420"/>
      <c r="B329" s="357"/>
      <c r="C329" s="357"/>
      <c r="D329" s="358"/>
      <c r="E329" s="358"/>
      <c r="F329" s="358"/>
      <c r="G329" s="358"/>
      <c r="H329" s="351"/>
      <c r="I329" s="351"/>
      <c r="J329" s="351"/>
      <c r="K329" s="455"/>
      <c r="L329" s="455"/>
      <c r="M329" s="351"/>
      <c r="N329" s="351"/>
      <c r="O329" s="351"/>
      <c r="P329" s="351"/>
      <c r="Q329" s="351"/>
      <c r="R329" s="351"/>
      <c r="S329" s="351"/>
      <c r="T329" s="351"/>
      <c r="U329" s="351"/>
      <c r="V329" s="351"/>
      <c r="W329" s="351"/>
      <c r="X329" s="351"/>
      <c r="Y329" s="351"/>
    </row>
    <row r="330" spans="1:25">
      <c r="A330" s="420"/>
      <c r="B330" s="357"/>
      <c r="C330" s="357"/>
      <c r="D330" s="358"/>
      <c r="E330" s="358"/>
      <c r="F330" s="358"/>
      <c r="G330" s="358"/>
      <c r="H330" s="351"/>
      <c r="I330" s="351"/>
      <c r="J330" s="351"/>
      <c r="K330" s="455"/>
      <c r="L330" s="455"/>
      <c r="M330" s="351"/>
      <c r="N330" s="351"/>
      <c r="O330" s="351"/>
      <c r="P330" s="351"/>
      <c r="Q330" s="351"/>
      <c r="R330" s="351"/>
      <c r="S330" s="351"/>
      <c r="T330" s="351"/>
      <c r="U330" s="351"/>
      <c r="V330" s="351"/>
      <c r="W330" s="351"/>
      <c r="X330" s="351"/>
      <c r="Y330" s="351"/>
    </row>
    <row r="331" spans="1:25">
      <c r="A331" s="420"/>
      <c r="B331" s="357"/>
      <c r="C331" s="357"/>
      <c r="D331" s="358"/>
      <c r="E331" s="358"/>
      <c r="F331" s="358"/>
      <c r="G331" s="358"/>
      <c r="H331" s="351"/>
      <c r="I331" s="351"/>
      <c r="J331" s="351"/>
      <c r="K331" s="455"/>
      <c r="L331" s="455"/>
      <c r="M331" s="351"/>
      <c r="N331" s="351"/>
      <c r="O331" s="351"/>
      <c r="P331" s="351"/>
      <c r="Q331" s="351"/>
      <c r="R331" s="351"/>
      <c r="S331" s="351"/>
      <c r="T331" s="351"/>
      <c r="U331" s="351"/>
      <c r="V331" s="351"/>
      <c r="W331" s="351"/>
      <c r="X331" s="351"/>
      <c r="Y331" s="351"/>
    </row>
    <row r="332" spans="1:25">
      <c r="A332" s="420"/>
      <c r="B332" s="357"/>
      <c r="C332" s="357"/>
      <c r="D332" s="358"/>
      <c r="E332" s="358"/>
      <c r="F332" s="358"/>
      <c r="G332" s="358"/>
      <c r="H332" s="351"/>
      <c r="I332" s="351"/>
      <c r="J332" s="351"/>
      <c r="K332" s="455"/>
      <c r="L332" s="455"/>
      <c r="M332" s="351"/>
      <c r="N332" s="351"/>
      <c r="O332" s="351"/>
      <c r="P332" s="351"/>
      <c r="Q332" s="351"/>
      <c r="R332" s="351"/>
      <c r="S332" s="351"/>
      <c r="T332" s="351"/>
      <c r="U332" s="351"/>
      <c r="V332" s="351"/>
      <c r="W332" s="351"/>
      <c r="X332" s="351"/>
      <c r="Y332" s="351"/>
    </row>
    <row r="333" spans="1:25">
      <c r="A333" s="420"/>
      <c r="B333" s="357"/>
      <c r="C333" s="357"/>
      <c r="D333" s="358"/>
      <c r="E333" s="358"/>
      <c r="F333" s="358"/>
      <c r="G333" s="358"/>
      <c r="H333" s="351"/>
      <c r="I333" s="351"/>
      <c r="J333" s="351"/>
      <c r="K333" s="455"/>
      <c r="L333" s="455"/>
      <c r="M333" s="351"/>
      <c r="N333" s="351"/>
      <c r="O333" s="351"/>
      <c r="P333" s="351"/>
      <c r="Q333" s="351"/>
      <c r="R333" s="351"/>
      <c r="S333" s="351"/>
      <c r="T333" s="351"/>
      <c r="U333" s="351"/>
      <c r="V333" s="351"/>
      <c r="W333" s="351"/>
      <c r="X333" s="351"/>
      <c r="Y333" s="351"/>
    </row>
    <row r="334" spans="1:25" ht="15">
      <c r="A334" s="420"/>
      <c r="B334" s="357"/>
      <c r="C334" s="357"/>
      <c r="D334" s="358"/>
      <c r="E334" s="358"/>
      <c r="F334" s="358"/>
      <c r="G334" s="358"/>
      <c r="H334" s="351"/>
      <c r="I334" s="351"/>
      <c r="J334" s="351"/>
      <c r="K334" s="390"/>
      <c r="L334" s="390"/>
      <c r="M334" s="351"/>
      <c r="N334" s="351"/>
      <c r="O334" s="351"/>
      <c r="P334" s="351"/>
      <c r="Q334" s="351"/>
      <c r="R334" s="351"/>
      <c r="S334" s="351"/>
      <c r="T334" s="351"/>
      <c r="U334" s="351"/>
      <c r="V334" s="351"/>
      <c r="W334" s="351"/>
      <c r="X334" s="351"/>
      <c r="Y334" s="351"/>
    </row>
    <row r="335" spans="1:25">
      <c r="A335" s="420"/>
      <c r="B335" s="357"/>
      <c r="C335" s="357"/>
      <c r="D335" s="358"/>
      <c r="E335" s="358"/>
      <c r="F335" s="358"/>
      <c r="G335" s="358"/>
      <c r="H335" s="351"/>
      <c r="I335" s="351"/>
      <c r="J335" s="351"/>
      <c r="K335" s="392"/>
      <c r="L335" s="392"/>
      <c r="M335" s="351"/>
      <c r="N335" s="351"/>
      <c r="O335" s="351"/>
      <c r="P335" s="351"/>
      <c r="Q335" s="351"/>
      <c r="R335" s="351"/>
      <c r="S335" s="351"/>
      <c r="T335" s="351"/>
      <c r="U335" s="351"/>
      <c r="V335" s="351"/>
      <c r="W335" s="351"/>
      <c r="X335" s="351"/>
      <c r="Y335" s="351"/>
    </row>
    <row r="336" spans="1:25">
      <c r="A336" s="420"/>
      <c r="B336" s="357"/>
      <c r="C336" s="357"/>
      <c r="D336" s="358"/>
      <c r="E336" s="358"/>
      <c r="F336" s="358"/>
      <c r="G336" s="358"/>
      <c r="H336" s="351"/>
      <c r="I336" s="351"/>
      <c r="J336" s="351"/>
      <c r="K336" s="392"/>
      <c r="L336" s="392"/>
      <c r="M336" s="351"/>
      <c r="N336" s="351"/>
      <c r="O336" s="351"/>
      <c r="P336" s="351"/>
      <c r="Q336" s="351"/>
      <c r="R336" s="351"/>
      <c r="S336" s="351"/>
      <c r="T336" s="351"/>
      <c r="U336" s="351"/>
      <c r="V336" s="351"/>
      <c r="W336" s="351"/>
      <c r="X336" s="351"/>
      <c r="Y336" s="351"/>
    </row>
    <row r="337" spans="1:25">
      <c r="A337" s="420"/>
      <c r="B337" s="357"/>
      <c r="C337" s="357"/>
      <c r="D337" s="358"/>
      <c r="E337" s="358"/>
      <c r="F337" s="358"/>
      <c r="G337" s="358"/>
      <c r="H337" s="351"/>
      <c r="I337" s="351"/>
      <c r="J337" s="351"/>
      <c r="K337" s="392"/>
      <c r="L337" s="392"/>
      <c r="M337" s="351"/>
      <c r="N337" s="351"/>
      <c r="O337" s="351"/>
      <c r="P337" s="351"/>
      <c r="Q337" s="351"/>
      <c r="R337" s="351"/>
      <c r="S337" s="351"/>
      <c r="T337" s="351"/>
      <c r="U337" s="351"/>
      <c r="V337" s="351"/>
      <c r="W337" s="351"/>
      <c r="X337" s="351"/>
      <c r="Y337" s="351"/>
    </row>
    <row r="338" spans="1:25" ht="15">
      <c r="A338" s="420"/>
      <c r="B338" s="357"/>
      <c r="C338" s="357"/>
      <c r="D338" s="358"/>
      <c r="E338" s="358"/>
      <c r="F338" s="358"/>
      <c r="G338" s="358"/>
      <c r="H338" s="351"/>
      <c r="I338" s="351"/>
      <c r="J338" s="351"/>
      <c r="K338" s="390"/>
      <c r="L338" s="390"/>
      <c r="M338" s="351"/>
      <c r="N338" s="351"/>
      <c r="O338" s="351"/>
      <c r="P338" s="351"/>
      <c r="Q338" s="351"/>
      <c r="R338" s="351"/>
      <c r="S338" s="351"/>
      <c r="T338" s="351"/>
      <c r="U338" s="351"/>
      <c r="V338" s="351"/>
      <c r="W338" s="351"/>
      <c r="X338" s="351"/>
      <c r="Y338" s="351"/>
    </row>
    <row r="339" spans="1:25">
      <c r="A339" s="420"/>
      <c r="B339" s="357"/>
      <c r="C339" s="357"/>
      <c r="D339" s="358"/>
      <c r="E339" s="358"/>
      <c r="F339" s="358"/>
      <c r="G339" s="358"/>
      <c r="H339" s="351"/>
      <c r="I339" s="351"/>
      <c r="J339" s="351"/>
      <c r="K339" s="392"/>
      <c r="L339" s="392"/>
      <c r="M339" s="351"/>
      <c r="N339" s="351"/>
      <c r="O339" s="351"/>
      <c r="P339" s="351"/>
      <c r="Q339" s="351"/>
      <c r="R339" s="351"/>
      <c r="S339" s="351"/>
      <c r="T339" s="351"/>
      <c r="U339" s="351"/>
      <c r="V339" s="351"/>
      <c r="W339" s="351"/>
      <c r="X339" s="351"/>
      <c r="Y339" s="351"/>
    </row>
    <row r="340" spans="1:25">
      <c r="A340" s="420"/>
      <c r="B340" s="357"/>
      <c r="C340" s="357"/>
      <c r="D340" s="358"/>
      <c r="E340" s="358"/>
      <c r="F340" s="358"/>
      <c r="G340" s="358"/>
      <c r="H340" s="351"/>
      <c r="I340" s="351"/>
      <c r="J340" s="351"/>
      <c r="K340" s="392"/>
      <c r="L340" s="392"/>
      <c r="M340" s="351"/>
      <c r="N340" s="351"/>
      <c r="O340" s="351"/>
      <c r="P340" s="351"/>
      <c r="Q340" s="351"/>
      <c r="R340" s="351"/>
      <c r="S340" s="351"/>
      <c r="T340" s="351"/>
      <c r="U340" s="351"/>
      <c r="V340" s="351"/>
      <c r="W340" s="351"/>
      <c r="X340" s="351"/>
      <c r="Y340" s="351"/>
    </row>
    <row r="341" spans="1:25" ht="15">
      <c r="A341" s="420"/>
      <c r="B341" s="357"/>
      <c r="C341" s="357"/>
      <c r="D341" s="358"/>
      <c r="E341" s="358"/>
      <c r="F341" s="358"/>
      <c r="G341" s="358"/>
      <c r="H341" s="351"/>
      <c r="I341" s="351"/>
      <c r="J341" s="351"/>
      <c r="K341" s="390"/>
      <c r="L341" s="390"/>
      <c r="M341" s="351"/>
      <c r="N341" s="351"/>
      <c r="O341" s="351"/>
      <c r="P341" s="351"/>
      <c r="Q341" s="351"/>
      <c r="R341" s="351"/>
      <c r="S341" s="351"/>
      <c r="T341" s="351"/>
      <c r="U341" s="351"/>
      <c r="V341" s="351"/>
      <c r="W341" s="351"/>
      <c r="X341" s="351"/>
      <c r="Y341" s="351"/>
    </row>
    <row r="342" spans="1:25">
      <c r="A342" s="420"/>
      <c r="B342" s="357"/>
      <c r="C342" s="357"/>
      <c r="D342" s="358"/>
      <c r="E342" s="358"/>
      <c r="F342" s="358"/>
      <c r="G342" s="358"/>
      <c r="H342" s="351"/>
      <c r="I342" s="351"/>
      <c r="J342" s="351"/>
      <c r="K342" s="351"/>
      <c r="L342" s="351"/>
      <c r="M342" s="351"/>
      <c r="N342" s="351"/>
      <c r="O342" s="351"/>
      <c r="P342" s="351"/>
      <c r="Q342" s="351"/>
      <c r="R342" s="351"/>
      <c r="S342" s="351"/>
      <c r="T342" s="351"/>
      <c r="U342" s="351"/>
      <c r="V342" s="351"/>
      <c r="W342" s="351"/>
      <c r="X342" s="351"/>
      <c r="Y342" s="351"/>
    </row>
    <row r="343" spans="1:25" ht="15">
      <c r="A343" s="912" t="s">
        <v>595</v>
      </c>
      <c r="B343" s="912"/>
      <c r="C343" s="912"/>
      <c r="D343" s="912"/>
      <c r="E343" s="912"/>
      <c r="F343" s="912"/>
      <c r="G343" s="912"/>
      <c r="H343" s="912"/>
      <c r="I343" s="912"/>
      <c r="J343" s="912"/>
      <c r="K343" s="351"/>
      <c r="L343" s="351"/>
      <c r="M343" s="351"/>
      <c r="N343" s="351"/>
      <c r="O343" s="351"/>
      <c r="P343" s="351"/>
      <c r="Q343" s="351"/>
      <c r="R343" s="351"/>
      <c r="S343" s="351"/>
      <c r="T343" s="351"/>
      <c r="U343" s="351"/>
      <c r="V343" s="351"/>
      <c r="W343" s="351"/>
      <c r="X343" s="351"/>
      <c r="Y343" s="351"/>
    </row>
    <row r="344" spans="1:25">
      <c r="A344" s="420"/>
      <c r="B344" s="357"/>
      <c r="C344" s="357"/>
      <c r="D344" s="358"/>
      <c r="E344" s="358"/>
      <c r="F344" s="358"/>
      <c r="G344" s="358"/>
      <c r="H344" s="351"/>
      <c r="I344" s="351"/>
      <c r="J344" s="351"/>
      <c r="K344" s="351"/>
      <c r="L344" s="351"/>
      <c r="M344" s="351"/>
      <c r="N344" s="351"/>
      <c r="O344" s="351"/>
      <c r="P344" s="351"/>
      <c r="Q344" s="351"/>
      <c r="R344" s="351"/>
      <c r="S344" s="351"/>
      <c r="T344" s="351"/>
      <c r="U344" s="351"/>
      <c r="V344" s="351"/>
      <c r="W344" s="351"/>
      <c r="X344" s="351"/>
      <c r="Y344" s="351"/>
    </row>
    <row r="345" spans="1:25" ht="15">
      <c r="A345" s="420"/>
      <c r="B345" s="509" t="e">
        <f>B5</f>
        <v>#REF!</v>
      </c>
      <c r="C345" s="515"/>
      <c r="D345" s="358"/>
      <c r="E345" s="358"/>
      <c r="F345" s="358"/>
      <c r="G345" s="358"/>
      <c r="H345" s="351"/>
      <c r="I345" s="351"/>
      <c r="J345" s="351"/>
      <c r="K345" s="351"/>
      <c r="L345" s="351"/>
      <c r="M345" s="351"/>
      <c r="N345" s="351"/>
      <c r="O345" s="351"/>
      <c r="P345" s="351"/>
      <c r="Q345" s="351"/>
      <c r="R345" s="351"/>
      <c r="S345" s="351"/>
      <c r="T345" s="351"/>
      <c r="U345" s="351"/>
      <c r="V345" s="351"/>
      <c r="W345" s="351"/>
      <c r="X345" s="351"/>
      <c r="Y345" s="351"/>
    </row>
    <row r="346" spans="1:25" ht="15">
      <c r="A346" s="420"/>
      <c r="B346" s="357"/>
      <c r="C346" s="357"/>
      <c r="D346" s="358"/>
      <c r="E346" s="351"/>
      <c r="F346" s="679" t="str">
        <f>F6</f>
        <v xml:space="preserve">       Rupees in lacs</v>
      </c>
      <c r="G346" s="358"/>
      <c r="H346" s="351"/>
      <c r="I346" s="351"/>
      <c r="J346" s="351"/>
      <c r="K346" s="351"/>
      <c r="L346" s="351"/>
      <c r="M346" s="351"/>
      <c r="N346" s="351"/>
      <c r="O346" s="351"/>
      <c r="P346" s="351"/>
      <c r="Q346" s="351"/>
      <c r="R346" s="351"/>
      <c r="S346" s="351"/>
      <c r="T346" s="351"/>
      <c r="U346" s="351"/>
      <c r="V346" s="351"/>
      <c r="W346" s="351"/>
      <c r="X346" s="351"/>
      <c r="Y346" s="351"/>
    </row>
    <row r="347" spans="1:25" ht="15">
      <c r="A347" s="564"/>
      <c r="B347" s="680" t="s">
        <v>14</v>
      </c>
      <c r="C347" s="681" t="s">
        <v>596</v>
      </c>
      <c r="D347" s="681"/>
      <c r="E347" s="681"/>
      <c r="F347" s="682" t="str">
        <f t="shared" ref="F347:J348" si="120">F7</f>
        <v>1st` year</v>
      </c>
      <c r="G347" s="682" t="str">
        <f t="shared" si="120"/>
        <v>2nd</v>
      </c>
      <c r="H347" s="682" t="str">
        <f t="shared" si="120"/>
        <v>3rd</v>
      </c>
      <c r="I347" s="682" t="str">
        <f t="shared" si="120"/>
        <v>4th</v>
      </c>
      <c r="J347" s="682" t="str">
        <f t="shared" si="120"/>
        <v>5th</v>
      </c>
      <c r="K347" s="351"/>
      <c r="L347" s="351"/>
      <c r="M347" s="351"/>
      <c r="N347" s="351"/>
      <c r="O347" s="351"/>
      <c r="P347" s="351"/>
      <c r="Q347" s="351"/>
      <c r="R347" s="351"/>
      <c r="S347" s="351"/>
      <c r="T347" s="351"/>
      <c r="U347" s="351"/>
      <c r="V347" s="351"/>
      <c r="W347" s="351"/>
      <c r="X347" s="351"/>
      <c r="Y347" s="351"/>
    </row>
    <row r="348" spans="1:25">
      <c r="A348" s="568"/>
      <c r="B348" s="434"/>
      <c r="C348" s="419"/>
      <c r="D348" s="419"/>
      <c r="E348" s="419"/>
      <c r="F348" s="683" t="e">
        <f t="shared" si="120"/>
        <v>#REF!</v>
      </c>
      <c r="G348" s="683" t="e">
        <f t="shared" si="120"/>
        <v>#REF!</v>
      </c>
      <c r="H348" s="683" t="e">
        <f t="shared" si="120"/>
        <v>#REF!</v>
      </c>
      <c r="I348" s="683" t="e">
        <f t="shared" si="120"/>
        <v>#REF!</v>
      </c>
      <c r="J348" s="683" t="e">
        <f t="shared" si="120"/>
        <v>#REF!</v>
      </c>
      <c r="K348" s="351"/>
      <c r="L348" s="351"/>
      <c r="M348" s="351"/>
      <c r="N348" s="351"/>
      <c r="O348" s="351"/>
      <c r="P348" s="351"/>
      <c r="Q348" s="351"/>
      <c r="R348" s="351"/>
      <c r="S348" s="351"/>
      <c r="T348" s="351"/>
      <c r="U348" s="351"/>
      <c r="V348" s="351"/>
      <c r="W348" s="351"/>
      <c r="X348" s="351"/>
      <c r="Y348" s="351"/>
    </row>
    <row r="349" spans="1:25">
      <c r="A349" s="364"/>
      <c r="B349" s="517" t="s">
        <v>597</v>
      </c>
      <c r="C349" s="684"/>
      <c r="D349" s="684"/>
      <c r="E349" s="684"/>
      <c r="F349" s="685"/>
      <c r="G349" s="685"/>
      <c r="H349" s="685"/>
      <c r="I349" s="685"/>
      <c r="J349" s="685"/>
      <c r="K349" s="351"/>
      <c r="L349" s="351"/>
      <c r="M349" s="351"/>
      <c r="N349" s="351"/>
      <c r="O349" s="351"/>
      <c r="P349" s="351"/>
      <c r="Q349" s="351"/>
      <c r="R349" s="351"/>
      <c r="S349" s="351"/>
      <c r="T349" s="351"/>
      <c r="U349" s="351"/>
      <c r="V349" s="351"/>
      <c r="W349" s="351"/>
      <c r="X349" s="351"/>
      <c r="Y349" s="351"/>
    </row>
    <row r="350" spans="1:25">
      <c r="A350" s="448"/>
      <c r="B350" s="517" t="s">
        <v>325</v>
      </c>
      <c r="C350" s="686"/>
      <c r="D350" s="687"/>
      <c r="E350" s="687"/>
      <c r="F350" s="586">
        <f>F15</f>
        <v>244.79999999999998</v>
      </c>
      <c r="G350" s="586">
        <f>G15</f>
        <v>259.2</v>
      </c>
      <c r="H350" s="586">
        <f>H15</f>
        <v>259.2</v>
      </c>
      <c r="I350" s="586">
        <f>I15</f>
        <v>259.2</v>
      </c>
      <c r="J350" s="586">
        <f>J15</f>
        <v>259.2</v>
      </c>
      <c r="K350" s="351"/>
      <c r="L350" s="351"/>
      <c r="M350" s="351"/>
      <c r="N350" s="351"/>
      <c r="O350" s="351"/>
      <c r="P350" s="351"/>
      <c r="Q350" s="351"/>
      <c r="R350" s="351"/>
      <c r="S350" s="351"/>
      <c r="T350" s="351"/>
      <c r="U350" s="351"/>
      <c r="V350" s="351"/>
      <c r="W350" s="351"/>
      <c r="X350" s="351"/>
      <c r="Y350" s="351"/>
    </row>
    <row r="351" spans="1:25">
      <c r="A351" s="448"/>
      <c r="B351" s="517" t="s">
        <v>598</v>
      </c>
      <c r="C351" s="686"/>
      <c r="D351" s="687"/>
      <c r="E351" s="687"/>
      <c r="F351" s="586"/>
      <c r="G351" s="586"/>
      <c r="H351" s="586"/>
      <c r="I351" s="586"/>
      <c r="J351" s="586"/>
      <c r="K351" s="351"/>
      <c r="L351" s="351"/>
      <c r="M351" s="351"/>
      <c r="N351" s="351"/>
      <c r="O351" s="351"/>
      <c r="P351" s="351"/>
      <c r="Q351" s="351"/>
      <c r="R351" s="351"/>
      <c r="S351" s="351"/>
      <c r="T351" s="351"/>
      <c r="U351" s="351"/>
      <c r="V351" s="351"/>
      <c r="W351" s="351"/>
      <c r="X351" s="351"/>
      <c r="Y351" s="351"/>
    </row>
    <row r="352" spans="1:25">
      <c r="A352" s="448"/>
      <c r="B352" s="517" t="s">
        <v>599</v>
      </c>
      <c r="C352" s="688">
        <v>1</v>
      </c>
      <c r="D352" s="689"/>
      <c r="E352" s="689"/>
      <c r="F352" s="586">
        <f>(F18+F19)*$C352</f>
        <v>212.97048249999997</v>
      </c>
      <c r="G352" s="586">
        <f>(G18+G19)*$C352</f>
        <v>192.2683058335416</v>
      </c>
      <c r="H352" s="586">
        <f>(H18+H19)*$C352</f>
        <v>190.4401241664583</v>
      </c>
      <c r="I352" s="586">
        <f>(I18+I19)*$C352</f>
        <v>190.40713037499998</v>
      </c>
      <c r="J352" s="586">
        <f>(J18+J19)*$C352</f>
        <v>190.34999999999997</v>
      </c>
      <c r="K352" s="351"/>
      <c r="L352" s="351"/>
      <c r="M352" s="351"/>
      <c r="N352" s="351"/>
      <c r="O352" s="351"/>
      <c r="P352" s="351"/>
      <c r="Q352" s="351"/>
      <c r="R352" s="351"/>
      <c r="S352" s="351"/>
      <c r="T352" s="351"/>
      <c r="U352" s="351"/>
      <c r="V352" s="351"/>
      <c r="W352" s="351"/>
      <c r="X352" s="351"/>
      <c r="Y352" s="351"/>
    </row>
    <row r="353" spans="1:25">
      <c r="A353" s="448"/>
      <c r="B353" s="517" t="s">
        <v>600</v>
      </c>
      <c r="C353" s="688">
        <v>1</v>
      </c>
      <c r="D353" s="689"/>
      <c r="E353" s="689"/>
      <c r="F353" s="586">
        <f>(F21+F20)*$C353</f>
        <v>0</v>
      </c>
      <c r="G353" s="586">
        <f>(G21+G20)*$C353</f>
        <v>0</v>
      </c>
      <c r="H353" s="586">
        <f>(H21+H20)*$C353</f>
        <v>0</v>
      </c>
      <c r="I353" s="586">
        <f>(I21+I20)*$C353</f>
        <v>0</v>
      </c>
      <c r="J353" s="586">
        <f>(J21+J20)*$C353</f>
        <v>0</v>
      </c>
      <c r="K353" s="351"/>
      <c r="L353" s="351"/>
      <c r="M353" s="351"/>
      <c r="N353" s="351"/>
      <c r="O353" s="351"/>
      <c r="P353" s="351"/>
      <c r="Q353" s="351"/>
      <c r="R353" s="351"/>
      <c r="S353" s="351"/>
      <c r="T353" s="351"/>
      <c r="U353" s="351"/>
      <c r="V353" s="351"/>
      <c r="W353" s="351"/>
      <c r="X353" s="351"/>
      <c r="Y353" s="351"/>
    </row>
    <row r="354" spans="1:25">
      <c r="A354" s="448"/>
      <c r="B354" s="517" t="s">
        <v>601</v>
      </c>
      <c r="C354" s="688">
        <v>0.9</v>
      </c>
      <c r="D354" s="689"/>
      <c r="E354" s="689"/>
      <c r="F354" s="586">
        <f>(F23)*$C354</f>
        <v>8.91</v>
      </c>
      <c r="G354" s="586">
        <f>(G23)*$C354</f>
        <v>9.355500000000001</v>
      </c>
      <c r="H354" s="586">
        <f>(H23)*$C354</f>
        <v>9.8232750000000024</v>
      </c>
      <c r="I354" s="586">
        <f>(I23)*$C354</f>
        <v>10.314438750000003</v>
      </c>
      <c r="J354" s="586">
        <f>(J23)*$C354</f>
        <v>10.830160687500003</v>
      </c>
      <c r="K354" s="351"/>
      <c r="L354" s="351"/>
      <c r="M354" s="351"/>
      <c r="N354" s="351"/>
      <c r="O354" s="351"/>
      <c r="P354" s="351"/>
      <c r="Q354" s="351"/>
      <c r="R354" s="351"/>
      <c r="S354" s="351"/>
      <c r="T354" s="351"/>
      <c r="U354" s="351"/>
      <c r="V354" s="351"/>
      <c r="W354" s="351"/>
      <c r="X354" s="351"/>
      <c r="Y354" s="351"/>
    </row>
    <row r="355" spans="1:25">
      <c r="A355" s="448"/>
      <c r="B355" s="517" t="s">
        <v>602</v>
      </c>
      <c r="C355" s="688">
        <v>0.8</v>
      </c>
      <c r="D355" s="689"/>
      <c r="E355" s="689"/>
      <c r="F355" s="586">
        <f>(F22)*$C355</f>
        <v>0.97920000000000007</v>
      </c>
      <c r="G355" s="586">
        <f>(G22)*$C355</f>
        <v>1.0368000000000002</v>
      </c>
      <c r="H355" s="586">
        <f>(H22)*$C355</f>
        <v>1.0368000000000002</v>
      </c>
      <c r="I355" s="586">
        <f>(I22)*$C355</f>
        <v>1.0368000000000002</v>
      </c>
      <c r="J355" s="586">
        <f>(J22)*$C355</f>
        <v>1.0368000000000002</v>
      </c>
      <c r="K355" s="351"/>
      <c r="L355" s="351"/>
      <c r="M355" s="351"/>
      <c r="N355" s="351"/>
      <c r="O355" s="351"/>
      <c r="P355" s="351"/>
      <c r="Q355" s="351"/>
      <c r="R355" s="351"/>
      <c r="S355" s="351"/>
      <c r="T355" s="351"/>
      <c r="U355" s="351"/>
      <c r="V355" s="351"/>
      <c r="W355" s="351"/>
      <c r="X355" s="351"/>
      <c r="Y355" s="351"/>
    </row>
    <row r="356" spans="1:25">
      <c r="A356" s="448"/>
      <c r="B356" s="517" t="s">
        <v>603</v>
      </c>
      <c r="C356" s="688">
        <v>0.9</v>
      </c>
      <c r="D356" s="689"/>
      <c r="E356" s="689"/>
      <c r="F356" s="586">
        <f>(F24+F25)*$C356</f>
        <v>1.4839875</v>
      </c>
      <c r="G356" s="586">
        <f>(G24+G25)*$C356</f>
        <v>1.6440750022499999</v>
      </c>
      <c r="H356" s="586">
        <f>(H24+H25)*$C356</f>
        <v>1.8690749999999998</v>
      </c>
      <c r="I356" s="586">
        <f>(I24+I25)*$C356</f>
        <v>1.8690749999999998</v>
      </c>
      <c r="J356" s="586">
        <f>(J24+J25)*$C356</f>
        <v>1.8690749999999998</v>
      </c>
      <c r="K356" s="351"/>
      <c r="L356" s="351"/>
      <c r="M356" s="351"/>
      <c r="N356" s="351"/>
      <c r="O356" s="351"/>
      <c r="P356" s="351"/>
      <c r="Q356" s="351"/>
      <c r="R356" s="351"/>
      <c r="S356" s="351"/>
      <c r="T356" s="351"/>
      <c r="U356" s="351"/>
      <c r="V356" s="351"/>
      <c r="W356" s="351"/>
      <c r="X356" s="351"/>
      <c r="Y356" s="351"/>
    </row>
    <row r="357" spans="1:25">
      <c r="A357" s="448"/>
      <c r="B357" s="517" t="s">
        <v>604</v>
      </c>
      <c r="C357" s="690"/>
      <c r="D357" s="691"/>
      <c r="E357" s="691"/>
      <c r="F357" s="692"/>
      <c r="G357" s="692"/>
      <c r="H357" s="692"/>
      <c r="I357" s="692"/>
      <c r="J357" s="692"/>
      <c r="K357" s="351"/>
      <c r="L357" s="351"/>
      <c r="M357" s="351"/>
      <c r="N357" s="351"/>
      <c r="O357" s="351"/>
      <c r="P357" s="351"/>
      <c r="Q357" s="351"/>
      <c r="R357" s="351"/>
      <c r="S357" s="351"/>
      <c r="T357" s="351"/>
      <c r="U357" s="351"/>
      <c r="V357" s="351"/>
      <c r="W357" s="351"/>
      <c r="X357" s="351"/>
      <c r="Y357" s="351"/>
    </row>
    <row r="358" spans="1:25" ht="15">
      <c r="A358" s="448"/>
      <c r="B358" s="517" t="s">
        <v>605</v>
      </c>
      <c r="C358" s="520"/>
      <c r="D358" s="520"/>
      <c r="E358" s="520"/>
      <c r="F358" s="436">
        <f>SUM(F352:F357)</f>
        <v>224.34366999999997</v>
      </c>
      <c r="G358" s="436">
        <f>SUM(G352:G357)</f>
        <v>204.3046808357916</v>
      </c>
      <c r="H358" s="436">
        <f>SUM(H352:H357)</f>
        <v>203.16927416645831</v>
      </c>
      <c r="I358" s="436">
        <f>SUM(I352:I357)</f>
        <v>203.62744412499998</v>
      </c>
      <c r="J358" s="436">
        <f>SUM(J352:J357)</f>
        <v>204.08603568749999</v>
      </c>
      <c r="K358" s="351"/>
      <c r="L358" s="351"/>
      <c r="M358" s="351"/>
      <c r="N358" s="351"/>
      <c r="O358" s="351"/>
      <c r="P358" s="351"/>
      <c r="Q358" s="351"/>
      <c r="R358" s="351"/>
      <c r="S358" s="351"/>
      <c r="T358" s="351"/>
      <c r="U358" s="351"/>
      <c r="V358" s="351"/>
      <c r="W358" s="351"/>
      <c r="X358" s="351"/>
      <c r="Y358" s="351"/>
    </row>
    <row r="359" spans="1:25">
      <c r="A359" s="448"/>
      <c r="B359" s="517" t="s">
        <v>606</v>
      </c>
      <c r="C359" s="693" t="s">
        <v>271</v>
      </c>
      <c r="D359" s="694"/>
      <c r="E359" s="694"/>
      <c r="F359" s="698">
        <f>+F28+F32</f>
        <v>0</v>
      </c>
      <c r="G359" s="698">
        <f>F360</f>
        <v>33.195482499999997</v>
      </c>
      <c r="H359" s="698">
        <f>G360</f>
        <v>35.113788333541656</v>
      </c>
      <c r="I359" s="698">
        <f>H360</f>
        <v>35.203912499999994</v>
      </c>
      <c r="J359" s="698">
        <f>I360</f>
        <v>35.261042874999994</v>
      </c>
      <c r="K359" s="351"/>
      <c r="L359" s="351"/>
      <c r="M359" s="351"/>
      <c r="N359" s="351"/>
      <c r="O359" s="351"/>
      <c r="P359" s="351"/>
      <c r="Q359" s="351"/>
      <c r="R359" s="351"/>
      <c r="S359" s="351"/>
      <c r="T359" s="351"/>
      <c r="U359" s="351"/>
      <c r="V359" s="351"/>
      <c r="W359" s="351"/>
      <c r="X359" s="351"/>
      <c r="Y359" s="351"/>
    </row>
    <row r="360" spans="1:25" ht="15" customHeight="1">
      <c r="A360" s="448"/>
      <c r="B360" s="517" t="s">
        <v>607</v>
      </c>
      <c r="C360" s="695" t="s">
        <v>271</v>
      </c>
      <c r="D360" s="696"/>
      <c r="E360" s="696"/>
      <c r="F360" s="699">
        <f>+F30+F34</f>
        <v>33.195482499999997</v>
      </c>
      <c r="G360" s="699">
        <f>+G30+G34</f>
        <v>35.113788333541656</v>
      </c>
      <c r="H360" s="699">
        <f>+H30+H34</f>
        <v>35.203912499999994</v>
      </c>
      <c r="I360" s="699">
        <f>+I30+I34</f>
        <v>35.261042874999994</v>
      </c>
      <c r="J360" s="699">
        <f>+J30+J34</f>
        <v>35.261042874999994</v>
      </c>
      <c r="K360" s="351"/>
      <c r="L360" s="351"/>
      <c r="M360" s="351"/>
      <c r="N360" s="351"/>
      <c r="O360" s="351"/>
      <c r="P360" s="351"/>
      <c r="Q360" s="351"/>
      <c r="R360" s="351"/>
      <c r="S360" s="351"/>
      <c r="T360" s="351"/>
      <c r="U360" s="351"/>
      <c r="V360" s="351"/>
      <c r="W360" s="351"/>
      <c r="X360" s="351"/>
      <c r="Y360" s="351"/>
    </row>
    <row r="361" spans="1:25">
      <c r="A361" s="448"/>
      <c r="B361" s="517" t="s">
        <v>608</v>
      </c>
      <c r="C361" s="695"/>
      <c r="D361" s="696"/>
      <c r="E361" s="696"/>
      <c r="F361" s="699">
        <f>F358+F359-F360</f>
        <v>191.14818749999998</v>
      </c>
      <c r="G361" s="699">
        <f>G358+G359-G360</f>
        <v>202.38637500224993</v>
      </c>
      <c r="H361" s="699">
        <f>H358+H359-H360</f>
        <v>203.07914999999997</v>
      </c>
      <c r="I361" s="699">
        <f>I358+I359-I360</f>
        <v>203.57031375</v>
      </c>
      <c r="J361" s="699">
        <f>J358+J359-J360</f>
        <v>204.08603568749999</v>
      </c>
      <c r="K361" s="351"/>
      <c r="L361" s="351"/>
      <c r="M361" s="351"/>
      <c r="N361" s="351"/>
      <c r="O361" s="351"/>
      <c r="P361" s="351"/>
      <c r="Q361" s="351"/>
      <c r="R361" s="351"/>
      <c r="S361" s="351"/>
      <c r="T361" s="351"/>
      <c r="U361" s="351"/>
      <c r="V361" s="351"/>
      <c r="W361" s="351"/>
      <c r="X361" s="351"/>
      <c r="Y361" s="351"/>
    </row>
    <row r="362" spans="1:25">
      <c r="A362" s="448"/>
      <c r="B362" s="517" t="s">
        <v>609</v>
      </c>
      <c r="C362" s="686"/>
      <c r="D362" s="687"/>
      <c r="E362" s="687"/>
      <c r="F362" s="580">
        <f>IF(F350&gt;0,F361/F350,0)</f>
        <v>0.78083409926470582</v>
      </c>
      <c r="G362" s="580">
        <f>IF(G350&gt;0,G361/G350,0)</f>
        <v>0.78081163195312475</v>
      </c>
      <c r="H362" s="580">
        <f>IF(H350&gt;0,H361/H350,0)</f>
        <v>0.7834843749999999</v>
      </c>
      <c r="I362" s="580">
        <f>IF(I350&gt;0,I361/I350,0)</f>
        <v>0.78537929687500008</v>
      </c>
      <c r="J362" s="580">
        <f>IF(J350&gt;0,J361/J350,0)</f>
        <v>0.78736896484374996</v>
      </c>
      <c r="K362" s="351"/>
      <c r="L362" s="351"/>
      <c r="M362" s="351"/>
      <c r="N362" s="351"/>
      <c r="O362" s="351"/>
      <c r="P362" s="351"/>
      <c r="Q362" s="351"/>
      <c r="R362" s="351"/>
      <c r="S362" s="351"/>
      <c r="T362" s="351"/>
      <c r="U362" s="351"/>
      <c r="V362" s="351"/>
      <c r="W362" s="351"/>
      <c r="X362" s="351"/>
      <c r="Y362" s="351"/>
    </row>
    <row r="363" spans="1:25">
      <c r="A363" s="448"/>
      <c r="B363" s="517"/>
      <c r="C363" s="686"/>
      <c r="D363" s="687"/>
      <c r="E363" s="687"/>
      <c r="F363" s="697"/>
      <c r="G363" s="697"/>
      <c r="H363" s="697"/>
      <c r="I363" s="697"/>
      <c r="J363" s="697"/>
      <c r="K363" s="351"/>
      <c r="L363" s="351"/>
      <c r="M363" s="351"/>
      <c r="N363" s="351"/>
      <c r="O363" s="351"/>
      <c r="P363" s="351"/>
      <c r="Q363" s="351"/>
      <c r="R363" s="351"/>
      <c r="S363" s="351"/>
      <c r="T363" s="351"/>
      <c r="U363" s="351"/>
      <c r="V363" s="351"/>
      <c r="W363" s="351"/>
      <c r="X363" s="351"/>
      <c r="Y363" s="351"/>
    </row>
    <row r="364" spans="1:25">
      <c r="A364" s="448"/>
      <c r="B364" s="517" t="s">
        <v>610</v>
      </c>
      <c r="C364" s="686"/>
      <c r="D364" s="687"/>
      <c r="E364" s="687"/>
      <c r="F364" s="586">
        <f>F40+F45-F361</f>
        <v>26.538187668749998</v>
      </c>
      <c r="G364" s="586">
        <f>G40+G45-G361</f>
        <v>26.903602279437024</v>
      </c>
      <c r="H364" s="586">
        <f>H40+H45-H361</f>
        <v>26.379388135416661</v>
      </c>
      <c r="I364" s="586">
        <f>I40+I45-I361</f>
        <v>25.879748284479149</v>
      </c>
      <c r="J364" s="586">
        <f>J40+J45-J361</f>
        <v>25.420324231354158</v>
      </c>
      <c r="K364" s="351"/>
      <c r="L364" s="351"/>
      <c r="M364" s="351"/>
      <c r="N364" s="351"/>
      <c r="O364" s="351"/>
      <c r="P364" s="351"/>
      <c r="Q364" s="351"/>
      <c r="R364" s="351"/>
      <c r="S364" s="351"/>
      <c r="T364" s="351"/>
      <c r="U364" s="351"/>
      <c r="V364" s="351"/>
      <c r="W364" s="351"/>
      <c r="X364" s="351"/>
      <c r="Y364" s="351"/>
    </row>
    <row r="365" spans="1:25">
      <c r="A365" s="448"/>
      <c r="B365" s="517"/>
      <c r="C365" s="690"/>
      <c r="D365" s="691"/>
      <c r="E365" s="691"/>
      <c r="F365" s="622"/>
      <c r="G365" s="622"/>
      <c r="H365" s="622"/>
      <c r="I365" s="622"/>
      <c r="J365" s="622"/>
      <c r="K365" s="351"/>
      <c r="L365" s="351"/>
      <c r="M365" s="351"/>
      <c r="N365" s="351"/>
      <c r="O365" s="351"/>
      <c r="P365" s="351"/>
      <c r="Q365" s="351"/>
      <c r="R365" s="351"/>
      <c r="S365" s="351"/>
      <c r="T365" s="351"/>
      <c r="U365" s="351"/>
      <c r="V365" s="351"/>
      <c r="W365" s="351"/>
      <c r="X365" s="351"/>
      <c r="Y365" s="351"/>
    </row>
    <row r="366" spans="1:25" ht="15">
      <c r="A366" s="448"/>
      <c r="B366" s="517" t="s">
        <v>611</v>
      </c>
      <c r="C366" s="520"/>
      <c r="D366" s="520"/>
      <c r="E366" s="520"/>
      <c r="F366" s="436">
        <f>IF((F350-F361)&lt;&gt;0,F364*F350/(F350-F361),0)</f>
        <v>121.08721101099798</v>
      </c>
      <c r="G366" s="436">
        <f>IF((G350-G361)&lt;&gt;0,G364*G350/(G350-G361),0)</f>
        <v>122.74192521787228</v>
      </c>
      <c r="H366" s="436">
        <f>IF((H350-H361)&lt;&gt;0,H364*H350/(H350-H361),0)</f>
        <v>121.83595588270663</v>
      </c>
      <c r="I366" s="436">
        <f>IF((I350-I361)&lt;&gt;0,I364*I350/(I350-I361),0)</f>
        <v>120.58365249789622</v>
      </c>
      <c r="J366" s="436">
        <f>IF((J350-J361)&lt;&gt;0,J364*J350/(J350-J361),0)</f>
        <v>119.55133554551084</v>
      </c>
      <c r="K366" s="351"/>
      <c r="L366" s="351"/>
      <c r="M366" s="351"/>
      <c r="N366" s="351"/>
      <c r="O366" s="351"/>
      <c r="P366" s="351"/>
      <c r="Q366" s="351"/>
      <c r="R366" s="351"/>
      <c r="S366" s="351"/>
      <c r="T366" s="351"/>
      <c r="U366" s="351"/>
      <c r="V366" s="351"/>
      <c r="W366" s="351"/>
      <c r="X366" s="351"/>
      <c r="Y366" s="351"/>
    </row>
    <row r="367" spans="1:25">
      <c r="A367" s="448"/>
      <c r="B367" s="517" t="s">
        <v>612</v>
      </c>
      <c r="C367" s="520"/>
      <c r="D367" s="520"/>
      <c r="E367" s="520"/>
      <c r="F367" s="381">
        <f>IF(F350&gt;0,F366/F350,0)</f>
        <v>0.49463729988152771</v>
      </c>
      <c r="G367" s="381">
        <f>IF(G350&gt;0,G366/G350,0)</f>
        <v>0.47354137815537145</v>
      </c>
      <c r="H367" s="381">
        <f>IF(H350&gt;0,H366/H350,0)</f>
        <v>0.47004612609068919</v>
      </c>
      <c r="I367" s="381">
        <f>IF(I350&gt;0,I366/I350,0)</f>
        <v>0.46521470871101939</v>
      </c>
      <c r="J367" s="381">
        <f>IF(J350&gt;0,J366/J350,0)</f>
        <v>0.46123200441940909</v>
      </c>
      <c r="K367" s="351"/>
      <c r="L367" s="351"/>
      <c r="M367" s="351"/>
      <c r="N367" s="351"/>
      <c r="O367" s="351"/>
      <c r="P367" s="351"/>
      <c r="Q367" s="351"/>
      <c r="R367" s="351"/>
      <c r="S367" s="351"/>
      <c r="T367" s="351"/>
      <c r="U367" s="351"/>
      <c r="V367" s="351"/>
      <c r="W367" s="351"/>
      <c r="X367" s="351"/>
      <c r="Y367" s="351"/>
    </row>
    <row r="368" spans="1:25">
      <c r="A368" s="448"/>
      <c r="B368" s="517"/>
      <c r="C368" s="520"/>
      <c r="D368" s="520"/>
      <c r="E368" s="520"/>
      <c r="F368" s="510"/>
      <c r="G368" s="510"/>
      <c r="H368" s="510"/>
      <c r="I368" s="510"/>
      <c r="J368" s="510"/>
      <c r="K368" s="351"/>
      <c r="L368" s="351"/>
      <c r="M368" s="351"/>
      <c r="N368" s="351"/>
      <c r="O368" s="351"/>
      <c r="P368" s="351"/>
      <c r="Q368" s="351"/>
      <c r="R368" s="351"/>
      <c r="S368" s="351"/>
      <c r="T368" s="351"/>
      <c r="U368" s="351"/>
      <c r="V368" s="351"/>
      <c r="W368" s="351"/>
      <c r="X368" s="351"/>
      <c r="Y368" s="351"/>
    </row>
    <row r="369" spans="1:25" ht="15">
      <c r="A369" s="448"/>
      <c r="B369" s="517" t="s">
        <v>613</v>
      </c>
      <c r="C369" s="520"/>
      <c r="D369" s="520"/>
      <c r="E369" s="520"/>
      <c r="F369" s="521">
        <f>IF((F350-F361)&gt;0,(F364-F26-F54)*F350/(F350-F361),0)</f>
        <v>109.58222783824867</v>
      </c>
      <c r="G369" s="521">
        <f>IF((G350-G361)&gt;0,(G364-G26-G54)*G350/(G350-G361),0)</f>
        <v>112.96369191517421</v>
      </c>
      <c r="H369" s="521">
        <f>IF((H350-H361)&gt;0,(H364-H26-H54)*H350/(H350-H361),0)</f>
        <v>113.42185759303354</v>
      </c>
      <c r="I369" s="521">
        <f>IF((I350-I361)&gt;0,(I364-I26-I54)*I350/(I350-I361),0)</f>
        <v>113.36852289971338</v>
      </c>
      <c r="J369" s="521">
        <f>IF((J350-J361)&gt;0,(J364-J26-J54)*J350/(J350-J361),0)</f>
        <v>113.36108792522448</v>
      </c>
      <c r="K369" s="351"/>
      <c r="L369" s="351"/>
      <c r="M369" s="351"/>
      <c r="N369" s="351"/>
      <c r="O369" s="351"/>
      <c r="P369" s="351"/>
      <c r="Q369" s="351"/>
      <c r="R369" s="351"/>
      <c r="S369" s="351"/>
      <c r="T369" s="351"/>
      <c r="U369" s="351"/>
      <c r="V369" s="351"/>
      <c r="W369" s="351"/>
      <c r="X369" s="351"/>
      <c r="Y369" s="351"/>
    </row>
    <row r="370" spans="1:25">
      <c r="A370" s="448"/>
      <c r="B370" s="517"/>
      <c r="C370" s="520"/>
      <c r="D370" s="520"/>
      <c r="E370" s="520"/>
      <c r="F370" s="522">
        <f>IF(F350&gt;0,F369/F350,0)</f>
        <v>0.44763981960068905</v>
      </c>
      <c r="G370" s="522">
        <f>IF(G350&gt;0,G369/G350,0)</f>
        <v>0.43581671263570299</v>
      </c>
      <c r="H370" s="522">
        <f>IF(H350&gt;0,H369/H350,0)</f>
        <v>0.43758432713361706</v>
      </c>
      <c r="I370" s="522">
        <f>IF(I350&gt;0,I369/I350,0)</f>
        <v>0.43737856056988189</v>
      </c>
      <c r="J370" s="522">
        <f>IF(J350&gt;0,J369/J350,0)</f>
        <v>0.4373498762547241</v>
      </c>
      <c r="K370" s="351"/>
      <c r="L370" s="351"/>
      <c r="M370" s="351"/>
      <c r="N370" s="351"/>
      <c r="O370" s="351"/>
      <c r="P370" s="351"/>
      <c r="Q370" s="351"/>
      <c r="R370" s="351"/>
      <c r="S370" s="351"/>
      <c r="T370" s="351"/>
      <c r="U370" s="351"/>
      <c r="V370" s="351"/>
      <c r="W370" s="351"/>
      <c r="X370" s="351"/>
      <c r="Y370" s="351"/>
    </row>
    <row r="371" spans="1:25" ht="15">
      <c r="A371" s="448"/>
      <c r="B371" s="516" t="s">
        <v>319</v>
      </c>
      <c r="C371" s="520"/>
      <c r="D371" s="520"/>
      <c r="E371" s="520"/>
      <c r="F371" s="510"/>
      <c r="G371" s="510"/>
      <c r="H371" s="510"/>
      <c r="I371" s="510"/>
      <c r="J371" s="510"/>
      <c r="K371" s="351"/>
      <c r="L371" s="351"/>
      <c r="M371" s="351"/>
      <c r="N371" s="351"/>
      <c r="O371" s="351"/>
      <c r="P371" s="351"/>
      <c r="Q371" s="351"/>
      <c r="R371" s="351"/>
      <c r="S371" s="351"/>
      <c r="T371" s="351"/>
      <c r="U371" s="351"/>
      <c r="V371" s="351"/>
      <c r="W371" s="351"/>
      <c r="X371" s="351"/>
      <c r="Y371" s="351"/>
    </row>
    <row r="372" spans="1:25" ht="15">
      <c r="A372" s="448"/>
      <c r="B372" s="516"/>
      <c r="C372" s="671"/>
      <c r="D372" s="520"/>
      <c r="E372" s="520"/>
      <c r="F372" s="510"/>
      <c r="G372" s="510"/>
      <c r="H372" s="510"/>
      <c r="I372" s="510"/>
      <c r="J372" s="510"/>
      <c r="K372" s="351"/>
      <c r="L372" s="351"/>
      <c r="M372" s="351"/>
      <c r="N372" s="351"/>
      <c r="O372" s="351"/>
      <c r="P372" s="351"/>
      <c r="Q372" s="351"/>
      <c r="R372" s="351"/>
      <c r="S372" s="351"/>
      <c r="T372" s="351"/>
      <c r="U372" s="351"/>
      <c r="V372" s="351"/>
      <c r="W372" s="351"/>
      <c r="X372" s="351"/>
      <c r="Y372" s="351"/>
    </row>
    <row r="373" spans="1:25" ht="15">
      <c r="A373" s="448"/>
      <c r="B373" s="516" t="s">
        <v>320</v>
      </c>
      <c r="C373" s="703">
        <v>0.05</v>
      </c>
      <c r="D373" s="704"/>
      <c r="E373" s="704"/>
      <c r="F373" s="685"/>
      <c r="G373" s="685"/>
      <c r="H373" s="685"/>
      <c r="I373" s="685"/>
      <c r="J373" s="685"/>
      <c r="K373" s="351"/>
      <c r="L373" s="351"/>
      <c r="M373" s="351"/>
      <c r="N373" s="351"/>
      <c r="O373" s="351"/>
      <c r="P373" s="351"/>
      <c r="Q373" s="351"/>
      <c r="R373" s="351"/>
      <c r="S373" s="351"/>
      <c r="T373" s="351"/>
      <c r="U373" s="351"/>
      <c r="V373" s="351"/>
      <c r="W373" s="351"/>
      <c r="X373" s="351"/>
      <c r="Y373" s="351"/>
    </row>
    <row r="374" spans="1:25">
      <c r="A374" s="448"/>
      <c r="B374" s="517" t="s">
        <v>321</v>
      </c>
      <c r="C374" s="705">
        <f>C373</f>
        <v>0.05</v>
      </c>
      <c r="D374" s="706"/>
      <c r="E374" s="706"/>
      <c r="F374" s="632">
        <f>IF(F350&gt;0,F350*(100 - $C374)*0.01,0)</f>
        <v>244.67759999999998</v>
      </c>
      <c r="G374" s="632">
        <f>IF(G350&gt;0,G350*(100 - $C374)*0.01,0)</f>
        <v>259.07040000000001</v>
      </c>
      <c r="H374" s="632">
        <f>IF(H350&gt;0,H350*(100 - $C374)*0.01,0)</f>
        <v>259.07040000000001</v>
      </c>
      <c r="I374" s="632">
        <f>IF(I350&gt;0,I350*(100 - $C374)*0.01,0)</f>
        <v>259.07040000000001</v>
      </c>
      <c r="J374" s="632">
        <f>IF(J350&gt;0,J350*(100 - $C374)*0.01,0)</f>
        <v>259.07040000000001</v>
      </c>
      <c r="K374" s="351"/>
      <c r="L374" s="351"/>
      <c r="M374" s="351"/>
      <c r="N374" s="351"/>
      <c r="O374" s="351"/>
      <c r="P374" s="351"/>
      <c r="Q374" s="351"/>
      <c r="R374" s="351"/>
      <c r="S374" s="351"/>
      <c r="T374" s="351"/>
      <c r="U374" s="351"/>
      <c r="V374" s="351"/>
      <c r="W374" s="351"/>
      <c r="X374" s="351"/>
      <c r="Y374" s="351"/>
    </row>
    <row r="375" spans="1:25">
      <c r="A375" s="448"/>
      <c r="B375" s="517" t="s">
        <v>322</v>
      </c>
      <c r="C375" s="707">
        <f>C374</f>
        <v>0.05</v>
      </c>
      <c r="D375" s="708"/>
      <c r="E375" s="708"/>
      <c r="F375" s="632">
        <f>IF(F361&gt;0,F361*(100 - $C375)*0.01,0)</f>
        <v>191.05261340624998</v>
      </c>
      <c r="G375" s="632">
        <f>IF(G361&gt;0,G361*(100 - $C375)*0.01,0)</f>
        <v>202.28518181474882</v>
      </c>
      <c r="H375" s="632">
        <f>IF(H361&gt;0,H361*(100 - $C375)*0.01,0)</f>
        <v>202.97761042499999</v>
      </c>
      <c r="I375" s="632">
        <f>IF(I361&gt;0,I361*(100 - $C375)*0.01,0)</f>
        <v>203.46852859312503</v>
      </c>
      <c r="J375" s="632">
        <f>IF(J361&gt;0,J361*(100 - $C375)*0.01,0)</f>
        <v>203.98399266965626</v>
      </c>
      <c r="K375" s="351"/>
      <c r="L375" s="351"/>
      <c r="M375" s="351"/>
      <c r="N375" s="351"/>
      <c r="O375" s="351"/>
      <c r="P375" s="351"/>
      <c r="Q375" s="351"/>
      <c r="R375" s="351"/>
      <c r="S375" s="351"/>
      <c r="T375" s="351"/>
      <c r="U375" s="351"/>
      <c r="V375" s="351"/>
      <c r="W375" s="351"/>
      <c r="X375" s="351"/>
      <c r="Y375" s="351"/>
    </row>
    <row r="376" spans="1:25">
      <c r="A376" s="448"/>
      <c r="B376" s="517" t="s">
        <v>323</v>
      </c>
      <c r="C376" s="709"/>
      <c r="D376" s="710"/>
      <c r="E376" s="710"/>
      <c r="F376" s="622">
        <f>F374-F375</f>
        <v>53.624986593750009</v>
      </c>
      <c r="G376" s="622">
        <f>G374-G375</f>
        <v>56.785218185251182</v>
      </c>
      <c r="H376" s="622">
        <f>H374-H375</f>
        <v>56.092789575000012</v>
      </c>
      <c r="I376" s="622">
        <f>I374-I375</f>
        <v>55.601871406874977</v>
      </c>
      <c r="J376" s="622">
        <f>J374-J375</f>
        <v>55.086407330343746</v>
      </c>
      <c r="K376" s="351"/>
      <c r="L376" s="351"/>
      <c r="M376" s="351"/>
      <c r="N376" s="351"/>
      <c r="O376" s="351"/>
      <c r="P376" s="351"/>
      <c r="Q376" s="351"/>
      <c r="R376" s="351"/>
      <c r="S376" s="351"/>
      <c r="T376" s="351"/>
      <c r="U376" s="351"/>
      <c r="V376" s="351"/>
      <c r="W376" s="351"/>
      <c r="X376" s="351"/>
      <c r="Y376" s="351"/>
    </row>
    <row r="377" spans="1:25" ht="15">
      <c r="A377" s="448"/>
      <c r="B377" s="517" t="s">
        <v>614</v>
      </c>
      <c r="C377" s="700">
        <f>C373</f>
        <v>0.05</v>
      </c>
      <c r="D377" s="523"/>
      <c r="E377" s="523"/>
      <c r="F377" s="521">
        <f>IF(F376&gt;0,F374*F364/F376,0)</f>
        <v>121.08721101099796</v>
      </c>
      <c r="G377" s="521">
        <f>IF(G376&gt;0,G374*G364/G376,0)</f>
        <v>122.74192521787228</v>
      </c>
      <c r="H377" s="521">
        <f>IF(H376&gt;0,H374*H364/H376,0)</f>
        <v>121.83595588270666</v>
      </c>
      <c r="I377" s="521">
        <f>IF(I376&gt;0,I374*I364/I376,0)</f>
        <v>120.58365249789627</v>
      </c>
      <c r="J377" s="521">
        <f>IF(J376&gt;0,J374*J364/J376,0)</f>
        <v>119.55133554551085</v>
      </c>
      <c r="K377" s="351"/>
      <c r="L377" s="351"/>
      <c r="M377" s="351"/>
      <c r="N377" s="351"/>
      <c r="O377" s="351"/>
      <c r="P377" s="351"/>
      <c r="Q377" s="351"/>
      <c r="R377" s="351"/>
      <c r="S377" s="351"/>
      <c r="T377" s="351"/>
      <c r="U377" s="351"/>
      <c r="V377" s="351"/>
      <c r="W377" s="351"/>
      <c r="X377" s="351"/>
      <c r="Y377" s="351"/>
    </row>
    <row r="378" spans="1:25">
      <c r="A378" s="446"/>
      <c r="B378" s="517" t="s">
        <v>615</v>
      </c>
      <c r="C378" s="701"/>
      <c r="D378" s="524"/>
      <c r="E378" s="524"/>
      <c r="F378" s="522">
        <f>IF(F374&gt;0,F377/F374,0)</f>
        <v>0.494884742252654</v>
      </c>
      <c r="G378" s="522">
        <f>IF(G374&gt;0,G377/G374,0)</f>
        <v>0.47377826728901595</v>
      </c>
      <c r="H378" s="522">
        <f>IF(H374&gt;0,H377/H374,0)</f>
        <v>0.47028126672405129</v>
      </c>
      <c r="I378" s="522">
        <f>IF(I374&gt;0,I377/I374,0)</f>
        <v>0.46544743242723313</v>
      </c>
      <c r="J378" s="522">
        <f>IF(J374&gt;0,J377/J374,0)</f>
        <v>0.46146273578730279</v>
      </c>
      <c r="K378" s="351"/>
      <c r="L378" s="351"/>
      <c r="M378" s="351"/>
      <c r="N378" s="351"/>
      <c r="O378" s="351"/>
      <c r="P378" s="351"/>
      <c r="Q378" s="351"/>
      <c r="R378" s="351"/>
      <c r="S378" s="351"/>
      <c r="T378" s="351"/>
      <c r="U378" s="351"/>
      <c r="V378" s="351"/>
      <c r="W378" s="351"/>
      <c r="X378" s="351"/>
      <c r="Y378" s="351"/>
    </row>
    <row r="379" spans="1:25">
      <c r="A379" s="446"/>
      <c r="B379" s="517"/>
      <c r="C379" s="701"/>
      <c r="D379" s="524"/>
      <c r="E379" s="524"/>
      <c r="F379" s="522"/>
      <c r="G379" s="522"/>
      <c r="H379" s="522"/>
      <c r="I379" s="522"/>
      <c r="J379" s="522"/>
      <c r="K379" s="351"/>
      <c r="L379" s="351"/>
      <c r="M379" s="351"/>
      <c r="N379" s="351"/>
      <c r="O379" s="351"/>
      <c r="P379" s="351"/>
      <c r="Q379" s="351"/>
      <c r="R379" s="351"/>
      <c r="S379" s="351"/>
      <c r="T379" s="351"/>
      <c r="U379" s="351"/>
      <c r="V379" s="351"/>
      <c r="W379" s="351"/>
      <c r="X379" s="351"/>
      <c r="Y379" s="351"/>
    </row>
    <row r="380" spans="1:25" ht="15">
      <c r="A380" s="446"/>
      <c r="B380" s="516" t="s">
        <v>324</v>
      </c>
      <c r="C380" s="703">
        <v>0.05</v>
      </c>
      <c r="D380" s="704"/>
      <c r="E380" s="704"/>
      <c r="F380" s="711"/>
      <c r="G380" s="711"/>
      <c r="H380" s="711"/>
      <c r="I380" s="711"/>
      <c r="J380" s="711"/>
      <c r="K380" s="351"/>
      <c r="L380" s="351"/>
      <c r="M380" s="351"/>
      <c r="N380" s="351"/>
      <c r="O380" s="351"/>
      <c r="P380" s="351"/>
      <c r="Q380" s="351"/>
      <c r="R380" s="351"/>
      <c r="S380" s="351"/>
      <c r="T380" s="351"/>
      <c r="U380" s="351"/>
      <c r="V380" s="351"/>
      <c r="W380" s="351"/>
      <c r="X380" s="351"/>
      <c r="Y380" s="351"/>
    </row>
    <row r="381" spans="1:25">
      <c r="A381" s="446"/>
      <c r="B381" s="517" t="s">
        <v>325</v>
      </c>
      <c r="C381" s="712"/>
      <c r="D381" s="713"/>
      <c r="E381" s="713"/>
      <c r="F381" s="632">
        <f>F350</f>
        <v>244.79999999999998</v>
      </c>
      <c r="G381" s="632">
        <f>G350</f>
        <v>259.2</v>
      </c>
      <c r="H381" s="632">
        <f>H350</f>
        <v>259.2</v>
      </c>
      <c r="I381" s="632">
        <f>I350</f>
        <v>259.2</v>
      </c>
      <c r="J381" s="632">
        <f>J350</f>
        <v>259.2</v>
      </c>
      <c r="K381" s="351"/>
      <c r="L381" s="351"/>
      <c r="M381" s="351"/>
      <c r="N381" s="351"/>
      <c r="O381" s="351"/>
      <c r="P381" s="351"/>
      <c r="Q381" s="351"/>
      <c r="R381" s="351"/>
      <c r="S381" s="351"/>
      <c r="T381" s="351"/>
      <c r="U381" s="351"/>
      <c r="V381" s="351"/>
      <c r="W381" s="351"/>
      <c r="X381" s="351"/>
      <c r="Y381" s="351"/>
    </row>
    <row r="382" spans="1:25">
      <c r="A382" s="446"/>
      <c r="B382" s="517" t="s">
        <v>326</v>
      </c>
      <c r="C382" s="705">
        <f>C380</f>
        <v>0.05</v>
      </c>
      <c r="D382" s="706"/>
      <c r="E382" s="706"/>
      <c r="F382" s="632">
        <f>F361+F352*$C382*0.01</f>
        <v>191.25467274124998</v>
      </c>
      <c r="G382" s="632">
        <f>G361+G352*$C382*0.01</f>
        <v>202.4825091551667</v>
      </c>
      <c r="H382" s="632">
        <f>H361+H352*$C382*0.01</f>
        <v>203.1743700620832</v>
      </c>
      <c r="I382" s="632">
        <f>I361+I352*$C382*0.01</f>
        <v>203.66551731518749</v>
      </c>
      <c r="J382" s="632">
        <f>J361+J352*$C382*0.01</f>
        <v>204.1812106875</v>
      </c>
      <c r="K382" s="351"/>
      <c r="L382" s="351"/>
      <c r="M382" s="351"/>
      <c r="N382" s="351"/>
      <c r="O382" s="351"/>
      <c r="P382" s="351"/>
      <c r="Q382" s="351"/>
      <c r="R382" s="351"/>
      <c r="S382" s="351"/>
      <c r="T382" s="351"/>
      <c r="U382" s="351"/>
      <c r="V382" s="351"/>
      <c r="W382" s="351"/>
      <c r="X382" s="351"/>
      <c r="Y382" s="351"/>
    </row>
    <row r="383" spans="1:25">
      <c r="A383" s="446"/>
      <c r="B383" s="517" t="s">
        <v>323</v>
      </c>
      <c r="C383" s="714"/>
      <c r="D383" s="715"/>
      <c r="E383" s="715"/>
      <c r="F383" s="622">
        <f>F381-F382</f>
        <v>53.545327258750007</v>
      </c>
      <c r="G383" s="622">
        <f>G381-G382</f>
        <v>56.717490844833293</v>
      </c>
      <c r="H383" s="622">
        <f>H381-H382</f>
        <v>56.02562993791679</v>
      </c>
      <c r="I383" s="622">
        <f>I381-I382</f>
        <v>55.534482684812502</v>
      </c>
      <c r="J383" s="622">
        <f>J381-J382</f>
        <v>55.01878931249999</v>
      </c>
      <c r="K383" s="351"/>
      <c r="L383" s="351"/>
      <c r="M383" s="351"/>
      <c r="N383" s="351"/>
      <c r="O383" s="351"/>
      <c r="P383" s="351"/>
      <c r="Q383" s="351"/>
      <c r="R383" s="351"/>
      <c r="S383" s="351"/>
      <c r="T383" s="351"/>
      <c r="U383" s="351"/>
      <c r="V383" s="351"/>
      <c r="W383" s="351"/>
      <c r="X383" s="351"/>
      <c r="Y383" s="351"/>
    </row>
    <row r="384" spans="1:25" ht="15">
      <c r="A384" s="446"/>
      <c r="B384" s="517" t="s">
        <v>616</v>
      </c>
      <c r="C384" s="700">
        <f>C382</f>
        <v>0.05</v>
      </c>
      <c r="D384" s="523"/>
      <c r="E384" s="523"/>
      <c r="F384" s="521">
        <f>IF(F383&gt;0,F381*F364/F383,0)</f>
        <v>121.32801635362829</v>
      </c>
      <c r="G384" s="521">
        <f>IF(G383&gt;0,G381*G364/G383,0)</f>
        <v>122.94996846577396</v>
      </c>
      <c r="H384" s="521">
        <f>IF(H383&gt;0,H381*H364/H383,0)</f>
        <v>122.04302588434653</v>
      </c>
      <c r="I384" s="521">
        <f>IF(I383&gt;0,I381*I364/I383,0)</f>
        <v>120.79037079373926</v>
      </c>
      <c r="J384" s="521">
        <f>IF(J383&gt;0,J381*J364/J383,0)</f>
        <v>119.75814304714301</v>
      </c>
      <c r="K384" s="351"/>
      <c r="L384" s="351"/>
      <c r="M384" s="351"/>
      <c r="N384" s="351"/>
      <c r="O384" s="351"/>
      <c r="P384" s="351"/>
      <c r="Q384" s="351"/>
      <c r="R384" s="351"/>
      <c r="S384" s="351"/>
      <c r="T384" s="351"/>
      <c r="U384" s="351"/>
      <c r="V384" s="351"/>
      <c r="W384" s="351"/>
      <c r="X384" s="351"/>
      <c r="Y384" s="351"/>
    </row>
    <row r="385" spans="1:25">
      <c r="A385" s="446"/>
      <c r="B385" s="517" t="s">
        <v>615</v>
      </c>
      <c r="C385" s="701"/>
      <c r="D385" s="524"/>
      <c r="E385" s="524"/>
      <c r="F385" s="522">
        <f>IF(F381&gt;0,F384/F381,0)</f>
        <v>0.49562098183671688</v>
      </c>
      <c r="G385" s="522">
        <f>IF(G381&gt;0,G384/G381,0)</f>
        <v>0.47434401414264649</v>
      </c>
      <c r="H385" s="522">
        <f>IF(H381&gt;0,H384/H381,0)</f>
        <v>0.47084500726985545</v>
      </c>
      <c r="I385" s="522">
        <f>IF(I381&gt;0,I384/I381,0)</f>
        <v>0.46601223300053729</v>
      </c>
      <c r="J385" s="522">
        <f>IF(J381&gt;0,J384/J381,0)</f>
        <v>0.4620298728670641</v>
      </c>
      <c r="K385" s="351"/>
      <c r="L385" s="351"/>
      <c r="M385" s="351"/>
      <c r="N385" s="351"/>
      <c r="O385" s="351"/>
      <c r="P385" s="351"/>
      <c r="Q385" s="351"/>
      <c r="R385" s="351"/>
      <c r="S385" s="351"/>
      <c r="T385" s="351"/>
      <c r="U385" s="351"/>
      <c r="V385" s="351"/>
      <c r="W385" s="351"/>
      <c r="X385" s="351"/>
      <c r="Y385" s="351"/>
    </row>
    <row r="386" spans="1:25">
      <c r="A386" s="446"/>
      <c r="B386" s="517"/>
      <c r="C386" s="702"/>
      <c r="D386" s="525"/>
      <c r="E386" s="525"/>
      <c r="F386" s="522"/>
      <c r="G386" s="522"/>
      <c r="H386" s="522"/>
      <c r="I386" s="522"/>
      <c r="J386" s="522"/>
      <c r="K386" s="351"/>
      <c r="L386" s="351"/>
      <c r="M386" s="351"/>
      <c r="N386" s="351"/>
      <c r="O386" s="351"/>
      <c r="P386" s="351"/>
      <c r="Q386" s="351"/>
      <c r="R386" s="351"/>
      <c r="S386" s="351"/>
      <c r="T386" s="351"/>
      <c r="U386" s="351"/>
      <c r="V386" s="351"/>
      <c r="W386" s="351"/>
      <c r="X386" s="351"/>
      <c r="Y386" s="351"/>
    </row>
    <row r="387" spans="1:25" ht="15">
      <c r="A387" s="446"/>
      <c r="B387" s="516" t="s">
        <v>327</v>
      </c>
      <c r="C387" s="703">
        <v>0.05</v>
      </c>
      <c r="D387" s="704"/>
      <c r="E387" s="704"/>
      <c r="F387" s="711"/>
      <c r="G387" s="711"/>
      <c r="H387" s="711"/>
      <c r="I387" s="711"/>
      <c r="J387" s="711"/>
      <c r="K387" s="351"/>
      <c r="L387" s="351"/>
      <c r="M387" s="351"/>
      <c r="N387" s="351"/>
      <c r="O387" s="351"/>
      <c r="P387" s="351"/>
      <c r="Q387" s="351"/>
      <c r="R387" s="351"/>
      <c r="S387" s="351"/>
      <c r="T387" s="351"/>
      <c r="U387" s="351"/>
      <c r="V387" s="351"/>
      <c r="W387" s="351"/>
      <c r="X387" s="351"/>
      <c r="Y387" s="351"/>
    </row>
    <row r="388" spans="1:25">
      <c r="A388" s="446"/>
      <c r="B388" s="517" t="s">
        <v>325</v>
      </c>
      <c r="C388" s="712"/>
      <c r="D388" s="713"/>
      <c r="E388" s="713"/>
      <c r="F388" s="632">
        <f>F350</f>
        <v>244.79999999999998</v>
      </c>
      <c r="G388" s="632">
        <f>G350</f>
        <v>259.2</v>
      </c>
      <c r="H388" s="632">
        <f>H350</f>
        <v>259.2</v>
      </c>
      <c r="I388" s="632">
        <f>I350</f>
        <v>259.2</v>
      </c>
      <c r="J388" s="632">
        <f>J350</f>
        <v>259.2</v>
      </c>
      <c r="K388" s="351"/>
      <c r="L388" s="351"/>
      <c r="M388" s="351"/>
      <c r="N388" s="351"/>
      <c r="O388" s="351"/>
      <c r="P388" s="351"/>
      <c r="Q388" s="351"/>
      <c r="R388" s="351"/>
      <c r="S388" s="351"/>
      <c r="T388" s="351"/>
      <c r="U388" s="351"/>
      <c r="V388" s="351"/>
      <c r="W388" s="351"/>
      <c r="X388" s="351"/>
      <c r="Y388" s="351"/>
    </row>
    <row r="389" spans="1:25">
      <c r="A389" s="446"/>
      <c r="B389" s="517" t="s">
        <v>328</v>
      </c>
      <c r="C389" s="705">
        <f>C387</f>
        <v>0.05</v>
      </c>
      <c r="D389" s="706"/>
      <c r="E389" s="706"/>
      <c r="F389" s="632">
        <f>F361+(F361-F352)*$C389</f>
        <v>190.05707274999997</v>
      </c>
      <c r="G389" s="632">
        <f>G361+(G361-G352)*$C389</f>
        <v>202.89227846068536</v>
      </c>
      <c r="H389" s="632">
        <f>H361+(H361-H352)*$C389</f>
        <v>203.71110129167704</v>
      </c>
      <c r="I389" s="632">
        <f>I361+(I361-I352)*$C389</f>
        <v>204.22847291874999</v>
      </c>
      <c r="J389" s="632">
        <f>J361+(J361-J352)*$C389</f>
        <v>204.77283747187499</v>
      </c>
      <c r="K389" s="351"/>
      <c r="L389" s="351"/>
      <c r="M389" s="351"/>
      <c r="N389" s="351"/>
      <c r="O389" s="351"/>
      <c r="P389" s="351"/>
      <c r="Q389" s="351"/>
      <c r="R389" s="351"/>
      <c r="S389" s="351"/>
      <c r="T389" s="351"/>
      <c r="U389" s="351"/>
      <c r="V389" s="351"/>
      <c r="W389" s="351"/>
      <c r="X389" s="351"/>
      <c r="Y389" s="351"/>
    </row>
    <row r="390" spans="1:25">
      <c r="A390" s="446"/>
      <c r="B390" s="517" t="s">
        <v>323</v>
      </c>
      <c r="C390" s="716"/>
      <c r="D390" s="717"/>
      <c r="E390" s="717"/>
      <c r="F390" s="622">
        <f>F388-F389</f>
        <v>54.742927250000008</v>
      </c>
      <c r="G390" s="622">
        <f>G388-G389</f>
        <v>56.307721539314628</v>
      </c>
      <c r="H390" s="622">
        <f>H388-H389</f>
        <v>55.488898708322949</v>
      </c>
      <c r="I390" s="622">
        <f>I388-I389</f>
        <v>54.971527081250002</v>
      </c>
      <c r="J390" s="622">
        <f>J388-J389</f>
        <v>54.427162528124995</v>
      </c>
      <c r="K390" s="351"/>
      <c r="L390" s="351"/>
      <c r="M390" s="351"/>
      <c r="N390" s="351"/>
      <c r="O390" s="351"/>
      <c r="P390" s="351"/>
      <c r="Q390" s="351"/>
      <c r="R390" s="351"/>
      <c r="S390" s="351"/>
      <c r="T390" s="351"/>
      <c r="U390" s="351"/>
      <c r="V390" s="351"/>
      <c r="W390" s="351"/>
      <c r="X390" s="351"/>
      <c r="Y390" s="351"/>
    </row>
    <row r="391" spans="1:25" ht="15">
      <c r="A391" s="446"/>
      <c r="B391" s="517" t="s">
        <v>617</v>
      </c>
      <c r="C391" s="700">
        <f>C389</f>
        <v>0.05</v>
      </c>
      <c r="D391" s="523"/>
      <c r="E391" s="523"/>
      <c r="F391" s="521">
        <f>IF(F390&gt;0,F388*F364/F390,0)</f>
        <v>118.67374778191092</v>
      </c>
      <c r="G391" s="521">
        <f>IF(G390&gt;0,G388*G364/G390,0)</f>
        <v>123.8447147246256</v>
      </c>
      <c r="H391" s="521">
        <f>IF(H390&gt;0,H388*H364/H390,0)</f>
        <v>123.22351972854014</v>
      </c>
      <c r="I391" s="521">
        <f>IF(I390&gt;0,I388*I364/I390,0)</f>
        <v>122.02736783030005</v>
      </c>
      <c r="J391" s="521">
        <f>IF(J390&gt;0,J388*J364/J390,0)</f>
        <v>121.05992182418453</v>
      </c>
      <c r="K391" s="351"/>
      <c r="L391" s="351"/>
      <c r="M391" s="351"/>
      <c r="N391" s="351"/>
      <c r="O391" s="351"/>
      <c r="P391" s="351"/>
      <c r="Q391" s="351"/>
      <c r="R391" s="351"/>
      <c r="S391" s="351"/>
      <c r="T391" s="351"/>
      <c r="U391" s="351"/>
      <c r="V391" s="351"/>
      <c r="W391" s="351"/>
      <c r="X391" s="351"/>
      <c r="Y391" s="351"/>
    </row>
    <row r="392" spans="1:25">
      <c r="A392" s="442"/>
      <c r="B392" s="518" t="s">
        <v>618</v>
      </c>
      <c r="C392" s="671"/>
      <c r="D392" s="520"/>
      <c r="E392" s="520"/>
      <c r="F392" s="522">
        <f>IF(F388&gt;0,F391/F388,0)</f>
        <v>0.48477838146205443</v>
      </c>
      <c r="G392" s="522">
        <f>IF(G388&gt;0,G391/G388,0)</f>
        <v>0.47779596730179635</v>
      </c>
      <c r="H392" s="522">
        <f>IF(H388&gt;0,H391/H388,0)</f>
        <v>0.47539938166875056</v>
      </c>
      <c r="I392" s="522">
        <f>IF(I388&gt;0,I391/I388,0)</f>
        <v>0.47078459811072554</v>
      </c>
      <c r="J392" s="522">
        <f>IF(J388&gt;0,J391/J388,0)</f>
        <v>0.46705216753157613</v>
      </c>
      <c r="K392" s="351"/>
      <c r="L392" s="351"/>
      <c r="M392" s="351"/>
      <c r="N392" s="351"/>
      <c r="O392" s="351"/>
      <c r="P392" s="351"/>
      <c r="Q392" s="351"/>
      <c r="R392" s="351"/>
      <c r="S392" s="351"/>
      <c r="T392" s="351"/>
      <c r="U392" s="351"/>
      <c r="V392" s="351"/>
      <c r="W392" s="351"/>
      <c r="X392" s="351"/>
      <c r="Y392" s="351"/>
    </row>
    <row r="393" spans="1:25">
      <c r="A393" s="356"/>
      <c r="B393" s="357"/>
      <c r="C393" s="357"/>
      <c r="D393" s="358"/>
      <c r="E393" s="358"/>
      <c r="F393" s="358"/>
      <c r="G393" s="358"/>
      <c r="H393" s="351"/>
      <c r="I393" s="351"/>
      <c r="J393" s="351"/>
      <c r="K393" s="351"/>
      <c r="L393" s="351"/>
      <c r="M393" s="351"/>
      <c r="N393" s="351"/>
      <c r="O393" s="351"/>
      <c r="P393" s="351"/>
      <c r="Q393" s="351"/>
      <c r="R393" s="351"/>
      <c r="S393" s="351"/>
      <c r="T393" s="351"/>
      <c r="U393" s="351"/>
      <c r="V393" s="351"/>
      <c r="W393" s="351"/>
      <c r="X393" s="351"/>
      <c r="Y393" s="351"/>
    </row>
    <row r="394" spans="1:25">
      <c r="A394" s="356"/>
      <c r="B394" s="357"/>
      <c r="C394" s="357"/>
      <c r="D394" s="358"/>
      <c r="E394" s="358"/>
      <c r="F394" s="358"/>
      <c r="G394" s="358"/>
      <c r="H394" s="351"/>
      <c r="I394" s="351"/>
      <c r="J394" s="351"/>
      <c r="K394" s="351"/>
      <c r="L394" s="351"/>
      <c r="M394" s="351"/>
      <c r="N394" s="351"/>
      <c r="O394" s="351"/>
      <c r="P394" s="351"/>
      <c r="Q394" s="351"/>
      <c r="R394" s="351"/>
      <c r="S394" s="351"/>
      <c r="T394" s="351"/>
      <c r="U394" s="351"/>
      <c r="V394" s="351"/>
      <c r="W394" s="351"/>
      <c r="X394" s="351"/>
      <c r="Y394" s="351"/>
    </row>
    <row r="395" spans="1:25">
      <c r="A395" s="356"/>
      <c r="B395" s="357"/>
      <c r="C395" s="357"/>
      <c r="D395" s="358"/>
      <c r="E395" s="358"/>
      <c r="F395" s="358"/>
      <c r="G395" s="358"/>
      <c r="H395" s="351"/>
      <c r="I395" s="351"/>
      <c r="J395" s="351"/>
      <c r="K395" s="351"/>
      <c r="L395" s="351"/>
      <c r="M395" s="351"/>
      <c r="N395" s="351"/>
      <c r="O395" s="351"/>
      <c r="P395" s="351"/>
      <c r="Q395" s="351"/>
      <c r="R395" s="351"/>
      <c r="S395" s="351"/>
      <c r="T395" s="351"/>
      <c r="U395" s="351"/>
      <c r="V395" s="351"/>
      <c r="W395" s="351"/>
      <c r="X395" s="351"/>
      <c r="Y395" s="351"/>
    </row>
    <row r="396" spans="1:25">
      <c r="A396" s="356"/>
      <c r="B396" s="357"/>
      <c r="C396" s="357"/>
      <c r="D396" s="358"/>
      <c r="E396" s="358"/>
      <c r="F396" s="358"/>
      <c r="G396" s="358"/>
      <c r="H396" s="351"/>
      <c r="I396" s="351"/>
      <c r="J396" s="351"/>
      <c r="K396" s="351"/>
      <c r="L396" s="351"/>
      <c r="M396" s="351"/>
      <c r="N396" s="351"/>
      <c r="O396" s="351"/>
      <c r="P396" s="351"/>
      <c r="Q396" s="351"/>
      <c r="R396" s="351"/>
      <c r="S396" s="351"/>
      <c r="T396" s="351"/>
      <c r="U396" s="351"/>
      <c r="V396" s="351"/>
      <c r="W396" s="351"/>
      <c r="X396" s="351"/>
      <c r="Y396" s="351"/>
    </row>
    <row r="397" spans="1:25">
      <c r="A397" s="356"/>
      <c r="B397" s="357"/>
      <c r="C397" s="357"/>
      <c r="D397" s="358"/>
      <c r="E397" s="358"/>
      <c r="F397" s="358"/>
      <c r="G397" s="358"/>
      <c r="H397" s="351"/>
      <c r="I397" s="351"/>
      <c r="J397" s="351"/>
      <c r="K397" s="351"/>
      <c r="L397" s="351"/>
      <c r="M397" s="351"/>
      <c r="N397" s="351"/>
      <c r="O397" s="351"/>
      <c r="P397" s="351"/>
      <c r="Q397" s="351"/>
      <c r="R397" s="351"/>
      <c r="S397" s="351"/>
      <c r="T397" s="351"/>
      <c r="U397" s="351"/>
      <c r="V397" s="351"/>
      <c r="W397" s="351"/>
      <c r="X397" s="351"/>
      <c r="Y397" s="351"/>
    </row>
    <row r="398" spans="1:25">
      <c r="A398" s="356"/>
      <c r="B398" s="357"/>
      <c r="C398" s="357"/>
      <c r="D398" s="358"/>
      <c r="E398" s="358"/>
      <c r="F398" s="358"/>
      <c r="G398" s="358"/>
      <c r="H398" s="351"/>
      <c r="I398" s="351"/>
      <c r="J398" s="351"/>
      <c r="K398" s="351"/>
      <c r="L398" s="351"/>
      <c r="M398" s="351"/>
      <c r="N398" s="351"/>
      <c r="O398" s="351"/>
      <c r="P398" s="351"/>
      <c r="Q398" s="351"/>
      <c r="R398" s="351"/>
      <c r="S398" s="351"/>
      <c r="T398" s="351"/>
      <c r="U398" s="351"/>
      <c r="V398" s="351"/>
      <c r="W398" s="351"/>
      <c r="X398" s="351"/>
      <c r="Y398" s="351"/>
    </row>
    <row r="399" spans="1:25">
      <c r="A399" s="356"/>
      <c r="B399" s="357"/>
      <c r="C399" s="357"/>
      <c r="D399" s="358"/>
      <c r="E399" s="358"/>
      <c r="F399" s="358"/>
      <c r="G399" s="358"/>
      <c r="H399" s="351"/>
      <c r="I399" s="351"/>
      <c r="J399" s="351"/>
      <c r="K399" s="351"/>
      <c r="L399" s="351"/>
      <c r="M399" s="351"/>
      <c r="N399" s="351"/>
      <c r="O399" s="351"/>
      <c r="P399" s="351"/>
      <c r="Q399" s="351"/>
      <c r="R399" s="351"/>
      <c r="S399" s="351"/>
      <c r="T399" s="351"/>
      <c r="U399" s="351"/>
      <c r="V399" s="351"/>
      <c r="W399" s="351"/>
      <c r="X399" s="351"/>
      <c r="Y399" s="351"/>
    </row>
    <row r="400" spans="1:25">
      <c r="A400" s="356"/>
      <c r="B400" s="357"/>
      <c r="C400" s="357"/>
      <c r="D400" s="358"/>
      <c r="E400" s="358"/>
      <c r="F400" s="358"/>
      <c r="G400" s="358"/>
      <c r="H400" s="351"/>
      <c r="I400" s="351"/>
      <c r="J400" s="351"/>
      <c r="K400" s="351"/>
      <c r="L400" s="351"/>
      <c r="M400" s="351"/>
      <c r="N400" s="351"/>
      <c r="O400" s="351"/>
      <c r="P400" s="351"/>
      <c r="Q400" s="351"/>
      <c r="R400" s="351"/>
      <c r="S400" s="351"/>
      <c r="T400" s="351"/>
      <c r="U400" s="351"/>
      <c r="V400" s="351"/>
      <c r="W400" s="351"/>
      <c r="X400" s="351"/>
      <c r="Y400" s="351"/>
    </row>
    <row r="401" spans="1:25">
      <c r="A401" s="356"/>
      <c r="B401" s="357"/>
      <c r="C401" s="357"/>
      <c r="D401" s="358"/>
      <c r="E401" s="358"/>
      <c r="F401" s="358"/>
      <c r="G401" s="358"/>
      <c r="H401" s="351"/>
      <c r="I401" s="351"/>
      <c r="J401" s="351"/>
      <c r="K401" s="351"/>
      <c r="L401" s="351"/>
      <c r="M401" s="351"/>
      <c r="N401" s="351"/>
      <c r="O401" s="351"/>
      <c r="P401" s="351"/>
      <c r="Q401" s="351"/>
      <c r="R401" s="351"/>
      <c r="S401" s="351"/>
      <c r="T401" s="351"/>
      <c r="U401" s="351"/>
      <c r="V401" s="351"/>
      <c r="W401" s="351"/>
      <c r="X401" s="351"/>
      <c r="Y401" s="351"/>
    </row>
    <row r="402" spans="1:25">
      <c r="A402" s="356"/>
      <c r="B402" s="357"/>
      <c r="C402" s="357"/>
      <c r="D402" s="358"/>
      <c r="E402" s="358"/>
      <c r="F402" s="358"/>
      <c r="G402" s="358"/>
      <c r="H402" s="351"/>
      <c r="I402" s="351"/>
      <c r="J402" s="351"/>
      <c r="K402" s="351"/>
      <c r="L402" s="351"/>
      <c r="M402" s="351"/>
      <c r="N402" s="351"/>
      <c r="O402" s="351"/>
      <c r="P402" s="351"/>
      <c r="Q402" s="351"/>
      <c r="R402" s="351"/>
      <c r="S402" s="351"/>
      <c r="T402" s="351"/>
      <c r="U402" s="351"/>
      <c r="V402" s="351"/>
      <c r="W402" s="351"/>
      <c r="X402" s="351"/>
      <c r="Y402" s="351"/>
    </row>
    <row r="403" spans="1:25">
      <c r="A403" s="356"/>
      <c r="B403" s="357"/>
      <c r="C403" s="357"/>
      <c r="D403" s="358"/>
      <c r="E403" s="358"/>
      <c r="F403" s="358"/>
      <c r="G403" s="358"/>
      <c r="H403" s="351"/>
      <c r="I403" s="351"/>
      <c r="J403" s="351"/>
      <c r="K403" s="351"/>
      <c r="L403" s="351"/>
      <c r="M403" s="351"/>
      <c r="N403" s="351"/>
      <c r="O403" s="351"/>
      <c r="P403" s="351"/>
      <c r="Q403" s="351"/>
      <c r="R403" s="351"/>
      <c r="S403" s="351"/>
      <c r="T403" s="351"/>
      <c r="U403" s="351"/>
      <c r="V403" s="351"/>
      <c r="W403" s="351"/>
      <c r="X403" s="351"/>
      <c r="Y403" s="351"/>
    </row>
    <row r="404" spans="1:25">
      <c r="A404" s="356"/>
      <c r="B404" s="357"/>
      <c r="C404" s="357"/>
      <c r="D404" s="358"/>
      <c r="E404" s="358"/>
      <c r="F404" s="358"/>
      <c r="G404" s="358"/>
      <c r="H404" s="351"/>
      <c r="I404" s="351"/>
      <c r="J404" s="351"/>
      <c r="K404" s="351"/>
      <c r="L404" s="351"/>
      <c r="M404" s="351"/>
      <c r="N404" s="351"/>
      <c r="O404" s="351"/>
      <c r="P404" s="351"/>
      <c r="Q404" s="351"/>
      <c r="R404" s="351"/>
      <c r="S404" s="351"/>
      <c r="T404" s="351"/>
      <c r="U404" s="351"/>
      <c r="V404" s="351"/>
      <c r="W404" s="351"/>
      <c r="X404" s="351"/>
      <c r="Y404" s="351"/>
    </row>
    <row r="405" spans="1:25">
      <c r="A405" s="356"/>
      <c r="B405" s="357"/>
      <c r="C405" s="357"/>
      <c r="D405" s="358"/>
      <c r="E405" s="358"/>
      <c r="F405" s="358"/>
      <c r="G405" s="358"/>
      <c r="H405" s="351"/>
      <c r="I405" s="351"/>
      <c r="J405" s="351"/>
      <c r="K405" s="351"/>
      <c r="L405" s="351"/>
      <c r="M405" s="351"/>
      <c r="N405" s="351"/>
      <c r="O405" s="351"/>
      <c r="P405" s="351"/>
      <c r="Q405" s="351"/>
      <c r="R405" s="351"/>
      <c r="S405" s="351"/>
      <c r="T405" s="351"/>
      <c r="U405" s="351"/>
      <c r="V405" s="351"/>
      <c r="W405" s="351"/>
      <c r="X405" s="351"/>
      <c r="Y405" s="351"/>
    </row>
    <row r="406" spans="1:25">
      <c r="A406" s="356"/>
      <c r="B406" s="357"/>
      <c r="C406" s="357"/>
      <c r="D406" s="358"/>
      <c r="E406" s="358"/>
      <c r="F406" s="358"/>
      <c r="G406" s="358"/>
      <c r="H406" s="351"/>
      <c r="I406" s="351"/>
      <c r="J406" s="351"/>
      <c r="K406" s="351"/>
      <c r="L406" s="351"/>
      <c r="M406" s="351"/>
      <c r="N406" s="351"/>
      <c r="O406" s="351"/>
      <c r="P406" s="351"/>
      <c r="Q406" s="351"/>
      <c r="R406" s="351"/>
      <c r="S406" s="351"/>
      <c r="T406" s="351"/>
      <c r="U406" s="351"/>
      <c r="V406" s="351"/>
      <c r="W406" s="351"/>
      <c r="X406" s="351"/>
      <c r="Y406" s="351"/>
    </row>
    <row r="407" spans="1:25">
      <c r="A407" s="356"/>
      <c r="B407" s="357"/>
      <c r="C407" s="357"/>
      <c r="D407" s="358"/>
      <c r="E407" s="358"/>
      <c r="F407" s="358"/>
      <c r="G407" s="358"/>
      <c r="H407" s="351"/>
      <c r="I407" s="351"/>
      <c r="J407" s="351"/>
      <c r="K407" s="351"/>
      <c r="L407" s="351"/>
      <c r="M407" s="351"/>
      <c r="N407" s="351"/>
      <c r="O407" s="351"/>
      <c r="P407" s="351"/>
      <c r="Q407" s="351"/>
      <c r="R407" s="351"/>
      <c r="S407" s="351"/>
      <c r="T407" s="351"/>
      <c r="U407" s="351"/>
      <c r="V407" s="351"/>
      <c r="W407" s="351"/>
      <c r="X407" s="351"/>
      <c r="Y407" s="351"/>
    </row>
    <row r="408" spans="1:25">
      <c r="A408" s="356"/>
      <c r="B408" s="357"/>
      <c r="C408" s="357"/>
      <c r="D408" s="358"/>
      <c r="E408" s="358"/>
      <c r="F408" s="358"/>
      <c r="G408" s="358"/>
      <c r="H408" s="351"/>
      <c r="I408" s="351"/>
      <c r="J408" s="351"/>
      <c r="K408" s="351"/>
      <c r="L408" s="351"/>
      <c r="M408" s="351"/>
      <c r="N408" s="351"/>
      <c r="O408" s="351"/>
      <c r="P408" s="351"/>
      <c r="Q408" s="351"/>
      <c r="R408" s="351"/>
      <c r="S408" s="351"/>
      <c r="T408" s="351"/>
      <c r="U408" s="351"/>
      <c r="V408" s="351"/>
      <c r="W408" s="351"/>
      <c r="X408" s="351"/>
      <c r="Y408" s="351"/>
    </row>
    <row r="409" spans="1:25">
      <c r="A409" s="356"/>
      <c r="B409" s="357"/>
      <c r="C409" s="357"/>
      <c r="D409" s="358"/>
      <c r="E409" s="358"/>
      <c r="F409" s="358"/>
      <c r="G409" s="358"/>
      <c r="H409" s="351"/>
      <c r="I409" s="351"/>
      <c r="J409" s="351"/>
      <c r="K409" s="351"/>
      <c r="L409" s="351"/>
      <c r="M409" s="351"/>
      <c r="N409" s="351"/>
      <c r="O409" s="351"/>
      <c r="P409" s="351"/>
      <c r="Q409" s="351"/>
      <c r="R409" s="351"/>
      <c r="S409" s="351"/>
      <c r="T409" s="351"/>
      <c r="U409" s="351"/>
      <c r="V409" s="351"/>
      <c r="W409" s="351"/>
      <c r="X409" s="351"/>
      <c r="Y409" s="351"/>
    </row>
    <row r="410" spans="1:25">
      <c r="A410" s="356"/>
      <c r="B410" s="357"/>
      <c r="C410" s="357"/>
      <c r="D410" s="358"/>
      <c r="E410" s="358"/>
      <c r="F410" s="358"/>
      <c r="G410" s="358"/>
      <c r="H410" s="351"/>
      <c r="I410" s="351"/>
      <c r="J410" s="351"/>
      <c r="K410" s="351"/>
      <c r="L410" s="351"/>
      <c r="M410" s="351"/>
      <c r="N410" s="351"/>
      <c r="O410" s="351"/>
      <c r="P410" s="351"/>
      <c r="Q410" s="351"/>
      <c r="R410" s="351"/>
      <c r="S410" s="351"/>
      <c r="T410" s="351"/>
      <c r="U410" s="351"/>
      <c r="V410" s="351"/>
      <c r="W410" s="351"/>
      <c r="X410" s="351"/>
      <c r="Y410" s="351"/>
    </row>
    <row r="411" spans="1:25">
      <c r="A411" s="356"/>
      <c r="B411" s="357"/>
      <c r="C411" s="357"/>
      <c r="D411" s="358"/>
      <c r="E411" s="358"/>
      <c r="F411" s="358"/>
      <c r="G411" s="358"/>
      <c r="H411" s="351"/>
      <c r="I411" s="351"/>
      <c r="J411" s="351"/>
      <c r="K411" s="351"/>
      <c r="L411" s="351"/>
      <c r="M411" s="351"/>
      <c r="N411" s="351"/>
      <c r="O411" s="351"/>
      <c r="P411" s="351"/>
      <c r="Q411" s="351"/>
      <c r="R411" s="351"/>
      <c r="S411" s="351"/>
      <c r="T411" s="351"/>
      <c r="U411" s="351"/>
      <c r="V411" s="351"/>
      <c r="W411" s="351"/>
      <c r="X411" s="351"/>
      <c r="Y411" s="351"/>
    </row>
    <row r="412" spans="1:25">
      <c r="A412" s="356"/>
      <c r="B412" s="357"/>
      <c r="C412" s="357"/>
      <c r="D412" s="358"/>
      <c r="E412" s="358"/>
      <c r="F412" s="358"/>
      <c r="G412" s="358"/>
      <c r="H412" s="351"/>
      <c r="I412" s="351"/>
      <c r="J412" s="351"/>
      <c r="K412" s="351"/>
      <c r="L412" s="351"/>
      <c r="M412" s="351"/>
      <c r="N412" s="351"/>
      <c r="O412" s="351"/>
      <c r="P412" s="351"/>
      <c r="Q412" s="351"/>
      <c r="R412" s="351"/>
      <c r="S412" s="351"/>
      <c r="T412" s="351"/>
      <c r="U412" s="351"/>
      <c r="V412" s="351"/>
      <c r="W412" s="351"/>
      <c r="X412" s="351"/>
      <c r="Y412" s="351"/>
    </row>
    <row r="413" spans="1:25" ht="15">
      <c r="A413" s="911" t="s">
        <v>619</v>
      </c>
      <c r="B413" s="911"/>
      <c r="C413" s="911"/>
      <c r="D413" s="911"/>
      <c r="E413" s="911"/>
      <c r="F413" s="911"/>
      <c r="G413" s="911"/>
      <c r="H413" s="911"/>
      <c r="I413" s="911"/>
      <c r="J413" s="911"/>
      <c r="K413" s="351"/>
      <c r="L413" s="351"/>
      <c r="M413" s="351"/>
      <c r="N413" s="351"/>
      <c r="O413" s="351"/>
      <c r="P413" s="351"/>
      <c r="Q413" s="351"/>
      <c r="R413" s="351"/>
      <c r="S413" s="351"/>
      <c r="T413" s="351"/>
      <c r="U413" s="351"/>
      <c r="V413" s="351"/>
      <c r="W413" s="351"/>
      <c r="X413" s="351"/>
      <c r="Y413" s="351"/>
    </row>
    <row r="414" spans="1:25" ht="15">
      <c r="A414" s="356"/>
      <c r="B414" s="367"/>
      <c r="C414" s="527"/>
      <c r="D414" s="358"/>
      <c r="E414" s="358"/>
      <c r="F414" s="358"/>
      <c r="G414" s="358"/>
      <c r="H414" s="351"/>
      <c r="I414" s="351"/>
      <c r="J414" s="351"/>
      <c r="K414" s="351"/>
      <c r="L414" s="351"/>
      <c r="M414" s="351"/>
      <c r="N414" s="351"/>
      <c r="O414" s="351"/>
      <c r="P414" s="351"/>
      <c r="Q414" s="351"/>
      <c r="R414" s="351"/>
      <c r="S414" s="351"/>
      <c r="T414" s="351"/>
      <c r="U414" s="351"/>
      <c r="V414" s="351"/>
      <c r="W414" s="351"/>
      <c r="X414" s="351"/>
      <c r="Y414" s="351"/>
    </row>
    <row r="415" spans="1:25" ht="15">
      <c r="A415" s="356"/>
      <c r="B415" s="367" t="e">
        <f>B5</f>
        <v>#REF!</v>
      </c>
      <c r="C415" s="357"/>
      <c r="D415" s="358"/>
      <c r="E415" s="358"/>
      <c r="F415" s="358"/>
      <c r="G415" s="358"/>
      <c r="H415" s="351"/>
      <c r="I415" s="351"/>
      <c r="J415" s="351"/>
      <c r="K415" s="351"/>
      <c r="L415" s="351"/>
      <c r="M415" s="351"/>
      <c r="N415" s="351"/>
      <c r="O415" s="351"/>
      <c r="P415" s="351"/>
      <c r="Q415" s="351"/>
      <c r="R415" s="351"/>
      <c r="S415" s="351"/>
      <c r="T415" s="351"/>
      <c r="U415" s="351"/>
      <c r="V415" s="351"/>
      <c r="W415" s="351"/>
      <c r="X415" s="351"/>
      <c r="Y415" s="351"/>
    </row>
    <row r="416" spans="1:25" ht="15.75" thickBot="1">
      <c r="A416" s="528"/>
      <c r="B416" s="529"/>
      <c r="C416" s="359"/>
      <c r="D416" s="360"/>
      <c r="E416" s="361"/>
      <c r="F416" s="530" t="s">
        <v>271</v>
      </c>
      <c r="G416" s="530" t="s">
        <v>271</v>
      </c>
      <c r="H416" s="530" t="s">
        <v>271</v>
      </c>
      <c r="I416" s="530" t="s">
        <v>271</v>
      </c>
      <c r="J416" s="530" t="s">
        <v>271</v>
      </c>
      <c r="K416" s="351"/>
      <c r="L416" s="351"/>
      <c r="M416" s="351"/>
      <c r="N416" s="351"/>
      <c r="O416" s="351"/>
      <c r="P416" s="351"/>
      <c r="Q416" s="351"/>
      <c r="R416" s="351"/>
      <c r="S416" s="351"/>
      <c r="T416" s="351"/>
      <c r="U416" s="351"/>
      <c r="V416" s="351"/>
      <c r="W416" s="351"/>
      <c r="X416" s="351"/>
      <c r="Y416" s="351"/>
    </row>
    <row r="417" spans="1:25">
      <c r="A417" s="531"/>
      <c r="B417" s="357" t="s">
        <v>14</v>
      </c>
      <c r="C417" s="357"/>
      <c r="D417" s="532" t="e">
        <f>D7</f>
        <v>#REF!</v>
      </c>
      <c r="E417" s="357"/>
      <c r="F417" s="532" t="str">
        <f t="shared" ref="F417:J418" si="121">F7</f>
        <v>1st` year</v>
      </c>
      <c r="G417" s="532" t="str">
        <f t="shared" si="121"/>
        <v>2nd</v>
      </c>
      <c r="H417" s="532" t="str">
        <f t="shared" si="121"/>
        <v>3rd</v>
      </c>
      <c r="I417" s="532" t="str">
        <f t="shared" si="121"/>
        <v>4th</v>
      </c>
      <c r="J417" s="532" t="str">
        <f t="shared" si="121"/>
        <v>5th</v>
      </c>
      <c r="K417" s="351"/>
      <c r="L417" s="351"/>
      <c r="M417" s="351"/>
      <c r="N417" s="351"/>
      <c r="O417" s="351"/>
      <c r="P417" s="351"/>
      <c r="Q417" s="351"/>
      <c r="R417" s="351"/>
      <c r="S417" s="351"/>
      <c r="T417" s="351"/>
      <c r="U417" s="351"/>
      <c r="V417" s="351"/>
      <c r="W417" s="351"/>
      <c r="X417" s="351"/>
      <c r="Y417" s="351"/>
    </row>
    <row r="418" spans="1:25" ht="14.25" thickBot="1">
      <c r="A418" s="534"/>
      <c r="B418" s="535"/>
      <c r="C418" s="430"/>
      <c r="D418" s="431" t="e">
        <f>D8</f>
        <v>#REF!</v>
      </c>
      <c r="E418" s="430"/>
      <c r="F418" s="431" t="e">
        <f t="shared" si="121"/>
        <v>#REF!</v>
      </c>
      <c r="G418" s="431" t="e">
        <f t="shared" si="121"/>
        <v>#REF!</v>
      </c>
      <c r="H418" s="431" t="e">
        <f t="shared" si="121"/>
        <v>#REF!</v>
      </c>
      <c r="I418" s="431" t="e">
        <f t="shared" si="121"/>
        <v>#REF!</v>
      </c>
      <c r="J418" s="431" t="e">
        <f t="shared" si="121"/>
        <v>#REF!</v>
      </c>
      <c r="K418" s="351"/>
      <c r="L418" s="351"/>
      <c r="M418" s="351"/>
      <c r="N418" s="351"/>
      <c r="O418" s="351"/>
      <c r="P418" s="351"/>
      <c r="Q418" s="351"/>
      <c r="R418" s="351"/>
      <c r="S418" s="351"/>
      <c r="T418" s="351"/>
      <c r="U418" s="351"/>
      <c r="V418" s="351"/>
      <c r="W418" s="351"/>
      <c r="X418" s="351"/>
      <c r="Y418" s="351"/>
    </row>
    <row r="419" spans="1:25" ht="15">
      <c r="A419" s="448"/>
      <c r="B419" s="433" t="s">
        <v>620</v>
      </c>
      <c r="C419" s="368"/>
      <c r="D419" s="536"/>
      <c r="E419" s="536"/>
      <c r="F419" s="536"/>
      <c r="G419" s="536"/>
      <c r="H419" s="536"/>
      <c r="I419" s="536"/>
      <c r="J419" s="536"/>
      <c r="K419" s="351"/>
      <c r="L419" s="351"/>
      <c r="M419" s="351"/>
      <c r="N419" s="351"/>
      <c r="O419" s="351"/>
      <c r="P419" s="351"/>
      <c r="Q419" s="351"/>
      <c r="R419" s="351"/>
      <c r="S419" s="351"/>
      <c r="T419" s="351"/>
      <c r="U419" s="351"/>
      <c r="V419" s="351"/>
      <c r="W419" s="351"/>
      <c r="X419" s="351"/>
      <c r="Y419" s="351"/>
    </row>
    <row r="420" spans="1:25">
      <c r="A420" s="364">
        <v>1</v>
      </c>
      <c r="B420" s="424" t="s">
        <v>376</v>
      </c>
      <c r="C420" s="368"/>
      <c r="D420" s="381">
        <f>D16</f>
        <v>0</v>
      </c>
      <c r="E420" s="718" t="e">
        <f t="shared" ref="E420:J420" si="122">E16</f>
        <v>#REF!</v>
      </c>
      <c r="F420" s="718" t="e">
        <f t="shared" si="122"/>
        <v>#REF!</v>
      </c>
      <c r="G420" s="718">
        <f t="shared" si="122"/>
        <v>5.8823529411764733E-2</v>
      </c>
      <c r="H420" s="718">
        <f t="shared" si="122"/>
        <v>0</v>
      </c>
      <c r="I420" s="718">
        <f t="shared" si="122"/>
        <v>0</v>
      </c>
      <c r="J420" s="718">
        <f t="shared" si="122"/>
        <v>0</v>
      </c>
      <c r="K420" s="351"/>
      <c r="L420" s="351"/>
      <c r="M420" s="351"/>
      <c r="N420" s="351"/>
      <c r="O420" s="351"/>
      <c r="P420" s="351"/>
      <c r="Q420" s="351"/>
      <c r="R420" s="351"/>
      <c r="S420" s="351"/>
      <c r="T420" s="351"/>
      <c r="U420" s="351"/>
      <c r="V420" s="351"/>
      <c r="W420" s="351"/>
      <c r="X420" s="351"/>
      <c r="Y420" s="351"/>
    </row>
    <row r="421" spans="1:25">
      <c r="A421" s="364">
        <v>2</v>
      </c>
      <c r="B421" s="424" t="s">
        <v>621</v>
      </c>
      <c r="C421" s="368"/>
      <c r="D421" s="537" t="e">
        <f>IF(D15&gt;0,IF(D36&gt;0,D36/D15,0),0)</f>
        <v>#REF!</v>
      </c>
      <c r="E421" s="719" t="e">
        <f t="shared" ref="E421:J421" si="123">IF(E15&gt;0,IF(E36&gt;0,E36/E15,0),0)</f>
        <v>#REF!</v>
      </c>
      <c r="F421" s="720">
        <f t="shared" si="123"/>
        <v>0.21344822303921573</v>
      </c>
      <c r="G421" s="720">
        <f t="shared" si="123"/>
        <v>0.21347318671875012</v>
      </c>
      <c r="H421" s="720">
        <f t="shared" si="123"/>
        <v>0.21050347222222232</v>
      </c>
      <c r="I421" s="720">
        <f t="shared" si="123"/>
        <v>0.20839800347222229</v>
      </c>
      <c r="J421" s="720">
        <f t="shared" si="123"/>
        <v>0.20618726128472223</v>
      </c>
      <c r="K421" s="351"/>
      <c r="L421" s="351"/>
      <c r="M421" s="351"/>
      <c r="N421" s="351"/>
      <c r="O421" s="351"/>
      <c r="P421" s="351"/>
      <c r="Q421" s="351"/>
      <c r="R421" s="351"/>
      <c r="S421" s="351"/>
      <c r="T421" s="351"/>
      <c r="U421" s="351"/>
      <c r="V421" s="351"/>
      <c r="W421" s="351"/>
      <c r="X421" s="351"/>
      <c r="Y421" s="351"/>
    </row>
    <row r="422" spans="1:25">
      <c r="A422" s="364">
        <v>3</v>
      </c>
      <c r="B422" s="424" t="s">
        <v>622</v>
      </c>
      <c r="C422" s="368"/>
      <c r="D422" s="415" t="e">
        <f>D423</f>
        <v>#REF!</v>
      </c>
      <c r="E422" s="596" t="e">
        <f t="shared" ref="E422:J422" si="124">E423</f>
        <v>#REF!</v>
      </c>
      <c r="F422" s="596">
        <f t="shared" si="124"/>
        <v>0.15322763480392165</v>
      </c>
      <c r="G422" s="596">
        <f t="shared" si="124"/>
        <v>0.15423128857060195</v>
      </c>
      <c r="H422" s="596">
        <f t="shared" si="124"/>
        <v>0.151109664351852</v>
      </c>
      <c r="I422" s="596">
        <f t="shared" si="124"/>
        <v>0.14884469039351861</v>
      </c>
      <c r="J422" s="596">
        <f t="shared" si="124"/>
        <v>0.14646646773726854</v>
      </c>
      <c r="K422" s="351"/>
      <c r="L422" s="351"/>
      <c r="M422" s="351"/>
      <c r="N422" s="351"/>
      <c r="O422" s="351"/>
      <c r="P422" s="351"/>
      <c r="Q422" s="351"/>
      <c r="R422" s="351"/>
      <c r="S422" s="351"/>
      <c r="T422" s="351"/>
      <c r="U422" s="351"/>
      <c r="V422" s="351"/>
      <c r="W422" s="351"/>
      <c r="X422" s="351"/>
      <c r="Y422" s="351"/>
    </row>
    <row r="423" spans="1:25">
      <c r="A423" s="364">
        <v>4</v>
      </c>
      <c r="B423" s="424" t="s">
        <v>623</v>
      </c>
      <c r="C423" s="368"/>
      <c r="D423" s="415" t="e">
        <f>D66</f>
        <v>#REF!</v>
      </c>
      <c r="E423" s="596" t="e">
        <f>E66</f>
        <v>#REF!</v>
      </c>
      <c r="F423" s="596">
        <f>F65</f>
        <v>0.15322763480392165</v>
      </c>
      <c r="G423" s="596">
        <f>G65</f>
        <v>0.15423128857060195</v>
      </c>
      <c r="H423" s="596">
        <f>H65</f>
        <v>0.151109664351852</v>
      </c>
      <c r="I423" s="596">
        <f>I65</f>
        <v>0.14884469039351861</v>
      </c>
      <c r="J423" s="596">
        <f>J65</f>
        <v>0.14646646773726854</v>
      </c>
      <c r="K423" s="351"/>
      <c r="L423" s="351"/>
      <c r="M423" s="351"/>
      <c r="N423" s="351"/>
      <c r="O423" s="351"/>
      <c r="P423" s="351"/>
      <c r="Q423" s="351"/>
      <c r="R423" s="351"/>
      <c r="S423" s="351"/>
      <c r="T423" s="351"/>
      <c r="U423" s="351"/>
      <c r="V423" s="351"/>
      <c r="W423" s="351"/>
      <c r="X423" s="351"/>
      <c r="Y423" s="351"/>
    </row>
    <row r="424" spans="1:25">
      <c r="A424" s="364">
        <v>5</v>
      </c>
      <c r="B424" s="424" t="s">
        <v>422</v>
      </c>
      <c r="C424" s="368"/>
      <c r="D424" s="415" t="e">
        <f>D67</f>
        <v>#REF!</v>
      </c>
      <c r="E424" s="596" t="e">
        <f t="shared" ref="E424:J426" si="125">E67</f>
        <v>#REF!</v>
      </c>
      <c r="F424" s="596">
        <f t="shared" si="125"/>
        <v>0.11075827136948536</v>
      </c>
      <c r="G424" s="596">
        <f t="shared" si="125"/>
        <v>0.11539360616633117</v>
      </c>
      <c r="H424" s="596">
        <f t="shared" si="125"/>
        <v>0.11474329423064571</v>
      </c>
      <c r="I424" s="596">
        <f t="shared" si="125"/>
        <v>0.11477599523734897</v>
      </c>
      <c r="J424" s="596">
        <f t="shared" si="125"/>
        <v>0.11455879660935894</v>
      </c>
      <c r="K424" s="351"/>
      <c r="L424" s="351"/>
      <c r="M424" s="351"/>
      <c r="N424" s="351"/>
      <c r="O424" s="351"/>
      <c r="P424" s="351"/>
      <c r="Q424" s="351"/>
      <c r="R424" s="351"/>
      <c r="S424" s="351"/>
      <c r="T424" s="351"/>
      <c r="U424" s="351"/>
      <c r="V424" s="351"/>
      <c r="W424" s="351"/>
      <c r="X424" s="351"/>
      <c r="Y424" s="351"/>
    </row>
    <row r="425" spans="1:25">
      <c r="A425" s="364">
        <v>6</v>
      </c>
      <c r="B425" s="424" t="s">
        <v>423</v>
      </c>
      <c r="C425" s="368"/>
      <c r="D425" s="415" t="e">
        <f>D68</f>
        <v>#REF!</v>
      </c>
      <c r="E425" s="596" t="e">
        <f t="shared" si="125"/>
        <v>#REF!</v>
      </c>
      <c r="F425" s="596">
        <f t="shared" si="125"/>
        <v>8.9255162226516555E-2</v>
      </c>
      <c r="G425" s="596">
        <f t="shared" si="125"/>
        <v>9.2330243330744036E-2</v>
      </c>
      <c r="H425" s="596">
        <f t="shared" si="125"/>
        <v>9.1898826392610378E-2</v>
      </c>
      <c r="I425" s="596">
        <f t="shared" si="125"/>
        <v>9.1920520240457285E-2</v>
      </c>
      <c r="J425" s="596">
        <f t="shared" si="125"/>
        <v>9.1776430670648737E-2</v>
      </c>
      <c r="K425" s="351"/>
      <c r="L425" s="351"/>
      <c r="M425" s="351"/>
      <c r="N425" s="351"/>
      <c r="O425" s="351"/>
      <c r="P425" s="351"/>
      <c r="Q425" s="351"/>
      <c r="R425" s="351"/>
      <c r="S425" s="351"/>
      <c r="T425" s="351"/>
      <c r="U425" s="351"/>
      <c r="V425" s="351"/>
      <c r="W425" s="351"/>
      <c r="X425" s="351"/>
      <c r="Y425" s="351"/>
    </row>
    <row r="426" spans="1:25">
      <c r="A426" s="364">
        <v>7</v>
      </c>
      <c r="B426" s="424" t="s">
        <v>424</v>
      </c>
      <c r="C426" s="368"/>
      <c r="D426" s="415" t="e">
        <f>D69</f>
        <v>#REF!</v>
      </c>
      <c r="E426" s="596" t="e">
        <f t="shared" si="125"/>
        <v>#REF!</v>
      </c>
      <c r="F426" s="596">
        <f t="shared" si="125"/>
        <v>9.955540732455577E-2</v>
      </c>
      <c r="G426" s="596">
        <f t="shared" si="125"/>
        <v>0.1005990512011144</v>
      </c>
      <c r="H426" s="596">
        <f t="shared" si="125"/>
        <v>9.8927313082425181E-2</v>
      </c>
      <c r="I426" s="596">
        <f t="shared" si="125"/>
        <v>9.7894733926799871E-2</v>
      </c>
      <c r="J426" s="596">
        <f t="shared" si="125"/>
        <v>9.6854512304039936E-2</v>
      </c>
      <c r="K426" s="351"/>
      <c r="L426" s="351"/>
      <c r="M426" s="351"/>
      <c r="N426" s="351"/>
      <c r="O426" s="351"/>
      <c r="P426" s="351"/>
      <c r="Q426" s="351"/>
      <c r="R426" s="351"/>
      <c r="S426" s="351"/>
      <c r="T426" s="351"/>
      <c r="U426" s="351"/>
      <c r="V426" s="351"/>
      <c r="W426" s="351"/>
      <c r="X426" s="351"/>
      <c r="Y426" s="351"/>
    </row>
    <row r="427" spans="1:25">
      <c r="A427" s="364">
        <v>8</v>
      </c>
      <c r="B427" s="424" t="s">
        <v>624</v>
      </c>
      <c r="C427" s="368"/>
      <c r="D427" s="406" t="e">
        <f t="shared" ref="D427:J427" si="126">IF(D182&gt;0,D15/D182,0)</f>
        <v>#REF!</v>
      </c>
      <c r="E427" s="586" t="e">
        <f t="shared" si="126"/>
        <v>#REF!</v>
      </c>
      <c r="F427" s="586">
        <f t="shared" si="126"/>
        <v>13.322692802596535</v>
      </c>
      <c r="G427" s="586">
        <f t="shared" si="126"/>
        <v>8.5951155090759634</v>
      </c>
      <c r="H427" s="586">
        <f t="shared" si="126"/>
        <v>6.1969780353138644</v>
      </c>
      <c r="I427" s="586">
        <f t="shared" si="126"/>
        <v>4.8446209839846972</v>
      </c>
      <c r="J427" s="586">
        <f t="shared" si="126"/>
        <v>3.9790554152160182</v>
      </c>
      <c r="K427" s="351"/>
      <c r="L427" s="351"/>
      <c r="M427" s="351"/>
      <c r="N427" s="351"/>
      <c r="O427" s="351"/>
      <c r="P427" s="351"/>
      <c r="Q427" s="351"/>
      <c r="R427" s="351"/>
      <c r="S427" s="351"/>
      <c r="T427" s="351"/>
      <c r="U427" s="351"/>
      <c r="V427" s="351"/>
      <c r="W427" s="351"/>
      <c r="X427" s="351"/>
      <c r="Y427" s="351"/>
    </row>
    <row r="428" spans="1:25">
      <c r="A428" s="364">
        <v>9</v>
      </c>
      <c r="B428" s="424" t="s">
        <v>625</v>
      </c>
      <c r="C428" s="368"/>
      <c r="D428" s="406" t="e">
        <f t="shared" ref="D428:J428" si="127">IF((D180-D179)&gt;0,D15/(D180-D179),0)</f>
        <v>#REF!</v>
      </c>
      <c r="E428" s="586" t="e">
        <f t="shared" si="127"/>
        <v>#REF!</v>
      </c>
      <c r="F428" s="586" t="e">
        <f t="shared" si="127"/>
        <v>#REF!</v>
      </c>
      <c r="G428" s="586" t="e">
        <f t="shared" si="127"/>
        <v>#REF!</v>
      </c>
      <c r="H428" s="586" t="e">
        <f t="shared" si="127"/>
        <v>#REF!</v>
      </c>
      <c r="I428" s="586" t="e">
        <f t="shared" si="127"/>
        <v>#REF!</v>
      </c>
      <c r="J428" s="586" t="e">
        <f t="shared" si="127"/>
        <v>#REF!</v>
      </c>
      <c r="K428" s="351"/>
      <c r="L428" s="351"/>
      <c r="M428" s="351"/>
      <c r="N428" s="351"/>
      <c r="O428" s="351"/>
      <c r="P428" s="351"/>
      <c r="Q428" s="351"/>
      <c r="R428" s="351"/>
      <c r="S428" s="351"/>
      <c r="T428" s="351"/>
      <c r="U428" s="351"/>
      <c r="V428" s="351"/>
      <c r="W428" s="351"/>
      <c r="X428" s="351"/>
      <c r="Y428" s="351"/>
    </row>
    <row r="429" spans="1:25">
      <c r="A429" s="364">
        <v>10</v>
      </c>
      <c r="B429" s="908" t="s">
        <v>626</v>
      </c>
      <c r="C429" s="909"/>
      <c r="D429" s="539" t="e">
        <f>IF(D46&gt;0,D45/(D41+D26),0)</f>
        <v>#REF!</v>
      </c>
      <c r="E429" s="596" t="e">
        <f t="shared" ref="E429:J429" si="128">IF(E46&gt;0,E45/(E41+E26),0)</f>
        <v>#REF!</v>
      </c>
      <c r="F429" s="721">
        <f t="shared" si="128"/>
        <v>0.20994331980365291</v>
      </c>
      <c r="G429" s="721">
        <f t="shared" si="128"/>
        <v>0.19820151162069152</v>
      </c>
      <c r="H429" s="721">
        <f t="shared" si="128"/>
        <v>0.19414961681788626</v>
      </c>
      <c r="I429" s="721">
        <f t="shared" si="128"/>
        <v>0.18875031010881399</v>
      </c>
      <c r="J429" s="721">
        <f t="shared" si="128"/>
        <v>0.18317905735697335</v>
      </c>
      <c r="K429" s="351"/>
      <c r="L429" s="351"/>
      <c r="M429" s="351"/>
      <c r="N429" s="351"/>
      <c r="O429" s="351"/>
      <c r="P429" s="351"/>
      <c r="Q429" s="351"/>
      <c r="R429" s="351"/>
      <c r="S429" s="351"/>
      <c r="T429" s="351"/>
      <c r="U429" s="351"/>
      <c r="V429" s="351"/>
      <c r="W429" s="351"/>
      <c r="X429" s="351"/>
      <c r="Y429" s="351"/>
    </row>
    <row r="430" spans="1:25" ht="15" customHeight="1">
      <c r="A430" s="364">
        <v>11</v>
      </c>
      <c r="B430" s="424" t="s">
        <v>627</v>
      </c>
      <c r="C430" s="368"/>
      <c r="D430" s="414" t="e">
        <f>IF(D45&gt;0,(D57+D54+D45+D26)/D45,0)</f>
        <v>#REF!</v>
      </c>
      <c r="E430" s="586" t="e">
        <f t="shared" ref="E430:J430" si="129">IF(E45&gt;0,(E57+E54+E45+E26)/E45,0)</f>
        <v>#REF!</v>
      </c>
      <c r="F430" s="593">
        <f t="shared" si="129"/>
        <v>4.7631903741221135</v>
      </c>
      <c r="G430" s="593">
        <f t="shared" si="129"/>
        <v>5.0453701983552559</v>
      </c>
      <c r="H430" s="593">
        <f t="shared" si="129"/>
        <v>5.1506668742900859</v>
      </c>
      <c r="I430" s="593">
        <f t="shared" si="129"/>
        <v>5.2980045406203731</v>
      </c>
      <c r="J430" s="593">
        <f t="shared" si="129"/>
        <v>5.4591393493811511</v>
      </c>
      <c r="K430" s="351"/>
      <c r="L430" s="351"/>
      <c r="M430" s="351"/>
      <c r="N430" s="351"/>
      <c r="O430" s="351"/>
      <c r="P430" s="351"/>
      <c r="Q430" s="351"/>
      <c r="R430" s="351"/>
      <c r="S430" s="351"/>
      <c r="T430" s="351"/>
      <c r="U430" s="351"/>
      <c r="V430" s="351"/>
      <c r="W430" s="351"/>
      <c r="X430" s="351"/>
      <c r="Y430" s="351"/>
    </row>
    <row r="431" spans="1:25">
      <c r="A431" s="364">
        <v>12</v>
      </c>
      <c r="B431" s="424" t="s">
        <v>628</v>
      </c>
      <c r="C431" s="368"/>
      <c r="D431" s="406" t="e">
        <f t="shared" ref="D431:J431" si="130">IF(D182&gt;0,D107/D182,0)</f>
        <v>#REF!</v>
      </c>
      <c r="E431" s="586" t="e">
        <f t="shared" si="130"/>
        <v>#REF!</v>
      </c>
      <c r="F431" s="586">
        <f t="shared" si="130"/>
        <v>0.97886598711234596</v>
      </c>
      <c r="G431" s="586">
        <f t="shared" si="130"/>
        <v>0.38015921772588729</v>
      </c>
      <c r="H431" s="586">
        <f t="shared" si="130"/>
        <v>0.11816177125720023</v>
      </c>
      <c r="I431" s="586">
        <f t="shared" si="130"/>
        <v>-2.9525024232385975E-2</v>
      </c>
      <c r="J431" s="586">
        <f t="shared" si="130"/>
        <v>-4.5132804478144495E-2</v>
      </c>
      <c r="K431" s="351"/>
      <c r="L431" s="351"/>
      <c r="M431" s="351"/>
      <c r="N431" s="351"/>
      <c r="O431" s="351"/>
      <c r="P431" s="351"/>
      <c r="Q431" s="351"/>
      <c r="R431" s="351"/>
      <c r="S431" s="351"/>
      <c r="T431" s="351"/>
      <c r="U431" s="351"/>
      <c r="V431" s="351"/>
      <c r="W431" s="351"/>
      <c r="X431" s="351"/>
      <c r="Y431" s="351"/>
    </row>
    <row r="432" spans="1:25">
      <c r="A432" s="364" t="s">
        <v>629</v>
      </c>
      <c r="B432" s="424" t="s">
        <v>630</v>
      </c>
      <c r="C432" s="368"/>
      <c r="D432" s="406"/>
      <c r="E432" s="586"/>
      <c r="F432" s="586" t="e">
        <f>#REF!/#REF!</f>
        <v>#REF!</v>
      </c>
      <c r="G432" s="586" t="e">
        <f>#REF!/#REF!</f>
        <v>#REF!</v>
      </c>
      <c r="H432" s="586" t="e">
        <f>#REF!/#REF!</f>
        <v>#REF!</v>
      </c>
      <c r="I432" s="586" t="e">
        <f>#REF!/#REF!</f>
        <v>#REF!</v>
      </c>
      <c r="J432" s="586" t="e">
        <f>#REF!/#REF!</f>
        <v>#REF!</v>
      </c>
      <c r="K432" s="351"/>
      <c r="L432" s="351"/>
      <c r="M432" s="351"/>
      <c r="N432" s="351"/>
      <c r="O432" s="351"/>
      <c r="P432" s="351"/>
      <c r="Q432" s="351"/>
      <c r="R432" s="351"/>
      <c r="S432" s="351"/>
      <c r="T432" s="351"/>
      <c r="U432" s="351"/>
      <c r="V432" s="351"/>
      <c r="W432" s="351"/>
      <c r="X432" s="351"/>
      <c r="Y432" s="351"/>
    </row>
    <row r="433" spans="1:25" ht="15">
      <c r="A433" s="364">
        <v>13</v>
      </c>
      <c r="B433" s="433" t="s">
        <v>506</v>
      </c>
      <c r="C433" s="368"/>
      <c r="D433" s="406" t="e">
        <f t="shared" ref="D433:J433" si="131">IF(D182&gt;0,D108/D182,0)</f>
        <v>#REF!</v>
      </c>
      <c r="E433" s="586" t="e">
        <f t="shared" si="131"/>
        <v>#REF!</v>
      </c>
      <c r="F433" s="586" t="e">
        <f t="shared" si="131"/>
        <v>#REF!</v>
      </c>
      <c r="G433" s="586" t="e">
        <f t="shared" si="131"/>
        <v>#REF!</v>
      </c>
      <c r="H433" s="586" t="e">
        <f t="shared" si="131"/>
        <v>#REF!</v>
      </c>
      <c r="I433" s="586" t="e">
        <f t="shared" si="131"/>
        <v>#REF!</v>
      </c>
      <c r="J433" s="586" t="e">
        <f t="shared" si="131"/>
        <v>#REF!</v>
      </c>
      <c r="K433" s="351"/>
      <c r="L433" s="351"/>
      <c r="M433" s="351"/>
      <c r="N433" s="351"/>
      <c r="O433" s="351"/>
      <c r="P433" s="351"/>
      <c r="Q433" s="351"/>
      <c r="R433" s="351"/>
      <c r="S433" s="351"/>
      <c r="T433" s="351"/>
      <c r="U433" s="351"/>
      <c r="V433" s="351"/>
      <c r="W433" s="351"/>
      <c r="X433" s="351"/>
      <c r="Y433" s="351"/>
    </row>
    <row r="434" spans="1:25" ht="15">
      <c r="A434" s="364">
        <v>14</v>
      </c>
      <c r="B434" s="433" t="s">
        <v>631</v>
      </c>
      <c r="C434" s="368"/>
      <c r="D434" s="406" t="e">
        <f t="shared" ref="D434:J434" si="132">IF(D99&gt;0,D160/D99,0)</f>
        <v>#REF!</v>
      </c>
      <c r="E434" s="586" t="e">
        <f t="shared" si="132"/>
        <v>#REF!</v>
      </c>
      <c r="F434" s="586" t="e">
        <f t="shared" si="132"/>
        <v>#REF!</v>
      </c>
      <c r="G434" s="586" t="e">
        <f t="shared" si="132"/>
        <v>#REF!</v>
      </c>
      <c r="H434" s="586" t="e">
        <f t="shared" si="132"/>
        <v>#REF!</v>
      </c>
      <c r="I434" s="586" t="e">
        <f t="shared" si="132"/>
        <v>#REF!</v>
      </c>
      <c r="J434" s="586" t="e">
        <f t="shared" si="132"/>
        <v>#REF!</v>
      </c>
      <c r="K434" s="533"/>
      <c r="L434" s="533"/>
      <c r="M434" s="351"/>
      <c r="N434" s="351"/>
      <c r="O434" s="351"/>
      <c r="P434" s="351"/>
      <c r="Q434" s="351"/>
      <c r="R434" s="351"/>
      <c r="S434" s="351"/>
      <c r="T434" s="351"/>
      <c r="U434" s="351"/>
      <c r="V434" s="351"/>
      <c r="W434" s="351"/>
      <c r="X434" s="351"/>
      <c r="Y434" s="351"/>
    </row>
    <row r="435" spans="1:25">
      <c r="A435" s="364">
        <v>15</v>
      </c>
      <c r="B435" s="910" t="s">
        <v>632</v>
      </c>
      <c r="C435" s="909"/>
      <c r="D435" s="406" t="e">
        <f t="shared" ref="D435:J435" si="133">IF(D99&gt;0,D160/(D99-D96),0)</f>
        <v>#REF!</v>
      </c>
      <c r="E435" s="586" t="e">
        <f t="shared" si="133"/>
        <v>#REF!</v>
      </c>
      <c r="F435" s="586" t="e">
        <f t="shared" si="133"/>
        <v>#REF!</v>
      </c>
      <c r="G435" s="586" t="e">
        <f t="shared" si="133"/>
        <v>#REF!</v>
      </c>
      <c r="H435" s="586" t="e">
        <f t="shared" si="133"/>
        <v>#REF!</v>
      </c>
      <c r="I435" s="586" t="e">
        <f t="shared" si="133"/>
        <v>#REF!</v>
      </c>
      <c r="J435" s="586" t="e">
        <f t="shared" si="133"/>
        <v>#REF!</v>
      </c>
      <c r="K435" s="432"/>
      <c r="L435" s="432"/>
      <c r="M435" s="351"/>
      <c r="N435" s="351"/>
      <c r="O435" s="351"/>
      <c r="P435" s="351"/>
      <c r="Q435" s="351"/>
      <c r="R435" s="351"/>
      <c r="S435" s="351"/>
      <c r="T435" s="351"/>
      <c r="U435" s="351"/>
      <c r="V435" s="351"/>
      <c r="W435" s="351"/>
      <c r="X435" s="351"/>
      <c r="Y435" s="351"/>
    </row>
    <row r="436" spans="1:25">
      <c r="A436" s="364">
        <v>16</v>
      </c>
      <c r="B436" s="424" t="s">
        <v>633</v>
      </c>
      <c r="C436" s="368"/>
      <c r="D436" s="539" t="e">
        <f>IF((D180-D179)&gt;0,D160/(D180-D179),0)</f>
        <v>#REF!</v>
      </c>
      <c r="E436" s="596" t="e">
        <f t="shared" ref="E436:J436" si="134">IF((E180-E179)&gt;0,E160/(E180-E179),0)</f>
        <v>#REF!</v>
      </c>
      <c r="F436" s="721" t="e">
        <f t="shared" si="134"/>
        <v>#REF!</v>
      </c>
      <c r="G436" s="721" t="e">
        <f t="shared" si="134"/>
        <v>#REF!</v>
      </c>
      <c r="H436" s="721" t="e">
        <f t="shared" si="134"/>
        <v>#REF!</v>
      </c>
      <c r="I436" s="721" t="e">
        <f t="shared" si="134"/>
        <v>#REF!</v>
      </c>
      <c r="J436" s="721" t="e">
        <f t="shared" si="134"/>
        <v>#REF!</v>
      </c>
      <c r="K436" s="358"/>
      <c r="L436" s="358"/>
      <c r="M436" s="351"/>
      <c r="N436" s="351"/>
      <c r="O436" s="351"/>
      <c r="P436" s="351"/>
      <c r="Q436" s="351"/>
      <c r="R436" s="351"/>
      <c r="S436" s="351"/>
      <c r="T436" s="351"/>
      <c r="U436" s="351"/>
      <c r="V436" s="351"/>
      <c r="W436" s="351"/>
      <c r="X436" s="351"/>
      <c r="Y436" s="351"/>
    </row>
    <row r="437" spans="1:25">
      <c r="A437" s="364">
        <v>17</v>
      </c>
      <c r="B437" s="910" t="s">
        <v>509</v>
      </c>
      <c r="C437" s="909"/>
      <c r="D437" s="540" t="e">
        <f t="shared" ref="D437:J437" si="135">IF(D15&gt;0,SUM(D148:D156)/D15*365,0)</f>
        <v>#REF!</v>
      </c>
      <c r="E437" s="638" t="e">
        <f t="shared" si="135"/>
        <v>#REF!</v>
      </c>
      <c r="F437" s="638">
        <f t="shared" si="135"/>
        <v>110.32823166870915</v>
      </c>
      <c r="G437" s="638">
        <f t="shared" si="135"/>
        <v>110.27983310857525</v>
      </c>
      <c r="H437" s="638">
        <f t="shared" si="135"/>
        <v>110.40674406828704</v>
      </c>
      <c r="I437" s="638">
        <f t="shared" si="135"/>
        <v>110.48719386332948</v>
      </c>
      <c r="J437" s="638">
        <f t="shared" si="135"/>
        <v>110.48719386332948</v>
      </c>
      <c r="K437" s="382"/>
      <c r="L437" s="382"/>
      <c r="M437" s="351"/>
      <c r="N437" s="351"/>
      <c r="O437" s="351"/>
      <c r="P437" s="351"/>
      <c r="Q437" s="351"/>
      <c r="R437" s="351"/>
      <c r="S437" s="351"/>
      <c r="T437" s="351"/>
      <c r="U437" s="351"/>
      <c r="V437" s="351"/>
      <c r="W437" s="351"/>
      <c r="X437" s="351"/>
      <c r="Y437" s="351"/>
    </row>
    <row r="438" spans="1:25">
      <c r="A438" s="364">
        <v>18</v>
      </c>
      <c r="B438" s="910" t="s">
        <v>634</v>
      </c>
      <c r="C438" s="909"/>
      <c r="D438" s="541" t="e">
        <f t="shared" ref="D438:J438" si="136">IF(D160&gt;0,D87/D160,0)</f>
        <v>#REF!</v>
      </c>
      <c r="E438" s="640" t="e">
        <f t="shared" si="136"/>
        <v>#REF!</v>
      </c>
      <c r="F438" s="640" t="e">
        <f t="shared" si="136"/>
        <v>#REF!</v>
      </c>
      <c r="G438" s="640" t="e">
        <f t="shared" si="136"/>
        <v>#REF!</v>
      </c>
      <c r="H438" s="640" t="e">
        <f t="shared" si="136"/>
        <v>#REF!</v>
      </c>
      <c r="I438" s="640" t="e">
        <f t="shared" si="136"/>
        <v>#REF!</v>
      </c>
      <c r="J438" s="640" t="e">
        <f t="shared" si="136"/>
        <v>#REF!</v>
      </c>
      <c r="K438" s="538"/>
      <c r="L438" s="538"/>
      <c r="M438" s="351"/>
      <c r="N438" s="351"/>
      <c r="O438" s="351"/>
      <c r="P438" s="351"/>
      <c r="Q438" s="351"/>
      <c r="R438" s="351"/>
      <c r="S438" s="351"/>
      <c r="T438" s="351"/>
      <c r="U438" s="351"/>
      <c r="V438" s="351"/>
      <c r="W438" s="351"/>
      <c r="X438" s="351"/>
      <c r="Y438" s="351"/>
    </row>
    <row r="439" spans="1:25">
      <c r="A439" s="364">
        <v>19</v>
      </c>
      <c r="B439" s="910" t="s">
        <v>635</v>
      </c>
      <c r="C439" s="909"/>
      <c r="D439" s="541" t="e">
        <f>IF((D15+(D30-D28)+(D34-D32))&gt;0,SUM(D18:D21)/(D15+(D30-D28)+(D34-D32)),0)</f>
        <v>#REF!</v>
      </c>
      <c r="E439" s="640" t="e">
        <f t="shared" ref="E439:J439" si="137">IF((E15+(E30-E28)+(E34-E32))&gt;0,SUM(E18:E21)/(E15+(E30-E28)+(E34-E32)),0)</f>
        <v>#REF!</v>
      </c>
      <c r="F439" s="640">
        <f t="shared" si="137"/>
        <v>0.76609332131862962</v>
      </c>
      <c r="G439" s="640">
        <f t="shared" si="137"/>
        <v>0.73632641426568257</v>
      </c>
      <c r="H439" s="640">
        <f t="shared" si="137"/>
        <v>0.73446732604516829</v>
      </c>
      <c r="I439" s="640">
        <f t="shared" si="137"/>
        <v>0.73443353361038677</v>
      </c>
      <c r="J439" s="640">
        <f t="shared" si="137"/>
        <v>0.73437499999999989</v>
      </c>
      <c r="K439" s="416"/>
      <c r="L439" s="416"/>
      <c r="M439" s="351"/>
      <c r="N439" s="351"/>
      <c r="O439" s="351"/>
      <c r="P439" s="351"/>
      <c r="Q439" s="351"/>
      <c r="R439" s="351"/>
      <c r="S439" s="351"/>
      <c r="T439" s="351"/>
      <c r="U439" s="351"/>
      <c r="V439" s="351"/>
      <c r="W439" s="351"/>
      <c r="X439" s="351"/>
      <c r="Y439" s="351"/>
    </row>
    <row r="440" spans="1:25">
      <c r="A440" s="364">
        <v>20</v>
      </c>
      <c r="B440" s="908" t="s">
        <v>636</v>
      </c>
      <c r="C440" s="914"/>
      <c r="D440" s="454" t="e">
        <f>D197</f>
        <v>#REF!</v>
      </c>
      <c r="E440" s="632" t="e">
        <f t="shared" ref="E440:J440" si="138">E197</f>
        <v>#REF!</v>
      </c>
      <c r="F440" s="633" t="e">
        <f t="shared" si="138"/>
        <v>#REF!</v>
      </c>
      <c r="G440" s="633" t="e">
        <f t="shared" si="138"/>
        <v>#REF!</v>
      </c>
      <c r="H440" s="633" t="e">
        <f t="shared" si="138"/>
        <v>#REF!</v>
      </c>
      <c r="I440" s="633" t="e">
        <f t="shared" si="138"/>
        <v>#REF!</v>
      </c>
      <c r="J440" s="633" t="e">
        <f t="shared" si="138"/>
        <v>#REF!</v>
      </c>
      <c r="K440" s="416"/>
      <c r="L440" s="416"/>
      <c r="M440" s="351"/>
      <c r="N440" s="351"/>
      <c r="O440" s="351"/>
      <c r="P440" s="351"/>
      <c r="Q440" s="351"/>
      <c r="R440" s="351"/>
      <c r="S440" s="351"/>
      <c r="T440" s="351"/>
      <c r="U440" s="351"/>
      <c r="V440" s="351"/>
      <c r="W440" s="351"/>
      <c r="X440" s="351"/>
      <c r="Y440" s="351"/>
    </row>
    <row r="441" spans="1:25">
      <c r="A441" s="364"/>
      <c r="B441" s="435"/>
      <c r="C441" s="380"/>
      <c r="D441" s="542"/>
      <c r="E441" s="640"/>
      <c r="F441" s="640"/>
      <c r="G441" s="640"/>
      <c r="H441" s="640"/>
      <c r="I441" s="640"/>
      <c r="J441" s="640"/>
      <c r="K441" s="416"/>
      <c r="L441" s="416"/>
      <c r="M441" s="351"/>
      <c r="N441" s="351"/>
      <c r="O441" s="351"/>
      <c r="P441" s="351"/>
      <c r="Q441" s="351"/>
      <c r="R441" s="351"/>
      <c r="S441" s="351"/>
      <c r="T441" s="351"/>
      <c r="U441" s="351"/>
      <c r="V441" s="351"/>
      <c r="W441" s="351"/>
      <c r="X441" s="351"/>
      <c r="Y441" s="351"/>
    </row>
    <row r="442" spans="1:25" ht="15">
      <c r="A442" s="364">
        <v>21</v>
      </c>
      <c r="B442" s="433" t="s">
        <v>637</v>
      </c>
      <c r="C442" s="357"/>
      <c r="D442" s="519"/>
      <c r="E442" s="697"/>
      <c r="F442" s="697"/>
      <c r="G442" s="697"/>
      <c r="H442" s="697"/>
      <c r="I442" s="697"/>
      <c r="J442" s="697"/>
      <c r="K442" s="416"/>
      <c r="L442" s="416"/>
      <c r="M442" s="351"/>
      <c r="N442" s="351"/>
      <c r="O442" s="351"/>
      <c r="P442" s="351"/>
      <c r="Q442" s="351"/>
      <c r="R442" s="351"/>
      <c r="S442" s="351"/>
      <c r="T442" s="351"/>
      <c r="U442" s="351"/>
      <c r="V442" s="351"/>
      <c r="W442" s="351"/>
      <c r="X442" s="351"/>
      <c r="Y442" s="351"/>
    </row>
    <row r="443" spans="1:25">
      <c r="A443" s="543"/>
      <c r="B443" s="424" t="s">
        <v>415</v>
      </c>
      <c r="C443" s="368"/>
      <c r="D443" s="409" t="e">
        <f>D60</f>
        <v>#REF!</v>
      </c>
      <c r="E443" s="586" t="e">
        <f t="shared" ref="E443:J443" si="139">E60</f>
        <v>#REF!</v>
      </c>
      <c r="F443" s="586">
        <f t="shared" si="139"/>
        <v>24.371163713051249</v>
      </c>
      <c r="G443" s="586">
        <f t="shared" si="139"/>
        <v>26.075274071328852</v>
      </c>
      <c r="H443" s="586">
        <f t="shared" si="139"/>
        <v>25.641959550964607</v>
      </c>
      <c r="I443" s="586">
        <f t="shared" si="139"/>
        <v>25.374315033826527</v>
      </c>
      <c r="J443" s="586">
        <f t="shared" si="139"/>
        <v>25.104689589207151</v>
      </c>
      <c r="K443" s="416"/>
      <c r="L443" s="416"/>
      <c r="M443" s="351"/>
      <c r="N443" s="351"/>
      <c r="O443" s="351"/>
      <c r="P443" s="351"/>
      <c r="Q443" s="351"/>
      <c r="R443" s="351"/>
      <c r="S443" s="351"/>
      <c r="T443" s="351"/>
      <c r="U443" s="351"/>
      <c r="V443" s="351"/>
      <c r="W443" s="351"/>
      <c r="X443" s="351"/>
      <c r="Y443" s="351"/>
    </row>
    <row r="444" spans="1:25">
      <c r="A444" s="543"/>
      <c r="B444" s="424" t="s">
        <v>638</v>
      </c>
      <c r="C444" s="368"/>
      <c r="D444" s="406" t="e">
        <f>D43+D44+D42</f>
        <v>#REF!</v>
      </c>
      <c r="E444" s="586" t="e">
        <f>E43+E44+E42</f>
        <v>#REF!</v>
      </c>
      <c r="F444" s="586">
        <f>F43+F44</f>
        <v>1.5368437500000003</v>
      </c>
      <c r="G444" s="586">
        <f>G43+G44</f>
        <v>1.2158141666666684</v>
      </c>
      <c r="H444" s="586">
        <f>H43+H44</f>
        <v>0.88795416666666849</v>
      </c>
      <c r="I444" s="586">
        <f>I43+I44</f>
        <v>0.56009416666666811</v>
      </c>
      <c r="J444" s="586">
        <f>J43+J44</f>
        <v>0.23223416666666799</v>
      </c>
      <c r="K444" s="392"/>
      <c r="L444" s="392"/>
      <c r="M444" s="351"/>
      <c r="N444" s="351"/>
      <c r="O444" s="351"/>
      <c r="P444" s="351"/>
      <c r="Q444" s="351"/>
      <c r="R444" s="351"/>
      <c r="S444" s="351"/>
      <c r="T444" s="351"/>
      <c r="U444" s="351"/>
      <c r="V444" s="351"/>
      <c r="W444" s="351"/>
      <c r="X444" s="351"/>
      <c r="Y444" s="351"/>
    </row>
    <row r="445" spans="1:25">
      <c r="A445" s="543"/>
      <c r="B445" s="424" t="s">
        <v>639</v>
      </c>
      <c r="C445" s="368"/>
      <c r="D445" s="407">
        <f t="shared" ref="D445:J445" si="140">IF(N217&gt;0,N217,0)</f>
        <v>0</v>
      </c>
      <c r="E445" s="582">
        <f t="shared" si="140"/>
        <v>0</v>
      </c>
      <c r="F445" s="582">
        <f t="shared" si="140"/>
        <v>2.1016666666666666</v>
      </c>
      <c r="G445" s="582">
        <f t="shared" si="140"/>
        <v>2.5220000000000002</v>
      </c>
      <c r="H445" s="582">
        <f t="shared" si="140"/>
        <v>2.5220000000000002</v>
      </c>
      <c r="I445" s="582">
        <f t="shared" si="140"/>
        <v>2.5220000000000002</v>
      </c>
      <c r="J445" s="582">
        <f t="shared" si="140"/>
        <v>2.5220000000000002</v>
      </c>
      <c r="K445" s="392"/>
      <c r="L445" s="392"/>
      <c r="M445" s="351"/>
      <c r="N445" s="351"/>
      <c r="O445" s="351"/>
      <c r="P445" s="351"/>
      <c r="Q445" s="351"/>
      <c r="R445" s="351"/>
      <c r="S445" s="351"/>
      <c r="T445" s="351"/>
      <c r="U445" s="351"/>
      <c r="V445" s="351"/>
      <c r="W445" s="351"/>
      <c r="X445" s="351"/>
      <c r="Y445" s="351"/>
    </row>
    <row r="446" spans="1:25">
      <c r="A446" s="543"/>
      <c r="B446" s="910" t="s">
        <v>640</v>
      </c>
      <c r="C446" s="909"/>
      <c r="D446" s="544">
        <v>0</v>
      </c>
      <c r="E446" s="586">
        <v>0</v>
      </c>
      <c r="F446" s="586">
        <v>0</v>
      </c>
      <c r="G446" s="586">
        <v>0</v>
      </c>
      <c r="H446" s="586">
        <v>0</v>
      </c>
      <c r="I446" s="586">
        <v>0</v>
      </c>
      <c r="J446" s="586">
        <v>0</v>
      </c>
      <c r="K446" s="416"/>
      <c r="L446" s="416"/>
      <c r="M446" s="351"/>
      <c r="N446" s="351"/>
      <c r="O446" s="351"/>
      <c r="P446" s="351"/>
      <c r="Q446" s="351"/>
      <c r="R446" s="351"/>
      <c r="S446" s="351"/>
      <c r="T446" s="351"/>
      <c r="U446" s="351"/>
      <c r="V446" s="351"/>
      <c r="W446" s="351"/>
      <c r="X446" s="351"/>
      <c r="Y446" s="351"/>
    </row>
    <row r="447" spans="1:25">
      <c r="A447" s="543"/>
      <c r="B447" s="424" t="s">
        <v>641</v>
      </c>
      <c r="C447" s="368"/>
      <c r="D447" s="545" t="e">
        <f>SUM(D444:D446)</f>
        <v>#REF!</v>
      </c>
      <c r="E447" s="582" t="e">
        <f t="shared" ref="E447:J447" si="141">SUM(E444:E446)</f>
        <v>#REF!</v>
      </c>
      <c r="F447" s="582">
        <f t="shared" si="141"/>
        <v>3.6385104166666666</v>
      </c>
      <c r="G447" s="582">
        <f t="shared" si="141"/>
        <v>3.7378141666666687</v>
      </c>
      <c r="H447" s="582">
        <f t="shared" si="141"/>
        <v>3.4099541666666688</v>
      </c>
      <c r="I447" s="582">
        <f t="shared" si="141"/>
        <v>3.0820941666666686</v>
      </c>
      <c r="J447" s="582">
        <f t="shared" si="141"/>
        <v>2.7542341666666683</v>
      </c>
      <c r="K447" s="392"/>
      <c r="L447" s="392"/>
      <c r="M447" s="351"/>
      <c r="N447" s="351"/>
      <c r="O447" s="351"/>
      <c r="P447" s="351"/>
      <c r="Q447" s="351"/>
      <c r="R447" s="351"/>
      <c r="S447" s="351"/>
      <c r="T447" s="351"/>
      <c r="U447" s="351"/>
      <c r="V447" s="351"/>
      <c r="W447" s="351"/>
      <c r="X447" s="351"/>
      <c r="Y447" s="351"/>
    </row>
    <row r="448" spans="1:25">
      <c r="A448" s="543"/>
      <c r="B448" s="424"/>
      <c r="C448" s="368"/>
      <c r="D448" s="544"/>
      <c r="E448" s="586"/>
      <c r="F448" s="586"/>
      <c r="G448" s="586"/>
      <c r="H448" s="586"/>
      <c r="I448" s="586"/>
      <c r="J448" s="586"/>
      <c r="K448" s="392"/>
      <c r="L448" s="392"/>
      <c r="M448" s="351"/>
      <c r="N448" s="351"/>
      <c r="O448" s="351"/>
      <c r="P448" s="351"/>
      <c r="Q448" s="351"/>
      <c r="R448" s="351"/>
      <c r="S448" s="351"/>
      <c r="T448" s="351"/>
      <c r="U448" s="351"/>
      <c r="V448" s="351"/>
      <c r="W448" s="351"/>
      <c r="X448" s="351"/>
      <c r="Y448" s="351"/>
    </row>
    <row r="449" spans="1:25" ht="15">
      <c r="A449" s="543"/>
      <c r="B449" s="910" t="s">
        <v>642</v>
      </c>
      <c r="C449" s="909"/>
      <c r="D449" s="546" t="e">
        <f>IF(D443&gt;0,IF((D445+D446)&gt;0,(D443)/(D445+D446),0),0)</f>
        <v>#REF!</v>
      </c>
      <c r="E449" s="722" t="e">
        <f t="shared" ref="E449:J449" si="142">IF(E443&gt;0,IF((E445+E446)&gt;0,(E443)/(E445+E446),0),0)</f>
        <v>#REF!</v>
      </c>
      <c r="F449" s="722">
        <f t="shared" si="142"/>
        <v>11.596112789715107</v>
      </c>
      <c r="G449" s="722">
        <f t="shared" si="142"/>
        <v>10.339125325665682</v>
      </c>
      <c r="H449" s="722">
        <f t="shared" si="142"/>
        <v>10.16731147936741</v>
      </c>
      <c r="I449" s="722">
        <f t="shared" si="142"/>
        <v>10.061187562976418</v>
      </c>
      <c r="J449" s="722">
        <f t="shared" si="142"/>
        <v>9.9542781876317008</v>
      </c>
      <c r="K449" s="392"/>
      <c r="L449" s="392"/>
      <c r="M449" s="351"/>
      <c r="N449" s="351"/>
      <c r="O449" s="351"/>
      <c r="P449" s="351"/>
      <c r="Q449" s="351"/>
      <c r="R449" s="351"/>
      <c r="S449" s="351"/>
      <c r="T449" s="351"/>
      <c r="U449" s="351"/>
      <c r="V449" s="351"/>
      <c r="W449" s="351"/>
      <c r="X449" s="351"/>
      <c r="Y449" s="351"/>
    </row>
    <row r="450" spans="1:25" ht="15">
      <c r="A450" s="543"/>
      <c r="B450" s="910" t="s">
        <v>643</v>
      </c>
      <c r="C450" s="909"/>
      <c r="D450" s="521" t="e">
        <f>IF(D443&gt;0,IF((D444+D445+D446)&gt;0,(D443+D444)/(D444+D445+D446),0),0)</f>
        <v>#REF!</v>
      </c>
      <c r="E450" s="722" t="e">
        <f t="shared" ref="E450:J450" si="143">IF(E443&gt;0,IF((E444+E445+E446)&gt;0,(E443+E444)/(E444+E445+E446),0),0)</f>
        <v>#REF!</v>
      </c>
      <c r="F450" s="722">
        <f t="shared" si="143"/>
        <v>7.1204983622903137</v>
      </c>
      <c r="G450" s="722">
        <f t="shared" si="143"/>
        <v>7.3013496715202777</v>
      </c>
      <c r="H450" s="722">
        <f t="shared" si="143"/>
        <v>7.7801379200251981</v>
      </c>
      <c r="I450" s="722">
        <f t="shared" si="143"/>
        <v>8.4145414766939624</v>
      </c>
      <c r="J450" s="722">
        <f t="shared" si="143"/>
        <v>9.1992627433483669</v>
      </c>
      <c r="K450" s="392"/>
      <c r="L450" s="392"/>
      <c r="M450" s="351"/>
      <c r="N450" s="351"/>
      <c r="O450" s="351"/>
      <c r="P450" s="351"/>
      <c r="Q450" s="351"/>
      <c r="R450" s="351"/>
      <c r="S450" s="351"/>
      <c r="T450" s="351"/>
      <c r="U450" s="351"/>
      <c r="V450" s="351"/>
      <c r="W450" s="351"/>
      <c r="X450" s="351"/>
      <c r="Y450" s="351"/>
    </row>
    <row r="451" spans="1:25">
      <c r="A451" s="448"/>
      <c r="B451" s="424"/>
      <c r="C451" s="368"/>
      <c r="D451" s="548"/>
      <c r="E451" s="697"/>
      <c r="F451" s="697"/>
      <c r="G451" s="697"/>
      <c r="H451" s="697"/>
      <c r="I451" s="697"/>
      <c r="J451" s="697"/>
      <c r="K451" s="392"/>
      <c r="L451" s="392"/>
      <c r="M451" s="351"/>
      <c r="N451" s="351"/>
      <c r="O451" s="351"/>
      <c r="P451" s="351"/>
      <c r="Q451" s="351"/>
      <c r="R451" s="351"/>
      <c r="S451" s="351"/>
      <c r="T451" s="351"/>
      <c r="U451" s="351"/>
      <c r="V451" s="351"/>
      <c r="W451" s="351"/>
      <c r="X451" s="351"/>
      <c r="Y451" s="351"/>
    </row>
    <row r="452" spans="1:25" ht="15">
      <c r="A452" s="448">
        <v>22</v>
      </c>
      <c r="B452" s="433" t="s">
        <v>644</v>
      </c>
      <c r="C452" s="368"/>
      <c r="D452" s="548"/>
      <c r="E452" s="697"/>
      <c r="F452" s="697"/>
      <c r="G452" s="697"/>
      <c r="H452" s="697"/>
      <c r="I452" s="697"/>
      <c r="J452" s="697"/>
      <c r="K452" s="392"/>
      <c r="L452" s="392"/>
      <c r="M452" s="351"/>
      <c r="N452" s="351"/>
      <c r="O452" s="351"/>
      <c r="P452" s="351"/>
      <c r="Q452" s="351"/>
      <c r="R452" s="351"/>
      <c r="S452" s="351"/>
      <c r="T452" s="351"/>
      <c r="U452" s="351"/>
      <c r="V452" s="351"/>
      <c r="W452" s="351"/>
      <c r="X452" s="351"/>
      <c r="Y452" s="351"/>
    </row>
    <row r="453" spans="1:25">
      <c r="A453" s="448"/>
      <c r="B453" s="424" t="s">
        <v>253</v>
      </c>
      <c r="C453" s="368"/>
      <c r="D453" s="406" t="e">
        <f t="shared" ref="D453:J453" si="144">IF(N221&gt;0,N221,D165)</f>
        <v>#REF!</v>
      </c>
      <c r="E453" s="586" t="e">
        <f t="shared" si="144"/>
        <v>#REF!</v>
      </c>
      <c r="F453" s="586">
        <f t="shared" si="144"/>
        <v>14.288500000000003</v>
      </c>
      <c r="G453" s="586">
        <f t="shared" si="144"/>
        <v>12.145225000000003</v>
      </c>
      <c r="H453" s="586">
        <f t="shared" si="144"/>
        <v>10.323441250000004</v>
      </c>
      <c r="I453" s="586">
        <f t="shared" si="144"/>
        <v>8.774925062500003</v>
      </c>
      <c r="J453" s="586">
        <f t="shared" si="144"/>
        <v>7.4586863031250026</v>
      </c>
      <c r="K453" s="416"/>
      <c r="L453" s="416"/>
      <c r="M453" s="351"/>
      <c r="N453" s="351"/>
      <c r="O453" s="351"/>
      <c r="P453" s="351"/>
      <c r="Q453" s="351"/>
      <c r="R453" s="351"/>
      <c r="S453" s="351"/>
      <c r="T453" s="351"/>
      <c r="U453" s="351"/>
      <c r="V453" s="351"/>
      <c r="W453" s="351"/>
      <c r="X453" s="351"/>
      <c r="Y453" s="351"/>
    </row>
    <row r="454" spans="1:25">
      <c r="A454" s="448"/>
      <c r="B454" s="910" t="s">
        <v>645</v>
      </c>
      <c r="C454" s="909"/>
      <c r="D454" s="406" t="e">
        <f>D102+D103+D96</f>
        <v>#REF!</v>
      </c>
      <c r="E454" s="586">
        <f t="shared" ref="E454:J454" si="145">E102+E103+E96</f>
        <v>0</v>
      </c>
      <c r="F454" s="586">
        <f t="shared" si="145"/>
        <v>10.50833333333334</v>
      </c>
      <c r="G454" s="586">
        <f t="shared" si="145"/>
        <v>7.9863333333333477</v>
      </c>
      <c r="H454" s="586">
        <f t="shared" si="145"/>
        <v>5.4643333333333457</v>
      </c>
      <c r="I454" s="586">
        <f t="shared" si="145"/>
        <v>2.9423333333333437</v>
      </c>
      <c r="J454" s="586">
        <f t="shared" si="145"/>
        <v>0.42033333333334338</v>
      </c>
      <c r="K454" s="496"/>
      <c r="L454" s="496"/>
      <c r="M454" s="351"/>
      <c r="N454" s="351"/>
      <c r="O454" s="351"/>
      <c r="P454" s="351"/>
      <c r="Q454" s="351"/>
      <c r="R454" s="351"/>
      <c r="S454" s="351"/>
      <c r="T454" s="351"/>
      <c r="U454" s="351"/>
      <c r="V454" s="351"/>
      <c r="W454" s="351"/>
      <c r="X454" s="351"/>
      <c r="Y454" s="351"/>
    </row>
    <row r="455" spans="1:25">
      <c r="A455" s="448"/>
      <c r="B455" s="910" t="s">
        <v>646</v>
      </c>
      <c r="C455" s="909"/>
      <c r="D455" s="381" t="e">
        <f>IF(D454&gt;0,(D453-D454)/D453,0)</f>
        <v>#REF!</v>
      </c>
      <c r="E455" s="580">
        <f t="shared" ref="E455:J455" si="146">IF(E454&gt;0,(E453-E454)/E453,0)</f>
        <v>0</v>
      </c>
      <c r="F455" s="580">
        <f t="shared" si="146"/>
        <v>0.26456007745156329</v>
      </c>
      <c r="G455" s="580">
        <f t="shared" si="146"/>
        <v>0.34243018689786764</v>
      </c>
      <c r="H455" s="580">
        <f t="shared" si="146"/>
        <v>0.47068683775060532</v>
      </c>
      <c r="I455" s="580">
        <f t="shared" si="146"/>
        <v>0.66468849450264544</v>
      </c>
      <c r="J455" s="580">
        <f t="shared" si="146"/>
        <v>0.9436451251264939</v>
      </c>
      <c r="K455" s="499"/>
      <c r="L455" s="499"/>
      <c r="M455" s="351"/>
      <c r="N455" s="351"/>
      <c r="O455" s="351"/>
      <c r="P455" s="351"/>
      <c r="Q455" s="351"/>
      <c r="R455" s="351"/>
      <c r="S455" s="351"/>
      <c r="T455" s="351"/>
      <c r="U455" s="351"/>
      <c r="V455" s="351"/>
      <c r="W455" s="351"/>
      <c r="X455" s="351"/>
      <c r="Y455" s="351"/>
    </row>
    <row r="456" spans="1:25">
      <c r="A456" s="448"/>
      <c r="B456" s="424"/>
      <c r="C456" s="368"/>
      <c r="D456" s="549"/>
      <c r="E456" s="580"/>
      <c r="F456" s="580"/>
      <c r="G456" s="580"/>
      <c r="H456" s="580"/>
      <c r="I456" s="580"/>
      <c r="J456" s="580"/>
      <c r="K456" s="499"/>
      <c r="L456" s="499"/>
      <c r="M456" s="351"/>
      <c r="N456" s="351"/>
      <c r="O456" s="351"/>
      <c r="P456" s="351"/>
      <c r="Q456" s="351"/>
      <c r="R456" s="351"/>
      <c r="S456" s="351"/>
      <c r="T456" s="351"/>
      <c r="U456" s="351"/>
      <c r="V456" s="351"/>
      <c r="W456" s="351"/>
      <c r="X456" s="351"/>
      <c r="Y456" s="351"/>
    </row>
    <row r="457" spans="1:25" ht="15">
      <c r="A457" s="448">
        <v>23</v>
      </c>
      <c r="B457" s="433" t="s">
        <v>647</v>
      </c>
      <c r="C457" s="368"/>
      <c r="D457" s="548"/>
      <c r="E457" s="697"/>
      <c r="F457" s="697"/>
      <c r="G457" s="697"/>
      <c r="H457" s="697"/>
      <c r="I457" s="697"/>
      <c r="J457" s="697"/>
      <c r="K457" s="455"/>
      <c r="L457" s="455"/>
      <c r="M457" s="351"/>
      <c r="N457" s="351"/>
      <c r="O457" s="351"/>
      <c r="P457" s="351"/>
      <c r="Q457" s="351"/>
      <c r="R457" s="351"/>
      <c r="S457" s="351"/>
      <c r="T457" s="351"/>
      <c r="U457" s="351"/>
      <c r="V457" s="351"/>
      <c r="W457" s="351"/>
      <c r="X457" s="351"/>
      <c r="Y457" s="351"/>
    </row>
    <row r="458" spans="1:25">
      <c r="A458" s="550"/>
      <c r="B458" s="928" t="s">
        <v>648</v>
      </c>
      <c r="C458" s="929"/>
      <c r="D458" s="522" t="e">
        <f t="shared" ref="D458:J458" si="147">IF((D453+N222+D448)&gt;0,((D453+N222)-D454)/(D453+N222),0)</f>
        <v>#REF!</v>
      </c>
      <c r="E458" s="723" t="e">
        <f t="shared" si="147"/>
        <v>#REF!</v>
      </c>
      <c r="F458" s="723">
        <f t="shared" si="147"/>
        <v>0.26456007745156329</v>
      </c>
      <c r="G458" s="723">
        <f t="shared" si="147"/>
        <v>0.34243018689786764</v>
      </c>
      <c r="H458" s="723">
        <f t="shared" si="147"/>
        <v>0.47068683775060532</v>
      </c>
      <c r="I458" s="723">
        <f t="shared" si="147"/>
        <v>0.66468849450264544</v>
      </c>
      <c r="J458" s="723">
        <f t="shared" si="147"/>
        <v>0.9436451251264939</v>
      </c>
      <c r="K458" s="499"/>
      <c r="L458" s="499"/>
      <c r="M458" s="351"/>
      <c r="N458" s="351"/>
      <c r="O458" s="351"/>
      <c r="P458" s="351"/>
      <c r="Q458" s="351"/>
      <c r="R458" s="351"/>
      <c r="S458" s="351"/>
      <c r="T458" s="351"/>
      <c r="U458" s="351"/>
      <c r="V458" s="351"/>
      <c r="W458" s="351"/>
      <c r="X458" s="351"/>
      <c r="Y458" s="351"/>
    </row>
    <row r="459" spans="1:25">
      <c r="A459" s="356"/>
      <c r="B459" s="357"/>
      <c r="C459" s="357"/>
      <c r="D459" s="358"/>
      <c r="E459" s="358"/>
      <c r="F459" s="358"/>
      <c r="G459" s="382"/>
      <c r="H459" s="351"/>
      <c r="I459" s="351"/>
      <c r="J459" s="351"/>
      <c r="K459" s="358"/>
      <c r="L459" s="358"/>
      <c r="M459" s="351"/>
      <c r="N459" s="351"/>
      <c r="O459" s="351"/>
      <c r="P459" s="351"/>
      <c r="Q459" s="351"/>
      <c r="R459" s="351"/>
      <c r="S459" s="351"/>
      <c r="T459" s="351"/>
      <c r="U459" s="351"/>
      <c r="V459" s="351"/>
      <c r="W459" s="351"/>
      <c r="X459" s="351"/>
      <c r="Y459" s="351"/>
    </row>
    <row r="460" spans="1:25">
      <c r="A460" s="356"/>
      <c r="B460" s="351"/>
      <c r="C460" s="351"/>
      <c r="D460" s="351"/>
      <c r="E460" s="351"/>
      <c r="F460" s="351"/>
      <c r="G460" s="351"/>
      <c r="H460" s="351"/>
      <c r="I460" s="351"/>
      <c r="J460" s="351"/>
      <c r="K460" s="392"/>
      <c r="L460" s="392"/>
      <c r="M460" s="351"/>
      <c r="N460" s="351"/>
      <c r="O460" s="351"/>
      <c r="P460" s="351"/>
      <c r="Q460" s="351"/>
      <c r="R460" s="351"/>
      <c r="S460" s="351"/>
      <c r="T460" s="351"/>
      <c r="U460" s="351"/>
      <c r="V460" s="351"/>
      <c r="W460" s="351"/>
      <c r="X460" s="351"/>
      <c r="Y460" s="351"/>
    </row>
    <row r="461" spans="1:25">
      <c r="A461" s="356"/>
      <c r="B461" s="351"/>
      <c r="C461" s="351"/>
      <c r="D461" s="351"/>
      <c r="E461" s="351"/>
      <c r="F461" s="351"/>
      <c r="G461" s="351"/>
      <c r="H461" s="351"/>
      <c r="I461" s="351"/>
      <c r="J461" s="351"/>
      <c r="K461" s="392"/>
      <c r="L461" s="392"/>
      <c r="M461" s="351"/>
      <c r="N461" s="351"/>
      <c r="O461" s="351"/>
      <c r="P461" s="351"/>
      <c r="Q461" s="351"/>
      <c r="R461" s="351"/>
      <c r="S461" s="351"/>
      <c r="T461" s="351"/>
      <c r="U461" s="351"/>
      <c r="V461" s="351"/>
      <c r="W461" s="351"/>
      <c r="X461" s="351"/>
      <c r="Y461" s="351"/>
    </row>
    <row r="462" spans="1:25">
      <c r="A462" s="356"/>
      <c r="B462" s="351"/>
      <c r="C462" s="351"/>
      <c r="D462" s="351"/>
      <c r="E462" s="351"/>
      <c r="F462" s="351"/>
      <c r="G462" s="351"/>
      <c r="H462" s="351"/>
      <c r="I462" s="351"/>
      <c r="J462" s="351"/>
      <c r="K462" s="388"/>
      <c r="L462" s="388"/>
      <c r="M462" s="351"/>
      <c r="N462" s="351"/>
      <c r="O462" s="351"/>
      <c r="P462" s="351"/>
      <c r="Q462" s="351"/>
      <c r="R462" s="351"/>
      <c r="S462" s="351"/>
      <c r="T462" s="351"/>
      <c r="U462" s="351"/>
      <c r="V462" s="351"/>
      <c r="W462" s="351"/>
      <c r="X462" s="351"/>
      <c r="Y462" s="351"/>
    </row>
    <row r="463" spans="1:25">
      <c r="A463" s="356"/>
      <c r="B463" s="351"/>
      <c r="C463" s="351"/>
      <c r="D463" s="351"/>
      <c r="E463" s="351"/>
      <c r="F463" s="351"/>
      <c r="G463" s="351"/>
      <c r="H463" s="351"/>
      <c r="I463" s="351"/>
      <c r="J463" s="351"/>
      <c r="K463" s="392"/>
      <c r="L463" s="392"/>
      <c r="M463" s="351"/>
      <c r="N463" s="351"/>
      <c r="O463" s="351"/>
      <c r="P463" s="351"/>
      <c r="Q463" s="351"/>
      <c r="R463" s="351"/>
      <c r="S463" s="351"/>
      <c r="T463" s="351"/>
      <c r="U463" s="351"/>
      <c r="V463" s="351"/>
      <c r="W463" s="351"/>
      <c r="X463" s="351"/>
      <c r="Y463" s="351"/>
    </row>
    <row r="464" spans="1:25">
      <c r="A464" s="356"/>
      <c r="B464" s="351"/>
      <c r="C464" s="351"/>
      <c r="D464" s="351"/>
      <c r="E464" s="351"/>
      <c r="F464" s="351"/>
      <c r="G464" s="351"/>
      <c r="H464" s="351"/>
      <c r="I464" s="351"/>
      <c r="J464" s="351"/>
      <c r="K464" s="388"/>
      <c r="L464" s="388"/>
      <c r="M464" s="351"/>
      <c r="N464" s="351"/>
      <c r="O464" s="351"/>
      <c r="P464" s="351"/>
      <c r="Q464" s="351"/>
      <c r="R464" s="351"/>
      <c r="S464" s="351"/>
      <c r="T464" s="351"/>
      <c r="U464" s="351"/>
      <c r="V464" s="351"/>
      <c r="W464" s="351"/>
      <c r="X464" s="351"/>
      <c r="Y464" s="351"/>
    </row>
    <row r="465" spans="1:25">
      <c r="A465" s="356"/>
      <c r="B465" s="351"/>
      <c r="C465" s="351"/>
      <c r="D465" s="351"/>
      <c r="E465" s="351"/>
      <c r="F465" s="351"/>
      <c r="G465" s="351"/>
      <c r="H465" s="351"/>
      <c r="I465" s="351"/>
      <c r="J465" s="351"/>
      <c r="K465" s="392"/>
      <c r="L465" s="392"/>
      <c r="M465" s="351"/>
      <c r="N465" s="351"/>
      <c r="O465" s="351"/>
      <c r="P465" s="351"/>
      <c r="Q465" s="351"/>
      <c r="R465" s="351"/>
      <c r="S465" s="351"/>
      <c r="T465" s="351"/>
      <c r="U465" s="351"/>
      <c r="V465" s="351"/>
      <c r="W465" s="351"/>
      <c r="X465" s="351"/>
      <c r="Y465" s="351"/>
    </row>
    <row r="466" spans="1:25" ht="15">
      <c r="A466" s="356"/>
      <c r="B466" s="351"/>
      <c r="C466" s="351"/>
      <c r="D466" s="351"/>
      <c r="E466" s="351"/>
      <c r="F466" s="351"/>
      <c r="G466" s="351"/>
      <c r="H466" s="351"/>
      <c r="I466" s="351"/>
      <c r="J466" s="351"/>
      <c r="K466" s="547"/>
      <c r="L466" s="547"/>
      <c r="M466" s="351"/>
      <c r="N466" s="351"/>
      <c r="O466" s="351"/>
      <c r="P466" s="351"/>
      <c r="Q466" s="351"/>
      <c r="R466" s="351"/>
      <c r="S466" s="351"/>
      <c r="T466" s="351"/>
      <c r="U466" s="351"/>
      <c r="V466" s="351"/>
      <c r="W466" s="351"/>
      <c r="X466" s="351"/>
      <c r="Y466" s="351"/>
    </row>
    <row r="467" spans="1:25" ht="15">
      <c r="A467" s="356"/>
      <c r="B467" s="351"/>
      <c r="C467" s="351"/>
      <c r="D467" s="351"/>
      <c r="E467" s="351"/>
      <c r="F467" s="351"/>
      <c r="G467" s="351"/>
      <c r="H467" s="351"/>
      <c r="I467" s="351"/>
      <c r="J467" s="351"/>
      <c r="K467" s="547"/>
      <c r="L467" s="547"/>
      <c r="M467" s="351"/>
      <c r="N467" s="351"/>
      <c r="O467" s="351"/>
      <c r="P467" s="351"/>
      <c r="Q467" s="351"/>
      <c r="R467" s="351"/>
      <c r="S467" s="351"/>
      <c r="T467" s="351"/>
      <c r="U467" s="351"/>
      <c r="V467" s="351"/>
      <c r="W467" s="351"/>
      <c r="X467" s="351"/>
      <c r="Y467" s="351"/>
    </row>
    <row r="468" spans="1:25">
      <c r="A468" s="356"/>
      <c r="B468" s="351"/>
      <c r="C468" s="351"/>
      <c r="D468" s="351"/>
      <c r="E468" s="351"/>
      <c r="F468" s="351"/>
      <c r="G468" s="351"/>
      <c r="H468" s="351"/>
      <c r="I468" s="351"/>
      <c r="J468" s="351"/>
      <c r="K468" s="358"/>
      <c r="L468" s="358"/>
      <c r="M468" s="351"/>
      <c r="N468" s="351"/>
      <c r="O468" s="351"/>
      <c r="P468" s="351"/>
      <c r="Q468" s="351"/>
      <c r="R468" s="351"/>
      <c r="S468" s="351"/>
      <c r="T468" s="351"/>
      <c r="U468" s="351"/>
      <c r="V468" s="351"/>
      <c r="W468" s="351"/>
      <c r="X468" s="351"/>
      <c r="Y468" s="351"/>
    </row>
    <row r="469" spans="1:25">
      <c r="A469" s="356"/>
      <c r="B469" s="351"/>
      <c r="C469" s="351"/>
      <c r="D469" s="351"/>
      <c r="E469" s="351"/>
      <c r="F469" s="351"/>
      <c r="G469" s="351"/>
      <c r="H469" s="351"/>
      <c r="I469" s="351"/>
      <c r="J469" s="351"/>
      <c r="K469" s="358"/>
      <c r="L469" s="358"/>
      <c r="M469" s="351"/>
      <c r="N469" s="351"/>
      <c r="O469" s="351"/>
      <c r="P469" s="351"/>
      <c r="Q469" s="351"/>
      <c r="R469" s="351"/>
      <c r="S469" s="351"/>
      <c r="T469" s="351"/>
      <c r="U469" s="351"/>
      <c r="V469" s="351"/>
      <c r="W469" s="351"/>
      <c r="X469" s="351"/>
      <c r="Y469" s="351"/>
    </row>
    <row r="470" spans="1:25">
      <c r="A470" s="356"/>
      <c r="B470" s="351"/>
      <c r="C470" s="351"/>
      <c r="D470" s="351"/>
      <c r="E470" s="351"/>
      <c r="F470" s="351"/>
      <c r="G470" s="351"/>
      <c r="H470" s="351"/>
      <c r="I470" s="351"/>
      <c r="J470" s="351"/>
      <c r="K470" s="392"/>
      <c r="L470" s="392"/>
      <c r="M470" s="351"/>
      <c r="N470" s="351"/>
      <c r="O470" s="351"/>
      <c r="P470" s="351"/>
      <c r="Q470" s="351"/>
      <c r="R470" s="351"/>
      <c r="S470" s="351"/>
      <c r="T470" s="351"/>
      <c r="U470" s="351"/>
      <c r="V470" s="351"/>
      <c r="W470" s="351"/>
      <c r="X470" s="351"/>
      <c r="Y470" s="351"/>
    </row>
    <row r="471" spans="1:25">
      <c r="A471" s="356"/>
      <c r="B471" s="351"/>
      <c r="C471" s="351"/>
      <c r="D471" s="351"/>
      <c r="E471" s="351"/>
      <c r="F471" s="351"/>
      <c r="G471" s="351"/>
      <c r="H471" s="351"/>
      <c r="I471" s="351"/>
      <c r="J471" s="351"/>
      <c r="K471" s="392"/>
      <c r="L471" s="392"/>
      <c r="M471" s="351"/>
      <c r="N471" s="351"/>
      <c r="O471" s="351"/>
      <c r="P471" s="351"/>
      <c r="Q471" s="351"/>
      <c r="R471" s="351"/>
      <c r="S471" s="351"/>
      <c r="T471" s="351"/>
      <c r="U471" s="351"/>
      <c r="V471" s="351"/>
      <c r="W471" s="351"/>
      <c r="X471" s="351"/>
      <c r="Y471" s="351"/>
    </row>
    <row r="472" spans="1:25">
      <c r="A472" s="356"/>
      <c r="B472" s="351"/>
      <c r="C472" s="351"/>
      <c r="D472" s="351"/>
      <c r="E472" s="351"/>
      <c r="F472" s="351"/>
      <c r="G472" s="351"/>
      <c r="H472" s="351"/>
      <c r="I472" s="351"/>
      <c r="J472" s="351"/>
      <c r="K472" s="382"/>
      <c r="L472" s="382"/>
      <c r="M472" s="351"/>
      <c r="N472" s="351"/>
      <c r="O472" s="351"/>
      <c r="P472" s="351"/>
      <c r="Q472" s="351"/>
      <c r="R472" s="351"/>
      <c r="S472" s="351"/>
      <c r="T472" s="351"/>
      <c r="U472" s="351"/>
      <c r="V472" s="351"/>
      <c r="W472" s="351"/>
      <c r="X472" s="351"/>
      <c r="Y472" s="351"/>
    </row>
    <row r="473" spans="1:25">
      <c r="A473" s="356"/>
      <c r="B473" s="351"/>
      <c r="C473" s="351"/>
      <c r="D473" s="351"/>
      <c r="E473" s="351"/>
      <c r="F473" s="351"/>
      <c r="G473" s="351"/>
      <c r="H473" s="351"/>
      <c r="I473" s="351"/>
      <c r="J473" s="351"/>
      <c r="K473" s="382"/>
      <c r="L473" s="382"/>
      <c r="M473" s="351"/>
      <c r="N473" s="351"/>
      <c r="O473" s="351"/>
      <c r="P473" s="351"/>
      <c r="Q473" s="351"/>
      <c r="R473" s="351"/>
      <c r="S473" s="351"/>
      <c r="T473" s="351"/>
      <c r="U473" s="351"/>
      <c r="V473" s="351"/>
      <c r="W473" s="351"/>
      <c r="X473" s="351"/>
      <c r="Y473" s="351"/>
    </row>
    <row r="474" spans="1:25">
      <c r="A474" s="356"/>
      <c r="B474" s="351"/>
      <c r="C474" s="351"/>
      <c r="D474" s="351"/>
      <c r="E474" s="351"/>
      <c r="F474" s="351"/>
      <c r="G474" s="351"/>
      <c r="H474" s="351"/>
      <c r="I474" s="351"/>
      <c r="J474" s="351"/>
      <c r="K474" s="382"/>
      <c r="L474" s="382"/>
      <c r="M474" s="351"/>
      <c r="N474" s="351"/>
      <c r="O474" s="351"/>
      <c r="P474" s="351"/>
      <c r="Q474" s="351"/>
      <c r="R474" s="351"/>
      <c r="S474" s="351"/>
      <c r="T474" s="351"/>
      <c r="U474" s="351"/>
      <c r="V474" s="351"/>
      <c r="W474" s="351"/>
      <c r="X474" s="351"/>
      <c r="Y474" s="351"/>
    </row>
    <row r="475" spans="1:25">
      <c r="A475" s="356"/>
      <c r="B475" s="351"/>
      <c r="C475" s="351"/>
      <c r="D475" s="351"/>
      <c r="E475" s="351"/>
      <c r="F475" s="351"/>
      <c r="G475" s="351"/>
      <c r="H475" s="351"/>
      <c r="I475" s="351"/>
      <c r="J475" s="351"/>
      <c r="K475" s="538"/>
      <c r="L475" s="538"/>
      <c r="M475" s="351"/>
      <c r="N475" s="351"/>
      <c r="O475" s="351"/>
      <c r="P475" s="351"/>
      <c r="Q475" s="351"/>
      <c r="R475" s="351"/>
      <c r="S475" s="351"/>
      <c r="T475" s="351"/>
      <c r="U475" s="351"/>
      <c r="V475" s="351"/>
      <c r="W475" s="351"/>
      <c r="X475" s="351"/>
      <c r="Y475" s="351"/>
    </row>
    <row r="476" spans="1:25">
      <c r="A476" s="356"/>
      <c r="B476" s="351"/>
      <c r="C476" s="351"/>
      <c r="D476" s="351"/>
      <c r="E476" s="351"/>
      <c r="F476" s="351"/>
      <c r="G476" s="351"/>
      <c r="H476" s="351"/>
      <c r="I476" s="351"/>
      <c r="J476" s="351"/>
      <c r="K476" s="351"/>
      <c r="L476" s="351"/>
      <c r="M476" s="351"/>
      <c r="N476" s="351"/>
      <c r="O476" s="351"/>
      <c r="P476" s="351"/>
      <c r="Q476" s="351"/>
      <c r="R476" s="351"/>
      <c r="S476" s="351"/>
      <c r="T476" s="351"/>
      <c r="U476" s="351"/>
      <c r="V476" s="351"/>
      <c r="W476" s="351"/>
      <c r="X476" s="351"/>
      <c r="Y476" s="351"/>
    </row>
    <row r="477" spans="1:25">
      <c r="A477" s="356"/>
      <c r="B477" s="351"/>
      <c r="C477" s="351"/>
      <c r="D477" s="351"/>
      <c r="E477" s="351"/>
      <c r="F477" s="351"/>
      <c r="G477" s="351"/>
      <c r="H477" s="351"/>
      <c r="I477" s="351"/>
      <c r="J477" s="351"/>
      <c r="K477" s="351"/>
      <c r="L477" s="351"/>
      <c r="M477" s="351"/>
      <c r="N477" s="351"/>
      <c r="O477" s="351"/>
      <c r="P477" s="351"/>
      <c r="Q477" s="351"/>
      <c r="R477" s="351"/>
      <c r="S477" s="351"/>
      <c r="T477" s="351"/>
      <c r="U477" s="351"/>
      <c r="V477" s="351"/>
      <c r="W477" s="351"/>
      <c r="X477" s="351"/>
      <c r="Y477" s="351"/>
    </row>
    <row r="478" spans="1:25">
      <c r="A478" s="356"/>
      <c r="B478" s="351"/>
      <c r="C478" s="351"/>
      <c r="D478" s="351"/>
      <c r="E478" s="351"/>
      <c r="F478" s="351"/>
      <c r="G478" s="351"/>
      <c r="H478" s="351"/>
      <c r="I478" s="351"/>
      <c r="J478" s="351"/>
      <c r="K478" s="351"/>
      <c r="L478" s="351"/>
      <c r="M478" s="351"/>
      <c r="N478" s="351"/>
      <c r="O478" s="351"/>
      <c r="P478" s="351"/>
      <c r="Q478" s="351"/>
      <c r="R478" s="351"/>
      <c r="S478" s="351"/>
      <c r="T478" s="351"/>
      <c r="U478" s="351"/>
      <c r="V478" s="351"/>
      <c r="W478" s="351"/>
      <c r="X478" s="351"/>
      <c r="Y478" s="351"/>
    </row>
    <row r="479" spans="1:25">
      <c r="A479" s="356"/>
      <c r="B479" s="351"/>
      <c r="C479" s="351"/>
      <c r="D479" s="351"/>
      <c r="E479" s="351"/>
      <c r="F479" s="351"/>
      <c r="G479" s="351"/>
      <c r="H479" s="351"/>
      <c r="I479" s="351"/>
      <c r="J479" s="351"/>
      <c r="K479" s="351"/>
      <c r="L479" s="351"/>
      <c r="M479" s="351"/>
      <c r="N479" s="351"/>
      <c r="O479" s="351"/>
      <c r="P479" s="351"/>
      <c r="Q479" s="351"/>
      <c r="R479" s="351"/>
      <c r="S479" s="351"/>
      <c r="T479" s="351"/>
      <c r="U479" s="351"/>
      <c r="V479" s="351"/>
      <c r="W479" s="351"/>
      <c r="X479" s="351"/>
      <c r="Y479" s="351"/>
    </row>
    <row r="480" spans="1:25">
      <c r="A480" s="356"/>
      <c r="B480" s="351"/>
      <c r="C480" s="351"/>
      <c r="D480" s="351"/>
      <c r="E480" s="351"/>
      <c r="F480" s="351"/>
      <c r="G480" s="351"/>
      <c r="H480" s="351"/>
      <c r="I480" s="351"/>
      <c r="J480" s="351"/>
      <c r="K480" s="351"/>
      <c r="L480" s="351"/>
      <c r="M480" s="351"/>
      <c r="N480" s="351"/>
      <c r="O480" s="351"/>
      <c r="P480" s="351"/>
      <c r="Q480" s="351"/>
      <c r="R480" s="351"/>
      <c r="S480" s="351"/>
      <c r="T480" s="351"/>
      <c r="U480" s="351"/>
      <c r="V480" s="351"/>
      <c r="W480" s="351"/>
      <c r="X480" s="351"/>
      <c r="Y480" s="351"/>
    </row>
    <row r="481" spans="1:25">
      <c r="A481" s="356"/>
      <c r="B481" s="351"/>
      <c r="C481" s="351"/>
      <c r="D481" s="351"/>
      <c r="E481" s="351"/>
      <c r="F481" s="351"/>
      <c r="G481" s="351"/>
      <c r="H481" s="351"/>
      <c r="I481" s="351"/>
      <c r="J481" s="351"/>
      <c r="K481" s="351"/>
      <c r="L481" s="351"/>
      <c r="M481" s="351"/>
      <c r="N481" s="351"/>
      <c r="O481" s="351"/>
      <c r="P481" s="351"/>
      <c r="Q481" s="351"/>
      <c r="R481" s="351"/>
      <c r="S481" s="351"/>
      <c r="T481" s="351"/>
      <c r="U481" s="351"/>
      <c r="V481" s="351"/>
      <c r="W481" s="351"/>
      <c r="X481" s="351"/>
      <c r="Y481" s="351"/>
    </row>
    <row r="482" spans="1:25">
      <c r="A482" s="356"/>
      <c r="B482" s="351"/>
      <c r="C482" s="351"/>
      <c r="D482" s="351"/>
      <c r="E482" s="351"/>
      <c r="F482" s="351"/>
      <c r="G482" s="351"/>
      <c r="H482" s="351"/>
      <c r="I482" s="351"/>
      <c r="J482" s="351"/>
      <c r="K482" s="351"/>
      <c r="L482" s="351"/>
      <c r="M482" s="351"/>
      <c r="N482" s="351"/>
      <c r="O482" s="351"/>
      <c r="P482" s="351"/>
      <c r="Q482" s="351"/>
      <c r="R482" s="351"/>
      <c r="S482" s="351"/>
      <c r="T482" s="351"/>
      <c r="U482" s="351"/>
      <c r="V482" s="351"/>
      <c r="W482" s="351"/>
      <c r="X482" s="351"/>
      <c r="Y482" s="351"/>
    </row>
    <row r="483" spans="1:25" ht="15">
      <c r="A483" s="911" t="s">
        <v>649</v>
      </c>
      <c r="B483" s="911"/>
      <c r="C483" s="911"/>
      <c r="D483" s="911"/>
      <c r="E483" s="911"/>
      <c r="F483" s="911"/>
      <c r="G483" s="911"/>
      <c r="H483" s="911"/>
      <c r="I483" s="911"/>
      <c r="J483" s="911"/>
      <c r="K483" s="351"/>
      <c r="L483" s="351"/>
      <c r="M483" s="351"/>
      <c r="N483" s="351"/>
      <c r="O483" s="351"/>
      <c r="P483" s="351"/>
      <c r="Q483" s="351"/>
      <c r="R483" s="351"/>
      <c r="S483" s="351"/>
      <c r="T483" s="351"/>
      <c r="U483" s="351"/>
      <c r="V483" s="351"/>
      <c r="W483" s="351"/>
      <c r="X483" s="351"/>
      <c r="Y483" s="351"/>
    </row>
    <row r="484" spans="1:25" ht="15">
      <c r="A484" s="428"/>
      <c r="B484" s="428"/>
      <c r="C484" s="428"/>
      <c r="D484" s="428"/>
      <c r="E484" s="428"/>
      <c r="F484" s="428"/>
      <c r="G484" s="428"/>
      <c r="H484" s="351"/>
      <c r="I484" s="351"/>
      <c r="J484" s="351"/>
      <c r="K484" s="351"/>
      <c r="L484" s="351"/>
      <c r="M484" s="351"/>
      <c r="N484" s="351"/>
      <c r="O484" s="351"/>
      <c r="P484" s="351"/>
      <c r="Q484" s="351"/>
      <c r="R484" s="351"/>
      <c r="S484" s="351"/>
      <c r="T484" s="351"/>
      <c r="U484" s="351"/>
      <c r="V484" s="351"/>
      <c r="W484" s="351"/>
      <c r="X484" s="351"/>
      <c r="Y484" s="351"/>
    </row>
    <row r="485" spans="1:25" ht="15">
      <c r="A485" s="356"/>
      <c r="B485" s="367" t="e">
        <f>+B415</f>
        <v>#REF!</v>
      </c>
      <c r="C485" s="357"/>
      <c r="D485" s="930"/>
      <c r="E485" s="930"/>
      <c r="F485" s="930"/>
      <c r="G485" s="930"/>
      <c r="H485" s="351"/>
      <c r="I485" s="351"/>
      <c r="J485" s="351"/>
      <c r="K485" s="351"/>
      <c r="L485" s="351"/>
      <c r="M485" s="351"/>
      <c r="N485" s="351"/>
      <c r="O485" s="351"/>
      <c r="P485" s="351"/>
      <c r="Q485" s="351"/>
      <c r="R485" s="351"/>
      <c r="S485" s="351"/>
      <c r="T485" s="351"/>
      <c r="U485" s="351"/>
      <c r="V485" s="351"/>
      <c r="W485" s="351"/>
      <c r="X485" s="351"/>
      <c r="Y485" s="351"/>
    </row>
    <row r="486" spans="1:25" ht="15.75" thickBot="1">
      <c r="A486" s="528"/>
      <c r="B486" s="529"/>
      <c r="C486" s="359"/>
      <c r="D486" s="552"/>
      <c r="E486" s="552"/>
      <c r="F486" s="552"/>
      <c r="G486" s="552"/>
      <c r="H486" s="552"/>
      <c r="I486" s="552"/>
      <c r="J486" s="552"/>
      <c r="K486" s="351"/>
      <c r="L486" s="351"/>
      <c r="M486" s="351"/>
      <c r="N486" s="351"/>
      <c r="O486" s="351"/>
      <c r="P486" s="351"/>
      <c r="Q486" s="351"/>
      <c r="R486" s="351"/>
      <c r="S486" s="351"/>
      <c r="T486" s="351"/>
      <c r="U486" s="351"/>
      <c r="V486" s="351"/>
      <c r="W486" s="351"/>
      <c r="X486" s="351"/>
      <c r="Y486" s="351"/>
    </row>
    <row r="487" spans="1:25">
      <c r="A487" s="448"/>
      <c r="B487" s="619" t="str">
        <f>+B417</f>
        <v>Particulars</v>
      </c>
      <c r="C487" s="620"/>
      <c r="D487" s="532" t="e">
        <f>D417</f>
        <v>#REF!</v>
      </c>
      <c r="E487" s="620"/>
      <c r="F487" s="532" t="str">
        <f t="shared" ref="F487:J488" si="148">F417</f>
        <v>1st` year</v>
      </c>
      <c r="G487" s="532" t="str">
        <f t="shared" si="148"/>
        <v>2nd</v>
      </c>
      <c r="H487" s="532" t="str">
        <f t="shared" si="148"/>
        <v>3rd</v>
      </c>
      <c r="I487" s="532" t="str">
        <f t="shared" si="148"/>
        <v>4th</v>
      </c>
      <c r="J487" s="532" t="str">
        <f t="shared" si="148"/>
        <v>5th</v>
      </c>
      <c r="K487" s="351"/>
      <c r="L487" s="351"/>
      <c r="M487" s="351"/>
      <c r="N487" s="351"/>
      <c r="O487" s="351"/>
      <c r="P487" s="351"/>
      <c r="Q487" s="351"/>
      <c r="R487" s="351"/>
      <c r="S487" s="351"/>
      <c r="T487" s="351"/>
      <c r="U487" s="351"/>
      <c r="V487" s="351"/>
      <c r="W487" s="351"/>
      <c r="X487" s="351"/>
      <c r="Y487" s="351"/>
    </row>
    <row r="488" spans="1:25" ht="14.25" thickBot="1">
      <c r="A488" s="534"/>
      <c r="B488" s="535"/>
      <c r="C488" s="553"/>
      <c r="D488" s="431" t="e">
        <f>D418</f>
        <v>#REF!</v>
      </c>
      <c r="E488" s="724"/>
      <c r="F488" s="645" t="e">
        <f t="shared" si="148"/>
        <v>#REF!</v>
      </c>
      <c r="G488" s="645" t="e">
        <f t="shared" si="148"/>
        <v>#REF!</v>
      </c>
      <c r="H488" s="645" t="e">
        <f t="shared" si="148"/>
        <v>#REF!</v>
      </c>
      <c r="I488" s="645" t="e">
        <f t="shared" si="148"/>
        <v>#REF!</v>
      </c>
      <c r="J488" s="645" t="e">
        <f t="shared" si="148"/>
        <v>#REF!</v>
      </c>
      <c r="K488" s="351"/>
      <c r="L488" s="351"/>
      <c r="M488" s="351"/>
      <c r="N488" s="351"/>
      <c r="O488" s="351"/>
      <c r="P488" s="351"/>
      <c r="Q488" s="351"/>
      <c r="R488" s="351"/>
      <c r="S488" s="351"/>
      <c r="T488" s="351"/>
      <c r="U488" s="351"/>
      <c r="V488" s="351"/>
      <c r="W488" s="351"/>
      <c r="X488" s="351"/>
      <c r="Y488" s="351"/>
    </row>
    <row r="489" spans="1:25">
      <c r="A489" s="448"/>
      <c r="B489" s="910" t="s">
        <v>650</v>
      </c>
      <c r="C489" s="909"/>
      <c r="D489" s="554" t="e">
        <f>D15</f>
        <v>#REF!</v>
      </c>
      <c r="E489" s="725" t="e">
        <f t="shared" ref="E489:J489" si="149">E15</f>
        <v>#REF!</v>
      </c>
      <c r="F489" s="725">
        <f t="shared" si="149"/>
        <v>244.79999999999998</v>
      </c>
      <c r="G489" s="725">
        <f t="shared" si="149"/>
        <v>259.2</v>
      </c>
      <c r="H489" s="725">
        <f t="shared" si="149"/>
        <v>259.2</v>
      </c>
      <c r="I489" s="725">
        <f t="shared" si="149"/>
        <v>259.2</v>
      </c>
      <c r="J489" s="725">
        <f t="shared" si="149"/>
        <v>259.2</v>
      </c>
      <c r="K489" s="351"/>
      <c r="L489" s="351"/>
      <c r="M489" s="351"/>
      <c r="N489" s="351"/>
      <c r="O489" s="351"/>
      <c r="P489" s="351"/>
      <c r="Q489" s="351"/>
      <c r="R489" s="351"/>
      <c r="S489" s="351"/>
      <c r="T489" s="351"/>
      <c r="U489" s="351"/>
      <c r="V489" s="351"/>
      <c r="W489" s="351"/>
      <c r="X489" s="351"/>
      <c r="Y489" s="351"/>
    </row>
    <row r="490" spans="1:25">
      <c r="A490" s="448"/>
      <c r="B490" s="910" t="s">
        <v>147</v>
      </c>
      <c r="C490" s="909"/>
      <c r="D490" s="556" t="e">
        <f>D46</f>
        <v>#REF!</v>
      </c>
      <c r="E490" s="726" t="e">
        <f t="shared" ref="E490:J490" si="150">E46</f>
        <v>#REF!</v>
      </c>
      <c r="F490" s="726">
        <f t="shared" si="150"/>
        <v>27.113624831250014</v>
      </c>
      <c r="G490" s="726">
        <f t="shared" si="150"/>
        <v>29.910022718313037</v>
      </c>
      <c r="H490" s="726">
        <f t="shared" si="150"/>
        <v>29.741461864583364</v>
      </c>
      <c r="I490" s="726">
        <f t="shared" si="150"/>
        <v>29.74993796552085</v>
      </c>
      <c r="J490" s="726">
        <f t="shared" si="150"/>
        <v>29.693640081145837</v>
      </c>
      <c r="K490" s="351"/>
      <c r="L490" s="351"/>
      <c r="M490" s="351"/>
      <c r="N490" s="351"/>
      <c r="O490" s="351"/>
      <c r="P490" s="351"/>
      <c r="Q490" s="351"/>
      <c r="R490" s="351"/>
      <c r="S490" s="351"/>
      <c r="T490" s="351"/>
      <c r="U490" s="351"/>
      <c r="V490" s="351"/>
      <c r="W490" s="351"/>
      <c r="X490" s="351"/>
      <c r="Y490" s="351"/>
    </row>
    <row r="491" spans="1:25">
      <c r="A491" s="448"/>
      <c r="B491" s="910" t="s">
        <v>651</v>
      </c>
      <c r="C491" s="909"/>
      <c r="D491" s="556">
        <f>D56</f>
        <v>0</v>
      </c>
      <c r="E491" s="726">
        <f t="shared" ref="E491:J491" si="151">E56</f>
        <v>0</v>
      </c>
      <c r="F491" s="726">
        <f t="shared" si="151"/>
        <v>0</v>
      </c>
      <c r="G491" s="726">
        <f t="shared" si="151"/>
        <v>0</v>
      </c>
      <c r="H491" s="726">
        <f t="shared" si="151"/>
        <v>0</v>
      </c>
      <c r="I491" s="726">
        <f t="shared" si="151"/>
        <v>0</v>
      </c>
      <c r="J491" s="726">
        <f t="shared" si="151"/>
        <v>0</v>
      </c>
      <c r="K491" s="351"/>
      <c r="L491" s="351"/>
      <c r="M491" s="351"/>
      <c r="N491" s="351"/>
      <c r="O491" s="351"/>
      <c r="P491" s="351"/>
      <c r="Q491" s="351"/>
      <c r="R491" s="351"/>
      <c r="S491" s="351"/>
      <c r="T491" s="351"/>
      <c r="U491" s="351"/>
      <c r="V491" s="351"/>
      <c r="W491" s="351"/>
      <c r="X491" s="351"/>
      <c r="Y491" s="351"/>
    </row>
    <row r="492" spans="1:25">
      <c r="A492" s="448"/>
      <c r="B492" s="910" t="s">
        <v>420</v>
      </c>
      <c r="C492" s="909"/>
      <c r="D492" s="557" t="e">
        <f>D422</f>
        <v>#REF!</v>
      </c>
      <c r="E492" s="727" t="e">
        <f t="shared" ref="E492:J492" si="152">E422</f>
        <v>#REF!</v>
      </c>
      <c r="F492" s="727">
        <f t="shared" si="152"/>
        <v>0.15322763480392165</v>
      </c>
      <c r="G492" s="727">
        <f t="shared" si="152"/>
        <v>0.15423128857060195</v>
      </c>
      <c r="H492" s="727">
        <f t="shared" si="152"/>
        <v>0.151109664351852</v>
      </c>
      <c r="I492" s="727">
        <f t="shared" si="152"/>
        <v>0.14884469039351861</v>
      </c>
      <c r="J492" s="727">
        <f t="shared" si="152"/>
        <v>0.14646646773726854</v>
      </c>
      <c r="K492" s="351"/>
      <c r="L492" s="351"/>
      <c r="M492" s="351"/>
      <c r="N492" s="351"/>
      <c r="O492" s="351"/>
      <c r="P492" s="351"/>
      <c r="Q492" s="351"/>
      <c r="R492" s="351"/>
      <c r="S492" s="351"/>
      <c r="T492" s="351"/>
      <c r="U492" s="351"/>
      <c r="V492" s="351"/>
      <c r="W492" s="351"/>
      <c r="X492" s="351"/>
      <c r="Y492" s="351"/>
    </row>
    <row r="493" spans="1:25">
      <c r="A493" s="448"/>
      <c r="B493" s="910" t="s">
        <v>652</v>
      </c>
      <c r="C493" s="909"/>
      <c r="D493" s="557" t="e">
        <f>D67</f>
        <v>#REF!</v>
      </c>
      <c r="E493" s="727" t="e">
        <f t="shared" ref="E493:J493" si="153">E67</f>
        <v>#REF!</v>
      </c>
      <c r="F493" s="727">
        <f t="shared" si="153"/>
        <v>0.11075827136948536</v>
      </c>
      <c r="G493" s="727">
        <f t="shared" si="153"/>
        <v>0.11539360616633117</v>
      </c>
      <c r="H493" s="727">
        <f t="shared" si="153"/>
        <v>0.11474329423064571</v>
      </c>
      <c r="I493" s="727">
        <f t="shared" si="153"/>
        <v>0.11477599523734897</v>
      </c>
      <c r="J493" s="727">
        <f t="shared" si="153"/>
        <v>0.11455879660935894</v>
      </c>
      <c r="K493" s="351"/>
      <c r="L493" s="351"/>
      <c r="M493" s="351"/>
      <c r="N493" s="351"/>
      <c r="O493" s="351"/>
      <c r="P493" s="351"/>
      <c r="Q493" s="351"/>
      <c r="R493" s="351"/>
      <c r="S493" s="351"/>
      <c r="T493" s="351"/>
      <c r="U493" s="351"/>
      <c r="V493" s="351"/>
      <c r="W493" s="351"/>
      <c r="X493" s="351"/>
      <c r="Y493" s="351"/>
    </row>
    <row r="494" spans="1:25">
      <c r="A494" s="448"/>
      <c r="B494" s="910" t="s">
        <v>653</v>
      </c>
      <c r="C494" s="909"/>
      <c r="D494" s="556" t="e">
        <f>D59</f>
        <v>#REF!</v>
      </c>
      <c r="E494" s="726" t="e">
        <f t="shared" ref="E494:J494" si="154">E59</f>
        <v>#REF!</v>
      </c>
      <c r="F494" s="726">
        <f t="shared" si="154"/>
        <v>21.84966371305125</v>
      </c>
      <c r="G494" s="726">
        <f t="shared" si="154"/>
        <v>23.931999071328853</v>
      </c>
      <c r="H494" s="726">
        <f t="shared" si="154"/>
        <v>23.820175800964609</v>
      </c>
      <c r="I494" s="726">
        <f t="shared" si="154"/>
        <v>23.825798846326528</v>
      </c>
      <c r="J494" s="726">
        <f t="shared" si="154"/>
        <v>23.788450829832151</v>
      </c>
      <c r="K494" s="351"/>
      <c r="L494" s="351"/>
      <c r="M494" s="351"/>
      <c r="N494" s="351"/>
      <c r="O494" s="351"/>
      <c r="P494" s="351"/>
      <c r="Q494" s="351"/>
      <c r="R494" s="351"/>
      <c r="S494" s="351"/>
      <c r="T494" s="351"/>
      <c r="U494" s="351"/>
      <c r="V494" s="351"/>
      <c r="W494" s="351"/>
      <c r="X494" s="351"/>
      <c r="Y494" s="351"/>
    </row>
    <row r="495" spans="1:25">
      <c r="A495" s="448"/>
      <c r="B495" s="910" t="s">
        <v>654</v>
      </c>
      <c r="C495" s="909"/>
      <c r="D495" s="557" t="e">
        <f>IF(D489&gt;0,D494/D489,0)</f>
        <v>#REF!</v>
      </c>
      <c r="E495" s="727" t="e">
        <f t="shared" ref="E495:J495" si="155">IF(E489&gt;0,E494/E489,0)</f>
        <v>#REF!</v>
      </c>
      <c r="F495" s="727">
        <f t="shared" si="155"/>
        <v>8.9255162226516555E-2</v>
      </c>
      <c r="G495" s="727">
        <f t="shared" si="155"/>
        <v>9.2330243330744036E-2</v>
      </c>
      <c r="H495" s="727">
        <f t="shared" si="155"/>
        <v>9.1898826392610378E-2</v>
      </c>
      <c r="I495" s="727">
        <f t="shared" si="155"/>
        <v>9.1920520240457285E-2</v>
      </c>
      <c r="J495" s="727">
        <f t="shared" si="155"/>
        <v>9.1776430670648737E-2</v>
      </c>
      <c r="K495" s="351"/>
      <c r="L495" s="351"/>
      <c r="M495" s="351"/>
      <c r="N495" s="351"/>
      <c r="O495" s="351"/>
      <c r="P495" s="351"/>
      <c r="Q495" s="351"/>
      <c r="R495" s="351"/>
      <c r="S495" s="351"/>
      <c r="T495" s="351"/>
      <c r="U495" s="351"/>
      <c r="V495" s="351"/>
      <c r="W495" s="351"/>
      <c r="X495" s="351"/>
      <c r="Y495" s="351"/>
    </row>
    <row r="496" spans="1:25">
      <c r="A496" s="448"/>
      <c r="B496" s="910" t="s">
        <v>655</v>
      </c>
      <c r="C496" s="909"/>
      <c r="D496" s="556" t="e">
        <f>D63</f>
        <v>#REF!</v>
      </c>
      <c r="E496" s="726" t="e">
        <f t="shared" ref="E496:J496" si="156">E63</f>
        <v>#REF!</v>
      </c>
      <c r="F496" s="726">
        <f t="shared" si="156"/>
        <v>24.371163713051249</v>
      </c>
      <c r="G496" s="726">
        <f t="shared" si="156"/>
        <v>26.075274071328852</v>
      </c>
      <c r="H496" s="726">
        <f t="shared" si="156"/>
        <v>25.641959550964607</v>
      </c>
      <c r="I496" s="726">
        <f t="shared" si="156"/>
        <v>25.374315033826527</v>
      </c>
      <c r="J496" s="726">
        <f t="shared" si="156"/>
        <v>25.104689589207151</v>
      </c>
      <c r="K496" s="351"/>
      <c r="L496" s="351"/>
      <c r="M496" s="351"/>
      <c r="N496" s="351"/>
      <c r="O496" s="351"/>
      <c r="P496" s="351"/>
      <c r="Q496" s="351"/>
      <c r="R496" s="351"/>
      <c r="S496" s="351"/>
      <c r="T496" s="351"/>
      <c r="U496" s="351"/>
      <c r="V496" s="351"/>
      <c r="W496" s="351"/>
      <c r="X496" s="351"/>
      <c r="Y496" s="351"/>
    </row>
    <row r="497" spans="1:25">
      <c r="A497" s="448"/>
      <c r="B497" s="910" t="s">
        <v>656</v>
      </c>
      <c r="C497" s="909"/>
      <c r="D497" s="557" t="e">
        <f>D426</f>
        <v>#REF!</v>
      </c>
      <c r="E497" s="727" t="e">
        <f t="shared" ref="E497:J497" si="157">E426</f>
        <v>#REF!</v>
      </c>
      <c r="F497" s="727">
        <f t="shared" si="157"/>
        <v>9.955540732455577E-2</v>
      </c>
      <c r="G497" s="727">
        <f t="shared" si="157"/>
        <v>0.1005990512011144</v>
      </c>
      <c r="H497" s="727">
        <f t="shared" si="157"/>
        <v>9.8927313082425181E-2</v>
      </c>
      <c r="I497" s="727">
        <f t="shared" si="157"/>
        <v>9.7894733926799871E-2</v>
      </c>
      <c r="J497" s="727">
        <f t="shared" si="157"/>
        <v>9.6854512304039936E-2</v>
      </c>
      <c r="K497" s="351"/>
      <c r="L497" s="351"/>
      <c r="M497" s="351"/>
      <c r="N497" s="351"/>
      <c r="O497" s="351"/>
      <c r="P497" s="351"/>
      <c r="Q497" s="351"/>
      <c r="R497" s="351"/>
      <c r="S497" s="351"/>
      <c r="T497" s="351"/>
      <c r="U497" s="351"/>
      <c r="V497" s="351"/>
      <c r="W497" s="351"/>
      <c r="X497" s="351"/>
      <c r="Y497" s="351"/>
    </row>
    <row r="498" spans="1:25">
      <c r="A498" s="448"/>
      <c r="B498" s="910" t="s">
        <v>657</v>
      </c>
      <c r="C498" s="909"/>
      <c r="D498" s="556" t="e">
        <f>D110</f>
        <v>#REF!</v>
      </c>
      <c r="E498" s="726" t="e">
        <f t="shared" ref="E498:J498" si="158">E110</f>
        <v>#REF!</v>
      </c>
      <c r="F498" s="726">
        <f t="shared" si="158"/>
        <v>8</v>
      </c>
      <c r="G498" s="726">
        <f t="shared" si="158"/>
        <v>8</v>
      </c>
      <c r="H498" s="726">
        <f t="shared" si="158"/>
        <v>8</v>
      </c>
      <c r="I498" s="726">
        <f t="shared" si="158"/>
        <v>8</v>
      </c>
      <c r="J498" s="726">
        <f t="shared" si="158"/>
        <v>8</v>
      </c>
      <c r="K498" s="351"/>
      <c r="L498" s="351"/>
      <c r="M498" s="351"/>
      <c r="N498" s="351"/>
      <c r="O498" s="351"/>
      <c r="P498" s="351"/>
      <c r="Q498" s="351"/>
      <c r="R498" s="351"/>
      <c r="S498" s="351"/>
      <c r="T498" s="351"/>
      <c r="U498" s="351"/>
      <c r="V498" s="351"/>
      <c r="W498" s="351"/>
      <c r="X498" s="351"/>
      <c r="Y498" s="351"/>
    </row>
    <row r="499" spans="1:25">
      <c r="A499" s="448"/>
      <c r="B499" s="910" t="s">
        <v>658</v>
      </c>
      <c r="C499" s="909"/>
      <c r="D499" s="556" t="e">
        <f>D182</f>
        <v>#REF!</v>
      </c>
      <c r="E499" s="726" t="e">
        <f t="shared" ref="E499:J499" si="159">E182</f>
        <v>#REF!</v>
      </c>
      <c r="F499" s="726">
        <f t="shared" si="159"/>
        <v>18.374663713051277</v>
      </c>
      <c r="G499" s="726">
        <f t="shared" si="159"/>
        <v>30.156662784380178</v>
      </c>
      <c r="H499" s="726">
        <f t="shared" si="159"/>
        <v>41.826838585344774</v>
      </c>
      <c r="I499" s="726">
        <f t="shared" si="159"/>
        <v>53.502637431671317</v>
      </c>
      <c r="J499" s="726">
        <f t="shared" si="159"/>
        <v>65.141088261503469</v>
      </c>
      <c r="K499" s="351"/>
      <c r="L499" s="351"/>
      <c r="M499" s="351"/>
      <c r="N499" s="351"/>
      <c r="O499" s="351"/>
      <c r="P499" s="351"/>
      <c r="Q499" s="351"/>
      <c r="R499" s="351"/>
      <c r="S499" s="351"/>
      <c r="T499" s="351"/>
      <c r="U499" s="351"/>
      <c r="V499" s="351"/>
      <c r="W499" s="351"/>
      <c r="X499" s="351"/>
      <c r="Y499" s="351"/>
    </row>
    <row r="500" spans="1:25" ht="15" customHeight="1">
      <c r="A500" s="448"/>
      <c r="B500" s="910" t="s">
        <v>659</v>
      </c>
      <c r="C500" s="909"/>
      <c r="D500" s="556" t="e">
        <f>D433</f>
        <v>#REF!</v>
      </c>
      <c r="E500" s="726" t="e">
        <f t="shared" ref="E500:J502" si="160">E433</f>
        <v>#REF!</v>
      </c>
      <c r="F500" s="726" t="e">
        <f t="shared" si="160"/>
        <v>#REF!</v>
      </c>
      <c r="G500" s="726" t="e">
        <f t="shared" si="160"/>
        <v>#REF!</v>
      </c>
      <c r="H500" s="726" t="e">
        <f t="shared" si="160"/>
        <v>#REF!</v>
      </c>
      <c r="I500" s="726" t="e">
        <f t="shared" si="160"/>
        <v>#REF!</v>
      </c>
      <c r="J500" s="726" t="e">
        <f t="shared" si="160"/>
        <v>#REF!</v>
      </c>
      <c r="K500" s="351"/>
      <c r="L500" s="351"/>
      <c r="M500" s="351"/>
      <c r="N500" s="351"/>
      <c r="O500" s="351"/>
      <c r="P500" s="351"/>
      <c r="Q500" s="351"/>
      <c r="R500" s="351"/>
      <c r="S500" s="351"/>
      <c r="T500" s="351"/>
      <c r="U500" s="351"/>
      <c r="V500" s="351"/>
      <c r="W500" s="351"/>
      <c r="X500" s="351"/>
      <c r="Y500" s="351"/>
    </row>
    <row r="501" spans="1:25" ht="15" customHeight="1">
      <c r="A501" s="448"/>
      <c r="B501" s="910" t="s">
        <v>660</v>
      </c>
      <c r="C501" s="909"/>
      <c r="D501" s="556" t="e">
        <f>D434</f>
        <v>#REF!</v>
      </c>
      <c r="E501" s="726" t="e">
        <f t="shared" si="160"/>
        <v>#REF!</v>
      </c>
      <c r="F501" s="726" t="e">
        <f t="shared" si="160"/>
        <v>#REF!</v>
      </c>
      <c r="G501" s="726" t="e">
        <f t="shared" si="160"/>
        <v>#REF!</v>
      </c>
      <c r="H501" s="726" t="e">
        <f t="shared" si="160"/>
        <v>#REF!</v>
      </c>
      <c r="I501" s="726" t="e">
        <f t="shared" si="160"/>
        <v>#REF!</v>
      </c>
      <c r="J501" s="726" t="e">
        <f t="shared" si="160"/>
        <v>#REF!</v>
      </c>
      <c r="K501" s="351"/>
      <c r="L501" s="351"/>
      <c r="M501" s="351"/>
      <c r="N501" s="351"/>
      <c r="O501" s="351"/>
      <c r="P501" s="351"/>
      <c r="Q501" s="351"/>
      <c r="R501" s="351"/>
      <c r="S501" s="351"/>
      <c r="T501" s="351"/>
      <c r="U501" s="351"/>
      <c r="V501" s="351"/>
      <c r="W501" s="351"/>
      <c r="X501" s="351"/>
      <c r="Y501" s="351"/>
    </row>
    <row r="502" spans="1:25">
      <c r="A502" s="448"/>
      <c r="B502" s="910" t="s">
        <v>661</v>
      </c>
      <c r="C502" s="909"/>
      <c r="D502" s="556" t="e">
        <f>D435</f>
        <v>#REF!</v>
      </c>
      <c r="E502" s="726" t="e">
        <f t="shared" si="160"/>
        <v>#REF!</v>
      </c>
      <c r="F502" s="726" t="e">
        <f t="shared" si="160"/>
        <v>#REF!</v>
      </c>
      <c r="G502" s="726" t="e">
        <f t="shared" si="160"/>
        <v>#REF!</v>
      </c>
      <c r="H502" s="726" t="e">
        <f t="shared" si="160"/>
        <v>#REF!</v>
      </c>
      <c r="I502" s="726" t="e">
        <f t="shared" si="160"/>
        <v>#REF!</v>
      </c>
      <c r="J502" s="726" t="e">
        <f t="shared" si="160"/>
        <v>#REF!</v>
      </c>
      <c r="K502" s="351"/>
      <c r="L502" s="351"/>
      <c r="M502" s="351"/>
      <c r="N502" s="351"/>
      <c r="O502" s="351"/>
      <c r="P502" s="351"/>
      <c r="Q502" s="351"/>
      <c r="R502" s="351"/>
      <c r="S502" s="351"/>
      <c r="T502" s="351"/>
      <c r="U502" s="351"/>
      <c r="V502" s="351"/>
      <c r="W502" s="351"/>
      <c r="X502" s="351"/>
      <c r="Y502" s="351"/>
    </row>
    <row r="503" spans="1:25">
      <c r="A503" s="448"/>
      <c r="B503" s="940" t="s">
        <v>662</v>
      </c>
      <c r="C503" s="941"/>
      <c r="D503" s="556" t="e">
        <f>D428</f>
        <v>#REF!</v>
      </c>
      <c r="E503" s="726" t="e">
        <f t="shared" ref="E503:J503" si="161">E428</f>
        <v>#REF!</v>
      </c>
      <c r="F503" s="726" t="e">
        <f t="shared" si="161"/>
        <v>#REF!</v>
      </c>
      <c r="G503" s="726" t="e">
        <f t="shared" si="161"/>
        <v>#REF!</v>
      </c>
      <c r="H503" s="726" t="e">
        <f t="shared" si="161"/>
        <v>#REF!</v>
      </c>
      <c r="I503" s="726" t="e">
        <f t="shared" si="161"/>
        <v>#REF!</v>
      </c>
      <c r="J503" s="726" t="e">
        <f t="shared" si="161"/>
        <v>#REF!</v>
      </c>
      <c r="K503" s="351"/>
      <c r="L503" s="351"/>
      <c r="M503" s="351"/>
      <c r="N503" s="351"/>
      <c r="O503" s="351"/>
      <c r="P503" s="351"/>
      <c r="Q503" s="351"/>
      <c r="R503" s="351"/>
      <c r="S503" s="351"/>
      <c r="T503" s="351"/>
      <c r="U503" s="351"/>
      <c r="V503" s="351"/>
      <c r="W503" s="351"/>
      <c r="X503" s="351"/>
      <c r="Y503" s="351"/>
    </row>
    <row r="504" spans="1:25">
      <c r="A504" s="448"/>
      <c r="B504" s="910" t="s">
        <v>663</v>
      </c>
      <c r="C504" s="909"/>
      <c r="D504" s="559" t="e">
        <f t="shared" ref="D504:J504" si="162">IF(D15&gt;0,IF(D57&gt;0,IF((D180-D179)&gt;0,D57/(D180-D179),0),"-ve"),0)</f>
        <v>#REF!</v>
      </c>
      <c r="E504" s="728" t="e">
        <f t="shared" si="162"/>
        <v>#REF!</v>
      </c>
      <c r="F504" s="728" t="e">
        <f t="shared" si="162"/>
        <v>#REF!</v>
      </c>
      <c r="G504" s="728" t="e">
        <f t="shared" si="162"/>
        <v>#REF!</v>
      </c>
      <c r="H504" s="728" t="e">
        <f t="shared" si="162"/>
        <v>#REF!</v>
      </c>
      <c r="I504" s="728" t="e">
        <f t="shared" si="162"/>
        <v>#REF!</v>
      </c>
      <c r="J504" s="728" t="e">
        <f t="shared" si="162"/>
        <v>#REF!</v>
      </c>
      <c r="K504" s="533"/>
      <c r="L504" s="533"/>
      <c r="M504" s="351"/>
      <c r="N504" s="351"/>
      <c r="O504" s="351"/>
      <c r="P504" s="351"/>
      <c r="Q504" s="351"/>
      <c r="R504" s="351"/>
      <c r="S504" s="351"/>
      <c r="T504" s="351"/>
      <c r="U504" s="351"/>
      <c r="V504" s="351"/>
      <c r="W504" s="351"/>
      <c r="X504" s="351"/>
      <c r="Y504" s="351"/>
    </row>
    <row r="505" spans="1:25">
      <c r="A505" s="448"/>
      <c r="B505" s="910" t="s">
        <v>664</v>
      </c>
      <c r="C505" s="909"/>
      <c r="D505" s="557" t="e">
        <f>IF(D15&gt;0,(D40+D45)/D15,0)</f>
        <v>#REF!</v>
      </c>
      <c r="E505" s="727" t="e">
        <f t="shared" ref="E505:J505" si="163">IF(E15&gt;0,(E40+E45)/E15,0)</f>
        <v>#REF!</v>
      </c>
      <c r="F505" s="727">
        <f t="shared" si="163"/>
        <v>0.88924172863051465</v>
      </c>
      <c r="G505" s="727">
        <f t="shared" si="163"/>
        <v>0.8846063938336689</v>
      </c>
      <c r="H505" s="727">
        <f t="shared" si="163"/>
        <v>0.88525670576935434</v>
      </c>
      <c r="I505" s="727">
        <f t="shared" si="163"/>
        <v>0.88522400476265106</v>
      </c>
      <c r="J505" s="727">
        <f t="shared" si="163"/>
        <v>0.88544120339064103</v>
      </c>
      <c r="K505" s="432"/>
      <c r="L505" s="432"/>
      <c r="M505" s="351"/>
      <c r="N505" s="351"/>
      <c r="O505" s="351"/>
      <c r="P505" s="351"/>
      <c r="Q505" s="351"/>
      <c r="R505" s="351"/>
      <c r="S505" s="351"/>
      <c r="T505" s="351"/>
      <c r="U505" s="351"/>
      <c r="V505" s="351"/>
      <c r="W505" s="351"/>
      <c r="X505" s="351"/>
      <c r="Y505" s="351"/>
    </row>
    <row r="506" spans="1:25">
      <c r="A506" s="448"/>
      <c r="B506" s="910" t="s">
        <v>665</v>
      </c>
      <c r="C506" s="909"/>
      <c r="D506" s="557" t="e">
        <f>D438</f>
        <v>#REF!</v>
      </c>
      <c r="E506" s="727" t="e">
        <f t="shared" ref="E506:J506" si="164">E438</f>
        <v>#REF!</v>
      </c>
      <c r="F506" s="727" t="e">
        <f t="shared" si="164"/>
        <v>#REF!</v>
      </c>
      <c r="G506" s="727" t="e">
        <f t="shared" si="164"/>
        <v>#REF!</v>
      </c>
      <c r="H506" s="727" t="e">
        <f t="shared" si="164"/>
        <v>#REF!</v>
      </c>
      <c r="I506" s="727" t="e">
        <f t="shared" si="164"/>
        <v>#REF!</v>
      </c>
      <c r="J506" s="727" t="e">
        <f t="shared" si="164"/>
        <v>#REF!</v>
      </c>
      <c r="K506" s="555"/>
      <c r="L506" s="555"/>
      <c r="M506" s="351"/>
      <c r="N506" s="351"/>
      <c r="O506" s="351"/>
      <c r="P506" s="351"/>
      <c r="Q506" s="351"/>
      <c r="R506" s="351"/>
      <c r="S506" s="351"/>
      <c r="T506" s="351"/>
      <c r="U506" s="351"/>
      <c r="V506" s="351"/>
      <c r="W506" s="351"/>
      <c r="X506" s="351"/>
      <c r="Y506" s="351"/>
    </row>
    <row r="507" spans="1:25">
      <c r="A507" s="448"/>
      <c r="B507" s="910" t="s">
        <v>666</v>
      </c>
      <c r="C507" s="909"/>
      <c r="D507" s="561" t="e">
        <f>D437</f>
        <v>#REF!</v>
      </c>
      <c r="E507" s="729" t="e">
        <f t="shared" ref="E507:J507" si="165">E437</f>
        <v>#REF!</v>
      </c>
      <c r="F507" s="729">
        <f t="shared" si="165"/>
        <v>110.32823166870915</v>
      </c>
      <c r="G507" s="729">
        <f t="shared" si="165"/>
        <v>110.27983310857525</v>
      </c>
      <c r="H507" s="729">
        <f t="shared" si="165"/>
        <v>110.40674406828704</v>
      </c>
      <c r="I507" s="729">
        <f t="shared" si="165"/>
        <v>110.48719386332948</v>
      </c>
      <c r="J507" s="729">
        <f t="shared" si="165"/>
        <v>110.48719386332948</v>
      </c>
      <c r="K507" s="555"/>
      <c r="L507" s="555"/>
      <c r="M507" s="351"/>
      <c r="N507" s="351"/>
      <c r="O507" s="351"/>
      <c r="P507" s="351"/>
      <c r="Q507" s="351"/>
      <c r="R507" s="351"/>
      <c r="S507" s="351"/>
      <c r="T507" s="351"/>
      <c r="U507" s="351"/>
      <c r="V507" s="351"/>
      <c r="W507" s="351"/>
      <c r="X507" s="351"/>
      <c r="Y507" s="351"/>
    </row>
    <row r="508" spans="1:25">
      <c r="A508" s="550"/>
      <c r="B508" s="928" t="s">
        <v>667</v>
      </c>
      <c r="C508" s="929"/>
      <c r="D508" s="557" t="e">
        <f>IF(D160&gt;0,D183/D160,0)</f>
        <v>#REF!</v>
      </c>
      <c r="E508" s="730" t="e">
        <f t="shared" ref="E508:J508" si="166">IF(E160&gt;0,E183/E160,0)</f>
        <v>#REF!</v>
      </c>
      <c r="F508" s="730" t="e">
        <f t="shared" si="166"/>
        <v>#REF!</v>
      </c>
      <c r="G508" s="730" t="e">
        <f t="shared" si="166"/>
        <v>#REF!</v>
      </c>
      <c r="H508" s="730" t="e">
        <f t="shared" si="166"/>
        <v>#REF!</v>
      </c>
      <c r="I508" s="730" t="e">
        <f t="shared" si="166"/>
        <v>#REF!</v>
      </c>
      <c r="J508" s="730" t="e">
        <f t="shared" si="166"/>
        <v>#REF!</v>
      </c>
      <c r="K508" s="555"/>
      <c r="L508" s="555"/>
      <c r="M508" s="351"/>
      <c r="N508" s="351"/>
      <c r="O508" s="351"/>
      <c r="P508" s="351"/>
      <c r="Q508" s="351"/>
      <c r="R508" s="351"/>
      <c r="S508" s="351"/>
      <c r="T508" s="351"/>
      <c r="U508" s="351"/>
      <c r="V508" s="351"/>
      <c r="W508" s="351"/>
      <c r="X508" s="351"/>
      <c r="Y508" s="351"/>
    </row>
    <row r="509" spans="1:25">
      <c r="A509" s="356"/>
      <c r="B509" s="357"/>
      <c r="C509" s="357"/>
      <c r="D509" s="358"/>
      <c r="E509" s="358"/>
      <c r="F509" s="358"/>
      <c r="G509" s="358"/>
      <c r="H509" s="351"/>
      <c r="I509" s="351"/>
      <c r="J509" s="351"/>
      <c r="K509" s="558"/>
      <c r="L509" s="558"/>
      <c r="M509" s="351"/>
      <c r="N509" s="351"/>
      <c r="O509" s="351"/>
      <c r="P509" s="351"/>
      <c r="Q509" s="351"/>
      <c r="R509" s="351"/>
      <c r="S509" s="351"/>
      <c r="T509" s="351"/>
      <c r="U509" s="351"/>
      <c r="V509" s="351"/>
      <c r="W509" s="351"/>
      <c r="X509" s="351"/>
      <c r="Y509" s="351"/>
    </row>
    <row r="510" spans="1:25">
      <c r="A510" s="356"/>
      <c r="B510" s="351"/>
      <c r="C510" s="351"/>
      <c r="K510" s="558"/>
      <c r="L510" s="558"/>
      <c r="M510" s="351"/>
      <c r="N510" s="351"/>
      <c r="O510" s="351"/>
      <c r="P510" s="351"/>
      <c r="Q510" s="351"/>
      <c r="R510" s="351"/>
      <c r="S510" s="351"/>
      <c r="T510" s="351"/>
      <c r="U510" s="351"/>
      <c r="V510" s="351"/>
      <c r="W510" s="351"/>
      <c r="X510" s="351"/>
      <c r="Y510" s="351"/>
    </row>
    <row r="511" spans="1:25">
      <c r="K511" s="555"/>
      <c r="L511" s="555"/>
      <c r="M511" s="351"/>
      <c r="N511" s="351"/>
      <c r="O511" s="351"/>
      <c r="P511" s="351"/>
      <c r="Q511" s="351"/>
      <c r="R511" s="351"/>
      <c r="S511" s="351"/>
      <c r="T511" s="351"/>
      <c r="U511" s="351"/>
      <c r="V511" s="351"/>
      <c r="W511" s="351"/>
      <c r="X511" s="351"/>
      <c r="Y511" s="351"/>
    </row>
    <row r="512" spans="1:25">
      <c r="K512" s="558"/>
      <c r="L512" s="558"/>
      <c r="M512" s="351"/>
      <c r="N512" s="351"/>
      <c r="O512" s="351"/>
      <c r="P512" s="351"/>
      <c r="Q512" s="351"/>
      <c r="R512" s="351"/>
      <c r="S512" s="351"/>
      <c r="T512" s="351"/>
      <c r="U512" s="351"/>
      <c r="V512" s="351"/>
      <c r="W512" s="351"/>
      <c r="X512" s="351"/>
      <c r="Y512" s="351"/>
    </row>
    <row r="513" spans="2:25">
      <c r="B513" s="931" t="s">
        <v>668</v>
      </c>
      <c r="C513" s="932"/>
      <c r="D513" s="932"/>
      <c r="E513" s="932"/>
      <c r="F513" s="932"/>
      <c r="G513" s="933"/>
      <c r="K513" s="555"/>
      <c r="L513" s="555"/>
      <c r="M513" s="351"/>
      <c r="N513" s="351"/>
      <c r="O513" s="351"/>
      <c r="P513" s="351"/>
      <c r="Q513" s="351"/>
      <c r="R513" s="351"/>
      <c r="S513" s="351"/>
      <c r="T513" s="351"/>
      <c r="U513" s="351"/>
      <c r="V513" s="351"/>
      <c r="W513" s="351"/>
      <c r="X513" s="351"/>
      <c r="Y513" s="351"/>
    </row>
    <row r="514" spans="2:25">
      <c r="B514" s="934"/>
      <c r="C514" s="935"/>
      <c r="D514" s="935"/>
      <c r="E514" s="935"/>
      <c r="F514" s="935"/>
      <c r="G514" s="936"/>
      <c r="K514" s="558"/>
      <c r="L514" s="558"/>
      <c r="M514" s="351"/>
      <c r="N514" s="351"/>
      <c r="O514" s="351"/>
      <c r="P514" s="351"/>
      <c r="Q514" s="351"/>
      <c r="R514" s="351"/>
      <c r="S514" s="351"/>
      <c r="T514" s="351"/>
      <c r="U514" s="351"/>
      <c r="V514" s="351"/>
      <c r="W514" s="351"/>
      <c r="X514" s="351"/>
      <c r="Y514" s="351"/>
    </row>
    <row r="515" spans="2:25">
      <c r="B515" s="934"/>
      <c r="C515" s="935"/>
      <c r="D515" s="935"/>
      <c r="E515" s="935"/>
      <c r="F515" s="935"/>
      <c r="G515" s="936"/>
      <c r="K515" s="555"/>
      <c r="L515" s="555"/>
      <c r="M515" s="351"/>
      <c r="N515" s="351"/>
      <c r="O515" s="351"/>
      <c r="P515" s="351"/>
      <c r="Q515" s="351"/>
      <c r="R515" s="351"/>
      <c r="S515" s="351"/>
      <c r="T515" s="351"/>
      <c r="U515" s="351"/>
      <c r="V515" s="351"/>
      <c r="W515" s="351"/>
      <c r="X515" s="351"/>
      <c r="Y515" s="351"/>
    </row>
    <row r="516" spans="2:25">
      <c r="B516" s="934"/>
      <c r="C516" s="935"/>
      <c r="D516" s="935"/>
      <c r="E516" s="935"/>
      <c r="F516" s="935"/>
      <c r="G516" s="936"/>
      <c r="K516" s="555"/>
      <c r="L516" s="555"/>
      <c r="M516" s="351"/>
      <c r="N516" s="351"/>
      <c r="O516" s="351"/>
      <c r="P516" s="351"/>
      <c r="Q516" s="351"/>
      <c r="R516" s="351"/>
      <c r="S516" s="351"/>
      <c r="T516" s="351"/>
      <c r="U516" s="351"/>
      <c r="V516" s="351"/>
      <c r="W516" s="351"/>
      <c r="X516" s="351"/>
      <c r="Y516" s="351"/>
    </row>
    <row r="517" spans="2:25">
      <c r="B517" s="934"/>
      <c r="C517" s="935"/>
      <c r="D517" s="935"/>
      <c r="E517" s="935"/>
      <c r="F517" s="935"/>
      <c r="G517" s="936"/>
      <c r="K517" s="555"/>
      <c r="L517" s="555"/>
      <c r="M517" s="351"/>
      <c r="N517" s="351"/>
      <c r="O517" s="351"/>
      <c r="P517" s="351"/>
      <c r="Q517" s="351"/>
      <c r="R517" s="351"/>
      <c r="S517" s="351"/>
      <c r="T517" s="351"/>
      <c r="U517" s="351"/>
      <c r="V517" s="351"/>
      <c r="W517" s="351"/>
      <c r="X517" s="351"/>
      <c r="Y517" s="351"/>
    </row>
    <row r="518" spans="2:25">
      <c r="B518" s="934"/>
      <c r="C518" s="935"/>
      <c r="D518" s="935"/>
      <c r="E518" s="935"/>
      <c r="F518" s="935"/>
      <c r="G518" s="936"/>
      <c r="K518" s="555"/>
      <c r="L518" s="555"/>
      <c r="M518" s="351"/>
      <c r="N518" s="351"/>
      <c r="O518" s="351"/>
      <c r="P518" s="351"/>
      <c r="Q518" s="351"/>
      <c r="R518" s="351"/>
      <c r="S518" s="351"/>
      <c r="T518" s="351"/>
      <c r="U518" s="351"/>
      <c r="V518" s="351"/>
      <c r="W518" s="351"/>
      <c r="X518" s="351"/>
      <c r="Y518" s="351"/>
    </row>
    <row r="519" spans="2:25">
      <c r="B519" s="937"/>
      <c r="C519" s="938"/>
      <c r="D519" s="938"/>
      <c r="E519" s="938"/>
      <c r="F519" s="938"/>
      <c r="G519" s="939"/>
      <c r="K519" s="555"/>
      <c r="L519" s="555"/>
      <c r="M519" s="351"/>
      <c r="N519" s="351"/>
      <c r="O519" s="351"/>
      <c r="P519" s="351"/>
      <c r="Q519" s="351"/>
      <c r="R519" s="351"/>
      <c r="S519" s="351"/>
      <c r="T519" s="351"/>
      <c r="U519" s="351"/>
      <c r="V519" s="351"/>
      <c r="W519" s="351"/>
      <c r="X519" s="351"/>
      <c r="Y519" s="351"/>
    </row>
    <row r="520" spans="2:25">
      <c r="K520" s="555"/>
      <c r="L520" s="555"/>
      <c r="M520" s="351"/>
      <c r="N520" s="351"/>
      <c r="O520" s="351"/>
      <c r="P520" s="351"/>
      <c r="Q520" s="351"/>
      <c r="R520" s="351"/>
      <c r="S520" s="351"/>
      <c r="T520" s="351"/>
      <c r="U520" s="351"/>
      <c r="V520" s="351"/>
      <c r="W520" s="351"/>
      <c r="X520" s="351"/>
      <c r="Y520" s="351"/>
    </row>
    <row r="521" spans="2:25">
      <c r="K521" s="560"/>
      <c r="L521" s="560"/>
      <c r="M521" s="351"/>
      <c r="N521" s="351"/>
      <c r="O521" s="351"/>
      <c r="P521" s="351"/>
      <c r="Q521" s="351"/>
      <c r="R521" s="351"/>
      <c r="S521" s="351"/>
      <c r="T521" s="351"/>
      <c r="U521" s="351"/>
      <c r="V521" s="351"/>
      <c r="W521" s="351"/>
      <c r="X521" s="351"/>
      <c r="Y521" s="351"/>
    </row>
    <row r="522" spans="2:25">
      <c r="K522" s="558"/>
      <c r="L522" s="558"/>
      <c r="M522" s="351"/>
      <c r="N522" s="351"/>
      <c r="O522" s="351"/>
      <c r="P522" s="351"/>
      <c r="Q522" s="351"/>
      <c r="R522" s="351"/>
      <c r="S522" s="351"/>
      <c r="T522" s="351"/>
      <c r="U522" s="351"/>
      <c r="V522" s="351"/>
      <c r="W522" s="351"/>
      <c r="X522" s="351"/>
      <c r="Y522" s="351"/>
    </row>
    <row r="523" spans="2:25">
      <c r="K523" s="558"/>
      <c r="L523" s="558"/>
      <c r="M523" s="351"/>
      <c r="N523" s="351"/>
      <c r="O523" s="351"/>
      <c r="P523" s="351"/>
      <c r="Q523" s="351"/>
      <c r="R523" s="351"/>
      <c r="S523" s="351"/>
      <c r="T523" s="351"/>
      <c r="U523" s="351"/>
      <c r="V523" s="351"/>
      <c r="W523" s="351"/>
      <c r="X523" s="351"/>
      <c r="Y523" s="351"/>
    </row>
    <row r="524" spans="2:25">
      <c r="K524" s="562"/>
      <c r="L524" s="562"/>
      <c r="M524" s="351"/>
      <c r="N524" s="351"/>
      <c r="O524" s="351"/>
      <c r="P524" s="351"/>
      <c r="Q524" s="351"/>
      <c r="R524" s="351"/>
      <c r="S524" s="351"/>
      <c r="T524" s="351"/>
      <c r="U524" s="351"/>
      <c r="V524" s="351"/>
      <c r="W524" s="351"/>
      <c r="X524" s="351"/>
      <c r="Y524" s="351"/>
    </row>
    <row r="525" spans="2:25">
      <c r="K525" s="558"/>
      <c r="L525" s="558"/>
      <c r="M525" s="351"/>
      <c r="N525" s="351"/>
      <c r="O525" s="351"/>
      <c r="P525" s="351"/>
      <c r="Q525" s="351"/>
      <c r="R525" s="351"/>
      <c r="S525" s="351"/>
      <c r="T525" s="351"/>
      <c r="U525" s="351"/>
      <c r="V525" s="351"/>
      <c r="W525" s="351"/>
      <c r="X525" s="351"/>
      <c r="Y525" s="351"/>
    </row>
    <row r="526" spans="2:25">
      <c r="K526" s="351"/>
      <c r="L526" s="351"/>
      <c r="M526" s="351"/>
      <c r="N526" s="351"/>
      <c r="O526" s="351"/>
      <c r="P526" s="351"/>
      <c r="Q526" s="351"/>
      <c r="R526" s="351"/>
      <c r="S526" s="351"/>
      <c r="T526" s="351"/>
      <c r="U526" s="351"/>
      <c r="V526" s="351"/>
      <c r="W526" s="351"/>
      <c r="X526" s="351"/>
      <c r="Y526" s="351"/>
    </row>
  </sheetData>
  <mergeCells count="137">
    <mergeCell ref="B231:C231"/>
    <mergeCell ref="B232:C232"/>
    <mergeCell ref="A1:J1"/>
    <mergeCell ref="A3:J3"/>
    <mergeCell ref="B5:J5"/>
    <mergeCell ref="A77:J77"/>
    <mergeCell ref="B7:C7"/>
    <mergeCell ref="B8:C8"/>
    <mergeCell ref="B9:C9"/>
    <mergeCell ref="B198:C198"/>
    <mergeCell ref="B501:C501"/>
    <mergeCell ref="B500:C500"/>
    <mergeCell ref="B507:C507"/>
    <mergeCell ref="B502:C502"/>
    <mergeCell ref="B513:G519"/>
    <mergeCell ref="B503:C503"/>
    <mergeCell ref="B504:C504"/>
    <mergeCell ref="B505:C505"/>
    <mergeCell ref="B506:C506"/>
    <mergeCell ref="B508:C508"/>
    <mergeCell ref="B499:C499"/>
    <mergeCell ref="B493:C493"/>
    <mergeCell ref="B494:C494"/>
    <mergeCell ref="B490:C490"/>
    <mergeCell ref="B491:C491"/>
    <mergeCell ref="B492:C492"/>
    <mergeCell ref="B497:C497"/>
    <mergeCell ref="B498:C498"/>
    <mergeCell ref="B495:C495"/>
    <mergeCell ref="B496:C496"/>
    <mergeCell ref="B489:C489"/>
    <mergeCell ref="B438:C438"/>
    <mergeCell ref="B439:C439"/>
    <mergeCell ref="B458:C458"/>
    <mergeCell ref="B449:C449"/>
    <mergeCell ref="B450:C450"/>
    <mergeCell ref="A483:J483"/>
    <mergeCell ref="D485:G485"/>
    <mergeCell ref="B454:C454"/>
    <mergeCell ref="B455:C455"/>
    <mergeCell ref="B429:C429"/>
    <mergeCell ref="B307:C307"/>
    <mergeCell ref="B238:C238"/>
    <mergeCell ref="B239:C239"/>
    <mergeCell ref="A274:J274"/>
    <mergeCell ref="A343:J343"/>
    <mergeCell ref="A413:J413"/>
    <mergeCell ref="B293:C293"/>
    <mergeCell ref="B297:C297"/>
    <mergeCell ref="B440:C440"/>
    <mergeCell ref="B446:C446"/>
    <mergeCell ref="B435:C435"/>
    <mergeCell ref="B437:C437"/>
    <mergeCell ref="B236:C236"/>
    <mergeCell ref="B308:C308"/>
    <mergeCell ref="B313:C313"/>
    <mergeCell ref="B288:C288"/>
    <mergeCell ref="B304:C304"/>
    <mergeCell ref="B315:C315"/>
    <mergeCell ref="L213:M213"/>
    <mergeCell ref="L214:M214"/>
    <mergeCell ref="B216:C216"/>
    <mergeCell ref="B235:C235"/>
    <mergeCell ref="B229:C229"/>
    <mergeCell ref="B230:C230"/>
    <mergeCell ref="B233:C233"/>
    <mergeCell ref="B234:C234"/>
    <mergeCell ref="B227:C227"/>
    <mergeCell ref="B228:C228"/>
    <mergeCell ref="L211:M211"/>
    <mergeCell ref="B205:C205"/>
    <mergeCell ref="A208:G208"/>
    <mergeCell ref="L212:M212"/>
    <mergeCell ref="L210:M210"/>
    <mergeCell ref="B206:C206"/>
    <mergeCell ref="B201:C201"/>
    <mergeCell ref="B202:C202"/>
    <mergeCell ref="B204:C204"/>
    <mergeCell ref="B225:C225"/>
    <mergeCell ref="L219:Q219"/>
    <mergeCell ref="B219:C219"/>
    <mergeCell ref="B222:C222"/>
    <mergeCell ref="B223:C223"/>
    <mergeCell ref="B220:C220"/>
    <mergeCell ref="B221:C221"/>
    <mergeCell ref="B226:C226"/>
    <mergeCell ref="B224:C224"/>
    <mergeCell ref="B217:C217"/>
    <mergeCell ref="B218:C218"/>
    <mergeCell ref="B194:C194"/>
    <mergeCell ref="B179:C179"/>
    <mergeCell ref="B196:C196"/>
    <mergeCell ref="B197:C197"/>
    <mergeCell ref="B200:C200"/>
    <mergeCell ref="B203:C203"/>
    <mergeCell ref="B195:C195"/>
    <mergeCell ref="B183:C183"/>
    <mergeCell ref="B193:C193"/>
    <mergeCell ref="B180:C180"/>
    <mergeCell ref="B178:C178"/>
    <mergeCell ref="B181:C181"/>
    <mergeCell ref="B182:C182"/>
    <mergeCell ref="B160:C160"/>
    <mergeCell ref="B161:C161"/>
    <mergeCell ref="B175:C175"/>
    <mergeCell ref="B176:C176"/>
    <mergeCell ref="B162:C162"/>
    <mergeCell ref="B163:C163"/>
    <mergeCell ref="B165:C165"/>
    <mergeCell ref="B177:C177"/>
    <mergeCell ref="B150:C150"/>
    <mergeCell ref="B166:C166"/>
    <mergeCell ref="B167:C167"/>
    <mergeCell ref="B156:C156"/>
    <mergeCell ref="B157:C157"/>
    <mergeCell ref="B172:C172"/>
    <mergeCell ref="B169:C169"/>
    <mergeCell ref="B158:C158"/>
    <mergeCell ref="B159:C159"/>
    <mergeCell ref="A78:J78"/>
    <mergeCell ref="A137:J137"/>
    <mergeCell ref="B146:C146"/>
    <mergeCell ref="B147:C147"/>
    <mergeCell ref="B144:C144"/>
    <mergeCell ref="B145:C145"/>
    <mergeCell ref="B143:C143"/>
    <mergeCell ref="A138:J138"/>
    <mergeCell ref="B148:C148"/>
    <mergeCell ref="B173:C173"/>
    <mergeCell ref="B168:C168"/>
    <mergeCell ref="B153:C153"/>
    <mergeCell ref="B154:C154"/>
    <mergeCell ref="B155:C155"/>
    <mergeCell ref="B149:C149"/>
    <mergeCell ref="B151:C151"/>
    <mergeCell ref="B152:C152"/>
    <mergeCell ref="B171:C171"/>
  </mergeCells>
  <phoneticPr fontId="2" type="noConversion"/>
  <conditionalFormatting sqref="N211:U213 D181:L181">
    <cfRule type="cellIs" dxfId="0" priority="1" stopIfTrue="1" operator="notEqual">
      <formula>0</formula>
    </cfRule>
  </conditionalFormatting>
  <dataValidations count="2">
    <dataValidation type="decimal" operator="notEqual" allowBlank="1" showInputMessage="1" showErrorMessage="1" sqref="D72:L76 D38:L64 D145:L184 D11:L36 D199:L206">
      <formula1>-10000000000</formula1>
    </dataValidation>
    <dataValidation type="decimal" operator="notEqual" allowBlank="1" showInputMessage="1" showErrorMessage="1" sqref="C98 C96 D84:L109 D111:L116">
      <formula1>-1000000000</formula1>
    </dataValidation>
  </dataValidations>
  <printOptions horizontalCentered="1"/>
  <pageMargins left="0.5" right="0.25" top="0.35" bottom="0.25" header="0" footer="0"/>
  <pageSetup scale="79" orientation="portrait" verticalDpi="0" r:id="rId1"/>
  <headerFooter alignWithMargins="0"/>
  <colBreaks count="1" manualBreakCount="1">
    <brk id="10" max="1048575" man="1"/>
  </colBreaks>
  <ignoredErrors>
    <ignoredError sqref="E97:J97 E90:J90 E96:J96 E92 E85:J85 G7:J8 F8" unlockedFormula="1"/>
  </ignoredErrors>
  <legacyDrawing r:id="rId2"/>
</worksheet>
</file>

<file path=xl/worksheets/sheet2.xml><?xml version="1.0" encoding="utf-8"?>
<worksheet xmlns="http://schemas.openxmlformats.org/spreadsheetml/2006/main" xmlns:r="http://schemas.openxmlformats.org/officeDocument/2006/relationships">
  <sheetPr codeName="Sheet3">
    <pageSetUpPr fitToPage="1"/>
  </sheetPr>
  <dimension ref="A1:L257"/>
  <sheetViews>
    <sheetView workbookViewId="0">
      <selection activeCell="G7" sqref="G7"/>
    </sheetView>
  </sheetViews>
  <sheetFormatPr defaultRowHeight="13.5"/>
  <cols>
    <col min="1" max="1" width="7" style="1" bestFit="1" customWidth="1"/>
    <col min="2" max="2" width="35.28515625" style="1" customWidth="1"/>
    <col min="3" max="3" width="24.42578125" style="1" bestFit="1" customWidth="1"/>
    <col min="4" max="4" width="2.28515625" style="1" bestFit="1" customWidth="1"/>
    <col min="5" max="5" width="6.28515625" style="1" bestFit="1" customWidth="1"/>
    <col min="6" max="6" width="7.140625" style="1" bestFit="1" customWidth="1"/>
    <col min="7" max="7" width="9.85546875" style="1" bestFit="1" customWidth="1"/>
    <col min="8" max="8" width="5.85546875" style="1" bestFit="1" customWidth="1"/>
    <col min="9" max="9" width="8.85546875" style="1" bestFit="1" customWidth="1"/>
    <col min="10" max="16384" width="9.140625" style="1"/>
  </cols>
  <sheetData>
    <row r="1" spans="1:12" ht="23.25">
      <c r="A1" s="779" t="e">
        <f>+COSTOFPROJECT!A1</f>
        <v>#REF!</v>
      </c>
    </row>
    <row r="2" spans="1:12" ht="15.75" thickBot="1">
      <c r="E2" s="29"/>
      <c r="F2" s="29"/>
    </row>
    <row r="3" spans="1:12">
      <c r="A3" s="802" t="s">
        <v>228</v>
      </c>
      <c r="B3" s="803"/>
      <c r="C3" s="803"/>
      <c r="D3" s="803"/>
      <c r="E3" s="803"/>
      <c r="F3" s="803"/>
      <c r="G3" s="804"/>
    </row>
    <row r="4" spans="1:12">
      <c r="A4" s="30"/>
      <c r="B4" s="31"/>
      <c r="C4" s="31"/>
      <c r="D4" s="31"/>
      <c r="E4" s="31"/>
      <c r="F4" s="31"/>
      <c r="G4" s="32"/>
    </row>
    <row r="5" spans="1:12">
      <c r="A5" s="9" t="s">
        <v>196</v>
      </c>
      <c r="B5" s="33" t="s">
        <v>152</v>
      </c>
      <c r="C5" s="38"/>
      <c r="D5" s="24"/>
      <c r="E5" s="35" t="s">
        <v>210</v>
      </c>
      <c r="F5" s="35" t="s">
        <v>197</v>
      </c>
      <c r="G5" s="36" t="s">
        <v>198</v>
      </c>
      <c r="H5" s="37"/>
      <c r="I5" s="37"/>
    </row>
    <row r="6" spans="1:12">
      <c r="A6" s="9"/>
      <c r="B6" s="11"/>
      <c r="C6" s="38"/>
      <c r="D6" s="34"/>
      <c r="E6" s="10"/>
      <c r="F6" s="35"/>
      <c r="G6" s="36"/>
      <c r="H6" s="37"/>
      <c r="I6" s="37"/>
    </row>
    <row r="7" spans="1:12" ht="15">
      <c r="A7" s="28">
        <v>1</v>
      </c>
      <c r="B7" s="42" t="s">
        <v>275</v>
      </c>
      <c r="C7" s="38"/>
      <c r="D7" s="34"/>
      <c r="E7" s="35">
        <v>0</v>
      </c>
      <c r="F7" s="35">
        <v>0</v>
      </c>
      <c r="G7" s="36">
        <f>E7*F7</f>
        <v>0</v>
      </c>
      <c r="H7" s="37"/>
      <c r="I7" s="37"/>
    </row>
    <row r="8" spans="1:12">
      <c r="A8" s="28"/>
      <c r="B8" s="43"/>
      <c r="C8" s="38"/>
      <c r="D8" s="38"/>
      <c r="E8" s="38" t="s">
        <v>161</v>
      </c>
      <c r="F8" s="34"/>
      <c r="G8" s="36">
        <v>0</v>
      </c>
      <c r="H8" s="37"/>
      <c r="I8" s="37"/>
    </row>
    <row r="9" spans="1:12">
      <c r="A9" s="28"/>
      <c r="B9" s="43"/>
      <c r="C9" s="38"/>
      <c r="D9" s="38"/>
      <c r="E9" s="38"/>
      <c r="F9" s="34"/>
      <c r="G9" s="36"/>
      <c r="H9" s="37"/>
      <c r="I9" s="37"/>
    </row>
    <row r="10" spans="1:12" ht="15">
      <c r="A10" s="28">
        <v>2</v>
      </c>
      <c r="B10" s="42" t="s">
        <v>729</v>
      </c>
      <c r="C10" s="44"/>
      <c r="D10" s="24"/>
      <c r="E10" s="10"/>
      <c r="F10" s="10"/>
      <c r="G10" s="18"/>
    </row>
    <row r="11" spans="1:12">
      <c r="A11" s="28"/>
      <c r="B11" s="43" t="s">
        <v>276</v>
      </c>
      <c r="C11" s="44"/>
      <c r="D11" s="24"/>
      <c r="E11" s="805">
        <v>10000</v>
      </c>
      <c r="F11" s="805">
        <v>12</v>
      </c>
      <c r="G11" s="808">
        <f>E11*F11</f>
        <v>120000</v>
      </c>
    </row>
    <row r="12" spans="1:12">
      <c r="A12" s="28"/>
      <c r="B12" s="43" t="s">
        <v>277</v>
      </c>
      <c r="C12" s="773" t="s">
        <v>694</v>
      </c>
      <c r="D12" s="24"/>
      <c r="E12" s="806"/>
      <c r="F12" s="806"/>
      <c r="G12" s="809"/>
      <c r="H12" s="795" t="s">
        <v>733</v>
      </c>
      <c r="I12" s="795"/>
      <c r="J12" s="795"/>
      <c r="K12" s="795"/>
      <c r="L12" s="795"/>
    </row>
    <row r="13" spans="1:12">
      <c r="A13" s="39"/>
      <c r="B13" s="1" t="s">
        <v>695</v>
      </c>
      <c r="C13" s="44"/>
      <c r="D13" s="24"/>
      <c r="E13" s="807"/>
      <c r="F13" s="807"/>
      <c r="G13" s="810"/>
    </row>
    <row r="14" spans="1:12">
      <c r="A14" s="39"/>
      <c r="B14" s="11"/>
      <c r="C14" s="44"/>
      <c r="D14" s="24"/>
      <c r="E14" s="10"/>
      <c r="F14" s="10"/>
      <c r="G14" s="18"/>
    </row>
    <row r="15" spans="1:12">
      <c r="A15" s="39"/>
      <c r="B15" s="11"/>
      <c r="C15" s="44"/>
      <c r="D15" s="24"/>
      <c r="E15" s="10"/>
      <c r="F15" s="10"/>
      <c r="G15" s="18"/>
    </row>
    <row r="16" spans="1:12" ht="14.25" thickBot="1">
      <c r="A16" s="19"/>
      <c r="B16" s="21"/>
      <c r="C16" s="45"/>
      <c r="D16" s="46"/>
      <c r="E16" s="20"/>
      <c r="F16" s="20" t="s">
        <v>161</v>
      </c>
      <c r="G16" s="794">
        <f>G11+G13</f>
        <v>120000</v>
      </c>
    </row>
    <row r="257" spans="7:7">
      <c r="G257" s="1" t="s">
        <v>272</v>
      </c>
    </row>
  </sheetData>
  <mergeCells count="4">
    <mergeCell ref="A3:G3"/>
    <mergeCell ref="E11:E13"/>
    <mergeCell ref="F11:F13"/>
    <mergeCell ref="G11:G13"/>
  </mergeCells>
  <phoneticPr fontId="0" type="noConversion"/>
  <pageMargins left="0.75" right="0.75" top="1" bottom="1" header="0.5" footer="0.5"/>
  <pageSetup scale="98"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4"/>
  <dimension ref="A1:G30"/>
  <sheetViews>
    <sheetView topLeftCell="A2" workbookViewId="0">
      <selection activeCell="D5" sqref="D5"/>
    </sheetView>
  </sheetViews>
  <sheetFormatPr defaultRowHeight="13.5"/>
  <cols>
    <col min="1" max="1" width="7" style="1" bestFit="1" customWidth="1"/>
    <col min="2" max="2" width="50.7109375" style="1" customWidth="1"/>
    <col min="3" max="3" width="6.140625" style="1" bestFit="1" customWidth="1"/>
    <col min="4" max="4" width="10" style="1" bestFit="1" customWidth="1"/>
    <col min="5" max="5" width="14.85546875" style="1" customWidth="1"/>
    <col min="6" max="6" width="9.140625" style="1"/>
    <col min="7" max="7" width="11" style="1" bestFit="1" customWidth="1"/>
    <col min="8" max="16384" width="9.140625" style="1"/>
  </cols>
  <sheetData>
    <row r="1" spans="1:5" ht="23.25">
      <c r="A1" s="779" t="e">
        <f>+LANDBLDG!A1</f>
        <v>#REF!</v>
      </c>
      <c r="C1" s="5"/>
    </row>
    <row r="2" spans="1:5" ht="15">
      <c r="A2" s="811" t="s">
        <v>199</v>
      </c>
      <c r="B2" s="812"/>
      <c r="C2" s="812"/>
      <c r="D2" s="812"/>
      <c r="E2" s="813"/>
    </row>
    <row r="3" spans="1:5">
      <c r="A3" s="68"/>
      <c r="B3" s="69"/>
      <c r="C3" s="69"/>
      <c r="D3" s="69"/>
      <c r="E3" s="70"/>
    </row>
    <row r="4" spans="1:5">
      <c r="A4" s="35" t="s">
        <v>196</v>
      </c>
      <c r="B4" s="35" t="s">
        <v>200</v>
      </c>
      <c r="C4" s="35" t="s">
        <v>201</v>
      </c>
      <c r="D4" s="35" t="s">
        <v>197</v>
      </c>
      <c r="E4" s="35" t="s">
        <v>198</v>
      </c>
    </row>
    <row r="5" spans="1:5">
      <c r="A5" s="57">
        <v>1</v>
      </c>
      <c r="B5" s="774" t="s">
        <v>702</v>
      </c>
      <c r="C5" s="57">
        <v>1</v>
      </c>
      <c r="D5" s="57"/>
      <c r="E5" s="775">
        <v>500000</v>
      </c>
    </row>
    <row r="6" spans="1:5">
      <c r="A6" s="48">
        <v>2</v>
      </c>
      <c r="B6" s="774" t="s">
        <v>703</v>
      </c>
      <c r="C6" s="49">
        <v>1</v>
      </c>
      <c r="D6" s="49"/>
      <c r="E6" s="50">
        <v>197000</v>
      </c>
    </row>
    <row r="7" spans="1:5">
      <c r="A7" s="48">
        <v>3</v>
      </c>
      <c r="B7" s="774" t="s">
        <v>704</v>
      </c>
      <c r="C7" s="49">
        <v>1</v>
      </c>
      <c r="D7" s="49"/>
      <c r="E7" s="50">
        <v>155000</v>
      </c>
    </row>
    <row r="8" spans="1:5">
      <c r="A8" s="48">
        <v>4</v>
      </c>
      <c r="B8" s="774" t="s">
        <v>705</v>
      </c>
      <c r="C8" s="49">
        <v>1</v>
      </c>
      <c r="D8" s="49"/>
      <c r="E8" s="50">
        <v>47000</v>
      </c>
    </row>
    <row r="9" spans="1:5">
      <c r="A9" s="48">
        <v>5</v>
      </c>
      <c r="B9" s="1" t="s">
        <v>706</v>
      </c>
      <c r="C9" s="49">
        <v>1</v>
      </c>
      <c r="D9" s="49"/>
      <c r="E9" s="50">
        <v>47000</v>
      </c>
    </row>
    <row r="10" spans="1:5">
      <c r="A10" s="48">
        <v>6</v>
      </c>
      <c r="B10" s="774" t="s">
        <v>707</v>
      </c>
      <c r="C10" s="49">
        <v>1</v>
      </c>
      <c r="D10" s="49"/>
      <c r="E10" s="50">
        <v>150000</v>
      </c>
    </row>
    <row r="11" spans="1:5">
      <c r="A11" s="48">
        <v>7</v>
      </c>
      <c r="B11" s="774" t="s">
        <v>708</v>
      </c>
      <c r="C11" s="49">
        <v>1</v>
      </c>
      <c r="D11" s="51"/>
      <c r="E11" s="50">
        <v>100000</v>
      </c>
    </row>
    <row r="12" spans="1:5">
      <c r="A12" s="48">
        <v>8</v>
      </c>
      <c r="B12" s="774" t="s">
        <v>709</v>
      </c>
      <c r="C12" s="49">
        <v>1</v>
      </c>
      <c r="D12" s="51"/>
      <c r="E12" s="50">
        <v>35000</v>
      </c>
    </row>
    <row r="13" spans="1:5">
      <c r="A13" s="48">
        <v>9</v>
      </c>
      <c r="B13" s="774" t="s">
        <v>710</v>
      </c>
      <c r="C13" s="49">
        <v>1</v>
      </c>
      <c r="D13" s="51"/>
      <c r="E13" s="50">
        <v>350000</v>
      </c>
    </row>
    <row r="14" spans="1:5">
      <c r="A14" s="48">
        <v>10</v>
      </c>
      <c r="B14" s="774" t="s">
        <v>711</v>
      </c>
      <c r="C14" s="49"/>
      <c r="D14" s="51"/>
      <c r="E14" s="50">
        <v>100000</v>
      </c>
    </row>
    <row r="15" spans="1:5">
      <c r="A15" s="48"/>
      <c r="B15" s="774"/>
      <c r="C15" s="49"/>
      <c r="D15" s="51"/>
      <c r="E15" s="50"/>
    </row>
    <row r="16" spans="1:5">
      <c r="A16" s="48"/>
      <c r="B16" s="774"/>
      <c r="C16" s="49"/>
      <c r="D16" s="51"/>
      <c r="E16" s="50"/>
    </row>
    <row r="17" spans="1:7">
      <c r="A17" s="48"/>
      <c r="B17" s="774"/>
      <c r="C17" s="49"/>
      <c r="D17" s="51"/>
      <c r="E17" s="50"/>
    </row>
    <row r="18" spans="1:7">
      <c r="A18" s="48"/>
      <c r="B18" s="774"/>
      <c r="C18" s="49"/>
      <c r="D18" s="51"/>
      <c r="E18" s="50"/>
    </row>
    <row r="19" spans="1:7">
      <c r="A19" s="48"/>
      <c r="B19" s="774"/>
      <c r="C19" s="787"/>
      <c r="D19" s="51"/>
      <c r="E19" s="50"/>
    </row>
    <row r="20" spans="1:7">
      <c r="A20" s="48"/>
      <c r="B20" s="774"/>
      <c r="C20" s="49"/>
      <c r="D20" s="51"/>
      <c r="E20" s="50"/>
    </row>
    <row r="21" spans="1:7">
      <c r="A21" s="48"/>
      <c r="B21" s="774"/>
      <c r="C21" s="49"/>
      <c r="D21" s="51"/>
      <c r="E21" s="50"/>
    </row>
    <row r="22" spans="1:7">
      <c r="A22" s="48"/>
      <c r="B22" s="774"/>
      <c r="C22" s="49"/>
      <c r="D22" s="51"/>
      <c r="E22" s="50"/>
    </row>
    <row r="23" spans="1:7">
      <c r="A23" s="48"/>
      <c r="B23" s="774"/>
      <c r="C23" s="49"/>
      <c r="D23" s="51"/>
      <c r="E23" s="50"/>
    </row>
    <row r="24" spans="1:7">
      <c r="A24" s="48"/>
      <c r="B24" s="774"/>
      <c r="C24" s="49"/>
      <c r="D24" s="51"/>
      <c r="E24" s="50"/>
    </row>
    <row r="25" spans="1:7">
      <c r="A25" s="48"/>
      <c r="B25" s="774"/>
      <c r="C25" s="49"/>
      <c r="D25" s="51"/>
      <c r="E25" s="50"/>
    </row>
    <row r="26" spans="1:7">
      <c r="A26" s="48"/>
      <c r="B26" s="774"/>
      <c r="C26" s="49"/>
      <c r="D26" s="51"/>
      <c r="E26" s="50"/>
    </row>
    <row r="27" spans="1:7">
      <c r="A27" s="48"/>
      <c r="B27" s="774"/>
      <c r="C27" s="49"/>
      <c r="D27" s="51"/>
      <c r="E27" s="50"/>
      <c r="G27" s="776"/>
    </row>
    <row r="28" spans="1:7">
      <c r="A28" s="55"/>
      <c r="B28" s="52"/>
      <c r="C28" s="49"/>
      <c r="D28" s="49"/>
      <c r="E28" s="53"/>
    </row>
    <row r="29" spans="1:7" ht="16.5">
      <c r="A29" s="35"/>
      <c r="B29" s="56" t="s">
        <v>208</v>
      </c>
      <c r="C29" s="35"/>
      <c r="D29" s="47"/>
      <c r="E29" s="66">
        <f>SUM(E5:E14)</f>
        <v>1681000</v>
      </c>
    </row>
    <row r="30" spans="1:7" ht="16.5">
      <c r="A30" s="55"/>
      <c r="B30" s="67" t="s">
        <v>161</v>
      </c>
      <c r="C30" s="55"/>
      <c r="D30" s="47"/>
      <c r="E30" s="66">
        <f>+E29</f>
        <v>1681000</v>
      </c>
    </row>
  </sheetData>
  <mergeCells count="1">
    <mergeCell ref="A2:E2"/>
  </mergeCells>
  <phoneticPr fontId="0" type="noConversion"/>
  <pageMargins left="0.74803149606299213" right="0.74803149606299213" top="0.98425196850393704" bottom="0.98425196850393704" header="0.51181102362204722" footer="0.51181102362204722"/>
  <pageSetup paperSize="9" scale="95" orientation="portrait" horizontalDpi="4294967294" verticalDpi="300" r:id="rId1"/>
  <headerFooter alignWithMargins="0"/>
</worksheet>
</file>

<file path=xl/worksheets/sheet4.xml><?xml version="1.0" encoding="utf-8"?>
<worksheet xmlns="http://schemas.openxmlformats.org/spreadsheetml/2006/main" xmlns:r="http://schemas.openxmlformats.org/officeDocument/2006/relationships">
  <dimension ref="A1:F13"/>
  <sheetViews>
    <sheetView workbookViewId="0">
      <selection activeCell="I9" sqref="I9"/>
    </sheetView>
  </sheetViews>
  <sheetFormatPr defaultRowHeight="13.5"/>
  <cols>
    <col min="1" max="1" width="9.140625" style="1"/>
    <col min="2" max="2" width="31.28515625" style="1" customWidth="1"/>
    <col min="3" max="3" width="10" style="1" bestFit="1" customWidth="1"/>
    <col min="4" max="4" width="13.5703125" style="1" bestFit="1" customWidth="1"/>
    <col min="5" max="5" width="12.85546875" style="1" bestFit="1" customWidth="1"/>
    <col min="6" max="6" width="13.5703125" style="1" bestFit="1" customWidth="1"/>
    <col min="7" max="16384" width="9.140625" style="1"/>
  </cols>
  <sheetData>
    <row r="1" spans="1:6" ht="23.25">
      <c r="A1" s="779" t="e">
        <f>+'PLANT&amp;MACHINERY'!A1</f>
        <v>#REF!</v>
      </c>
    </row>
    <row r="2" spans="1:6" ht="15">
      <c r="A2" s="29"/>
    </row>
    <row r="3" spans="1:6" ht="15">
      <c r="A3" s="29" t="s">
        <v>285</v>
      </c>
      <c r="B3" s="29"/>
      <c r="C3" s="29"/>
      <c r="D3" s="29"/>
      <c r="E3" s="29"/>
      <c r="F3" s="29"/>
    </row>
    <row r="4" spans="1:6" ht="15">
      <c r="E4" s="814" t="s">
        <v>271</v>
      </c>
      <c r="F4" s="814"/>
    </row>
    <row r="5" spans="1:6" ht="27">
      <c r="A5" s="73" t="s">
        <v>286</v>
      </c>
      <c r="B5" s="72" t="s">
        <v>250</v>
      </c>
      <c r="C5" s="73" t="s">
        <v>287</v>
      </c>
      <c r="D5" s="73" t="s">
        <v>288</v>
      </c>
      <c r="E5" s="73" t="s">
        <v>289</v>
      </c>
      <c r="F5" s="73" t="s">
        <v>290</v>
      </c>
    </row>
    <row r="6" spans="1:6">
      <c r="A6" s="58"/>
      <c r="B6" s="31"/>
      <c r="C6" s="58"/>
      <c r="D6" s="58"/>
      <c r="E6" s="58"/>
      <c r="F6" s="58"/>
    </row>
    <row r="7" spans="1:6">
      <c r="A7" s="48">
        <v>1</v>
      </c>
      <c r="B7" s="65" t="s">
        <v>85</v>
      </c>
      <c r="C7" s="59">
        <v>0.25</v>
      </c>
      <c r="D7" s="53">
        <f>'PLANT&amp;MACHINERY'!E30</f>
        <v>1681000</v>
      </c>
      <c r="E7" s="60">
        <f>D7*C7</f>
        <v>420250</v>
      </c>
      <c r="F7" s="61">
        <f>ROUND(D7-E7,-3)</f>
        <v>1261000</v>
      </c>
    </row>
    <row r="8" spans="1:6">
      <c r="A8" s="58"/>
      <c r="B8" s="52"/>
      <c r="C8" s="59"/>
      <c r="D8" s="53"/>
      <c r="E8" s="61"/>
      <c r="F8" s="61"/>
    </row>
    <row r="9" spans="1:6">
      <c r="A9" s="58"/>
      <c r="B9" s="52"/>
      <c r="C9" s="59"/>
      <c r="D9" s="53"/>
      <c r="E9" s="61"/>
      <c r="F9" s="61"/>
    </row>
    <row r="10" spans="1:6">
      <c r="A10" s="58"/>
      <c r="B10" s="52"/>
      <c r="C10" s="59"/>
      <c r="D10" s="53"/>
      <c r="E10" s="61"/>
      <c r="F10" s="61"/>
    </row>
    <row r="11" spans="1:6">
      <c r="A11" s="58"/>
      <c r="B11" s="31"/>
      <c r="C11" s="58"/>
      <c r="D11" s="58"/>
      <c r="E11" s="61"/>
      <c r="F11" s="61"/>
    </row>
    <row r="12" spans="1:6">
      <c r="A12" s="58"/>
      <c r="B12" s="31" t="s">
        <v>161</v>
      </c>
      <c r="C12" s="58"/>
      <c r="D12" s="58"/>
      <c r="E12" s="61"/>
      <c r="F12" s="61">
        <f>SUM(F7:F11)</f>
        <v>1261000</v>
      </c>
    </row>
    <row r="13" spans="1:6">
      <c r="A13" s="10"/>
      <c r="B13" s="44" t="s">
        <v>291</v>
      </c>
      <c r="C13" s="44"/>
      <c r="D13" s="44"/>
      <c r="E13" s="62"/>
      <c r="F13" s="63">
        <f>F12</f>
        <v>1261000</v>
      </c>
    </row>
  </sheetData>
  <mergeCells count="1">
    <mergeCell ref="E4:F4"/>
  </mergeCells>
  <phoneticPr fontId="0"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H35"/>
  <sheetViews>
    <sheetView workbookViewId="0">
      <selection activeCell="D14" sqref="D14"/>
    </sheetView>
  </sheetViews>
  <sheetFormatPr defaultRowHeight="16.5"/>
  <cols>
    <col min="1" max="1" width="10.42578125" style="40" customWidth="1"/>
    <col min="2" max="2" width="15.5703125" style="40" customWidth="1"/>
    <col min="3" max="3" width="12.7109375" style="40" customWidth="1"/>
    <col min="4" max="4" width="13" style="40" customWidth="1"/>
    <col min="5" max="5" width="12.140625" style="40" customWidth="1"/>
    <col min="6" max="16384" width="9.140625" style="40"/>
  </cols>
  <sheetData>
    <row r="1" spans="1:8" ht="23.25">
      <c r="A1" s="818" t="e">
        <f>+'PLANT&amp;MACHINERY'!A1</f>
        <v>#REF!</v>
      </c>
      <c r="B1" s="818"/>
      <c r="C1" s="818"/>
      <c r="D1" s="818"/>
      <c r="E1" s="818"/>
      <c r="F1" s="818"/>
      <c r="G1" s="818"/>
      <c r="H1" s="818"/>
    </row>
    <row r="2" spans="1:8">
      <c r="A2" s="815" t="s">
        <v>50</v>
      </c>
      <c r="B2" s="816"/>
      <c r="C2" s="816"/>
      <c r="D2" s="816"/>
      <c r="E2" s="816"/>
      <c r="F2" s="816"/>
      <c r="G2" s="816"/>
      <c r="H2" s="817"/>
    </row>
    <row r="3" spans="1:8">
      <c r="A3" s="78"/>
      <c r="B3" s="41"/>
      <c r="C3" s="41"/>
      <c r="D3" s="41"/>
      <c r="E3" s="41"/>
      <c r="F3" s="41"/>
      <c r="G3" s="41"/>
      <c r="H3" s="79"/>
    </row>
    <row r="4" spans="1:8">
      <c r="A4" s="80" t="s">
        <v>356</v>
      </c>
      <c r="B4" s="41"/>
      <c r="C4" s="41"/>
      <c r="D4" s="41"/>
      <c r="E4" s="41"/>
      <c r="F4" s="41"/>
      <c r="G4" s="41"/>
      <c r="H4" s="79"/>
    </row>
    <row r="5" spans="1:8">
      <c r="A5" s="81"/>
      <c r="B5" s="41"/>
      <c r="C5" s="41"/>
      <c r="D5" s="41"/>
      <c r="E5" s="41"/>
      <c r="F5" s="41"/>
      <c r="G5" s="41"/>
      <c r="H5" s="79"/>
    </row>
    <row r="6" spans="1:8">
      <c r="A6" s="82" t="s">
        <v>357</v>
      </c>
      <c r="B6" s="41"/>
      <c r="C6" s="41"/>
      <c r="D6" s="41"/>
      <c r="E6" s="41"/>
      <c r="F6" s="41"/>
      <c r="G6" s="41"/>
      <c r="H6" s="79"/>
    </row>
    <row r="7" spans="1:8">
      <c r="A7" s="83"/>
      <c r="B7" s="84"/>
      <c r="C7" s="84"/>
      <c r="D7" s="84"/>
      <c r="E7" s="84"/>
      <c r="F7" s="41"/>
      <c r="G7" s="41"/>
      <c r="H7" s="79"/>
    </row>
    <row r="8" spans="1:8">
      <c r="A8" s="85" t="s">
        <v>292</v>
      </c>
      <c r="B8" s="84" t="s">
        <v>713</v>
      </c>
      <c r="C8" s="84"/>
      <c r="D8" s="84"/>
      <c r="E8" s="84"/>
      <c r="F8" s="41"/>
      <c r="G8" s="41"/>
      <c r="H8" s="79"/>
    </row>
    <row r="9" spans="1:8">
      <c r="A9" s="83"/>
      <c r="B9" s="84"/>
      <c r="C9" s="84"/>
      <c r="D9" s="84"/>
      <c r="E9" s="84"/>
      <c r="F9" s="41"/>
      <c r="G9" s="41"/>
      <c r="H9" s="79"/>
    </row>
    <row r="10" spans="1:8">
      <c r="A10" s="83"/>
      <c r="B10" s="84"/>
      <c r="C10" s="84"/>
      <c r="D10" s="84"/>
      <c r="E10" s="84"/>
      <c r="F10" s="41"/>
      <c r="G10" s="41"/>
      <c r="H10" s="79"/>
    </row>
    <row r="11" spans="1:8">
      <c r="A11" s="83"/>
      <c r="B11" s="84"/>
      <c r="C11" s="84"/>
      <c r="D11" s="84"/>
      <c r="E11" s="84"/>
      <c r="F11" s="41"/>
      <c r="G11" s="41"/>
      <c r="H11" s="79"/>
    </row>
    <row r="12" spans="1:8">
      <c r="A12" s="83" t="s">
        <v>358</v>
      </c>
      <c r="B12" s="84"/>
      <c r="C12" s="84" t="s">
        <v>714</v>
      </c>
      <c r="D12" s="84" t="s">
        <v>715</v>
      </c>
      <c r="F12" s="41"/>
      <c r="G12" s="41"/>
      <c r="H12" s="79"/>
    </row>
    <row r="13" spans="1:8">
      <c r="A13" s="83"/>
      <c r="B13" s="84"/>
      <c r="C13" s="84">
        <v>750</v>
      </c>
      <c r="D13" s="84" t="s">
        <v>712</v>
      </c>
      <c r="E13" s="84"/>
      <c r="F13" s="41"/>
      <c r="G13" s="41"/>
      <c r="H13" s="79"/>
    </row>
    <row r="14" spans="1:8">
      <c r="A14" s="83"/>
      <c r="B14" s="84"/>
      <c r="C14" s="84" t="s">
        <v>271</v>
      </c>
      <c r="D14" s="84"/>
      <c r="E14" s="84"/>
      <c r="F14" s="41"/>
      <c r="G14" s="41"/>
      <c r="H14" s="79"/>
    </row>
    <row r="15" spans="1:8">
      <c r="A15" s="83"/>
      <c r="B15" s="84"/>
      <c r="C15" s="86" t="s">
        <v>271</v>
      </c>
      <c r="D15" s="84"/>
      <c r="E15" s="84"/>
      <c r="F15" s="41"/>
      <c r="G15" s="41"/>
      <c r="H15" s="79"/>
    </row>
    <row r="16" spans="1:8">
      <c r="A16" s="83" t="s">
        <v>359</v>
      </c>
      <c r="B16" s="84"/>
      <c r="C16" s="84">
        <v>9000</v>
      </c>
      <c r="D16" s="84" t="s">
        <v>712</v>
      </c>
      <c r="E16" s="84"/>
      <c r="F16" s="41"/>
      <c r="G16" s="41"/>
      <c r="H16" s="79"/>
    </row>
    <row r="17" spans="1:8">
      <c r="A17" s="83"/>
      <c r="B17" s="84"/>
      <c r="C17" s="84"/>
      <c r="D17" s="84"/>
      <c r="E17" s="84"/>
      <c r="F17" s="41"/>
      <c r="G17" s="41"/>
      <c r="H17" s="79"/>
    </row>
    <row r="18" spans="1:8">
      <c r="A18" s="85" t="s">
        <v>689</v>
      </c>
      <c r="B18" s="84"/>
      <c r="C18" s="41"/>
      <c r="D18" s="84"/>
      <c r="E18" s="87">
        <f>C16</f>
        <v>9000</v>
      </c>
      <c r="F18" s="88" t="s">
        <v>712</v>
      </c>
      <c r="G18" s="41"/>
      <c r="H18" s="79"/>
    </row>
    <row r="19" spans="1:8">
      <c r="A19" s="89"/>
      <c r="B19" s="84"/>
      <c r="C19" s="88"/>
      <c r="D19" s="84"/>
      <c r="E19" s="84"/>
      <c r="F19" s="41"/>
      <c r="G19" s="41"/>
      <c r="H19" s="79"/>
    </row>
    <row r="20" spans="1:8">
      <c r="A20" s="90"/>
      <c r="B20" s="84"/>
      <c r="C20" s="84"/>
      <c r="D20" s="84"/>
      <c r="E20" s="84"/>
      <c r="F20" s="41"/>
      <c r="G20" s="41"/>
      <c r="H20" s="79"/>
    </row>
    <row r="21" spans="1:8">
      <c r="A21" s="89"/>
      <c r="B21" s="84"/>
      <c r="C21" s="84"/>
      <c r="D21" s="84"/>
      <c r="E21" s="84"/>
      <c r="F21" s="41"/>
      <c r="G21" s="41"/>
      <c r="H21" s="79"/>
    </row>
    <row r="22" spans="1:8">
      <c r="A22" s="91"/>
      <c r="B22" s="84"/>
      <c r="C22" s="84"/>
      <c r="D22" s="84"/>
      <c r="E22" s="84"/>
      <c r="F22" s="41"/>
      <c r="G22" s="41"/>
      <c r="H22" s="79"/>
    </row>
    <row r="23" spans="1:8">
      <c r="A23" s="89"/>
      <c r="B23" s="84"/>
      <c r="C23" s="84"/>
      <c r="D23" s="84"/>
      <c r="E23" s="84"/>
      <c r="F23" s="41"/>
      <c r="G23" s="41"/>
      <c r="H23" s="79"/>
    </row>
    <row r="24" spans="1:8">
      <c r="A24" s="89"/>
      <c r="B24" s="84"/>
      <c r="C24" s="84"/>
      <c r="D24" s="84"/>
      <c r="E24" s="84"/>
      <c r="F24" s="41"/>
      <c r="G24" s="41"/>
      <c r="H24" s="79"/>
    </row>
    <row r="25" spans="1:8">
      <c r="A25" s="89"/>
      <c r="B25" s="84"/>
      <c r="C25" s="84"/>
      <c r="D25" s="84"/>
      <c r="E25" s="84"/>
      <c r="F25" s="41"/>
      <c r="G25" s="41"/>
      <c r="H25" s="79"/>
    </row>
    <row r="26" spans="1:8">
      <c r="A26" s="89"/>
      <c r="B26" s="84"/>
      <c r="C26" s="84"/>
      <c r="D26" s="84"/>
      <c r="E26" s="84"/>
      <c r="F26" s="41"/>
      <c r="G26" s="41"/>
      <c r="H26" s="79"/>
    </row>
    <row r="27" spans="1:8">
      <c r="A27" s="89"/>
      <c r="B27" s="84"/>
      <c r="C27" s="84"/>
      <c r="D27" s="84"/>
      <c r="E27" s="84"/>
      <c r="F27" s="41"/>
      <c r="G27" s="41"/>
      <c r="H27" s="79"/>
    </row>
    <row r="28" spans="1:8">
      <c r="A28" s="89"/>
      <c r="B28" s="84"/>
      <c r="C28" s="84"/>
      <c r="D28" s="84"/>
      <c r="E28" s="84"/>
      <c r="F28" s="41"/>
      <c r="G28" s="41"/>
      <c r="H28" s="79"/>
    </row>
    <row r="29" spans="1:8">
      <c r="A29" s="89"/>
      <c r="B29" s="84"/>
      <c r="C29" s="84"/>
      <c r="D29" s="84"/>
      <c r="E29" s="84"/>
      <c r="F29" s="41"/>
      <c r="G29" s="41"/>
      <c r="H29" s="79"/>
    </row>
    <row r="30" spans="1:8">
      <c r="A30" s="89"/>
      <c r="B30" s="84"/>
      <c r="C30" s="84"/>
      <c r="D30" s="84"/>
      <c r="E30" s="84"/>
      <c r="F30" s="41"/>
      <c r="G30" s="41"/>
      <c r="H30" s="79"/>
    </row>
    <row r="31" spans="1:8">
      <c r="A31" s="89"/>
      <c r="B31" s="88"/>
      <c r="C31" s="88"/>
      <c r="D31" s="84"/>
      <c r="E31" s="84"/>
      <c r="F31" s="41"/>
      <c r="G31" s="87"/>
      <c r="H31" s="79"/>
    </row>
    <row r="32" spans="1:8">
      <c r="A32" s="92"/>
      <c r="B32" s="93"/>
      <c r="C32" s="94"/>
      <c r="D32" s="94"/>
      <c r="E32" s="94"/>
      <c r="F32" s="93"/>
      <c r="G32" s="93"/>
      <c r="H32" s="95"/>
    </row>
    <row r="33" spans="1:4">
      <c r="A33" s="41"/>
      <c r="B33" s="41"/>
      <c r="C33" s="41"/>
      <c r="D33" s="41"/>
    </row>
    <row r="34" spans="1:4">
      <c r="A34" s="41"/>
      <c r="B34" s="41"/>
      <c r="C34" s="41"/>
      <c r="D34" s="41"/>
    </row>
    <row r="35" spans="1:4">
      <c r="A35" s="41"/>
      <c r="B35" s="41"/>
      <c r="C35" s="41"/>
      <c r="D35" s="41"/>
    </row>
  </sheetData>
  <mergeCells count="2">
    <mergeCell ref="A2:H2"/>
    <mergeCell ref="A1:H1"/>
  </mergeCells>
  <phoneticPr fontId="0" type="noConversion"/>
  <printOptions horizontalCentered="1"/>
  <pageMargins left="0.74803149606299213" right="0.74803149606299213" top="0.98425196850393704" bottom="0.98425196850393704" header="0.51181102362204722" footer="0.51181102362204722"/>
  <pageSetup paperSize="9" scale="96" orientation="portrait" horizontalDpi="4294967295" verticalDpi="300"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F45"/>
  <sheetViews>
    <sheetView workbookViewId="0">
      <selection activeCell="I1" sqref="I1"/>
    </sheetView>
  </sheetViews>
  <sheetFormatPr defaultRowHeight="13.5"/>
  <cols>
    <col min="1" max="1" width="9.140625" style="1"/>
    <col min="2" max="2" width="32.85546875" style="1" bestFit="1" customWidth="1"/>
    <col min="3" max="3" width="11.42578125" style="1" bestFit="1" customWidth="1"/>
    <col min="4" max="4" width="5.28515625" style="1" bestFit="1" customWidth="1"/>
    <col min="5" max="5" width="14.85546875" style="1" bestFit="1" customWidth="1"/>
    <col min="6" max="6" width="14.85546875" style="1" customWidth="1"/>
    <col min="7" max="7" width="2.7109375" style="1" customWidth="1"/>
    <col min="8" max="16384" width="9.140625" style="1"/>
  </cols>
  <sheetData>
    <row r="1" spans="1:6" s="31" customFormat="1" ht="23.25">
      <c r="A1" s="784" t="e">
        <f>+INSTCAPACITY!A1</f>
        <v>#REF!</v>
      </c>
      <c r="B1" s="144"/>
      <c r="C1" s="144"/>
      <c r="D1" s="144"/>
      <c r="E1" s="144"/>
      <c r="F1" s="144"/>
    </row>
    <row r="2" spans="1:6" ht="15">
      <c r="A2" s="120"/>
      <c r="B2" s="120"/>
      <c r="C2" s="120"/>
      <c r="D2" s="120"/>
      <c r="E2" s="120"/>
      <c r="F2" s="120"/>
    </row>
    <row r="3" spans="1:6" ht="16.5">
      <c r="A3" s="819" t="s">
        <v>156</v>
      </c>
      <c r="B3" s="819"/>
      <c r="C3" s="819"/>
      <c r="D3" s="819"/>
      <c r="E3" s="819"/>
      <c r="F3" s="819"/>
    </row>
    <row r="4" spans="1:6">
      <c r="A4" s="35" t="s">
        <v>154</v>
      </c>
      <c r="B4" s="10" t="s">
        <v>155</v>
      </c>
      <c r="C4" s="10" t="s">
        <v>293</v>
      </c>
      <c r="D4" s="10" t="s">
        <v>153</v>
      </c>
      <c r="E4" s="10" t="s">
        <v>365</v>
      </c>
      <c r="F4" s="10" t="s">
        <v>273</v>
      </c>
    </row>
    <row r="5" spans="1:6">
      <c r="A5" s="128">
        <v>1</v>
      </c>
      <c r="B5" s="126" t="s">
        <v>690</v>
      </c>
      <c r="C5" s="127">
        <f>INSTCAPACITY!E18</f>
        <v>9000</v>
      </c>
      <c r="D5" s="128" t="s">
        <v>58</v>
      </c>
      <c r="E5" s="133">
        <v>3200</v>
      </c>
      <c r="F5" s="133">
        <f>E5*C5/100000</f>
        <v>288</v>
      </c>
    </row>
    <row r="6" spans="1:6">
      <c r="A6" s="134"/>
      <c r="B6" s="129" t="s">
        <v>271</v>
      </c>
      <c r="C6" s="129"/>
      <c r="D6" s="129"/>
      <c r="E6" s="129"/>
      <c r="F6" s="135"/>
    </row>
    <row r="7" spans="1:6">
      <c r="A7" s="134" t="s">
        <v>271</v>
      </c>
      <c r="B7" s="129" t="s">
        <v>271</v>
      </c>
      <c r="C7" s="130">
        <f>+INSTCAPACITY!C31</f>
        <v>0</v>
      </c>
      <c r="D7" s="131" t="s">
        <v>271</v>
      </c>
      <c r="E7" s="130">
        <v>0</v>
      </c>
      <c r="F7" s="130">
        <f>E7*C7/100000</f>
        <v>0</v>
      </c>
    </row>
    <row r="8" spans="1:6">
      <c r="A8" s="134"/>
      <c r="B8" s="129"/>
      <c r="C8" s="130"/>
      <c r="D8" s="130"/>
      <c r="E8" s="130"/>
      <c r="F8" s="130"/>
    </row>
    <row r="9" spans="1:6">
      <c r="A9" s="134" t="s">
        <v>271</v>
      </c>
      <c r="B9" s="129" t="s">
        <v>271</v>
      </c>
      <c r="C9" s="130">
        <f>+INSTCAPACITY!D31</f>
        <v>0</v>
      </c>
      <c r="D9" s="131" t="s">
        <v>271</v>
      </c>
      <c r="E9" s="130">
        <v>0</v>
      </c>
      <c r="F9" s="130">
        <f>E9*C9/100000</f>
        <v>0</v>
      </c>
    </row>
    <row r="10" spans="1:6">
      <c r="A10" s="136"/>
      <c r="B10" s="132"/>
      <c r="C10" s="132"/>
      <c r="D10" s="132"/>
      <c r="E10" s="132"/>
      <c r="F10" s="137"/>
    </row>
    <row r="11" spans="1:6">
      <c r="A11" s="10"/>
      <c r="B11" s="10" t="s">
        <v>59</v>
      </c>
      <c r="C11" s="10">
        <f>C5+C7+C9</f>
        <v>9000</v>
      </c>
      <c r="D11" s="10"/>
      <c r="E11" s="10"/>
      <c r="F11" s="118">
        <f>F5+F7+F9</f>
        <v>288</v>
      </c>
    </row>
    <row r="12" spans="1:6">
      <c r="A12" s="74"/>
      <c r="B12" s="31"/>
      <c r="C12" s="31"/>
      <c r="D12" s="31"/>
      <c r="E12" s="31"/>
      <c r="F12" s="138"/>
    </row>
    <row r="13" spans="1:6">
      <c r="A13" s="139" t="s">
        <v>60</v>
      </c>
      <c r="B13" s="140"/>
      <c r="C13" s="140"/>
      <c r="D13" s="140"/>
      <c r="E13" s="140"/>
      <c r="F13" s="141">
        <f>F11</f>
        <v>288</v>
      </c>
    </row>
    <row r="14" spans="1:6">
      <c r="A14" s="30"/>
      <c r="B14" s="31"/>
      <c r="C14" s="31"/>
      <c r="D14" s="31"/>
      <c r="E14" s="31"/>
      <c r="F14" s="31"/>
    </row>
    <row r="15" spans="1:6" ht="15">
      <c r="A15" s="96"/>
      <c r="B15" s="97"/>
      <c r="C15" s="97"/>
      <c r="D15" s="97"/>
      <c r="E15" s="97"/>
      <c r="F15" s="121" t="s">
        <v>222</v>
      </c>
    </row>
    <row r="16" spans="1:6" ht="16.5">
      <c r="A16" s="819" t="s">
        <v>239</v>
      </c>
      <c r="B16" s="819"/>
      <c r="C16" s="819"/>
      <c r="D16" s="819"/>
      <c r="E16" s="819"/>
      <c r="F16" s="819"/>
    </row>
    <row r="17" spans="1:6">
      <c r="A17" s="35" t="s">
        <v>13</v>
      </c>
      <c r="B17" s="35" t="s">
        <v>61</v>
      </c>
      <c r="C17" s="35" t="s">
        <v>62</v>
      </c>
      <c r="D17" s="35" t="s">
        <v>153</v>
      </c>
      <c r="E17" s="35" t="s">
        <v>731</v>
      </c>
      <c r="F17" s="35" t="s">
        <v>63</v>
      </c>
    </row>
    <row r="18" spans="1:6">
      <c r="A18" s="48"/>
      <c r="B18" s="58"/>
      <c r="C18" s="58" t="s">
        <v>271</v>
      </c>
      <c r="D18" s="58"/>
      <c r="E18" s="58"/>
      <c r="F18" s="58"/>
    </row>
    <row r="19" spans="1:6">
      <c r="A19" s="48">
        <v>1</v>
      </c>
      <c r="B19" s="58" t="s">
        <v>716</v>
      </c>
      <c r="C19" s="61">
        <f>250*9000</f>
        <v>2250000</v>
      </c>
      <c r="D19" s="58" t="s">
        <v>294</v>
      </c>
      <c r="E19" s="58">
        <v>5.5</v>
      </c>
      <c r="F19" s="61">
        <f t="shared" ref="F19:F24" si="0">C19*E19/100000</f>
        <v>123.75</v>
      </c>
    </row>
    <row r="20" spans="1:6">
      <c r="A20" s="48">
        <v>2</v>
      </c>
      <c r="B20" s="58" t="s">
        <v>717</v>
      </c>
      <c r="C20" s="61">
        <f>200*9000</f>
        <v>1800000</v>
      </c>
      <c r="D20" s="58" t="s">
        <v>718</v>
      </c>
      <c r="E20" s="107">
        <v>0.7</v>
      </c>
      <c r="F20" s="61">
        <f t="shared" si="0"/>
        <v>12.6</v>
      </c>
    </row>
    <row r="21" spans="1:6">
      <c r="A21" s="48">
        <v>3</v>
      </c>
      <c r="B21" s="58" t="s">
        <v>719</v>
      </c>
      <c r="C21" s="106">
        <f>350*9000</f>
        <v>3150000</v>
      </c>
      <c r="D21" s="58" t="s">
        <v>718</v>
      </c>
      <c r="E21" s="107">
        <v>1.3</v>
      </c>
      <c r="F21" s="61">
        <f t="shared" si="0"/>
        <v>40.950000000000003</v>
      </c>
    </row>
    <row r="22" spans="1:6">
      <c r="A22" s="48">
        <v>4</v>
      </c>
      <c r="B22" s="58" t="s">
        <v>720</v>
      </c>
      <c r="C22" s="792">
        <f>1.5*9000</f>
        <v>13500</v>
      </c>
      <c r="D22" s="58" t="s">
        <v>721</v>
      </c>
      <c r="E22" s="107">
        <v>110</v>
      </c>
      <c r="F22" s="61">
        <f t="shared" si="0"/>
        <v>14.85</v>
      </c>
    </row>
    <row r="23" spans="1:6">
      <c r="A23" s="48">
        <v>5</v>
      </c>
      <c r="B23" s="58" t="s">
        <v>722</v>
      </c>
      <c r="C23" s="58">
        <f>1.5*9000</f>
        <v>13500</v>
      </c>
      <c r="D23" s="58" t="s">
        <v>718</v>
      </c>
      <c r="E23" s="58">
        <v>110</v>
      </c>
      <c r="F23" s="61">
        <f t="shared" si="0"/>
        <v>14.85</v>
      </c>
    </row>
    <row r="24" spans="1:6">
      <c r="A24" s="48">
        <v>6</v>
      </c>
      <c r="B24" s="107" t="s">
        <v>723</v>
      </c>
      <c r="C24" s="58">
        <f>250*9000</f>
        <v>2250000</v>
      </c>
      <c r="D24" s="58" t="s">
        <v>721</v>
      </c>
      <c r="E24" s="58">
        <v>0.2</v>
      </c>
      <c r="F24" s="61">
        <f t="shared" si="0"/>
        <v>4.5</v>
      </c>
    </row>
    <row r="25" spans="1:6">
      <c r="A25" s="110"/>
      <c r="B25" s="110"/>
      <c r="C25" s="110"/>
      <c r="D25" s="110"/>
      <c r="E25" s="110"/>
      <c r="F25" s="125"/>
    </row>
    <row r="26" spans="1:6" ht="14.25" thickBot="1">
      <c r="A26" s="19"/>
      <c r="B26" s="113" t="s">
        <v>279</v>
      </c>
      <c r="C26" s="114">
        <f>SUM(C20:C24)</f>
        <v>7227000</v>
      </c>
      <c r="D26" s="20" t="s">
        <v>294</v>
      </c>
      <c r="E26" s="20"/>
      <c r="F26" s="115">
        <f>F21+F19+F20+F22+F23+F24</f>
        <v>211.49999999999997</v>
      </c>
    </row>
    <row r="28" spans="1:6" hidden="1">
      <c r="A28" s="9" t="s">
        <v>13</v>
      </c>
      <c r="B28" s="10" t="s">
        <v>61</v>
      </c>
      <c r="C28" s="10" t="s">
        <v>62</v>
      </c>
      <c r="D28" s="10" t="s">
        <v>153</v>
      </c>
      <c r="E28" s="10" t="s">
        <v>160</v>
      </c>
      <c r="F28" s="18" t="s">
        <v>63</v>
      </c>
    </row>
    <row r="29" spans="1:6" hidden="1">
      <c r="A29" s="98"/>
      <c r="B29" s="99" t="s">
        <v>281</v>
      </c>
      <c r="C29" s="99"/>
      <c r="D29" s="99"/>
      <c r="E29" s="99"/>
      <c r="F29" s="100"/>
    </row>
    <row r="30" spans="1:6" hidden="1">
      <c r="A30" s="98"/>
      <c r="B30" s="116" t="s">
        <v>282</v>
      </c>
      <c r="C30" s="99">
        <v>264</v>
      </c>
      <c r="D30" s="99" t="s">
        <v>278</v>
      </c>
      <c r="E30" s="103"/>
      <c r="F30" s="102"/>
    </row>
    <row r="31" spans="1:6" hidden="1">
      <c r="A31" s="105"/>
      <c r="B31" s="58" t="s">
        <v>283</v>
      </c>
      <c r="C31" s="108">
        <v>53</v>
      </c>
      <c r="D31" s="58" t="s">
        <v>58</v>
      </c>
      <c r="E31" s="107"/>
      <c r="F31" s="109">
        <f>F7*0.7</f>
        <v>0</v>
      </c>
    </row>
    <row r="32" spans="1:6" hidden="1">
      <c r="A32" s="112"/>
      <c r="B32" s="110"/>
      <c r="C32" s="110"/>
      <c r="D32" s="110"/>
      <c r="E32" s="110"/>
      <c r="F32" s="111"/>
    </row>
    <row r="33" spans="1:6" ht="14.25" hidden="1" thickBot="1">
      <c r="A33" s="19"/>
      <c r="B33" s="113" t="s">
        <v>284</v>
      </c>
      <c r="C33" s="114">
        <f>SUM(C30:C31)</f>
        <v>317</v>
      </c>
      <c r="D33" s="20" t="s">
        <v>58</v>
      </c>
      <c r="E33" s="20"/>
      <c r="F33" s="115">
        <f>F31</f>
        <v>0</v>
      </c>
    </row>
    <row r="34" spans="1:6" hidden="1"/>
    <row r="37" spans="1:6" ht="15">
      <c r="A37" s="814" t="s">
        <v>176</v>
      </c>
      <c r="B37" s="814"/>
      <c r="C37" s="814"/>
      <c r="D37" s="814"/>
      <c r="E37" s="814"/>
      <c r="F37" s="814"/>
    </row>
    <row r="38" spans="1:6">
      <c r="A38" s="10" t="s">
        <v>13</v>
      </c>
      <c r="B38" s="10" t="s">
        <v>61</v>
      </c>
      <c r="C38" s="10" t="s">
        <v>62</v>
      </c>
      <c r="D38" s="10" t="s">
        <v>153</v>
      </c>
      <c r="E38" s="10" t="s">
        <v>178</v>
      </c>
      <c r="F38" s="10" t="s">
        <v>63</v>
      </c>
    </row>
    <row r="39" spans="1:6" ht="27">
      <c r="A39" s="127">
        <v>1</v>
      </c>
      <c r="B39" s="142" t="s">
        <v>732</v>
      </c>
      <c r="C39" s="143">
        <v>9000</v>
      </c>
      <c r="D39" s="127" t="s">
        <v>712</v>
      </c>
      <c r="E39" s="133">
        <v>150</v>
      </c>
      <c r="F39" s="133">
        <f>+C39*E39/100000</f>
        <v>13.5</v>
      </c>
    </row>
    <row r="40" spans="1:6">
      <c r="A40" s="129"/>
      <c r="B40" s="129"/>
      <c r="C40" s="129"/>
      <c r="D40" s="129"/>
      <c r="E40" s="129"/>
      <c r="F40" s="129"/>
    </row>
    <row r="41" spans="1:6">
      <c r="A41" s="129"/>
      <c r="B41" s="129"/>
      <c r="C41" s="129"/>
      <c r="D41" s="129"/>
      <c r="E41" s="129"/>
      <c r="F41" s="129"/>
    </row>
    <row r="42" spans="1:6">
      <c r="A42" s="132"/>
      <c r="B42" s="132"/>
      <c r="C42" s="132"/>
      <c r="D42" s="132"/>
      <c r="E42" s="132"/>
      <c r="F42" s="132"/>
    </row>
    <row r="43" spans="1:6">
      <c r="A43" s="10"/>
      <c r="B43" s="119" t="s">
        <v>161</v>
      </c>
      <c r="C43" s="117" t="s">
        <v>271</v>
      </c>
      <c r="D43" s="10" t="s">
        <v>177</v>
      </c>
      <c r="E43" s="10"/>
      <c r="F43" s="118">
        <f>+F39</f>
        <v>13.5</v>
      </c>
    </row>
    <row r="45" spans="1:6">
      <c r="F45" s="2"/>
    </row>
  </sheetData>
  <mergeCells count="3">
    <mergeCell ref="A37:F37"/>
    <mergeCell ref="A3:F3"/>
    <mergeCell ref="A16:F16"/>
  </mergeCells>
  <phoneticPr fontId="0" type="noConversion"/>
  <pageMargins left="0.74803149606299202" right="0.74803149606299202" top="0.98425196850393704" bottom="0.98425196850393704" header="0.511811023622047" footer="0.511811023622047"/>
  <pageSetup paperSize="9" orientation="portrait" horizontalDpi="4294967295" verticalDpi="300"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1:I17"/>
  <sheetViews>
    <sheetView topLeftCell="A2" workbookViewId="0">
      <selection activeCell="H7" sqref="H7:H13"/>
    </sheetView>
  </sheetViews>
  <sheetFormatPr defaultRowHeight="13.5"/>
  <cols>
    <col min="1" max="1" width="2.7109375" style="1" customWidth="1"/>
    <col min="2" max="2" width="5.140625" style="1" customWidth="1"/>
    <col min="3" max="3" width="68.28515625" style="1" bestFit="1" customWidth="1"/>
    <col min="4" max="4" width="10.7109375" style="1" bestFit="1" customWidth="1"/>
    <col min="5" max="5" width="7.5703125" style="1" customWidth="1"/>
    <col min="6" max="6" width="10.85546875" style="1" customWidth="1"/>
    <col min="7" max="8" width="12.28515625" style="1" customWidth="1"/>
    <col min="9" max="9" width="2.7109375" style="1" customWidth="1"/>
    <col min="10" max="16384" width="9.140625" style="1"/>
  </cols>
  <sheetData>
    <row r="1" spans="1:9" ht="23.25">
      <c r="A1" s="149"/>
      <c r="B1" s="785" t="e">
        <f>+SALESREVENUE!A1</f>
        <v>#REF!</v>
      </c>
      <c r="C1" s="150"/>
      <c r="D1" s="150"/>
      <c r="E1" s="150"/>
      <c r="F1" s="150"/>
      <c r="G1" s="151"/>
      <c r="H1" s="151"/>
      <c r="I1" s="152"/>
    </row>
    <row r="2" spans="1:9">
      <c r="A2" s="74"/>
      <c r="B2" s="31"/>
      <c r="C2" s="31"/>
      <c r="D2" s="31"/>
      <c r="E2" s="31"/>
      <c r="F2" s="31"/>
      <c r="G2" s="148"/>
      <c r="H2" s="148"/>
      <c r="I2" s="153"/>
    </row>
    <row r="3" spans="1:9" ht="18.75">
      <c r="A3" s="821" t="s">
        <v>673</v>
      </c>
      <c r="B3" s="822"/>
      <c r="C3" s="822"/>
      <c r="D3" s="822"/>
      <c r="E3" s="822"/>
      <c r="F3" s="822"/>
      <c r="G3" s="822"/>
      <c r="H3" s="822"/>
      <c r="I3" s="823"/>
    </row>
    <row r="4" spans="1:9" ht="16.5">
      <c r="A4" s="154"/>
      <c r="B4" s="820" t="s">
        <v>295</v>
      </c>
      <c r="C4" s="820"/>
      <c r="D4" s="820"/>
      <c r="E4" s="820"/>
      <c r="F4" s="173" t="s">
        <v>726</v>
      </c>
      <c r="G4" s="6"/>
      <c r="H4" s="6"/>
      <c r="I4" s="76"/>
    </row>
    <row r="5" spans="1:9" ht="15.75">
      <c r="A5" s="154"/>
      <c r="B5" s="145"/>
      <c r="C5" s="145"/>
      <c r="D5" s="145"/>
      <c r="E5" s="145"/>
      <c r="F5" s="6"/>
      <c r="G5" s="6"/>
      <c r="H5" s="6"/>
      <c r="I5" s="76"/>
    </row>
    <row r="6" spans="1:9" ht="31.5">
      <c r="A6" s="154"/>
      <c r="B6" s="174" t="s">
        <v>671</v>
      </c>
      <c r="C6" s="175" t="s">
        <v>296</v>
      </c>
      <c r="D6" s="155" t="s">
        <v>672</v>
      </c>
      <c r="E6" s="155" t="s">
        <v>724</v>
      </c>
      <c r="F6" s="155" t="s">
        <v>725</v>
      </c>
      <c r="G6" s="155" t="s">
        <v>297</v>
      </c>
      <c r="H6" s="156" t="s">
        <v>298</v>
      </c>
      <c r="I6" s="75"/>
    </row>
    <row r="7" spans="1:9" ht="15.75">
      <c r="A7" s="154"/>
      <c r="B7" s="157">
        <v>1</v>
      </c>
      <c r="C7" s="774" t="s">
        <v>702</v>
      </c>
      <c r="D7" s="159">
        <v>1</v>
      </c>
      <c r="E7" s="824">
        <v>15</v>
      </c>
      <c r="F7" s="824">
        <v>800</v>
      </c>
      <c r="G7" s="824">
        <f>E7*F7</f>
        <v>12000</v>
      </c>
      <c r="H7" s="826">
        <f>G7*12</f>
        <v>144000</v>
      </c>
      <c r="I7" s="75"/>
    </row>
    <row r="8" spans="1:9" ht="15.75">
      <c r="A8" s="154"/>
      <c r="B8" s="157">
        <v>2</v>
      </c>
      <c r="C8" s="774" t="s">
        <v>703</v>
      </c>
      <c r="D8" s="159">
        <v>1</v>
      </c>
      <c r="E8" s="825"/>
      <c r="F8" s="825"/>
      <c r="G8" s="825"/>
      <c r="H8" s="827"/>
      <c r="I8" s="75"/>
    </row>
    <row r="9" spans="1:9" ht="15.75">
      <c r="A9" s="154"/>
      <c r="B9" s="157">
        <v>3</v>
      </c>
      <c r="C9" s="774" t="s">
        <v>704</v>
      </c>
      <c r="D9" s="159">
        <v>1</v>
      </c>
      <c r="E9" s="825"/>
      <c r="F9" s="825"/>
      <c r="G9" s="825"/>
      <c r="H9" s="827"/>
      <c r="I9" s="75"/>
    </row>
    <row r="10" spans="1:9" ht="15.75">
      <c r="A10" s="154"/>
      <c r="B10" s="157">
        <v>4</v>
      </c>
      <c r="C10" s="774" t="s">
        <v>705</v>
      </c>
      <c r="D10" s="159">
        <v>1</v>
      </c>
      <c r="E10" s="825"/>
      <c r="F10" s="825"/>
      <c r="G10" s="825"/>
      <c r="H10" s="827"/>
      <c r="I10" s="75"/>
    </row>
    <row r="11" spans="1:9" ht="15.75">
      <c r="A11" s="154"/>
      <c r="B11" s="157">
        <v>5</v>
      </c>
      <c r="C11" s="1" t="s">
        <v>706</v>
      </c>
      <c r="D11" s="159">
        <v>1</v>
      </c>
      <c r="E11" s="825"/>
      <c r="F11" s="825"/>
      <c r="G11" s="825"/>
      <c r="H11" s="827"/>
      <c r="I11" s="75"/>
    </row>
    <row r="12" spans="1:9" ht="15.75">
      <c r="A12" s="154"/>
      <c r="B12" s="157">
        <v>6</v>
      </c>
      <c r="C12" s="774" t="s">
        <v>707</v>
      </c>
      <c r="D12" s="159">
        <v>1</v>
      </c>
      <c r="E12" s="825"/>
      <c r="F12" s="825"/>
      <c r="G12" s="825"/>
      <c r="H12" s="827"/>
      <c r="I12" s="75"/>
    </row>
    <row r="13" spans="1:9" ht="15.75">
      <c r="A13" s="154"/>
      <c r="B13" s="157"/>
      <c r="C13" s="158"/>
      <c r="D13" s="159"/>
      <c r="E13" s="825"/>
      <c r="F13" s="825"/>
      <c r="G13" s="825"/>
      <c r="H13" s="827"/>
      <c r="I13" s="75"/>
    </row>
    <row r="14" spans="1:9" ht="15.75">
      <c r="A14" s="154"/>
      <c r="B14" s="157"/>
      <c r="C14" s="158"/>
      <c r="D14" s="159"/>
      <c r="E14" s="788"/>
      <c r="F14" s="788"/>
      <c r="G14" s="788"/>
      <c r="H14" s="789"/>
      <c r="I14" s="75"/>
    </row>
    <row r="15" spans="1:9" ht="16.5">
      <c r="A15" s="154"/>
      <c r="B15" s="160"/>
      <c r="C15" s="161" t="s">
        <v>59</v>
      </c>
      <c r="D15" s="162"/>
      <c r="E15" s="159"/>
      <c r="F15" s="163"/>
      <c r="G15" s="163"/>
      <c r="H15" s="164">
        <f>H7</f>
        <v>144000</v>
      </c>
      <c r="I15" s="75"/>
    </row>
    <row r="16" spans="1:9" ht="16.5">
      <c r="A16" s="154"/>
      <c r="B16" s="165"/>
      <c r="C16" s="166"/>
      <c r="D16" s="167"/>
      <c r="E16" s="168"/>
      <c r="F16" s="169"/>
      <c r="G16" s="169"/>
      <c r="H16" s="170"/>
      <c r="I16" s="75"/>
    </row>
    <row r="17" spans="1:9" ht="16.5">
      <c r="A17" s="139"/>
      <c r="B17" s="171" t="s">
        <v>82</v>
      </c>
      <c r="C17" s="44"/>
      <c r="D17" s="44"/>
      <c r="E17" s="44"/>
      <c r="F17" s="44"/>
      <c r="G17" s="44"/>
      <c r="H17" s="172">
        <f>H15/100000</f>
        <v>1.44</v>
      </c>
      <c r="I17" s="124"/>
    </row>
  </sheetData>
  <mergeCells count="6">
    <mergeCell ref="B4:E4"/>
    <mergeCell ref="A3:I3"/>
    <mergeCell ref="E7:E13"/>
    <mergeCell ref="F7:F13"/>
    <mergeCell ref="G7:G13"/>
    <mergeCell ref="H7:H13"/>
  </mergeCells>
  <phoneticPr fontId="0" type="noConversion"/>
  <pageMargins left="0.75" right="0.75" top="0.25" bottom="0.56000000000000005" header="0.19" footer="0.24"/>
  <pageSetup paperSize="9" orientation="landscape" horizontalDpi="4294967295" verticalDpi="300" r:id="rId1"/>
  <headerFooter alignWithMargins="0"/>
</worksheet>
</file>

<file path=xl/worksheets/sheet8.xml><?xml version="1.0" encoding="utf-8"?>
<worksheet xmlns="http://schemas.openxmlformats.org/spreadsheetml/2006/main" xmlns:r="http://schemas.openxmlformats.org/officeDocument/2006/relationships">
  <sheetPr codeName="Sheet8">
    <pageSetUpPr fitToPage="1"/>
  </sheetPr>
  <dimension ref="A1:F23"/>
  <sheetViews>
    <sheetView workbookViewId="0">
      <selection activeCell="K26" sqref="K26"/>
    </sheetView>
  </sheetViews>
  <sheetFormatPr defaultRowHeight="13.5"/>
  <cols>
    <col min="1" max="1" width="21.28515625" style="1" customWidth="1"/>
    <col min="2" max="2" width="2.7109375" style="1" customWidth="1"/>
    <col min="3" max="3" width="10.7109375" style="1" customWidth="1"/>
    <col min="4" max="4" width="11.140625" style="1" bestFit="1" customWidth="1"/>
    <col min="5" max="5" width="17.42578125" style="1" customWidth="1"/>
    <col min="6" max="6" width="23.28515625" style="1" customWidth="1"/>
    <col min="7" max="16384" width="9.140625" style="1"/>
  </cols>
  <sheetData>
    <row r="1" spans="1:6" ht="23.25">
      <c r="A1" s="779" t="e">
        <f>+POWERCOST!B1</f>
        <v>#REF!</v>
      </c>
    </row>
    <row r="2" spans="1:6" ht="15">
      <c r="A2" s="185"/>
      <c r="B2" s="186"/>
      <c r="C2" s="186"/>
      <c r="D2" s="186"/>
      <c r="E2" s="186"/>
      <c r="F2" s="187"/>
    </row>
    <row r="3" spans="1:6" ht="23.25">
      <c r="A3" s="830" t="s">
        <v>238</v>
      </c>
      <c r="B3" s="831"/>
      <c r="C3" s="831"/>
      <c r="D3" s="831"/>
      <c r="E3" s="831"/>
      <c r="F3" s="832"/>
    </row>
    <row r="4" spans="1:6" ht="16.5">
      <c r="A4" s="833" t="s">
        <v>674</v>
      </c>
      <c r="B4" s="834"/>
      <c r="C4" s="834"/>
      <c r="D4" s="834"/>
      <c r="E4" s="834"/>
      <c r="F4" s="835"/>
    </row>
    <row r="5" spans="1:6" ht="31.5">
      <c r="A5" s="176" t="s">
        <v>299</v>
      </c>
      <c r="B5" s="192"/>
      <c r="C5" s="176" t="s">
        <v>300</v>
      </c>
      <c r="D5" s="178" t="s">
        <v>360</v>
      </c>
      <c r="E5" s="177"/>
      <c r="F5" s="188" t="s">
        <v>301</v>
      </c>
    </row>
    <row r="6" spans="1:6" ht="15.75">
      <c r="A6" s="176"/>
      <c r="B6" s="192"/>
      <c r="C6" s="176"/>
      <c r="D6" s="178"/>
      <c r="E6" s="177"/>
      <c r="F6" s="188"/>
    </row>
    <row r="7" spans="1:6" ht="15.75">
      <c r="A7" s="791" t="s">
        <v>696</v>
      </c>
      <c r="B7" s="193"/>
      <c r="C7" s="178">
        <v>1</v>
      </c>
      <c r="D7" s="178">
        <v>6000</v>
      </c>
      <c r="E7" s="179"/>
      <c r="F7" s="188">
        <f t="shared" ref="F7:F14" si="0">D7*C7</f>
        <v>6000</v>
      </c>
    </row>
    <row r="8" spans="1:6" ht="15.75">
      <c r="A8" s="791" t="s">
        <v>697</v>
      </c>
      <c r="B8" s="193"/>
      <c r="C8" s="178">
        <v>1</v>
      </c>
      <c r="D8" s="178">
        <v>7500</v>
      </c>
      <c r="E8" s="179"/>
      <c r="F8" s="188">
        <f t="shared" si="0"/>
        <v>7500</v>
      </c>
    </row>
    <row r="9" spans="1:6" ht="15.75">
      <c r="A9" s="791" t="s">
        <v>698</v>
      </c>
      <c r="B9" s="193"/>
      <c r="C9" s="178">
        <v>11</v>
      </c>
      <c r="D9" s="178">
        <v>4500</v>
      </c>
      <c r="E9" s="179"/>
      <c r="F9" s="188">
        <f t="shared" si="0"/>
        <v>49500</v>
      </c>
    </row>
    <row r="10" spans="1:6" ht="15" customHeight="1">
      <c r="A10" s="791" t="s">
        <v>699</v>
      </c>
      <c r="B10" s="193"/>
      <c r="C10" s="178">
        <v>1</v>
      </c>
      <c r="D10" s="178">
        <v>7000</v>
      </c>
      <c r="E10" s="179"/>
      <c r="F10" s="188">
        <f t="shared" si="0"/>
        <v>7000</v>
      </c>
    </row>
    <row r="11" spans="1:6" ht="15" customHeight="1">
      <c r="A11" s="176" t="s">
        <v>701</v>
      </c>
      <c r="B11" s="193"/>
      <c r="C11" s="178">
        <v>1</v>
      </c>
      <c r="D11" s="178">
        <v>8000</v>
      </c>
      <c r="E11" s="179"/>
      <c r="F11" s="188">
        <f t="shared" si="0"/>
        <v>8000</v>
      </c>
    </row>
    <row r="12" spans="1:6" ht="15.75">
      <c r="A12" s="791" t="s">
        <v>700</v>
      </c>
      <c r="B12" s="193"/>
      <c r="C12" s="790">
        <v>1</v>
      </c>
      <c r="D12" s="178">
        <v>4500</v>
      </c>
      <c r="E12" s="179"/>
      <c r="F12" s="188">
        <f t="shared" si="0"/>
        <v>4500</v>
      </c>
    </row>
    <row r="13" spans="1:6" ht="15.75">
      <c r="A13" s="791"/>
      <c r="B13" s="193"/>
      <c r="C13" s="179">
        <f>+SUM(C7:C12)</f>
        <v>16</v>
      </c>
      <c r="D13" s="178"/>
      <c r="E13" s="179"/>
      <c r="F13" s="188">
        <f t="shared" si="0"/>
        <v>0</v>
      </c>
    </row>
    <row r="14" spans="1:6" ht="15.75">
      <c r="A14" s="791"/>
      <c r="B14" s="193"/>
      <c r="C14" s="790"/>
      <c r="D14" s="178"/>
      <c r="E14" s="179"/>
      <c r="F14" s="188">
        <f t="shared" si="0"/>
        <v>0</v>
      </c>
    </row>
    <row r="15" spans="1:6" ht="15.75">
      <c r="A15" s="176"/>
      <c r="B15" s="193"/>
      <c r="C15" s="179">
        <f>+SUM(C7:C14)</f>
        <v>32</v>
      </c>
      <c r="D15" s="828" t="s">
        <v>59</v>
      </c>
      <c r="E15" s="829"/>
      <c r="F15" s="188">
        <f>SUM(F7:F14)</f>
        <v>82500</v>
      </c>
    </row>
    <row r="16" spans="1:6" ht="15.75" customHeight="1">
      <c r="A16" s="189" t="s">
        <v>302</v>
      </c>
      <c r="B16" s="180"/>
      <c r="C16" s="181"/>
      <c r="D16" s="182"/>
      <c r="E16" s="183"/>
      <c r="F16" s="190">
        <f>F15*12</f>
        <v>990000</v>
      </c>
    </row>
    <row r="17" spans="1:6">
      <c r="A17" s="74"/>
      <c r="B17" s="31"/>
      <c r="C17" s="184"/>
      <c r="D17" s="184"/>
      <c r="E17" s="31"/>
      <c r="F17" s="75"/>
    </row>
    <row r="18" spans="1:6">
      <c r="A18" s="74" t="s">
        <v>170</v>
      </c>
      <c r="B18" s="31"/>
      <c r="C18" s="184"/>
      <c r="D18" s="184"/>
      <c r="E18" s="31"/>
      <c r="F18" s="75">
        <f>F15</f>
        <v>82500</v>
      </c>
    </row>
    <row r="19" spans="1:6">
      <c r="A19" s="74" t="s">
        <v>64</v>
      </c>
      <c r="B19" s="31"/>
      <c r="C19" s="184"/>
      <c r="D19" s="184"/>
      <c r="E19" s="31"/>
      <c r="F19" s="138">
        <f>F16/100000</f>
        <v>9.9</v>
      </c>
    </row>
    <row r="20" spans="1:6">
      <c r="A20" s="74" t="s">
        <v>171</v>
      </c>
      <c r="B20" s="31"/>
      <c r="C20" s="31"/>
      <c r="D20" s="31"/>
      <c r="E20" s="31"/>
      <c r="F20" s="191">
        <v>0.05</v>
      </c>
    </row>
    <row r="21" spans="1:6">
      <c r="A21" s="74"/>
      <c r="B21" s="31"/>
      <c r="C21" s="31"/>
      <c r="D21" s="31"/>
      <c r="E21" s="31"/>
      <c r="F21" s="138"/>
    </row>
    <row r="22" spans="1:6">
      <c r="A22" s="139"/>
      <c r="B22" s="140"/>
      <c r="C22" s="140"/>
      <c r="D22" s="140"/>
      <c r="E22" s="140"/>
      <c r="F22" s="124"/>
    </row>
    <row r="23" spans="1:6">
      <c r="C23" s="1" t="s">
        <v>271</v>
      </c>
    </row>
  </sheetData>
  <mergeCells count="3">
    <mergeCell ref="D15:E15"/>
    <mergeCell ref="A3:F3"/>
    <mergeCell ref="A4:F4"/>
  </mergeCells>
  <phoneticPr fontId="0" type="noConversion"/>
  <pageMargins left="0.75" right="0.75" top="1" bottom="1" header="0.5" footer="0.5"/>
  <pageSetup paperSize="9" orientation="portrait" horizontalDpi="4294967295" verticalDpi="300" r:id="rId1"/>
  <headerFooter alignWithMargins="0"/>
</worksheet>
</file>

<file path=xl/worksheets/sheet9.xml><?xml version="1.0" encoding="utf-8"?>
<worksheet xmlns="http://schemas.openxmlformats.org/spreadsheetml/2006/main" xmlns:r="http://schemas.openxmlformats.org/officeDocument/2006/relationships">
  <sheetPr codeName="Sheet9">
    <pageSetUpPr fitToPage="1"/>
  </sheetPr>
  <dimension ref="A1:G19"/>
  <sheetViews>
    <sheetView workbookViewId="0">
      <selection activeCell="C12" sqref="C12"/>
    </sheetView>
  </sheetViews>
  <sheetFormatPr defaultRowHeight="13.5"/>
  <cols>
    <col min="1" max="1" width="30.85546875" style="1" bestFit="1" customWidth="1"/>
    <col min="2" max="2" width="10.85546875" style="1" customWidth="1"/>
    <col min="3" max="4" width="10.7109375" style="1" customWidth="1"/>
    <col min="5" max="5" width="12.85546875" style="1" bestFit="1" customWidth="1"/>
    <col min="6" max="6" width="10.7109375" style="1" customWidth="1"/>
    <col min="7" max="16384" width="9.140625" style="1"/>
  </cols>
  <sheetData>
    <row r="1" spans="1:7" ht="23.25">
      <c r="A1" s="786" t="e">
        <f>+MANPOWER!A1</f>
        <v>#REF!</v>
      </c>
      <c r="B1" s="186"/>
      <c r="C1" s="186"/>
      <c r="D1" s="186"/>
      <c r="E1" s="186"/>
      <c r="F1" s="195"/>
    </row>
    <row r="2" spans="1:7" ht="16.5">
      <c r="A2" s="836" t="s">
        <v>216</v>
      </c>
      <c r="B2" s="837"/>
      <c r="C2" s="837"/>
      <c r="D2" s="837"/>
      <c r="E2" s="837"/>
      <c r="F2" s="838"/>
    </row>
    <row r="3" spans="1:7">
      <c r="A3" s="10" t="s">
        <v>159</v>
      </c>
      <c r="B3" s="10"/>
      <c r="C3" s="35" t="s">
        <v>84</v>
      </c>
      <c r="D3" s="35" t="s">
        <v>85</v>
      </c>
      <c r="E3" s="35" t="s">
        <v>682</v>
      </c>
      <c r="F3" s="35" t="s">
        <v>158</v>
      </c>
    </row>
    <row r="4" spans="1:7">
      <c r="A4" s="10" t="s">
        <v>189</v>
      </c>
      <c r="B4" s="10"/>
      <c r="C4" s="194">
        <v>0</v>
      </c>
      <c r="D4" s="194">
        <v>0.15</v>
      </c>
      <c r="E4" s="194">
        <v>0</v>
      </c>
      <c r="F4" s="10"/>
    </row>
    <row r="5" spans="1:7">
      <c r="A5" s="10" t="s">
        <v>86</v>
      </c>
      <c r="B5" s="10"/>
      <c r="C5" s="118">
        <f>LANDBLDG!G16/100000</f>
        <v>1.2</v>
      </c>
      <c r="D5" s="118">
        <f>'PLANT&amp;MACHINERY'!E30/100000</f>
        <v>16.809999999999999</v>
      </c>
      <c r="E5" s="118">
        <f>+COSTOFPROJECT!D4</f>
        <v>0</v>
      </c>
      <c r="F5" s="118"/>
      <c r="G5" s="2">
        <f>SUM(C5:F5)</f>
        <v>18.009999999999998</v>
      </c>
    </row>
    <row r="6" spans="1:7">
      <c r="A6" s="839" t="s">
        <v>71</v>
      </c>
      <c r="B6" s="197" t="s">
        <v>24</v>
      </c>
      <c r="C6" s="198">
        <f>C5*$C$4</f>
        <v>0</v>
      </c>
      <c r="D6" s="198">
        <f>D5*$D$4</f>
        <v>2.5214999999999996</v>
      </c>
      <c r="E6" s="198">
        <f>E5*$E$4</f>
        <v>0</v>
      </c>
      <c r="F6" s="841">
        <f>SUM(C6:E6)</f>
        <v>2.5214999999999996</v>
      </c>
    </row>
    <row r="7" spans="1:7">
      <c r="A7" s="840"/>
      <c r="B7" s="200" t="s">
        <v>187</v>
      </c>
      <c r="C7" s="201">
        <f>C5-C6</f>
        <v>1.2</v>
      </c>
      <c r="D7" s="201">
        <f t="shared" ref="D7:E19" si="0">D5-D6</f>
        <v>14.288499999999999</v>
      </c>
      <c r="E7" s="201">
        <f t="shared" si="0"/>
        <v>0</v>
      </c>
      <c r="F7" s="842"/>
    </row>
    <row r="8" spans="1:7">
      <c r="A8" s="839" t="s">
        <v>188</v>
      </c>
      <c r="B8" s="197" t="s">
        <v>24</v>
      </c>
      <c r="C8" s="198">
        <f>C7*$C$4</f>
        <v>0</v>
      </c>
      <c r="D8" s="198">
        <f>D7*$D$4</f>
        <v>2.1432749999999996</v>
      </c>
      <c r="E8" s="198">
        <f>E7*$E$4</f>
        <v>0</v>
      </c>
      <c r="F8" s="841">
        <f>SUM(C8:E8)</f>
        <v>2.1432749999999996</v>
      </c>
    </row>
    <row r="9" spans="1:7">
      <c r="A9" s="840"/>
      <c r="B9" s="200" t="s">
        <v>187</v>
      </c>
      <c r="C9" s="201">
        <f>C7-C8</f>
        <v>1.2</v>
      </c>
      <c r="D9" s="201">
        <f t="shared" si="0"/>
        <v>12.145225</v>
      </c>
      <c r="E9" s="201">
        <f t="shared" si="0"/>
        <v>0</v>
      </c>
      <c r="F9" s="842"/>
    </row>
    <row r="10" spans="1:7">
      <c r="A10" s="839" t="s">
        <v>74</v>
      </c>
      <c r="B10" s="197" t="s">
        <v>24</v>
      </c>
      <c r="C10" s="198">
        <f>C9*$C$4</f>
        <v>0</v>
      </c>
      <c r="D10" s="198">
        <f>D9*$D$4</f>
        <v>1.8217837499999998</v>
      </c>
      <c r="E10" s="198">
        <f>E9*$E$4</f>
        <v>0</v>
      </c>
      <c r="F10" s="841">
        <f>SUM(C10:E10)</f>
        <v>1.8217837499999998</v>
      </c>
    </row>
    <row r="11" spans="1:7">
      <c r="A11" s="840"/>
      <c r="B11" s="200" t="s">
        <v>187</v>
      </c>
      <c r="C11" s="201">
        <f>C9-C10</f>
        <v>1.2</v>
      </c>
      <c r="D11" s="201">
        <f t="shared" si="0"/>
        <v>10.32344125</v>
      </c>
      <c r="E11" s="201">
        <f t="shared" si="0"/>
        <v>0</v>
      </c>
      <c r="F11" s="842"/>
    </row>
    <row r="12" spans="1:7">
      <c r="A12" s="839" t="s">
        <v>75</v>
      </c>
      <c r="B12" s="197" t="s">
        <v>24</v>
      </c>
      <c r="C12" s="198">
        <f>C11*$C$4</f>
        <v>0</v>
      </c>
      <c r="D12" s="198">
        <f>D11*$D$4</f>
        <v>1.5485161875</v>
      </c>
      <c r="E12" s="198">
        <f>E11*$E$4</f>
        <v>0</v>
      </c>
      <c r="F12" s="841">
        <f>SUM(C12:E12)</f>
        <v>1.5485161875</v>
      </c>
    </row>
    <row r="13" spans="1:7">
      <c r="A13" s="840"/>
      <c r="B13" s="200" t="s">
        <v>187</v>
      </c>
      <c r="C13" s="201">
        <f>C11-C12</f>
        <v>1.2</v>
      </c>
      <c r="D13" s="201">
        <f t="shared" si="0"/>
        <v>8.7749250624999995</v>
      </c>
      <c r="E13" s="201">
        <f t="shared" si="0"/>
        <v>0</v>
      </c>
      <c r="F13" s="842"/>
    </row>
    <row r="14" spans="1:7">
      <c r="A14" s="839" t="s">
        <v>76</v>
      </c>
      <c r="B14" s="197" t="s">
        <v>24</v>
      </c>
      <c r="C14" s="198">
        <f>C13*$C$4</f>
        <v>0</v>
      </c>
      <c r="D14" s="198">
        <f>D13*$D$4</f>
        <v>1.3162387593749998</v>
      </c>
      <c r="E14" s="198">
        <f>E13*$E$4</f>
        <v>0</v>
      </c>
      <c r="F14" s="841">
        <f>SUM(C14:E14)</f>
        <v>1.3162387593749998</v>
      </c>
    </row>
    <row r="15" spans="1:7">
      <c r="A15" s="840"/>
      <c r="B15" s="200" t="s">
        <v>187</v>
      </c>
      <c r="C15" s="201">
        <f>C13-C14</f>
        <v>1.2</v>
      </c>
      <c r="D15" s="201">
        <f t="shared" si="0"/>
        <v>7.4586863031249999</v>
      </c>
      <c r="E15" s="201">
        <f t="shared" si="0"/>
        <v>0</v>
      </c>
      <c r="F15" s="842"/>
    </row>
    <row r="16" spans="1:7">
      <c r="A16" s="839" t="s">
        <v>4</v>
      </c>
      <c r="B16" s="197" t="s">
        <v>24</v>
      </c>
      <c r="C16" s="198">
        <f>C15*$C$4</f>
        <v>0</v>
      </c>
      <c r="D16" s="198">
        <f>D15*$D$4</f>
        <v>1.11880294546875</v>
      </c>
      <c r="E16" s="198">
        <f>E15*$E$4</f>
        <v>0</v>
      </c>
      <c r="F16" s="841">
        <f>SUM(C16:E16)</f>
        <v>1.11880294546875</v>
      </c>
    </row>
    <row r="17" spans="1:6">
      <c r="A17" s="840"/>
      <c r="B17" s="200" t="s">
        <v>187</v>
      </c>
      <c r="C17" s="201">
        <f>C15-C16</f>
        <v>1.2</v>
      </c>
      <c r="D17" s="201">
        <f t="shared" si="0"/>
        <v>6.3398833576562499</v>
      </c>
      <c r="E17" s="201">
        <f t="shared" si="0"/>
        <v>0</v>
      </c>
      <c r="F17" s="842"/>
    </row>
    <row r="18" spans="1:6">
      <c r="A18" s="839" t="s">
        <v>5</v>
      </c>
      <c r="B18" s="197" t="s">
        <v>24</v>
      </c>
      <c r="C18" s="198">
        <f>C17*$C$4</f>
        <v>0</v>
      </c>
      <c r="D18" s="198">
        <f>D17*$D$4</f>
        <v>0.95098250364843739</v>
      </c>
      <c r="E18" s="198">
        <f>E17*$E$4</f>
        <v>0</v>
      </c>
      <c r="F18" s="841">
        <f>SUM(C18:E18)</f>
        <v>0.95098250364843739</v>
      </c>
    </row>
    <row r="19" spans="1:6">
      <c r="A19" s="840"/>
      <c r="B19" s="200" t="s">
        <v>187</v>
      </c>
      <c r="C19" s="201">
        <f>C17-C18</f>
        <v>1.2</v>
      </c>
      <c r="D19" s="201">
        <f t="shared" si="0"/>
        <v>5.3889008540078125</v>
      </c>
      <c r="E19" s="201">
        <f t="shared" si="0"/>
        <v>0</v>
      </c>
      <c r="F19" s="842"/>
    </row>
  </sheetData>
  <mergeCells count="15">
    <mergeCell ref="A18:A19"/>
    <mergeCell ref="F18:F19"/>
    <mergeCell ref="F12:F13"/>
    <mergeCell ref="F14:F15"/>
    <mergeCell ref="A14:A15"/>
    <mergeCell ref="A12:A13"/>
    <mergeCell ref="A16:A17"/>
    <mergeCell ref="F16:F17"/>
    <mergeCell ref="A2:F2"/>
    <mergeCell ref="A6:A7"/>
    <mergeCell ref="A8:A9"/>
    <mergeCell ref="A10:A11"/>
    <mergeCell ref="F6:F7"/>
    <mergeCell ref="F8:F9"/>
    <mergeCell ref="F10:F11"/>
  </mergeCells>
  <phoneticPr fontId="0" type="noConversion"/>
  <pageMargins left="0.75" right="0.75" top="1" bottom="1" header="0.5" footer="0.5"/>
  <pageSetup paperSize="9" orientation="portrait" horizontalDpi="4294967295" verticalDpi="300" r:id="rId1"/>
  <headerFooter alignWithMargins="0"/>
  <ignoredErrors>
    <ignoredError sqref="C7 C9:C18 D7:E1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15</vt:i4>
      </vt:variant>
    </vt:vector>
  </HeadingPairs>
  <TitlesOfParts>
    <vt:vector size="35" baseType="lpstr">
      <vt:lpstr>COSTOFPROJECT</vt:lpstr>
      <vt:lpstr>LANDBLDG</vt:lpstr>
      <vt:lpstr>PLANT&amp;MACHINERY</vt:lpstr>
      <vt:lpstr>Sheet1</vt:lpstr>
      <vt:lpstr>INSTCAPACITY</vt:lpstr>
      <vt:lpstr>SALESREVENUE</vt:lpstr>
      <vt:lpstr>POWERCOST</vt:lpstr>
      <vt:lpstr>MANPOWER</vt:lpstr>
      <vt:lpstr>DEPRECATION</vt:lpstr>
      <vt:lpstr>INTERESTCAL</vt:lpstr>
      <vt:lpstr>WCAPITAL</vt:lpstr>
      <vt:lpstr>PROFITABILITY</vt:lpstr>
      <vt:lpstr>BEP</vt:lpstr>
      <vt:lpstr>DCR</vt:lpstr>
      <vt:lpstr>PAYBACK</vt:lpstr>
      <vt:lpstr>CASHFLOW</vt:lpstr>
      <vt:lpstr>Ratio's</vt:lpstr>
      <vt:lpstr>BALANCE SHEET</vt:lpstr>
      <vt:lpstr>Sheet3</vt:lpstr>
      <vt:lpstr>Sheet2</vt:lpstr>
      <vt:lpstr>'BALANCE SHEET'!Print_Area</vt:lpstr>
      <vt:lpstr>BEP!Print_Area</vt:lpstr>
      <vt:lpstr>CASHFLOW!Print_Area</vt:lpstr>
      <vt:lpstr>COSTOFPROJECT!Print_Area</vt:lpstr>
      <vt:lpstr>DCR!Print_Area</vt:lpstr>
      <vt:lpstr>DEPRECATION!Print_Area</vt:lpstr>
      <vt:lpstr>INSTCAPACITY!Print_Area</vt:lpstr>
      <vt:lpstr>INTERESTCAL!Print_Area</vt:lpstr>
      <vt:lpstr>LANDBLDG!Print_Area</vt:lpstr>
      <vt:lpstr>MANPOWER!Print_Area</vt:lpstr>
      <vt:lpstr>PAYBACK!Print_Area</vt:lpstr>
      <vt:lpstr>'PLANT&amp;MACHINERY'!Print_Area</vt:lpstr>
      <vt:lpstr>POWERCOST!Print_Area</vt:lpstr>
      <vt:lpstr>Sheet3!Print_Area</vt:lpstr>
      <vt:lpstr>WCAPITAL!Print_Area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Balu</cp:lastModifiedBy>
  <cp:lastPrinted>2012-05-15T09:22:30Z</cp:lastPrinted>
  <dcterms:created xsi:type="dcterms:W3CDTF">2003-12-14T00:07:28Z</dcterms:created>
  <dcterms:modified xsi:type="dcterms:W3CDTF">2013-04-12T10:25:23Z</dcterms:modified>
</cp:coreProperties>
</file>