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MIS Reporting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F55" i="4"/>
  <c r="F57" s="1"/>
  <c r="L54"/>
  <c r="G49"/>
  <c r="G47"/>
  <c r="L45"/>
  <c r="D37"/>
  <c r="B36"/>
  <c r="D36" s="1"/>
  <c r="C35"/>
  <c r="B35"/>
  <c r="D35" s="1"/>
  <c r="L46" s="1"/>
  <c r="D34"/>
  <c r="C33"/>
  <c r="B33"/>
  <c r="D33" s="1"/>
  <c r="E36" s="1"/>
  <c r="F32" s="1"/>
  <c r="D30"/>
  <c r="B30"/>
  <c r="E29"/>
  <c r="E30" s="1"/>
  <c r="D29"/>
  <c r="F29" s="1"/>
  <c r="C29"/>
  <c r="C30" s="1"/>
  <c r="L57" s="1"/>
  <c r="B29"/>
  <c r="E28"/>
  <c r="F28" s="1"/>
  <c r="C28"/>
  <c r="G25"/>
  <c r="D25"/>
  <c r="M25" s="1"/>
  <c r="B25"/>
  <c r="G24"/>
  <c r="D24"/>
  <c r="M24" s="1"/>
  <c r="B24"/>
  <c r="G23"/>
  <c r="D23"/>
  <c r="M23" s="1"/>
  <c r="B23"/>
  <c r="G22"/>
  <c r="D22"/>
  <c r="M22" s="1"/>
  <c r="B22"/>
  <c r="G21"/>
  <c r="D21"/>
  <c r="M21" s="1"/>
  <c r="B21"/>
  <c r="J20"/>
  <c r="G20"/>
  <c r="K20" s="1"/>
  <c r="D20"/>
  <c r="M20" s="1"/>
  <c r="C20"/>
  <c r="J19"/>
  <c r="G19"/>
  <c r="K19" s="1"/>
  <c r="D19"/>
  <c r="M19" s="1"/>
  <c r="B19"/>
  <c r="J18"/>
  <c r="G18"/>
  <c r="K18" s="1"/>
  <c r="D18"/>
  <c r="M18" s="1"/>
  <c r="B18"/>
  <c r="J17"/>
  <c r="G17"/>
  <c r="K17" s="1"/>
  <c r="D17"/>
  <c r="M17" s="1"/>
  <c r="C17"/>
  <c r="J16"/>
  <c r="G16"/>
  <c r="K16" s="1"/>
  <c r="D16"/>
  <c r="M16" s="1"/>
  <c r="C16"/>
  <c r="J15"/>
  <c r="G15"/>
  <c r="K15" s="1"/>
  <c r="C15"/>
  <c r="B15"/>
  <c r="D15" s="1"/>
  <c r="M15" s="1"/>
  <c r="J14"/>
  <c r="G14"/>
  <c r="C14"/>
  <c r="B14"/>
  <c r="D14" s="1"/>
  <c r="F13"/>
  <c r="G13" s="1"/>
  <c r="B13"/>
  <c r="D13" s="1"/>
  <c r="H12"/>
  <c r="J12" s="1"/>
  <c r="F12"/>
  <c r="G12" s="1"/>
  <c r="B12"/>
  <c r="D12" s="1"/>
  <c r="J11"/>
  <c r="F11"/>
  <c r="G11" s="1"/>
  <c r="B11"/>
  <c r="D11" s="1"/>
  <c r="J10"/>
  <c r="G10"/>
  <c r="B10"/>
  <c r="D10" s="1"/>
  <c r="F9"/>
  <c r="G9" s="1"/>
  <c r="C9"/>
  <c r="B9"/>
  <c r="D9" s="1"/>
  <c r="H8"/>
  <c r="J8" s="1"/>
  <c r="F8"/>
  <c r="G8" s="1"/>
  <c r="C8"/>
  <c r="B8"/>
  <c r="D8" s="1"/>
  <c r="G7"/>
  <c r="M7" s="1"/>
  <c r="F7"/>
  <c r="C7"/>
  <c r="B7"/>
  <c r="D7" s="1"/>
  <c r="F6"/>
  <c r="F26" s="1"/>
  <c r="L52" s="1"/>
  <c r="L56" s="1"/>
  <c r="L58" s="1"/>
  <c r="E6"/>
  <c r="G6" s="1"/>
  <c r="C6"/>
  <c r="C26" s="1"/>
  <c r="B6"/>
  <c r="B26" s="1"/>
  <c r="N12"/>
  <c r="N11"/>
  <c r="N9"/>
  <c r="I9"/>
  <c r="H7"/>
  <c r="N6"/>
  <c r="H6"/>
  <c r="G50"/>
  <c r="G45"/>
  <c r="H9"/>
  <c r="N8"/>
  <c r="N7"/>
  <c r="I6"/>
  <c r="I26" l="1"/>
  <c r="B49" s="1"/>
  <c r="J9"/>
  <c r="G51"/>
  <c r="H45" s="1"/>
  <c r="J6"/>
  <c r="N26"/>
  <c r="B50" s="1"/>
  <c r="C50" s="1"/>
  <c r="J7"/>
  <c r="K11"/>
  <c r="M11"/>
  <c r="M13"/>
  <c r="H13"/>
  <c r="J13" s="1"/>
  <c r="K6"/>
  <c r="G26"/>
  <c r="M6"/>
  <c r="M8"/>
  <c r="K8"/>
  <c r="K9"/>
  <c r="M9"/>
  <c r="M12"/>
  <c r="K12"/>
  <c r="L12" s="1"/>
  <c r="M10"/>
  <c r="M14"/>
  <c r="F30"/>
  <c r="L47"/>
  <c r="H47"/>
  <c r="K10"/>
  <c r="K14"/>
  <c r="E26"/>
  <c r="D6"/>
  <c r="D26" s="1"/>
  <c r="K7"/>
  <c r="L7" s="1"/>
  <c r="B45" l="1"/>
  <c r="B44"/>
  <c r="B46" s="1"/>
  <c r="F31"/>
  <c r="B38" s="1"/>
  <c r="H49"/>
  <c r="K13"/>
  <c r="L13" s="1"/>
  <c r="J26"/>
  <c r="H50"/>
  <c r="L6"/>
  <c r="H48"/>
  <c r="B47"/>
  <c r="C47" s="1"/>
  <c r="H46"/>
  <c r="H26"/>
  <c r="B48" s="1"/>
  <c r="C48" s="1"/>
  <c r="C52" l="1"/>
  <c r="B51"/>
  <c r="K26"/>
  <c r="L26" s="1"/>
  <c r="C49"/>
  <c r="C45"/>
  <c r="B39"/>
  <c r="B40" s="1"/>
  <c r="L28"/>
  <c r="B53" l="1"/>
  <c r="C51"/>
  <c r="C53" s="1"/>
</calcChain>
</file>

<file path=xl/comments1.xml><?xml version="1.0" encoding="utf-8"?>
<comments xmlns="http://schemas.openxmlformats.org/spreadsheetml/2006/main">
  <authors>
    <author>Author</author>
  </authors>
  <commentList>
    <comment ref="H1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Provisional Amount. 60% provision created on RA billed Amount.
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Included Secured Advance.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Included Secured Advance.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Included Secured Advance.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Including Secured Advance Recd. 64 lacs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Including TDS, WCT.
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Liability not less, only for PKG, I have shown Less Liability, because of Direct expenses already deducted from Revenue hence no question arise of deduction of liability.</t>
        </r>
      </text>
    </comment>
  </commentList>
</comments>
</file>

<file path=xl/sharedStrings.xml><?xml version="1.0" encoding="utf-8"?>
<sst xmlns="http://schemas.openxmlformats.org/spreadsheetml/2006/main" count="121" uniqueCount="118">
  <si>
    <t>Cost Benefit Analysis (MIS Reporting)</t>
  </si>
  <si>
    <t>Period :- Upto 30th June, 2012</t>
  </si>
  <si>
    <t>(Rs. In Crore)</t>
  </si>
  <si>
    <t>Description of Work</t>
  </si>
  <si>
    <t>Total as per BOQ + Additional Sanctioned Work (Medical)</t>
  </si>
  <si>
    <t>Total as per BOQ + Additional Sanctioned Work (Housing)</t>
  </si>
  <si>
    <t>Total as per BOQ + Additional Sanctioned Work</t>
  </si>
  <si>
    <t>Total Billed Amount Upto 2nd RA (Housing)</t>
  </si>
  <si>
    <t>Total Billed Amount Upto 6th RA (Medical)</t>
  </si>
  <si>
    <t>Total Billed Amount</t>
  </si>
  <si>
    <t>Total Expenditure Incurred</t>
  </si>
  <si>
    <t>Stock in Hand As on 30- Apr-2012</t>
  </si>
  <si>
    <t>Net Expenditure Incurred</t>
  </si>
  <si>
    <t>Gross Margin</t>
  </si>
  <si>
    <t>% of Completion</t>
  </si>
  <si>
    <t>Liability Pending</t>
  </si>
  <si>
    <t>(A)</t>
  </si>
  <si>
    <t>(B)</t>
  </si>
  <si>
    <t>(C = A+B)</t>
  </si>
  <si>
    <t>(D)</t>
  </si>
  <si>
    <t>(E)</t>
  </si>
  <si>
    <t>(F = D+E)</t>
  </si>
  <si>
    <t>(G)</t>
  </si>
  <si>
    <t>(H)</t>
  </si>
  <si>
    <t>(I = G-H)</t>
  </si>
  <si>
    <r>
      <t xml:space="preserve">Amount </t>
    </r>
    <r>
      <rPr>
        <sz val="8"/>
        <color theme="1"/>
        <rFont val="Calibri"/>
        <family val="2"/>
        <scheme val="minor"/>
      </rPr>
      <t>(J = F-G+H)</t>
    </r>
  </si>
  <si>
    <r>
      <t xml:space="preserve">% </t>
    </r>
    <r>
      <rPr>
        <sz val="8"/>
        <color theme="1"/>
        <rFont val="Calibri"/>
        <family val="2"/>
        <scheme val="minor"/>
      </rPr>
      <t>(K = J/F)</t>
    </r>
  </si>
  <si>
    <t>(F/C)</t>
  </si>
  <si>
    <t>(L)</t>
  </si>
  <si>
    <t>CIVIL AND INTERIOR WORKS</t>
  </si>
  <si>
    <t>ELECTRICAL WORKS</t>
  </si>
  <si>
    <t>FIRE SUPPRESSION</t>
  </si>
  <si>
    <t xml:space="preserve">PLUMBING &amp; SANITARY INSTALLATION WORKS </t>
  </si>
  <si>
    <t>HVAC</t>
  </si>
  <si>
    <t>MEDICAL GAS PIPELINE SYSTEM</t>
  </si>
  <si>
    <t>MODULOR OT (Supply &amp; Installation 6 No.)</t>
  </si>
  <si>
    <t>MODULOR OT PRE-FABRICATED (S.S.M.OT 8 Nos.)</t>
  </si>
  <si>
    <t>SOLAR WATER HEATER</t>
  </si>
  <si>
    <t>PUMPS &amp; ALLIED WORKS</t>
  </si>
  <si>
    <t>STP</t>
  </si>
  <si>
    <t>TUBEWELL</t>
  </si>
  <si>
    <t>3 BAY SCRUB SINK</t>
  </si>
  <si>
    <t>TRACK SYSTEM, I.V. TREE SYSTEM &amp; NURSE CALL</t>
  </si>
  <si>
    <t>NON MEDICAL FURNITURE</t>
  </si>
  <si>
    <t>CANTEEN</t>
  </si>
  <si>
    <t>LAUNDARY</t>
  </si>
  <si>
    <t>CSSD</t>
  </si>
  <si>
    <t>KITCHEN</t>
  </si>
  <si>
    <t>TSSU</t>
  </si>
  <si>
    <t xml:space="preserve">TOTAL </t>
  </si>
  <si>
    <t>Details of Escalation Bills</t>
  </si>
  <si>
    <t>Amount of Work Done for Escalation (Housing)</t>
  </si>
  <si>
    <t>Amount of Work Done for Escalation (Medical)</t>
  </si>
  <si>
    <t>Amount of Escalation (Housing)</t>
  </si>
  <si>
    <t>Amount of Escalation (Medical)</t>
  </si>
  <si>
    <t>Total Amount of Escalation</t>
  </si>
  <si>
    <r>
      <t xml:space="preserve">ESCALATION BILLS RAISED UPTO </t>
    </r>
    <r>
      <rPr>
        <b/>
        <sz val="8"/>
        <color theme="1"/>
        <rFont val="Calibri"/>
        <family val="2"/>
        <scheme val="minor"/>
      </rPr>
      <t xml:space="preserve">4th RA </t>
    </r>
  </si>
  <si>
    <t>Escalation % (M/N%)</t>
  </si>
  <si>
    <r>
      <t>PROVISIONAL ESCALATION BILLS TO BE RAISED FOR 
(</t>
    </r>
    <r>
      <rPr>
        <b/>
        <sz val="8"/>
        <color theme="1"/>
        <rFont val="Calibri"/>
        <family val="2"/>
        <scheme val="minor"/>
      </rPr>
      <t>5th RA &amp; 6th RA, Medical) &amp; (1st RA &amp; 2nd RA, Housing)</t>
    </r>
  </si>
  <si>
    <t>TOTAL OF ESCALATION                                     (M)</t>
  </si>
  <si>
    <t>TOTAL OF RUNNING BILL &amp; ESCALATION     (N = F+M)</t>
  </si>
  <si>
    <t>Details of Payments Received</t>
  </si>
  <si>
    <t>Medical</t>
  </si>
  <si>
    <t>Housing</t>
  </si>
  <si>
    <t>Total================&gt;</t>
  </si>
  <si>
    <r>
      <t xml:space="preserve">Amount Received upto </t>
    </r>
    <r>
      <rPr>
        <b/>
        <sz val="8"/>
        <color theme="1"/>
        <rFont val="Calibri"/>
        <family val="2"/>
        <scheme val="minor"/>
      </rPr>
      <t>6th RA &amp; 1st RA of Housing</t>
    </r>
  </si>
  <si>
    <t>Amount Received against Escalation Bill</t>
  </si>
  <si>
    <r>
      <t xml:space="preserve">Mobilization Amount Adjusted against
</t>
    </r>
    <r>
      <rPr>
        <b/>
        <sz val="8"/>
        <color theme="1"/>
        <rFont val="Calibri"/>
        <family val="2"/>
        <scheme val="minor"/>
      </rPr>
      <t>6th RA (Medical), 2nd RA (Housing)</t>
    </r>
  </si>
  <si>
    <t>Other (Debit Note Raised) Bank Charges burden of UPRN</t>
  </si>
  <si>
    <t>CC Road Payment Received</t>
  </si>
  <si>
    <t>Amount Due</t>
  </si>
  <si>
    <t>Less Provision on amount due @10%</t>
  </si>
  <si>
    <t>Net Amount Due @90%</t>
  </si>
  <si>
    <t>Summary of Profitability</t>
  </si>
  <si>
    <t>Profitability</t>
  </si>
  <si>
    <t>Amount</t>
  </si>
  <si>
    <t>%</t>
  </si>
  <si>
    <t xml:space="preserve">Variable Expenditure </t>
  </si>
  <si>
    <t>Total RA Billed Amount             (F)</t>
  </si>
  <si>
    <t>Summary of Variable Expenses</t>
  </si>
  <si>
    <t xml:space="preserve">Details of Mobilisation </t>
  </si>
  <si>
    <t>Escalation Bill Amount             (M)</t>
  </si>
  <si>
    <t>Job Work exp incurred</t>
  </si>
  <si>
    <t>Mobilization Advance Received</t>
  </si>
  <si>
    <t>Total Revenue                             (N)</t>
  </si>
  <si>
    <t>Depreciation</t>
  </si>
  <si>
    <t>Less :- Mobilisation Advance Adjusted</t>
  </si>
  <si>
    <t>Mobilization adjusted as per agreement</t>
  </si>
  <si>
    <t>Less:- Total Variable Expenditure                (Y)</t>
  </si>
  <si>
    <t>Interest on BG</t>
  </si>
  <si>
    <t>Mobilization Advance to Be adjusted</t>
  </si>
  <si>
    <t>Less:- Total Expenses Incurred                    (G)</t>
  </si>
  <si>
    <t>Interest on Capital</t>
  </si>
  <si>
    <t>Add:- Stock laying at site                               (H)</t>
  </si>
  <si>
    <t>Tax (Trade, TDS, Labour)</t>
  </si>
  <si>
    <t>Less :- Liability Pending                                (L)</t>
  </si>
  <si>
    <t>Salary</t>
  </si>
  <si>
    <t>Including Director Salary</t>
  </si>
  <si>
    <t>Profit                              (X)</t>
  </si>
  <si>
    <t xml:space="preserve">Total of Variable exp  (Y)                                                   </t>
  </si>
  <si>
    <t>Reconciliation of RA Claimed and Escalation Claimable Amount (Medical)</t>
  </si>
  <si>
    <t>Add:- Indirect Income</t>
  </si>
  <si>
    <t>RA Claimed Including CC Road Work</t>
  </si>
  <si>
    <t>Total Profit</t>
  </si>
  <si>
    <t>Add:-  Secured Advance</t>
  </si>
  <si>
    <t>Note :-</t>
  </si>
  <si>
    <t>Details of Secured Advance</t>
  </si>
  <si>
    <t>Less:- Demolition Work (Currently Sanctioned)</t>
  </si>
  <si>
    <t>5th RA</t>
  </si>
  <si>
    <t>Recd and adjusted</t>
  </si>
  <si>
    <t>Less:- CC Road Work (Escalation not allowed)</t>
  </si>
  <si>
    <t>6th RA</t>
  </si>
  <si>
    <t>61 Lacs approved and Recd</t>
  </si>
  <si>
    <t>Net Amount</t>
  </si>
  <si>
    <t>Total</t>
  </si>
  <si>
    <t>Escalation Claimable Amount</t>
  </si>
  <si>
    <t>Difference</t>
  </si>
  <si>
    <t xml:space="preserve">Name of Site :- 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</si>
</sst>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.0_);_(* \(#,##0.0\);_(* &quot;-&quot;?_);_(@_)"/>
    <numFmt numFmtId="165" formatCode="&quot;\&quot;#,##0;[Red]&quot;\&quot;\-#,##0"/>
    <numFmt numFmtId="166" formatCode="&quot;\&quot;#,##0.00;[Red]&quot;\&quot;\-#,##0.00"/>
    <numFmt numFmtId="167" formatCode="0.0"/>
    <numFmt numFmtId="168" formatCode="_ * #,##0.00_ ;_ * \-#,##0.00_ ;_ * &quot;-&quot;??_ ;_ @_ 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8"/>
      <color rgb="FF7030A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i/>
      <sz val="8"/>
      <color theme="5" tint="-0.249977111117893"/>
      <name val="Calibri"/>
      <family val="2"/>
      <scheme val="minor"/>
    </font>
    <font>
      <b/>
      <u/>
      <sz val="8"/>
      <color theme="9" tint="-0.24997711111789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??"/>
      <family val="1"/>
      <charset val="128"/>
    </font>
    <font>
      <sz val="11"/>
      <name val="?? ??"/>
      <family val="1"/>
      <charset val="128"/>
    </font>
    <font>
      <sz val="14"/>
      <name val="Terminal"/>
      <family val="3"/>
      <charset val="128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  <charset val="204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5">
    <xf numFmtId="0" fontId="0" fillId="0" borderId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20" fillId="0" borderId="0"/>
    <xf numFmtId="0" fontId="2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14" fontId="21" fillId="0" borderId="0"/>
    <xf numFmtId="14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5" fillId="0" borderId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</cellStyleXfs>
  <cellXfs count="18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3" borderId="1" xfId="0" applyFont="1" applyFill="1" applyBorder="1"/>
    <xf numFmtId="43" fontId="4" fillId="3" borderId="2" xfId="1" applyFont="1" applyFill="1" applyBorder="1"/>
    <xf numFmtId="43" fontId="4" fillId="3" borderId="2" xfId="1" applyFont="1" applyFill="1" applyBorder="1" applyAlignment="1">
      <alignment horizontal="center"/>
    </xf>
    <xf numFmtId="43" fontId="4" fillId="3" borderId="2" xfId="1" applyFont="1" applyFill="1" applyBorder="1" applyAlignment="1"/>
    <xf numFmtId="43" fontId="4" fillId="3" borderId="3" xfId="1" applyFont="1" applyFill="1" applyBorder="1" applyAlignment="1"/>
    <xf numFmtId="0" fontId="5" fillId="0" borderId="0" xfId="0" applyFont="1"/>
    <xf numFmtId="0" fontId="6" fillId="4" borderId="4" xfId="0" applyFont="1" applyFill="1" applyBorder="1" applyAlignment="1">
      <alignment horizontal="center" vertical="center"/>
    </xf>
    <xf numFmtId="43" fontId="6" fillId="4" borderId="4" xfId="1" applyFont="1" applyFill="1" applyBorder="1" applyAlignment="1">
      <alignment horizontal="center" vertical="center" wrapText="1"/>
    </xf>
    <xf numFmtId="43" fontId="6" fillId="4" borderId="5" xfId="1" applyFont="1" applyFill="1" applyBorder="1" applyAlignment="1">
      <alignment horizontal="center" vertical="center" wrapText="1"/>
    </xf>
    <xf numFmtId="43" fontId="6" fillId="4" borderId="6" xfId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43" fontId="6" fillId="4" borderId="8" xfId="1" applyFont="1" applyFill="1" applyBorder="1" applyAlignment="1">
      <alignment horizontal="center" vertical="center" wrapText="1"/>
    </xf>
    <xf numFmtId="43" fontId="6" fillId="4" borderId="9" xfId="1" applyFont="1" applyFill="1" applyBorder="1" applyAlignment="1">
      <alignment horizontal="center" vertical="center" wrapText="1"/>
    </xf>
    <xf numFmtId="43" fontId="6" fillId="4" borderId="10" xfId="1" applyFont="1" applyFill="1" applyBorder="1" applyAlignment="1">
      <alignment horizontal="center" vertical="center" wrapText="1"/>
    </xf>
    <xf numFmtId="43" fontId="6" fillId="4" borderId="11" xfId="1" applyFont="1" applyFill="1" applyBorder="1" applyAlignment="1">
      <alignment horizontal="center" vertical="center" wrapText="1"/>
    </xf>
    <xf numFmtId="43" fontId="3" fillId="0" borderId="0" xfId="0" applyNumberFormat="1" applyFont="1"/>
    <xf numFmtId="0" fontId="6" fillId="4" borderId="12" xfId="0" applyFont="1" applyFill="1" applyBorder="1" applyAlignment="1">
      <alignment horizontal="center" vertical="center"/>
    </xf>
    <xf numFmtId="43" fontId="6" fillId="5" borderId="13" xfId="1" applyFont="1" applyFill="1" applyBorder="1" applyAlignment="1">
      <alignment horizontal="center" vertical="center" wrapText="1"/>
    </xf>
    <xf numFmtId="43" fontId="6" fillId="5" borderId="13" xfId="1" applyFont="1" applyFill="1" applyBorder="1" applyAlignment="1">
      <alignment horizontal="center" vertical="center"/>
    </xf>
    <xf numFmtId="43" fontId="6" fillId="5" borderId="13" xfId="1" applyFont="1" applyFill="1" applyBorder="1" applyAlignment="1">
      <alignment horizontal="center"/>
    </xf>
    <xf numFmtId="43" fontId="6" fillId="5" borderId="14" xfId="1" applyFont="1" applyFill="1" applyBorder="1" applyAlignment="1">
      <alignment horizontal="center"/>
    </xf>
    <xf numFmtId="43" fontId="6" fillId="5" borderId="15" xfId="1" applyFont="1" applyFill="1" applyBorder="1" applyAlignment="1">
      <alignment horizontal="center"/>
    </xf>
    <xf numFmtId="43" fontId="6" fillId="5" borderId="12" xfId="1" applyFont="1" applyFill="1" applyBorder="1" applyAlignment="1">
      <alignment horizontal="center"/>
    </xf>
    <xf numFmtId="1" fontId="7" fillId="0" borderId="16" xfId="0" applyNumberFormat="1" applyFont="1" applyFill="1" applyBorder="1" applyAlignment="1">
      <alignment vertical="top" wrapText="1"/>
    </xf>
    <xf numFmtId="43" fontId="7" fillId="0" borderId="17" xfId="1" applyFont="1" applyFill="1" applyBorder="1" applyAlignment="1">
      <alignment vertical="top" wrapText="1"/>
    </xf>
    <xf numFmtId="43" fontId="3" fillId="0" borderId="18" xfId="1" applyFont="1" applyBorder="1" applyAlignment="1">
      <alignment vertical="top"/>
    </xf>
    <xf numFmtId="43" fontId="3" fillId="0" borderId="18" xfId="1" applyFont="1" applyFill="1" applyBorder="1" applyAlignment="1">
      <alignment horizontal="center" vertical="top"/>
    </xf>
    <xf numFmtId="43" fontId="3" fillId="0" borderId="18" xfId="1" applyFont="1" applyFill="1" applyBorder="1"/>
    <xf numFmtId="43" fontId="3" fillId="0" borderId="19" xfId="1" applyFont="1" applyFill="1" applyBorder="1"/>
    <xf numFmtId="43" fontId="3" fillId="0" borderId="19" xfId="1" applyFont="1" applyBorder="1"/>
    <xf numFmtId="43" fontId="3" fillId="0" borderId="20" xfId="1" applyFont="1" applyBorder="1"/>
    <xf numFmtId="0" fontId="8" fillId="0" borderId="0" xfId="0" applyFont="1"/>
    <xf numFmtId="0" fontId="7" fillId="0" borderId="21" xfId="0" applyFont="1" applyFill="1" applyBorder="1" applyAlignment="1">
      <alignment vertical="top" wrapText="1"/>
    </xf>
    <xf numFmtId="43" fontId="7" fillId="0" borderId="22" xfId="1" applyFont="1" applyFill="1" applyBorder="1" applyAlignment="1">
      <alignment vertical="top" wrapText="1"/>
    </xf>
    <xf numFmtId="43" fontId="3" fillId="0" borderId="23" xfId="1" applyFont="1" applyBorder="1" applyAlignment="1">
      <alignment vertical="top"/>
    </xf>
    <xf numFmtId="43" fontId="3" fillId="0" borderId="24" xfId="1" applyFont="1" applyFill="1" applyBorder="1" applyAlignment="1">
      <alignment vertical="top"/>
    </xf>
    <xf numFmtId="43" fontId="3" fillId="0" borderId="23" xfId="1" applyFont="1" applyFill="1" applyBorder="1" applyAlignment="1">
      <alignment horizontal="center" vertical="top"/>
    </xf>
    <xf numFmtId="43" fontId="3" fillId="0" borderId="24" xfId="1" applyFont="1" applyFill="1" applyBorder="1"/>
    <xf numFmtId="43" fontId="3" fillId="0" borderId="25" xfId="1" applyFont="1" applyFill="1" applyBorder="1"/>
    <xf numFmtId="43" fontId="3" fillId="0" borderId="25" xfId="1" applyFont="1" applyBorder="1"/>
    <xf numFmtId="43" fontId="3" fillId="0" borderId="26" xfId="1" applyFont="1" applyBorder="1"/>
    <xf numFmtId="1" fontId="7" fillId="0" borderId="21" xfId="0" applyNumberFormat="1" applyFont="1" applyFill="1" applyBorder="1" applyAlignment="1">
      <alignment vertical="top" wrapText="1"/>
    </xf>
    <xf numFmtId="43" fontId="3" fillId="0" borderId="24" xfId="1" applyFont="1" applyFill="1" applyBorder="1" applyAlignment="1"/>
    <xf numFmtId="0" fontId="9" fillId="0" borderId="0" xfId="0" applyFont="1"/>
    <xf numFmtId="43" fontId="3" fillId="0" borderId="25" xfId="1" applyFont="1" applyFill="1" applyBorder="1" applyAlignment="1">
      <alignment vertical="top"/>
    </xf>
    <xf numFmtId="43" fontId="3" fillId="0" borderId="25" xfId="1" applyFont="1" applyBorder="1" applyAlignment="1">
      <alignment vertical="top"/>
    </xf>
    <xf numFmtId="43" fontId="3" fillId="0" borderId="26" xfId="1" applyFont="1" applyBorder="1" applyAlignment="1">
      <alignment vertical="top"/>
    </xf>
    <xf numFmtId="0" fontId="8" fillId="0" borderId="0" xfId="0" applyFont="1" applyAlignment="1">
      <alignment wrapText="1"/>
    </xf>
    <xf numFmtId="0" fontId="3" fillId="0" borderId="21" xfId="0" applyFont="1" applyBorder="1" applyAlignment="1">
      <alignment vertical="top"/>
    </xf>
    <xf numFmtId="0" fontId="8" fillId="0" borderId="9" xfId="0" applyFont="1" applyBorder="1" applyAlignment="1">
      <alignment vertical="center" wrapText="1"/>
    </xf>
    <xf numFmtId="164" fontId="8" fillId="0" borderId="9" xfId="0" applyNumberFormat="1" applyFont="1" applyBorder="1" applyAlignment="1">
      <alignment vertical="center" wrapText="1"/>
    </xf>
    <xf numFmtId="1" fontId="7" fillId="0" borderId="27" xfId="0" applyNumberFormat="1" applyFont="1" applyFill="1" applyBorder="1" applyAlignment="1">
      <alignment vertical="top" wrapText="1"/>
    </xf>
    <xf numFmtId="43" fontId="7" fillId="0" borderId="24" xfId="1" applyFont="1" applyFill="1" applyBorder="1" applyAlignment="1">
      <alignment vertical="top" wrapText="1"/>
    </xf>
    <xf numFmtId="43" fontId="7" fillId="0" borderId="28" xfId="1" applyFont="1" applyFill="1" applyBorder="1" applyAlignment="1">
      <alignment vertical="top" wrapText="1"/>
    </xf>
    <xf numFmtId="43" fontId="7" fillId="0" borderId="29" xfId="1" applyFont="1" applyFill="1" applyBorder="1" applyAlignment="1">
      <alignment vertical="top" wrapText="1"/>
    </xf>
    <xf numFmtId="0" fontId="6" fillId="4" borderId="30" xfId="0" applyFont="1" applyFill="1" applyBorder="1" applyAlignment="1">
      <alignment horizontal="center" vertical="center"/>
    </xf>
    <xf numFmtId="43" fontId="6" fillId="4" borderId="31" xfId="1" applyFont="1" applyFill="1" applyBorder="1" applyAlignment="1">
      <alignment horizontal="center" vertical="center"/>
    </xf>
    <xf numFmtId="43" fontId="6" fillId="4" borderId="32" xfId="1" applyFont="1" applyFill="1" applyBorder="1" applyAlignment="1">
      <alignment horizontal="center" vertical="center"/>
    </xf>
    <xf numFmtId="43" fontId="6" fillId="4" borderId="33" xfId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43" fontId="6" fillId="0" borderId="34" xfId="1" applyFont="1" applyBorder="1" applyAlignment="1">
      <alignment horizontal="center" vertical="center" wrapText="1"/>
    </xf>
    <xf numFmtId="43" fontId="6" fillId="0" borderId="0" xfId="1" applyFont="1" applyBorder="1" applyAlignment="1">
      <alignment horizontal="center" vertical="center" wrapText="1"/>
    </xf>
    <xf numFmtId="43" fontId="3" fillId="0" borderId="0" xfId="1" applyFont="1" applyBorder="1"/>
    <xf numFmtId="43" fontId="3" fillId="0" borderId="35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36" xfId="1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43" fontId="6" fillId="0" borderId="24" xfId="1" applyFont="1" applyFill="1" applyBorder="1" applyAlignment="1">
      <alignment horizontal="center" vertical="center"/>
    </xf>
    <xf numFmtId="43" fontId="3" fillId="0" borderId="38" xfId="1" applyFont="1" applyBorder="1" applyAlignment="1"/>
    <xf numFmtId="43" fontId="3" fillId="0" borderId="24" xfId="1" applyFont="1" applyBorder="1" applyAlignment="1">
      <alignment horizontal="center" vertical="center"/>
    </xf>
    <xf numFmtId="43" fontId="6" fillId="6" borderId="25" xfId="1" applyFont="1" applyFill="1" applyBorder="1" applyAlignment="1"/>
    <xf numFmtId="43" fontId="6" fillId="6" borderId="39" xfId="1" applyFont="1" applyFill="1" applyBorder="1" applyAlignment="1"/>
    <xf numFmtId="43" fontId="6" fillId="0" borderId="0" xfId="1" applyFont="1" applyFill="1" applyBorder="1" applyAlignment="1"/>
    <xf numFmtId="43" fontId="3" fillId="0" borderId="36" xfId="1" applyFont="1" applyBorder="1"/>
    <xf numFmtId="0" fontId="3" fillId="0" borderId="21" xfId="0" applyFont="1" applyBorder="1" applyAlignment="1">
      <alignment horizontal="left" vertical="center" wrapText="1"/>
    </xf>
    <xf numFmtId="43" fontId="3" fillId="0" borderId="22" xfId="1" applyFont="1" applyBorder="1" applyAlignment="1">
      <alignment horizontal="left" vertical="center" wrapText="1"/>
    </xf>
    <xf numFmtId="43" fontId="3" fillId="0" borderId="24" xfId="1" applyFont="1" applyBorder="1" applyAlignment="1">
      <alignment vertical="center"/>
    </xf>
    <xf numFmtId="0" fontId="3" fillId="7" borderId="30" xfId="0" applyFont="1" applyFill="1" applyBorder="1" applyAlignment="1">
      <alignment horizontal="left" vertical="center"/>
    </xf>
    <xf numFmtId="43" fontId="3" fillId="7" borderId="31" xfId="1" applyFont="1" applyFill="1" applyBorder="1" applyAlignment="1">
      <alignment horizontal="left" vertical="center"/>
    </xf>
    <xf numFmtId="43" fontId="3" fillId="7" borderId="40" xfId="1" applyFont="1" applyFill="1" applyBorder="1" applyAlignment="1">
      <alignment horizontal="center" vertical="center"/>
    </xf>
    <xf numFmtId="43" fontId="6" fillId="7" borderId="40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43" fontId="3" fillId="0" borderId="0" xfId="1" applyFont="1" applyFill="1" applyBorder="1"/>
    <xf numFmtId="0" fontId="6" fillId="4" borderId="30" xfId="0" applyFont="1" applyFill="1" applyBorder="1" applyAlignment="1">
      <alignment horizontal="left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43" fontId="11" fillId="4" borderId="44" xfId="1" applyFont="1" applyFill="1" applyBorder="1"/>
    <xf numFmtId="43" fontId="6" fillId="0" borderId="0" xfId="1" applyFont="1" applyFill="1" applyBorder="1"/>
    <xf numFmtId="43" fontId="3" fillId="0" borderId="0" xfId="1" applyFont="1" applyFill="1" applyBorder="1" applyAlignment="1"/>
    <xf numFmtId="43" fontId="6" fillId="0" borderId="36" xfId="1" applyFont="1" applyFill="1" applyBorder="1" applyAlignment="1">
      <alignment horizontal="center" vertical="center"/>
    </xf>
    <xf numFmtId="0" fontId="6" fillId="2" borderId="45" xfId="0" applyFont="1" applyFill="1" applyBorder="1"/>
    <xf numFmtId="43" fontId="6" fillId="2" borderId="46" xfId="1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43" fontId="12" fillId="2" borderId="23" xfId="1" applyFont="1" applyFill="1" applyBorder="1" applyAlignment="1">
      <alignment vertical="top" wrapText="1"/>
    </xf>
    <xf numFmtId="43" fontId="12" fillId="0" borderId="0" xfId="1" applyFont="1" applyFill="1" applyBorder="1" applyAlignment="1">
      <alignment vertical="top" wrapText="1"/>
    </xf>
    <xf numFmtId="0" fontId="3" fillId="0" borderId="21" xfId="0" applyFont="1" applyFill="1" applyBorder="1"/>
    <xf numFmtId="43" fontId="3" fillId="0" borderId="39" xfId="1" applyFont="1" applyFill="1" applyBorder="1"/>
    <xf numFmtId="43" fontId="3" fillId="0" borderId="25" xfId="1" applyFont="1" applyFill="1" applyBorder="1" applyAlignment="1"/>
    <xf numFmtId="43" fontId="3" fillId="0" borderId="38" xfId="1" applyFont="1" applyFill="1" applyBorder="1" applyAlignment="1"/>
    <xf numFmtId="43" fontId="3" fillId="0" borderId="39" xfId="1" applyFont="1" applyBorder="1"/>
    <xf numFmtId="43" fontId="3" fillId="0" borderId="48" xfId="1" applyFont="1" applyFill="1" applyBorder="1" applyAlignment="1"/>
    <xf numFmtId="0" fontId="3" fillId="0" borderId="24" xfId="0" applyFont="1" applyBorder="1" applyAlignment="1">
      <alignment vertical="top" wrapText="1"/>
    </xf>
    <xf numFmtId="43" fontId="3" fillId="0" borderId="23" xfId="1" applyFont="1" applyBorder="1" applyAlignment="1">
      <alignment wrapText="1"/>
    </xf>
    <xf numFmtId="43" fontId="3" fillId="0" borderId="28" xfId="1" applyFont="1" applyBorder="1" applyAlignment="1">
      <alignment wrapText="1"/>
    </xf>
    <xf numFmtId="43" fontId="3" fillId="0" borderId="49" xfId="1" applyFont="1" applyFill="1" applyBorder="1" applyAlignment="1"/>
    <xf numFmtId="43" fontId="3" fillId="0" borderId="0" xfId="1" applyFont="1" applyFill="1" applyBorder="1" applyAlignment="1">
      <alignment vertical="center"/>
    </xf>
    <xf numFmtId="43" fontId="3" fillId="0" borderId="0" xfId="1" applyFont="1" applyBorder="1" applyAlignment="1">
      <alignment vertical="top"/>
    </xf>
    <xf numFmtId="0" fontId="3" fillId="0" borderId="37" xfId="0" applyFont="1" applyBorder="1" applyAlignment="1">
      <alignment wrapText="1"/>
    </xf>
    <xf numFmtId="43" fontId="3" fillId="0" borderId="22" xfId="1" applyFont="1" applyBorder="1" applyAlignment="1">
      <alignment wrapText="1"/>
    </xf>
    <xf numFmtId="43" fontId="3" fillId="0" borderId="24" xfId="1" applyFont="1" applyBorder="1" applyAlignment="1">
      <alignment wrapText="1"/>
    </xf>
    <xf numFmtId="43" fontId="6" fillId="3" borderId="38" xfId="1" applyFont="1" applyFill="1" applyBorder="1" applyAlignment="1">
      <alignment horizontal="center" vertical="center"/>
    </xf>
    <xf numFmtId="43" fontId="3" fillId="0" borderId="0" xfId="1" applyFont="1" applyBorder="1" applyAlignment="1"/>
    <xf numFmtId="0" fontId="3" fillId="0" borderId="24" xfId="0" applyFont="1" applyBorder="1" applyAlignment="1">
      <alignment wrapText="1"/>
    </xf>
    <xf numFmtId="43" fontId="6" fillId="3" borderId="23" xfId="1" applyFont="1" applyFill="1" applyBorder="1" applyAlignment="1">
      <alignment horizontal="center" vertical="center"/>
    </xf>
    <xf numFmtId="0" fontId="3" fillId="0" borderId="9" xfId="0" applyFont="1" applyFill="1" applyBorder="1"/>
    <xf numFmtId="43" fontId="3" fillId="0" borderId="48" xfId="1" applyFont="1" applyFill="1" applyBorder="1"/>
    <xf numFmtId="43" fontId="3" fillId="0" borderId="23" xfId="1" applyFont="1" applyFill="1" applyBorder="1"/>
    <xf numFmtId="0" fontId="6" fillId="8" borderId="15" xfId="0" applyFont="1" applyFill="1" applyBorder="1"/>
    <xf numFmtId="43" fontId="6" fillId="8" borderId="50" xfId="1" applyFont="1" applyFill="1" applyBorder="1"/>
    <xf numFmtId="43" fontId="6" fillId="0" borderId="14" xfId="1" applyFont="1" applyFill="1" applyBorder="1"/>
    <xf numFmtId="43" fontId="6" fillId="0" borderId="14" xfId="1" applyFont="1" applyFill="1" applyBorder="1" applyAlignment="1"/>
    <xf numFmtId="43" fontId="3" fillId="0" borderId="14" xfId="1" applyFont="1" applyBorder="1"/>
    <xf numFmtId="43" fontId="3" fillId="0" borderId="13" xfId="1" applyFont="1" applyBorder="1"/>
    <xf numFmtId="0" fontId="6" fillId="9" borderId="24" xfId="0" applyFont="1" applyFill="1" applyBorder="1"/>
    <xf numFmtId="43" fontId="6" fillId="0" borderId="0" xfId="1" applyFont="1" applyBorder="1"/>
    <xf numFmtId="43" fontId="3" fillId="0" borderId="0" xfId="1" applyFont="1"/>
    <xf numFmtId="1" fontId="12" fillId="0" borderId="24" xfId="0" applyNumberFormat="1" applyFont="1" applyFill="1" applyBorder="1" applyAlignment="1">
      <alignment vertical="top" wrapText="1"/>
    </xf>
    <xf numFmtId="43" fontId="6" fillId="0" borderId="24" xfId="1" applyFont="1" applyBorder="1" applyAlignment="1">
      <alignment horizontal="center"/>
    </xf>
    <xf numFmtId="43" fontId="6" fillId="9" borderId="25" xfId="1" applyFont="1" applyFill="1" applyBorder="1" applyAlignment="1">
      <alignment horizontal="center"/>
    </xf>
    <xf numFmtId="43" fontId="6" fillId="9" borderId="39" xfId="1" applyFont="1" applyFill="1" applyBorder="1" applyAlignment="1">
      <alignment horizontal="center"/>
    </xf>
    <xf numFmtId="0" fontId="7" fillId="0" borderId="24" xfId="0" applyNumberFormat="1" applyFont="1" applyFill="1" applyBorder="1" applyAlignment="1">
      <alignment horizontal="justify" vertical="top" wrapText="1"/>
    </xf>
    <xf numFmtId="43" fontId="3" fillId="0" borderId="24" xfId="1" applyFont="1" applyBorder="1"/>
    <xf numFmtId="43" fontId="12" fillId="0" borderId="25" xfId="1" applyFont="1" applyFill="1" applyBorder="1" applyAlignment="1">
      <alignment horizontal="center" vertical="top" wrapText="1"/>
    </xf>
    <xf numFmtId="43" fontId="12" fillId="0" borderId="39" xfId="1" applyFont="1" applyFill="1" applyBorder="1" applyAlignment="1">
      <alignment horizontal="center" vertical="top" wrapText="1"/>
    </xf>
    <xf numFmtId="43" fontId="6" fillId="10" borderId="25" xfId="1" applyFont="1" applyFill="1" applyBorder="1" applyAlignment="1">
      <alignment vertical="top"/>
    </xf>
    <xf numFmtId="43" fontId="6" fillId="10" borderId="24" xfId="1" applyFont="1" applyFill="1" applyBorder="1" applyAlignment="1">
      <alignment vertical="top"/>
    </xf>
    <xf numFmtId="1" fontId="7" fillId="0" borderId="24" xfId="0" applyNumberFormat="1" applyFont="1" applyFill="1" applyBorder="1" applyAlignment="1">
      <alignment horizontal="justify" vertical="top" wrapText="1"/>
    </xf>
    <xf numFmtId="43" fontId="7" fillId="0" borderId="25" xfId="1" applyFont="1" applyFill="1" applyBorder="1" applyAlignment="1">
      <alignment horizontal="left" vertical="top" wrapText="1"/>
    </xf>
    <xf numFmtId="43" fontId="7" fillId="0" borderId="39" xfId="1" applyFont="1" applyFill="1" applyBorder="1" applyAlignment="1">
      <alignment horizontal="left" vertical="top" wrapText="1"/>
    </xf>
    <xf numFmtId="43" fontId="3" fillId="0" borderId="25" xfId="1" applyFont="1" applyBorder="1" applyAlignment="1">
      <alignment horizontal="left"/>
    </xf>
    <xf numFmtId="43" fontId="3" fillId="0" borderId="39" xfId="1" applyFont="1" applyBorder="1" applyAlignment="1">
      <alignment horizontal="left"/>
    </xf>
    <xf numFmtId="1" fontId="7" fillId="8" borderId="40" xfId="0" applyNumberFormat="1" applyFont="1" applyFill="1" applyBorder="1" applyAlignment="1">
      <alignment horizontal="justify" vertical="top" wrapText="1"/>
    </xf>
    <xf numFmtId="43" fontId="3" fillId="8" borderId="40" xfId="1" applyFont="1" applyFill="1" applyBorder="1"/>
    <xf numFmtId="43" fontId="3" fillId="0" borderId="51" xfId="1" applyFont="1" applyBorder="1" applyAlignment="1">
      <alignment horizontal="left" wrapText="1"/>
    </xf>
    <xf numFmtId="43" fontId="3" fillId="0" borderId="22" xfId="1" applyFont="1" applyBorder="1" applyAlignment="1">
      <alignment horizontal="left" wrapText="1"/>
    </xf>
    <xf numFmtId="43" fontId="3" fillId="0" borderId="23" xfId="1" applyFont="1" applyBorder="1" applyAlignment="1">
      <alignment vertical="center"/>
    </xf>
    <xf numFmtId="1" fontId="7" fillId="0" borderId="23" xfId="0" applyNumberFormat="1" applyFont="1" applyFill="1" applyBorder="1" applyAlignment="1">
      <alignment horizontal="justify" vertical="top" wrapText="1"/>
    </xf>
    <xf numFmtId="43" fontId="3" fillId="0" borderId="23" xfId="1" applyFont="1" applyBorder="1"/>
    <xf numFmtId="43" fontId="3" fillId="0" borderId="51" xfId="1" applyFont="1" applyBorder="1" applyAlignment="1">
      <alignment vertical="top"/>
    </xf>
    <xf numFmtId="43" fontId="3" fillId="0" borderId="22" xfId="1" applyFont="1" applyBorder="1"/>
    <xf numFmtId="1" fontId="12" fillId="4" borderId="48" xfId="0" applyNumberFormat="1" applyFont="1" applyFill="1" applyBorder="1" applyAlignment="1">
      <alignment horizontal="justify" vertical="top" wrapText="1"/>
    </xf>
    <xf numFmtId="43" fontId="6" fillId="4" borderId="48" xfId="1" applyFont="1" applyFill="1" applyBorder="1"/>
    <xf numFmtId="43" fontId="6" fillId="4" borderId="28" xfId="1" applyFont="1" applyFill="1" applyBorder="1"/>
    <xf numFmtId="43" fontId="12" fillId="4" borderId="25" xfId="1" applyFont="1" applyFill="1" applyBorder="1" applyAlignment="1">
      <alignment horizontal="left" vertical="top" wrapText="1"/>
    </xf>
    <xf numFmtId="43" fontId="12" fillId="4" borderId="39" xfId="1" applyFont="1" applyFill="1" applyBorder="1" applyAlignment="1">
      <alignment horizontal="left" vertical="top" wrapText="1"/>
    </xf>
    <xf numFmtId="43" fontId="6" fillId="4" borderId="24" xfId="1" applyFont="1" applyFill="1" applyBorder="1"/>
    <xf numFmtId="43" fontId="13" fillId="0" borderId="0" xfId="1" applyFont="1" applyAlignment="1"/>
    <xf numFmtId="43" fontId="3" fillId="0" borderId="0" xfId="1" applyFont="1" applyFill="1"/>
    <xf numFmtId="43" fontId="12" fillId="0" borderId="0" xfId="1" applyFont="1" applyFill="1" applyBorder="1" applyAlignment="1">
      <alignment horizontal="center" vertical="top" wrapText="1"/>
    </xf>
    <xf numFmtId="43" fontId="3" fillId="0" borderId="0" xfId="1" applyFont="1" applyAlignment="1">
      <alignment horizontal="left"/>
    </xf>
    <xf numFmtId="1" fontId="14" fillId="11" borderId="24" xfId="0" applyNumberFormat="1" applyFont="1" applyFill="1" applyBorder="1" applyAlignment="1">
      <alignment horizontal="justify" vertical="top" wrapText="1"/>
    </xf>
    <xf numFmtId="43" fontId="14" fillId="11" borderId="24" xfId="1" applyFont="1" applyFill="1" applyBorder="1"/>
    <xf numFmtId="43" fontId="14" fillId="11" borderId="39" xfId="1" applyFont="1" applyFill="1" applyBorder="1"/>
    <xf numFmtId="0" fontId="15" fillId="0" borderId="0" xfId="0" applyFont="1" applyFill="1" applyBorder="1"/>
    <xf numFmtId="43" fontId="11" fillId="0" borderId="52" xfId="1" applyFont="1" applyBorder="1"/>
    <xf numFmtId="43" fontId="3" fillId="0" borderId="29" xfId="1" applyFont="1" applyBorder="1"/>
    <xf numFmtId="0" fontId="8" fillId="0" borderId="0" xfId="0" applyFont="1" applyFill="1" applyBorder="1"/>
    <xf numFmtId="43" fontId="3" fillId="0" borderId="49" xfId="1" applyFont="1" applyBorder="1"/>
    <xf numFmtId="43" fontId="3" fillId="0" borderId="28" xfId="1" applyFont="1" applyBorder="1"/>
    <xf numFmtId="43" fontId="6" fillId="12" borderId="0" xfId="1" applyFont="1" applyFill="1"/>
    <xf numFmtId="43" fontId="6" fillId="0" borderId="51" xfId="1" applyFont="1" applyBorder="1"/>
    <xf numFmtId="43" fontId="6" fillId="0" borderId="22" xfId="1" applyFont="1" applyBorder="1"/>
    <xf numFmtId="0" fontId="3" fillId="0" borderId="0" xfId="0" applyFont="1" applyFill="1" applyBorder="1"/>
    <xf numFmtId="0" fontId="10" fillId="0" borderId="9" xfId="0" applyFont="1" applyBorder="1" applyAlignment="1">
      <alignment vertical="center"/>
    </xf>
  </cellXfs>
  <cellStyles count="75">
    <cellStyle name="??" xfId="2"/>
    <cellStyle name="?? [0.00]_laroux" xfId="3"/>
    <cellStyle name="???? [0.00]_laroux" xfId="4"/>
    <cellStyle name="????_laroux" xfId="5"/>
    <cellStyle name="??_??" xfId="6"/>
    <cellStyle name="•W_Electrical" xfId="7"/>
    <cellStyle name="Comma" xfId="1" builtinId="3"/>
    <cellStyle name="Comma 10" xfId="8"/>
    <cellStyle name="Comma 11" xfId="9"/>
    <cellStyle name="Comma 12" xfId="10"/>
    <cellStyle name="Comma 13" xfId="11"/>
    <cellStyle name="Comma 14 7" xfId="12"/>
    <cellStyle name="Comma 2" xfId="13"/>
    <cellStyle name="Comma 2 2" xfId="14"/>
    <cellStyle name="Comma 2 3" xfId="15"/>
    <cellStyle name="Comma 2 3 10" xfId="16"/>
    <cellStyle name="Comma 3" xfId="17"/>
    <cellStyle name="Comma 3 2" xfId="18"/>
    <cellStyle name="Comma 4" xfId="19"/>
    <cellStyle name="Comma 4 2" xfId="20"/>
    <cellStyle name="Comma 4 2 2" xfId="21"/>
    <cellStyle name="Comma 4 3" xfId="22"/>
    <cellStyle name="Comma 5" xfId="23"/>
    <cellStyle name="Comma 5 2" xfId="24"/>
    <cellStyle name="Comma 6" xfId="25"/>
    <cellStyle name="Comma 6 2" xfId="26"/>
    <cellStyle name="Comma 6 3" xfId="27"/>
    <cellStyle name="Comma 6 3 2" xfId="28"/>
    <cellStyle name="Comma 6 4" xfId="29"/>
    <cellStyle name="Comma 6 4 2" xfId="30"/>
    <cellStyle name="Comma 6 5" xfId="31"/>
    <cellStyle name="Comma 6 5 2" xfId="32"/>
    <cellStyle name="Comma 6 5 2 2" xfId="33"/>
    <cellStyle name="Comma 7" xfId="34"/>
    <cellStyle name="Comma 8" xfId="35"/>
    <cellStyle name="Comma 9" xfId="36"/>
    <cellStyle name="Normal" xfId="0" builtinId="0"/>
    <cellStyle name="Normal 10" xfId="37"/>
    <cellStyle name="Normal 10 2" xfId="38"/>
    <cellStyle name="Normal 11" xfId="39"/>
    <cellStyle name="Normal 12" xfId="40"/>
    <cellStyle name="Normal 13" xfId="41"/>
    <cellStyle name="Normal 169" xfId="42"/>
    <cellStyle name="Normal 2" xfId="43"/>
    <cellStyle name="Normal 2 2" xfId="44"/>
    <cellStyle name="Normal 2 2 2" xfId="45"/>
    <cellStyle name="Normal 2 2 3" xfId="46"/>
    <cellStyle name="Normal 2 2 3 10" xfId="47"/>
    <cellStyle name="Normal 2 2 3 2" xfId="48"/>
    <cellStyle name="Normal 2 3" xfId="49"/>
    <cellStyle name="Normal 2 4" xfId="50"/>
    <cellStyle name="Normal 2 5" xfId="51"/>
    <cellStyle name="Normal 2_2nd R A _hydroair_final_jain" xfId="52"/>
    <cellStyle name="Normal 3" xfId="53"/>
    <cellStyle name="Normal 3 2" xfId="54"/>
    <cellStyle name="Normal 3_RA-BILL-04 BIBWEWADI" xfId="55"/>
    <cellStyle name="Normal 4" xfId="56"/>
    <cellStyle name="Normal 5" xfId="57"/>
    <cellStyle name="Normal 5 2" xfId="58"/>
    <cellStyle name="Normal 6" xfId="59"/>
    <cellStyle name="Normal 6 2" xfId="60"/>
    <cellStyle name="Normal 7" xfId="61"/>
    <cellStyle name="Normal 8" xfId="62"/>
    <cellStyle name="Normal 9" xfId="63"/>
    <cellStyle name="Normal 9 2" xfId="64"/>
    <cellStyle name="Percent 2" xfId="65"/>
    <cellStyle name="Percent 3" xfId="66"/>
    <cellStyle name="Percent 4" xfId="67"/>
    <cellStyle name="Percent 5" xfId="68"/>
    <cellStyle name="Style 1" xfId="69"/>
    <cellStyle name="桁区切り [0.00]_laroux" xfId="70"/>
    <cellStyle name="桁区切り_laroux" xfId="71"/>
    <cellStyle name="標準_94物件" xfId="72"/>
    <cellStyle name="通貨 [0.00]_laroux" xfId="73"/>
    <cellStyle name="通貨_laroux" xfId="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SIC%20Delhi\MIS%20June,%202012\Darapur%20June%2020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IS Reporting"/>
      <sheetName val="May &amp; June 12 Stock"/>
      <sheetName val="RA Details"/>
      <sheetName val="CC Road Work"/>
      <sheetName val="Abstract of 6th RB"/>
      <sheetName val="Abstract of 1st RB Housing"/>
      <sheetName val="Abstract 2nd RA Housing"/>
      <sheetName val="ESIC BOQ"/>
      <sheetName val="Extra Work BOQ"/>
      <sheetName val="Escalation 5th 6th 1st &amp; 2nd RA"/>
      <sheetName val="Indices"/>
      <sheetName val="Adv.recpts &amp; Adjtmts."/>
      <sheetName val="Bills Submitted &amp; Passed"/>
      <sheetName val="Summery 30.6.12"/>
      <sheetName val="Physical June"/>
      <sheetName val="Stk Summary"/>
      <sheetName val="Trail Bal. 30.6.12"/>
      <sheetName val="C.Liabilities 30.6.12"/>
      <sheetName val="With Mat.Cont."/>
    </sheetNames>
    <sheetDataSet>
      <sheetData sheetId="0" refreshError="1"/>
      <sheetData sheetId="1" refreshError="1"/>
      <sheetData sheetId="2">
        <row r="8">
          <cell r="H8">
            <v>17630462.710000001</v>
          </cell>
          <cell r="I8">
            <v>53107499.159999996</v>
          </cell>
        </row>
        <row r="11">
          <cell r="L11">
            <v>2450144</v>
          </cell>
        </row>
      </sheetData>
      <sheetData sheetId="3">
        <row r="43">
          <cell r="M43">
            <v>395103.48685885011</v>
          </cell>
        </row>
      </sheetData>
      <sheetData sheetId="4">
        <row r="48">
          <cell r="F48">
            <v>80263004.081499994</v>
          </cell>
          <cell r="H48">
            <v>41420035.060500003</v>
          </cell>
          <cell r="J48">
            <v>979989.79619999998</v>
          </cell>
          <cell r="L48">
            <v>9710</v>
          </cell>
          <cell r="N48">
            <v>280590.25</v>
          </cell>
          <cell r="P48">
            <v>35450500</v>
          </cell>
          <cell r="R48">
            <v>11151344</v>
          </cell>
        </row>
      </sheetData>
      <sheetData sheetId="5" refreshError="1"/>
      <sheetData sheetId="6">
        <row r="19">
          <cell r="C19">
            <v>23839190.609999999</v>
          </cell>
        </row>
      </sheetData>
      <sheetData sheetId="7">
        <row r="4">
          <cell r="C4">
            <v>2693965220</v>
          </cell>
          <cell r="G4">
            <v>1235929668</v>
          </cell>
        </row>
        <row r="5">
          <cell r="C5">
            <v>660813178.26999998</v>
          </cell>
          <cell r="G5">
            <v>29596552</v>
          </cell>
        </row>
        <row r="6">
          <cell r="C6">
            <v>754221267.50999999</v>
          </cell>
          <cell r="G6">
            <v>146046954</v>
          </cell>
        </row>
        <row r="7">
          <cell r="C7">
            <v>99110769</v>
          </cell>
          <cell r="G7">
            <v>100436580</v>
          </cell>
        </row>
        <row r="8">
          <cell r="C8">
            <v>12667518</v>
          </cell>
          <cell r="G8">
            <v>5627514</v>
          </cell>
        </row>
        <row r="9">
          <cell r="C9">
            <v>9654391</v>
          </cell>
          <cell r="G9">
            <v>5034879</v>
          </cell>
        </row>
        <row r="10">
          <cell r="C10">
            <v>79433852.337500006</v>
          </cell>
          <cell r="G10">
            <v>16190612</v>
          </cell>
        </row>
        <row r="11">
          <cell r="G11">
            <v>2787765</v>
          </cell>
        </row>
        <row r="12">
          <cell r="G12">
            <v>35900206</v>
          </cell>
        </row>
      </sheetData>
      <sheetData sheetId="8">
        <row r="9">
          <cell r="C9">
            <v>129535884</v>
          </cell>
        </row>
        <row r="11">
          <cell r="C11">
            <v>958080</v>
          </cell>
        </row>
        <row r="13">
          <cell r="C13">
            <v>69562416</v>
          </cell>
        </row>
        <row r="15">
          <cell r="C15">
            <v>104667708</v>
          </cell>
        </row>
        <row r="17">
          <cell r="C17">
            <v>33292893</v>
          </cell>
        </row>
        <row r="19">
          <cell r="C19">
            <v>18793416</v>
          </cell>
        </row>
        <row r="21">
          <cell r="C21">
            <v>14875600</v>
          </cell>
        </row>
        <row r="23">
          <cell r="C23">
            <v>1883300</v>
          </cell>
        </row>
        <row r="25">
          <cell r="C25">
            <v>24416616</v>
          </cell>
        </row>
        <row r="27">
          <cell r="C27">
            <v>35126154</v>
          </cell>
        </row>
        <row r="31">
          <cell r="C31">
            <v>259415143.00809634</v>
          </cell>
        </row>
      </sheetData>
      <sheetData sheetId="9">
        <row r="8">
          <cell r="P8">
            <v>12156164.633406144</v>
          </cell>
        </row>
        <row r="22">
          <cell r="F22">
            <v>41752177.460000001</v>
          </cell>
        </row>
        <row r="24">
          <cell r="F24">
            <v>2484465.5</v>
          </cell>
        </row>
        <row r="27">
          <cell r="L27">
            <v>13443872.471912518</v>
          </cell>
        </row>
        <row r="35">
          <cell r="F35">
            <v>42250465.458200008</v>
          </cell>
        </row>
        <row r="37">
          <cell r="F37">
            <v>40923594.900000006</v>
          </cell>
        </row>
        <row r="58">
          <cell r="L58">
            <v>25327082.178943444</v>
          </cell>
        </row>
        <row r="86">
          <cell r="L86">
            <v>5594391.2875455776</v>
          </cell>
        </row>
        <row r="115">
          <cell r="L115">
            <v>1648911.3827044345</v>
          </cell>
        </row>
      </sheetData>
      <sheetData sheetId="10" refreshError="1"/>
      <sheetData sheetId="11">
        <row r="13">
          <cell r="K13">
            <v>588742000</v>
          </cell>
        </row>
      </sheetData>
      <sheetData sheetId="12">
        <row r="31">
          <cell r="D31">
            <v>16400000</v>
          </cell>
        </row>
        <row r="48">
          <cell r="F48">
            <v>116957121</v>
          </cell>
          <cell r="G48">
            <v>2654737</v>
          </cell>
          <cell r="H48">
            <v>2887330</v>
          </cell>
          <cell r="I48">
            <v>17283303</v>
          </cell>
          <cell r="J48">
            <v>12957314</v>
          </cell>
        </row>
        <row r="49">
          <cell r="F49">
            <v>14011703</v>
          </cell>
          <cell r="G49">
            <v>339678</v>
          </cell>
          <cell r="H49">
            <v>339678</v>
          </cell>
          <cell r="I49">
            <v>2122986</v>
          </cell>
        </row>
        <row r="50">
          <cell r="F50">
            <v>350565</v>
          </cell>
          <cell r="G50">
            <v>7800</v>
          </cell>
          <cell r="H50">
            <v>7800</v>
          </cell>
        </row>
        <row r="54">
          <cell r="G54">
            <v>18362023</v>
          </cell>
        </row>
      </sheetData>
      <sheetData sheetId="13" refreshError="1"/>
      <sheetData sheetId="14" refreshError="1"/>
      <sheetData sheetId="15">
        <row r="4">
          <cell r="H4" t="str">
            <v>Sum of Stock Considered for MIS</v>
          </cell>
        </row>
      </sheetData>
      <sheetData sheetId="16">
        <row r="252">
          <cell r="M252" t="str">
            <v>Sum of Closing</v>
          </cell>
        </row>
        <row r="267">
          <cell r="N267">
            <v>1063147</v>
          </cell>
        </row>
      </sheetData>
      <sheetData sheetId="17">
        <row r="140">
          <cell r="L140" t="str">
            <v>Row Labels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O63"/>
  <sheetViews>
    <sheetView tabSelected="1" topLeftCell="B21" workbookViewId="0">
      <selection activeCell="N46" sqref="N46"/>
    </sheetView>
  </sheetViews>
  <sheetFormatPr defaultRowHeight="11.25"/>
  <cols>
    <col min="1" max="1" width="38.42578125" style="5" customWidth="1"/>
    <col min="2" max="2" width="15.7109375" style="133" customWidth="1"/>
    <col min="3" max="3" width="15.85546875" style="133" customWidth="1"/>
    <col min="4" max="4" width="15.5703125" style="133" customWidth="1"/>
    <col min="5" max="5" width="12.7109375" style="133" customWidth="1"/>
    <col min="6" max="6" width="13.140625" style="133" customWidth="1"/>
    <col min="7" max="7" width="9.7109375" style="133" customWidth="1"/>
    <col min="8" max="8" width="9" style="133" customWidth="1"/>
    <col min="9" max="9" width="10.7109375" style="133" customWidth="1"/>
    <col min="10" max="10" width="11.42578125" style="133" customWidth="1"/>
    <col min="11" max="11" width="14.42578125" style="133" customWidth="1"/>
    <col min="12" max="12" width="10.140625" style="133" customWidth="1"/>
    <col min="13" max="13" width="10.42578125" style="133" customWidth="1"/>
    <col min="14" max="14" width="10" style="133" customWidth="1"/>
    <col min="15" max="15" width="94.42578125" style="5" bestFit="1" customWidth="1"/>
    <col min="16" max="16384" width="9.140625" style="5"/>
  </cols>
  <sheetData>
    <row r="1" spans="1:15" ht="15.75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</row>
    <row r="2" spans="1:15" s="11" customFormat="1" ht="13.5" thickBot="1">
      <c r="A2" s="6" t="s">
        <v>117</v>
      </c>
      <c r="B2" s="7"/>
      <c r="C2" s="7"/>
      <c r="D2" s="7"/>
      <c r="E2" s="7"/>
      <c r="F2" s="7"/>
      <c r="G2" s="7"/>
      <c r="H2" s="8" t="s">
        <v>1</v>
      </c>
      <c r="I2" s="8"/>
      <c r="J2" s="8"/>
      <c r="K2" s="9"/>
      <c r="L2" s="9"/>
      <c r="M2" s="9" t="s">
        <v>2</v>
      </c>
      <c r="N2" s="10"/>
    </row>
    <row r="3" spans="1:1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4" t="s">
        <v>10</v>
      </c>
      <c r="I3" s="13" t="s">
        <v>11</v>
      </c>
      <c r="J3" s="15" t="s">
        <v>12</v>
      </c>
      <c r="K3" s="14" t="s">
        <v>13</v>
      </c>
      <c r="L3" s="15"/>
      <c r="M3" s="13" t="s">
        <v>14</v>
      </c>
      <c r="N3" s="13" t="s">
        <v>15</v>
      </c>
    </row>
    <row r="4" spans="1:15" ht="28.5" customHeight="1">
      <c r="A4" s="16"/>
      <c r="B4" s="17"/>
      <c r="C4" s="17"/>
      <c r="D4" s="17"/>
      <c r="E4" s="17"/>
      <c r="F4" s="17"/>
      <c r="G4" s="17"/>
      <c r="H4" s="18"/>
      <c r="I4" s="17"/>
      <c r="J4" s="19"/>
      <c r="K4" s="20"/>
      <c r="L4" s="19"/>
      <c r="M4" s="17"/>
      <c r="N4" s="17"/>
      <c r="O4" s="21"/>
    </row>
    <row r="5" spans="1:15" ht="12" thickBot="1">
      <c r="A5" s="22"/>
      <c r="B5" s="23" t="s">
        <v>16</v>
      </c>
      <c r="C5" s="24" t="s">
        <v>17</v>
      </c>
      <c r="D5" s="24" t="s">
        <v>18</v>
      </c>
      <c r="E5" s="24" t="s">
        <v>19</v>
      </c>
      <c r="F5" s="25" t="s">
        <v>20</v>
      </c>
      <c r="G5" s="26" t="s">
        <v>21</v>
      </c>
      <c r="H5" s="27" t="s">
        <v>22</v>
      </c>
      <c r="I5" s="28" t="s">
        <v>23</v>
      </c>
      <c r="J5" s="28" t="s">
        <v>24</v>
      </c>
      <c r="K5" s="28" t="s">
        <v>25</v>
      </c>
      <c r="L5" s="28" t="s">
        <v>26</v>
      </c>
      <c r="M5" s="28" t="s">
        <v>27</v>
      </c>
      <c r="N5" s="28" t="s">
        <v>28</v>
      </c>
    </row>
    <row r="6" spans="1:15">
      <c r="A6" s="29" t="s">
        <v>29</v>
      </c>
      <c r="B6" s="30">
        <f>('[1]ESIC BOQ'!C4)/10000000</f>
        <v>269.396522</v>
      </c>
      <c r="C6" s="30">
        <f>('[1]ESIC BOQ'!G4+'[1]ESIC BOQ'!G5)/10000000</f>
        <v>126.552622</v>
      </c>
      <c r="D6" s="30">
        <f>B6+C6</f>
        <v>395.94914399999999</v>
      </c>
      <c r="E6" s="30">
        <f>('[1]Abstract 2nd RA Housing'!C19)/10000000</f>
        <v>2.3839190609999998</v>
      </c>
      <c r="F6" s="31">
        <f>('[1]Abstract of 6th RB'!F48+'[1]CC Road Work'!M43)/10000000</f>
        <v>8.0658107568358837</v>
      </c>
      <c r="G6" s="31">
        <f>E6+F6</f>
        <v>10.449729817835884</v>
      </c>
      <c r="H6" s="32">
        <f>(109086749.61+GETPIVOTDATA("Closing",'[1]Trail Bal. 30.6.12'!$M$252,"Nature","Civil")+GETPIVOTDATA("Closing",'[1]Trail Bal. 30.6.12'!$M$252,"Nature","Misc"))/10000000</f>
        <v>12.086700151999999</v>
      </c>
      <c r="I6" s="32">
        <f>(GETPIVOTDATA("Stock Considered for MIS",'[1]Stk Summary'!$H$4,"Nature","Civil")+GETPIVOTDATA("Stock Considered for MIS",'[1]Stk Summary'!$H$4,"Nature","Misc")+GETPIVOTDATA("Stock Considered for MIS",'[1]Stk Summary'!$H$4,"Nature","FA/Civil"))/10000000</f>
        <v>2.2202514650074074</v>
      </c>
      <c r="J6" s="33">
        <f>H6-I6</f>
        <v>9.8664486869925909</v>
      </c>
      <c r="K6" s="34">
        <f>G6-H6+I6</f>
        <v>0.58328113084329258</v>
      </c>
      <c r="L6" s="34">
        <f>K6/F6%</f>
        <v>7.2315251179052762</v>
      </c>
      <c r="M6" s="35">
        <f>G6/D6%</f>
        <v>2.6391595931410534</v>
      </c>
      <c r="N6" s="36">
        <f>(GETPIVOTDATA("Balance  Payable",'[1]C.Liabilities 30.6.12'!$L$140,"Nature","Civil"))/10000000</f>
        <v>0.52543229999999996</v>
      </c>
      <c r="O6" s="37"/>
    </row>
    <row r="7" spans="1:15">
      <c r="A7" s="38" t="s">
        <v>30</v>
      </c>
      <c r="B7" s="39">
        <f>('[1]ESIC BOQ'!C6)/10000000</f>
        <v>75.422126750999993</v>
      </c>
      <c r="C7" s="39">
        <f>('[1]ESIC BOQ'!G6)/10000000</f>
        <v>14.604695400000001</v>
      </c>
      <c r="D7" s="39">
        <f>B7+C7</f>
        <v>90.02682215099999</v>
      </c>
      <c r="E7" s="39">
        <v>0</v>
      </c>
      <c r="F7" s="40">
        <f>('[1]Abstract of 6th RB'!H48)/10000000</f>
        <v>4.14200350605</v>
      </c>
      <c r="G7" s="40">
        <f>E7+F7</f>
        <v>4.14200350605</v>
      </c>
      <c r="H7" s="41">
        <f>(33151669+GETPIVOTDATA("Closing",'[1]Trail Bal. 30.6.12'!$M$252,"Nature","Electrical"))/10000000</f>
        <v>3.3288061999999998</v>
      </c>
      <c r="I7" s="42">
        <v>0</v>
      </c>
      <c r="J7" s="43">
        <f>H7-I7</f>
        <v>3.3288061999999998</v>
      </c>
      <c r="K7" s="44">
        <f>G7-H7+I7</f>
        <v>0.81319730605000018</v>
      </c>
      <c r="L7" s="44">
        <f>K7/F7%</f>
        <v>19.632945864536495</v>
      </c>
      <c r="M7" s="45">
        <f>G7/D7%</f>
        <v>4.6008549530968779</v>
      </c>
      <c r="N7" s="46">
        <f>(GETPIVOTDATA("Balance  Payable",'[1]C.Liabilities 30.6.12'!$L$140,"Nature","Electrical"))/10000000</f>
        <v>9.6693000000000005E-3</v>
      </c>
      <c r="O7" s="37"/>
    </row>
    <row r="8" spans="1:15">
      <c r="A8" s="47" t="s">
        <v>31</v>
      </c>
      <c r="B8" s="39">
        <f>('[1]ESIC BOQ'!C10)/10000000</f>
        <v>7.9433852337500008</v>
      </c>
      <c r="C8" s="39">
        <f>('[1]ESIC BOQ'!G12)/10000000</f>
        <v>3.5900205999999999</v>
      </c>
      <c r="D8" s="39">
        <f t="shared" ref="D8:D25" si="0">B8+C8</f>
        <v>11.533405833750001</v>
      </c>
      <c r="E8" s="39">
        <v>0</v>
      </c>
      <c r="F8" s="40">
        <f>('[1]Abstract of 6th RB'!L48)/10000000</f>
        <v>9.7099999999999997E-4</v>
      </c>
      <c r="G8" s="40">
        <f t="shared" ref="G8:G25" si="1">E8+F8</f>
        <v>9.7099999999999997E-4</v>
      </c>
      <c r="H8" s="48">
        <f>('[1]Trail Bal. 30.6.12'!N267)/10000000</f>
        <v>0.1063147</v>
      </c>
      <c r="I8" s="41">
        <v>0</v>
      </c>
      <c r="J8" s="43">
        <f t="shared" ref="J8:J20" si="2">H8-I8</f>
        <v>0.1063147</v>
      </c>
      <c r="K8" s="44">
        <f t="shared" ref="K8:K20" si="3">G8-H8+I8</f>
        <v>-0.1053437</v>
      </c>
      <c r="L8" s="44"/>
      <c r="M8" s="45">
        <f t="shared" ref="M8:M25" si="4">G8/D8%</f>
        <v>8.4190222211602047E-3</v>
      </c>
      <c r="N8" s="46">
        <f>(GETPIVOTDATA("Balance  Payable",'[1]C.Liabilities 30.6.12'!$L$140,"Nature","Fire Work"))/10000000</f>
        <v>1.4999999999999999E-2</v>
      </c>
      <c r="O8" s="49"/>
    </row>
    <row r="9" spans="1:15">
      <c r="A9" s="47" t="s">
        <v>32</v>
      </c>
      <c r="B9" s="39">
        <f>('[1]ESIC BOQ'!C7)/10000000</f>
        <v>9.9110768999999994</v>
      </c>
      <c r="C9" s="39">
        <f>('[1]ESIC BOQ'!G7)/10000000</f>
        <v>10.043658000000001</v>
      </c>
      <c r="D9" s="39">
        <f t="shared" si="0"/>
        <v>19.954734899999998</v>
      </c>
      <c r="E9" s="39">
        <v>0</v>
      </c>
      <c r="F9" s="40">
        <f>('[1]Abstract of 6th RB'!J48)/10000000</f>
        <v>9.7998979619999996E-2</v>
      </c>
      <c r="G9" s="40">
        <f t="shared" si="1"/>
        <v>9.7998979619999996E-2</v>
      </c>
      <c r="H9" s="41">
        <f>(2348974+GETPIVOTDATA("Closing",'[1]Trail Bal. 30.6.12'!$M$252,"Nature","Plumbing"))/10000000</f>
        <v>0.2361067</v>
      </c>
      <c r="I9" s="41">
        <f>(GETPIVOTDATA("Stock Considered for MIS",'[1]Stk Summary'!$H$4,"Nature","Plumbing"))/10000000</f>
        <v>9.3448000000000003E-2</v>
      </c>
      <c r="J9" s="41">
        <f t="shared" si="2"/>
        <v>0.1426587</v>
      </c>
      <c r="K9" s="50">
        <f t="shared" si="3"/>
        <v>-4.4659720380000018E-2</v>
      </c>
      <c r="L9" s="50"/>
      <c r="M9" s="51">
        <f t="shared" si="4"/>
        <v>0.49110639710878845</v>
      </c>
      <c r="N9" s="52">
        <f>(GETPIVOTDATA("Balance  Payable",'[1]C.Liabilities 30.6.12'!$L$140,"Nature","Plumbing"))/10000000</f>
        <v>4.6430000000000001E-4</v>
      </c>
      <c r="O9" s="53"/>
    </row>
    <row r="10" spans="1:15">
      <c r="A10" s="47" t="s">
        <v>33</v>
      </c>
      <c r="B10" s="39">
        <f>('[1]ESIC BOQ'!C5)/10000000</f>
        <v>66.081317826999992</v>
      </c>
      <c r="C10" s="39">
        <v>0</v>
      </c>
      <c r="D10" s="39">
        <f t="shared" si="0"/>
        <v>66.081317826999992</v>
      </c>
      <c r="E10" s="39">
        <v>0</v>
      </c>
      <c r="F10" s="40">
        <v>0</v>
      </c>
      <c r="G10" s="40">
        <f t="shared" si="1"/>
        <v>0</v>
      </c>
      <c r="H10" s="41">
        <v>0</v>
      </c>
      <c r="I10" s="41">
        <v>0</v>
      </c>
      <c r="J10" s="43">
        <f t="shared" si="2"/>
        <v>0</v>
      </c>
      <c r="K10" s="44">
        <f t="shared" si="3"/>
        <v>0</v>
      </c>
      <c r="L10" s="44"/>
      <c r="M10" s="45">
        <f t="shared" si="4"/>
        <v>0</v>
      </c>
      <c r="N10" s="46">
        <v>0</v>
      </c>
      <c r="O10" s="37"/>
    </row>
    <row r="11" spans="1:15" ht="11.25" customHeight="1">
      <c r="A11" s="54" t="s">
        <v>34</v>
      </c>
      <c r="B11" s="39">
        <f>('[1]Extra Work BOQ'!C15)/10000000</f>
        <v>10.466770800000001</v>
      </c>
      <c r="C11" s="39">
        <v>0</v>
      </c>
      <c r="D11" s="39">
        <f t="shared" si="0"/>
        <v>10.466770800000001</v>
      </c>
      <c r="E11" s="40">
        <v>0</v>
      </c>
      <c r="F11" s="40">
        <f>('[1]Abstract of 6th RB'!N48)/10000000</f>
        <v>2.8059025000000001E-2</v>
      </c>
      <c r="G11" s="40">
        <f t="shared" si="1"/>
        <v>2.8059025000000001E-2</v>
      </c>
      <c r="H11" s="41">
        <v>0.2509284</v>
      </c>
      <c r="I11" s="41">
        <v>0</v>
      </c>
      <c r="J11" s="41">
        <f t="shared" si="2"/>
        <v>0.2509284</v>
      </c>
      <c r="K11" s="50">
        <f t="shared" si="3"/>
        <v>-0.22286937499999998</v>
      </c>
      <c r="L11" s="50"/>
      <c r="M11" s="51">
        <f t="shared" si="4"/>
        <v>0.26807718957598647</v>
      </c>
      <c r="N11" s="52">
        <f>(GETPIVOTDATA("Balance  Payable",'[1]C.Liabilities 30.6.12'!$L$140,"Nature","Gas Pipeline"))/10000000</f>
        <v>2.5207500000000001E-2</v>
      </c>
      <c r="O11" s="55"/>
    </row>
    <row r="12" spans="1:15">
      <c r="A12" s="47" t="s">
        <v>35</v>
      </c>
      <c r="B12" s="39">
        <f>('[1]Extra Work BOQ'!C9)/10000000</f>
        <v>12.953588399999999</v>
      </c>
      <c r="C12" s="39">
        <v>0</v>
      </c>
      <c r="D12" s="39">
        <f t="shared" si="0"/>
        <v>12.953588399999999</v>
      </c>
      <c r="E12" s="39">
        <v>0</v>
      </c>
      <c r="F12" s="40">
        <f>('[1]Abstract of 6th RB'!P48)/10000000</f>
        <v>3.5450499999999998</v>
      </c>
      <c r="G12" s="40">
        <f t="shared" si="1"/>
        <v>3.5450499999999998</v>
      </c>
      <c r="H12" s="41">
        <f>(9118693+13037869.5)/10000000</f>
        <v>2.2156562499999999</v>
      </c>
      <c r="I12" s="41">
        <v>0</v>
      </c>
      <c r="J12" s="41">
        <f t="shared" si="2"/>
        <v>2.2156562499999999</v>
      </c>
      <c r="K12" s="50">
        <f t="shared" si="3"/>
        <v>1.3293937499999999</v>
      </c>
      <c r="L12" s="50">
        <f>K12/F12%</f>
        <v>37.5</v>
      </c>
      <c r="M12" s="51">
        <f t="shared" si="4"/>
        <v>27.367320085606551</v>
      </c>
      <c r="N12" s="52">
        <f>(GETPIVOTDATA("Balance  Payable",'[1]C.Liabilities 30.6.12'!$L$140,"Nature","OT"))/10000000</f>
        <v>2.6819633999999999</v>
      </c>
      <c r="O12" s="56"/>
    </row>
    <row r="13" spans="1:15">
      <c r="A13" s="47" t="s">
        <v>36</v>
      </c>
      <c r="B13" s="39">
        <f>('[1]Extra Work BOQ'!C13)/10000000</f>
        <v>6.9562416000000002</v>
      </c>
      <c r="C13" s="39">
        <v>0</v>
      </c>
      <c r="D13" s="39">
        <f t="shared" si="0"/>
        <v>6.9562416000000002</v>
      </c>
      <c r="E13" s="39">
        <v>0</v>
      </c>
      <c r="F13" s="40">
        <f>('[1]Abstract of 6th RB'!R48)/10000000</f>
        <v>1.1151344000000001</v>
      </c>
      <c r="G13" s="40">
        <f t="shared" si="1"/>
        <v>1.1151344000000001</v>
      </c>
      <c r="H13" s="41">
        <f>(G13*0.6)</f>
        <v>0.66908064</v>
      </c>
      <c r="I13" s="41">
        <v>0</v>
      </c>
      <c r="J13" s="41">
        <f t="shared" si="2"/>
        <v>0.66908064</v>
      </c>
      <c r="K13" s="50">
        <f t="shared" si="3"/>
        <v>0.44605376000000008</v>
      </c>
      <c r="L13" s="41">
        <f>K13/F13%</f>
        <v>40.000000000000007</v>
      </c>
      <c r="M13" s="51">
        <f t="shared" si="4"/>
        <v>16.030702556391947</v>
      </c>
      <c r="N13" s="52">
        <v>0</v>
      </c>
      <c r="O13" s="55"/>
    </row>
    <row r="14" spans="1:15">
      <c r="A14" s="47" t="s">
        <v>37</v>
      </c>
      <c r="B14" s="39">
        <f>('[1]ESIC BOQ'!C8)/10000000</f>
        <v>1.2667518</v>
      </c>
      <c r="C14" s="39">
        <f>('[1]ESIC BOQ'!G8)/10000000</f>
        <v>0.56275140000000001</v>
      </c>
      <c r="D14" s="39">
        <f t="shared" si="0"/>
        <v>1.8295032</v>
      </c>
      <c r="E14" s="39">
        <v>0</v>
      </c>
      <c r="F14" s="40">
        <v>0</v>
      </c>
      <c r="G14" s="40">
        <f t="shared" si="1"/>
        <v>0</v>
      </c>
      <c r="H14" s="43">
        <v>0</v>
      </c>
      <c r="I14" s="41">
        <v>0</v>
      </c>
      <c r="J14" s="43">
        <f t="shared" si="2"/>
        <v>0</v>
      </c>
      <c r="K14" s="44">
        <f t="shared" si="3"/>
        <v>0</v>
      </c>
      <c r="L14" s="43"/>
      <c r="M14" s="45">
        <f t="shared" si="4"/>
        <v>0</v>
      </c>
      <c r="N14" s="46">
        <v>0</v>
      </c>
      <c r="O14" s="181"/>
    </row>
    <row r="15" spans="1:15">
      <c r="A15" s="47" t="s">
        <v>38</v>
      </c>
      <c r="B15" s="39">
        <f>('[1]ESIC BOQ'!C9)/10000000</f>
        <v>0.96543909999999999</v>
      </c>
      <c r="C15" s="39">
        <f>('[1]ESIC BOQ'!G9)/10000000</f>
        <v>0.50348789999999999</v>
      </c>
      <c r="D15" s="39">
        <f t="shared" si="0"/>
        <v>1.4689269999999999</v>
      </c>
      <c r="E15" s="39">
        <v>0</v>
      </c>
      <c r="F15" s="40">
        <v>0</v>
      </c>
      <c r="G15" s="40">
        <f t="shared" si="1"/>
        <v>0</v>
      </c>
      <c r="H15" s="43">
        <v>0</v>
      </c>
      <c r="I15" s="41">
        <v>0</v>
      </c>
      <c r="J15" s="43">
        <f t="shared" si="2"/>
        <v>0</v>
      </c>
      <c r="K15" s="44">
        <f t="shared" si="3"/>
        <v>0</v>
      </c>
      <c r="L15" s="43"/>
      <c r="M15" s="45">
        <f t="shared" si="4"/>
        <v>0</v>
      </c>
      <c r="N15" s="46">
        <v>0</v>
      </c>
      <c r="O15" s="181"/>
    </row>
    <row r="16" spans="1:15">
      <c r="A16" s="47" t="s">
        <v>39</v>
      </c>
      <c r="B16" s="39">
        <v>0</v>
      </c>
      <c r="C16" s="39">
        <f>('[1]ESIC BOQ'!G10)/10000000</f>
        <v>1.6190612</v>
      </c>
      <c r="D16" s="39">
        <f t="shared" si="0"/>
        <v>1.6190612</v>
      </c>
      <c r="E16" s="39">
        <v>0</v>
      </c>
      <c r="F16" s="40">
        <v>0</v>
      </c>
      <c r="G16" s="40">
        <f t="shared" si="1"/>
        <v>0</v>
      </c>
      <c r="H16" s="43">
        <v>0</v>
      </c>
      <c r="I16" s="41">
        <v>0</v>
      </c>
      <c r="J16" s="43">
        <f t="shared" si="2"/>
        <v>0</v>
      </c>
      <c r="K16" s="44">
        <f t="shared" si="3"/>
        <v>0</v>
      </c>
      <c r="L16" s="43"/>
      <c r="M16" s="45">
        <f t="shared" si="4"/>
        <v>0</v>
      </c>
      <c r="N16" s="46">
        <v>0</v>
      </c>
      <c r="O16" s="181"/>
    </row>
    <row r="17" spans="1:15">
      <c r="A17" s="47" t="s">
        <v>40</v>
      </c>
      <c r="B17" s="39">
        <v>0</v>
      </c>
      <c r="C17" s="39">
        <f>('[1]ESIC BOQ'!G11)/10000000</f>
        <v>0.27877649999999998</v>
      </c>
      <c r="D17" s="39">
        <f t="shared" si="0"/>
        <v>0.27877649999999998</v>
      </c>
      <c r="E17" s="39">
        <v>0</v>
      </c>
      <c r="F17" s="40">
        <v>0</v>
      </c>
      <c r="G17" s="40">
        <f t="shared" si="1"/>
        <v>0</v>
      </c>
      <c r="H17" s="43">
        <v>0</v>
      </c>
      <c r="I17" s="41">
        <v>0</v>
      </c>
      <c r="J17" s="43">
        <f t="shared" si="2"/>
        <v>0</v>
      </c>
      <c r="K17" s="44">
        <f t="shared" si="3"/>
        <v>0</v>
      </c>
      <c r="L17" s="43"/>
      <c r="M17" s="45">
        <f t="shared" si="4"/>
        <v>0</v>
      </c>
      <c r="N17" s="46">
        <v>0</v>
      </c>
      <c r="O17" s="181"/>
    </row>
    <row r="18" spans="1:15">
      <c r="A18" s="57" t="s">
        <v>41</v>
      </c>
      <c r="B18" s="58">
        <f>('[1]Extra Work BOQ'!C11)/10000000</f>
        <v>9.5808000000000004E-2</v>
      </c>
      <c r="C18" s="58">
        <v>0</v>
      </c>
      <c r="D18" s="39">
        <f t="shared" si="0"/>
        <v>9.5808000000000004E-2</v>
      </c>
      <c r="E18" s="39">
        <v>0</v>
      </c>
      <c r="F18" s="40">
        <v>0</v>
      </c>
      <c r="G18" s="40">
        <f t="shared" si="1"/>
        <v>0</v>
      </c>
      <c r="H18" s="43">
        <v>0</v>
      </c>
      <c r="I18" s="41">
        <v>0</v>
      </c>
      <c r="J18" s="43">
        <f t="shared" si="2"/>
        <v>0</v>
      </c>
      <c r="K18" s="44">
        <f t="shared" si="3"/>
        <v>0</v>
      </c>
      <c r="L18" s="43"/>
      <c r="M18" s="45">
        <f t="shared" si="4"/>
        <v>0</v>
      </c>
      <c r="N18" s="46">
        <v>0</v>
      </c>
      <c r="O18" s="181"/>
    </row>
    <row r="19" spans="1:15">
      <c r="A19" s="57" t="s">
        <v>42</v>
      </c>
      <c r="B19" s="59">
        <f>('[1]Extra Work BOQ'!C27)/10000000</f>
        <v>3.5126154000000001</v>
      </c>
      <c r="C19" s="59">
        <v>0</v>
      </c>
      <c r="D19" s="39">
        <f t="shared" si="0"/>
        <v>3.5126154000000001</v>
      </c>
      <c r="E19" s="39">
        <v>0</v>
      </c>
      <c r="F19" s="40">
        <v>0</v>
      </c>
      <c r="G19" s="40">
        <f t="shared" si="1"/>
        <v>0</v>
      </c>
      <c r="H19" s="43">
        <v>0</v>
      </c>
      <c r="I19" s="41">
        <v>0</v>
      </c>
      <c r="J19" s="43">
        <f t="shared" si="2"/>
        <v>0</v>
      </c>
      <c r="K19" s="44">
        <f t="shared" si="3"/>
        <v>0</v>
      </c>
      <c r="L19" s="43"/>
      <c r="M19" s="45">
        <f t="shared" si="4"/>
        <v>0</v>
      </c>
      <c r="N19" s="46">
        <v>0</v>
      </c>
      <c r="O19" s="181"/>
    </row>
    <row r="20" spans="1:15">
      <c r="A20" s="57" t="s">
        <v>43</v>
      </c>
      <c r="B20" s="58">
        <v>0</v>
      </c>
      <c r="C20" s="58">
        <f>('[1]Extra Work BOQ'!C31)/10000000</f>
        <v>25.941514300809633</v>
      </c>
      <c r="D20" s="39">
        <f t="shared" si="0"/>
        <v>25.941514300809633</v>
      </c>
      <c r="E20" s="39">
        <v>0</v>
      </c>
      <c r="F20" s="40">
        <v>0</v>
      </c>
      <c r="G20" s="40">
        <f t="shared" si="1"/>
        <v>0</v>
      </c>
      <c r="H20" s="43">
        <v>0</v>
      </c>
      <c r="I20" s="41">
        <v>0</v>
      </c>
      <c r="J20" s="43">
        <f t="shared" si="2"/>
        <v>0</v>
      </c>
      <c r="K20" s="44">
        <f t="shared" si="3"/>
        <v>0</v>
      </c>
      <c r="L20" s="43"/>
      <c r="M20" s="45">
        <f t="shared" si="4"/>
        <v>0</v>
      </c>
      <c r="N20" s="46">
        <v>0</v>
      </c>
      <c r="O20" s="181"/>
    </row>
    <row r="21" spans="1:15">
      <c r="A21" s="57" t="s">
        <v>44</v>
      </c>
      <c r="B21" s="60">
        <f>('[1]Extra Work BOQ'!C23)/10000000</f>
        <v>0.18833</v>
      </c>
      <c r="C21" s="60">
        <v>0</v>
      </c>
      <c r="D21" s="39">
        <f t="shared" si="0"/>
        <v>0.18833</v>
      </c>
      <c r="E21" s="39">
        <v>0</v>
      </c>
      <c r="F21" s="40">
        <v>0</v>
      </c>
      <c r="G21" s="40">
        <f t="shared" si="1"/>
        <v>0</v>
      </c>
      <c r="H21" s="43">
        <v>0</v>
      </c>
      <c r="I21" s="41">
        <v>0</v>
      </c>
      <c r="J21" s="41">
        <v>0</v>
      </c>
      <c r="K21" s="41">
        <v>0</v>
      </c>
      <c r="L21" s="41">
        <v>0</v>
      </c>
      <c r="M21" s="45">
        <f t="shared" si="4"/>
        <v>0</v>
      </c>
      <c r="N21" s="46">
        <v>0</v>
      </c>
      <c r="O21" s="181"/>
    </row>
    <row r="22" spans="1:15">
      <c r="A22" s="57" t="s">
        <v>45</v>
      </c>
      <c r="B22" s="60">
        <f>('[1]Extra Work BOQ'!C25)/10000000</f>
        <v>2.4416616000000002</v>
      </c>
      <c r="C22" s="60">
        <v>0</v>
      </c>
      <c r="D22" s="39">
        <f t="shared" si="0"/>
        <v>2.4416616000000002</v>
      </c>
      <c r="E22" s="39">
        <v>0</v>
      </c>
      <c r="F22" s="40">
        <v>0</v>
      </c>
      <c r="G22" s="40">
        <f t="shared" si="1"/>
        <v>0</v>
      </c>
      <c r="H22" s="43">
        <v>0</v>
      </c>
      <c r="I22" s="41">
        <v>0</v>
      </c>
      <c r="J22" s="41">
        <v>0</v>
      </c>
      <c r="K22" s="41">
        <v>0</v>
      </c>
      <c r="L22" s="41">
        <v>0</v>
      </c>
      <c r="M22" s="45">
        <f t="shared" si="4"/>
        <v>0</v>
      </c>
      <c r="N22" s="46">
        <v>0</v>
      </c>
      <c r="O22" s="181"/>
    </row>
    <row r="23" spans="1:15">
      <c r="A23" s="57" t="s">
        <v>46</v>
      </c>
      <c r="B23" s="60">
        <f>('[1]Extra Work BOQ'!C17)/10000000</f>
        <v>3.3292893000000001</v>
      </c>
      <c r="C23" s="60">
        <v>0</v>
      </c>
      <c r="D23" s="39">
        <f t="shared" si="0"/>
        <v>3.3292893000000001</v>
      </c>
      <c r="E23" s="39">
        <v>0</v>
      </c>
      <c r="F23" s="40">
        <v>0</v>
      </c>
      <c r="G23" s="40">
        <f t="shared" si="1"/>
        <v>0</v>
      </c>
      <c r="H23" s="43">
        <v>0</v>
      </c>
      <c r="I23" s="41">
        <v>0</v>
      </c>
      <c r="J23" s="41">
        <v>0</v>
      </c>
      <c r="K23" s="41">
        <v>0</v>
      </c>
      <c r="L23" s="41">
        <v>0</v>
      </c>
      <c r="M23" s="45">
        <f t="shared" si="4"/>
        <v>0</v>
      </c>
      <c r="N23" s="46">
        <v>0</v>
      </c>
      <c r="O23" s="181"/>
    </row>
    <row r="24" spans="1:15">
      <c r="A24" s="57" t="s">
        <v>47</v>
      </c>
      <c r="B24" s="60">
        <f>('[1]Extra Work BOQ'!C21)/10000000</f>
        <v>1.48756</v>
      </c>
      <c r="C24" s="60">
        <v>0</v>
      </c>
      <c r="D24" s="39">
        <f t="shared" si="0"/>
        <v>1.48756</v>
      </c>
      <c r="E24" s="39">
        <v>0</v>
      </c>
      <c r="F24" s="40">
        <v>0</v>
      </c>
      <c r="G24" s="40">
        <f t="shared" si="1"/>
        <v>0</v>
      </c>
      <c r="H24" s="43">
        <v>0</v>
      </c>
      <c r="I24" s="41">
        <v>0</v>
      </c>
      <c r="J24" s="41">
        <v>0</v>
      </c>
      <c r="K24" s="41">
        <v>0</v>
      </c>
      <c r="L24" s="41">
        <v>0</v>
      </c>
      <c r="M24" s="45">
        <f t="shared" si="4"/>
        <v>0</v>
      </c>
      <c r="N24" s="46">
        <v>0</v>
      </c>
      <c r="O24" s="181"/>
    </row>
    <row r="25" spans="1:15">
      <c r="A25" s="57" t="s">
        <v>48</v>
      </c>
      <c r="B25" s="60">
        <f>('[1]Extra Work BOQ'!C19)/10000000</f>
        <v>1.8793416000000001</v>
      </c>
      <c r="C25" s="60">
        <v>0</v>
      </c>
      <c r="D25" s="39">
        <f t="shared" si="0"/>
        <v>1.8793416000000001</v>
      </c>
      <c r="E25" s="39">
        <v>0</v>
      </c>
      <c r="F25" s="40">
        <v>0</v>
      </c>
      <c r="G25" s="40">
        <f t="shared" si="1"/>
        <v>0</v>
      </c>
      <c r="H25" s="43">
        <v>0</v>
      </c>
      <c r="I25" s="41">
        <v>0</v>
      </c>
      <c r="J25" s="41">
        <v>0</v>
      </c>
      <c r="K25" s="41">
        <v>0</v>
      </c>
      <c r="L25" s="41">
        <v>0</v>
      </c>
      <c r="M25" s="45">
        <f t="shared" si="4"/>
        <v>0</v>
      </c>
      <c r="N25" s="46">
        <v>0</v>
      </c>
      <c r="O25" s="181"/>
    </row>
    <row r="26" spans="1:15" ht="12" thickBot="1">
      <c r="A26" s="61" t="s">
        <v>49</v>
      </c>
      <c r="B26" s="62">
        <f>SUM(B6:B25)</f>
        <v>474.29782631175004</v>
      </c>
      <c r="C26" s="62">
        <f t="shared" ref="C26:K26" si="5">SUM(C6:C25)</f>
        <v>183.69658730080965</v>
      </c>
      <c r="D26" s="62">
        <f t="shared" si="5"/>
        <v>657.99441361255958</v>
      </c>
      <c r="E26" s="62">
        <f t="shared" si="5"/>
        <v>2.3839190609999998</v>
      </c>
      <c r="F26" s="62">
        <f t="shared" si="5"/>
        <v>16.99502766750588</v>
      </c>
      <c r="G26" s="62">
        <f t="shared" si="5"/>
        <v>19.378946728505881</v>
      </c>
      <c r="H26" s="62">
        <f t="shared" si="5"/>
        <v>18.893593041999999</v>
      </c>
      <c r="I26" s="62">
        <f t="shared" si="5"/>
        <v>2.3136994650074074</v>
      </c>
      <c r="J26" s="62">
        <f t="shared" si="5"/>
        <v>16.579893576992589</v>
      </c>
      <c r="K26" s="62">
        <f t="shared" si="5"/>
        <v>2.7990531515132924</v>
      </c>
      <c r="L26" s="62">
        <f>K26/F26%</f>
        <v>16.469835803003843</v>
      </c>
      <c r="M26" s="63"/>
      <c r="N26" s="64">
        <f t="shared" ref="N26" si="6">SUM(N6:N25)</f>
        <v>3.2577368</v>
      </c>
    </row>
    <row r="27" spans="1:15" ht="34.5" thickTop="1">
      <c r="A27" s="65" t="s">
        <v>50</v>
      </c>
      <c r="B27" s="66" t="s">
        <v>51</v>
      </c>
      <c r="C27" s="66" t="s">
        <v>52</v>
      </c>
      <c r="D27" s="66" t="s">
        <v>53</v>
      </c>
      <c r="E27" s="66" t="s">
        <v>54</v>
      </c>
      <c r="F27" s="66" t="s">
        <v>55</v>
      </c>
      <c r="G27" s="67"/>
      <c r="H27" s="68"/>
      <c r="I27" s="68"/>
      <c r="J27" s="69"/>
      <c r="K27" s="70"/>
      <c r="L27" s="70"/>
      <c r="M27" s="70"/>
      <c r="N27" s="71"/>
    </row>
    <row r="28" spans="1:15">
      <c r="A28" s="72" t="s">
        <v>56</v>
      </c>
      <c r="B28" s="73">
        <v>0</v>
      </c>
      <c r="C28" s="74">
        <f>('[1]RA Details'!H8+'[1]RA Details'!I8)/10000000</f>
        <v>7.0737961870000001</v>
      </c>
      <c r="D28" s="73">
        <v>0</v>
      </c>
      <c r="E28" s="75">
        <f>('[1]Escalation 5th 6th 1st &amp; 2nd RA'!P8)/10000000</f>
        <v>1.2156164633406144</v>
      </c>
      <c r="F28" s="75">
        <f>D28+E28</f>
        <v>1.2156164633406144</v>
      </c>
      <c r="G28" s="70"/>
      <c r="H28" s="68"/>
      <c r="I28" s="68"/>
      <c r="J28" s="68"/>
      <c r="K28" s="76" t="s">
        <v>57</v>
      </c>
      <c r="L28" s="77">
        <f>F30/F31%</f>
        <v>23.087175554043032</v>
      </c>
      <c r="M28" s="78"/>
      <c r="N28" s="79"/>
    </row>
    <row r="29" spans="1:15" ht="33.75">
      <c r="A29" s="80" t="s">
        <v>58</v>
      </c>
      <c r="B29" s="81">
        <f>('[1]Abstract 2nd RA Housing'!C19)/10000000</f>
        <v>2.3839190609999998</v>
      </c>
      <c r="C29" s="82">
        <f>('[1]Escalation 5th 6th 1st &amp; 2nd RA'!F22+'[1]Escalation 5th 6th 1st &amp; 2nd RA'!F24+'[1]Escalation 5th 6th 1st &amp; 2nd RA'!F35+'[1]Escalation 5th 6th 1st &amp; 2nd RA'!F37)/10000000</f>
        <v>12.741070331820001</v>
      </c>
      <c r="D29" s="82">
        <f>('[1]Escalation 5th 6th 1st &amp; 2nd RA'!L86+'[1]Escalation 5th 6th 1st &amp; 2nd RA'!L115)/10000000</f>
        <v>0.72433026702500114</v>
      </c>
      <c r="E29" s="75">
        <f>('[1]Escalation 5th 6th 1st &amp; 2nd RA'!L27+'[1]Escalation 5th 6th 1st &amp; 2nd RA'!L58)/10000000</f>
        <v>3.877095465085596</v>
      </c>
      <c r="F29" s="75">
        <f>D29+E29</f>
        <v>4.6014257321105969</v>
      </c>
      <c r="G29" s="70"/>
      <c r="H29" s="68"/>
      <c r="I29" s="68"/>
      <c r="J29" s="68"/>
      <c r="K29" s="68"/>
      <c r="L29" s="68"/>
      <c r="M29" s="68"/>
      <c r="N29" s="79"/>
    </row>
    <row r="30" spans="1:15" ht="12" thickBot="1">
      <c r="A30" s="83" t="s">
        <v>59</v>
      </c>
      <c r="B30" s="84">
        <f>B29+B28</f>
        <v>2.3839190609999998</v>
      </c>
      <c r="C30" s="84">
        <f>C29+C28</f>
        <v>19.814866518820001</v>
      </c>
      <c r="D30" s="85">
        <f>SUM(D28:D29)</f>
        <v>0.72433026702500114</v>
      </c>
      <c r="E30" s="84">
        <f>E29+E28</f>
        <v>5.0927119284262101</v>
      </c>
      <c r="F30" s="86">
        <f>SUM(F28:F29)</f>
        <v>5.8170421954512115</v>
      </c>
      <c r="G30" s="87"/>
      <c r="H30" s="68"/>
      <c r="I30" s="88"/>
      <c r="J30" s="68"/>
      <c r="K30" s="68"/>
      <c r="L30" s="68"/>
      <c r="M30" s="68"/>
      <c r="N30" s="79"/>
    </row>
    <row r="31" spans="1:15" ht="12.75" thickTop="1" thickBot="1">
      <c r="A31" s="89" t="s">
        <v>60</v>
      </c>
      <c r="B31" s="90"/>
      <c r="C31" s="91"/>
      <c r="D31" s="91"/>
      <c r="E31" s="92"/>
      <c r="F31" s="93">
        <f>G26+F30</f>
        <v>25.195988923957092</v>
      </c>
      <c r="G31" s="94"/>
      <c r="H31" s="95"/>
      <c r="I31" s="88"/>
      <c r="J31" s="87"/>
      <c r="K31" s="87"/>
      <c r="L31" s="87"/>
      <c r="M31" s="87"/>
      <c r="N31" s="96"/>
    </row>
    <row r="32" spans="1:15" ht="12" thickTop="1">
      <c r="A32" s="97" t="s">
        <v>61</v>
      </c>
      <c r="B32" s="98" t="s">
        <v>62</v>
      </c>
      <c r="C32" s="98" t="s">
        <v>63</v>
      </c>
      <c r="D32" s="99" t="s">
        <v>64</v>
      </c>
      <c r="E32" s="100"/>
      <c r="F32" s="101">
        <f>E36</f>
        <v>16.992001500000001</v>
      </c>
      <c r="G32" s="102"/>
      <c r="H32" s="68"/>
      <c r="I32" s="68"/>
      <c r="J32" s="68"/>
      <c r="K32" s="88"/>
      <c r="L32" s="88"/>
      <c r="M32" s="88"/>
      <c r="N32" s="79"/>
    </row>
    <row r="33" spans="1:15">
      <c r="A33" s="103" t="s">
        <v>65</v>
      </c>
      <c r="B33" s="104">
        <f>('[1]Bills Submitted &amp; Passed'!F48+'[1]Bills Submitted &amp; Passed'!G48+'[1]Bills Submitted &amp; Passed'!H48)/10000000</f>
        <v>12.2499188</v>
      </c>
      <c r="C33" s="104">
        <f>('[1]Bills Submitted &amp; Passed'!F49+'[1]Bills Submitted &amp; Passed'!G49+'[1]Bills Submitted &amp; Passed'!H49)/10000000</f>
        <v>1.4691059</v>
      </c>
      <c r="D33" s="105">
        <f>B33+C33</f>
        <v>13.7190247</v>
      </c>
      <c r="E33" s="106"/>
      <c r="F33" s="95"/>
      <c r="G33" s="95"/>
      <c r="H33" s="68"/>
      <c r="I33" s="68"/>
      <c r="J33" s="68"/>
      <c r="K33" s="68"/>
      <c r="L33" s="68"/>
      <c r="M33" s="68"/>
      <c r="N33" s="79"/>
    </row>
    <row r="34" spans="1:15">
      <c r="A34" s="54" t="s">
        <v>66</v>
      </c>
      <c r="B34" s="107">
        <v>0</v>
      </c>
      <c r="C34" s="107">
        <v>0</v>
      </c>
      <c r="D34" s="105">
        <f>B34+C34</f>
        <v>0</v>
      </c>
      <c r="E34" s="108"/>
      <c r="F34" s="95"/>
      <c r="G34" s="95"/>
      <c r="H34" s="68"/>
      <c r="I34" s="68"/>
      <c r="J34" s="68"/>
      <c r="K34" s="68"/>
      <c r="L34" s="68"/>
      <c r="M34" s="68"/>
      <c r="N34" s="79"/>
    </row>
    <row r="35" spans="1:15" ht="22.5">
      <c r="A35" s="109" t="s">
        <v>67</v>
      </c>
      <c r="B35" s="110">
        <f>('[1]Bills Submitted &amp; Passed'!I48)/10000000</f>
        <v>1.7283303000000001</v>
      </c>
      <c r="C35" s="111">
        <f>('[1]Bills Submitted &amp; Passed'!I49)/10000000</f>
        <v>0.2122986</v>
      </c>
      <c r="D35" s="112">
        <f>B35+C35</f>
        <v>1.9406289000000001</v>
      </c>
      <c r="E35" s="108"/>
      <c r="F35" s="113"/>
      <c r="G35" s="113"/>
      <c r="H35" s="68"/>
      <c r="I35" s="68"/>
      <c r="J35" s="68"/>
      <c r="K35" s="114"/>
      <c r="L35" s="114"/>
      <c r="M35" s="114"/>
      <c r="N35" s="79"/>
    </row>
    <row r="36" spans="1:15" ht="23.25" customHeight="1">
      <c r="A36" s="115" t="s">
        <v>68</v>
      </c>
      <c r="B36" s="116">
        <f>('[1]Bills Submitted &amp; Passed'!J48)/10000000</f>
        <v>1.2957314</v>
      </c>
      <c r="C36" s="117">
        <v>0</v>
      </c>
      <c r="D36" s="105">
        <f>B36+C36</f>
        <v>1.2957314</v>
      </c>
      <c r="E36" s="118">
        <f>SUM(D33:D37)</f>
        <v>16.992001500000001</v>
      </c>
      <c r="F36" s="95"/>
      <c r="G36" s="95"/>
      <c r="H36" s="119"/>
      <c r="I36" s="68"/>
      <c r="J36" s="68"/>
      <c r="K36" s="68"/>
      <c r="L36" s="68"/>
      <c r="M36" s="68"/>
      <c r="N36" s="79"/>
    </row>
    <row r="37" spans="1:15">
      <c r="A37" s="120" t="s">
        <v>69</v>
      </c>
      <c r="B37" s="117"/>
      <c r="C37" s="117"/>
      <c r="D37" s="48">
        <f>('[1]Bills Submitted &amp; Passed'!F50+'[1]Bills Submitted &amp; Passed'!G50+'[1]Bills Submitted &amp; Passed'!H50)/10000000</f>
        <v>3.6616500000000003E-2</v>
      </c>
      <c r="E37" s="121"/>
      <c r="F37" s="95"/>
      <c r="G37" s="95"/>
      <c r="H37" s="119"/>
      <c r="I37" s="68"/>
      <c r="J37" s="68"/>
      <c r="K37" s="68"/>
      <c r="L37" s="68"/>
      <c r="M37" s="68"/>
      <c r="N37" s="79"/>
    </row>
    <row r="38" spans="1:15">
      <c r="A38" s="122" t="s">
        <v>70</v>
      </c>
      <c r="B38" s="123">
        <f>F31-F32</f>
        <v>8.2039874239570914</v>
      </c>
      <c r="C38" s="88"/>
      <c r="D38" s="88"/>
      <c r="E38" s="88"/>
      <c r="F38" s="95"/>
      <c r="G38" s="95"/>
      <c r="H38" s="68"/>
      <c r="I38" s="68"/>
      <c r="J38" s="68"/>
      <c r="K38" s="68"/>
      <c r="L38" s="68"/>
      <c r="M38" s="68"/>
      <c r="N38" s="79"/>
    </row>
    <row r="39" spans="1:15">
      <c r="A39" s="122" t="s">
        <v>71</v>
      </c>
      <c r="B39" s="124">
        <f>B38*10%</f>
        <v>0.8203987423957092</v>
      </c>
      <c r="C39" s="88"/>
      <c r="D39" s="88"/>
      <c r="E39" s="88"/>
      <c r="F39" s="95"/>
      <c r="G39" s="95"/>
      <c r="H39" s="68"/>
      <c r="I39" s="68"/>
      <c r="J39" s="68"/>
      <c r="K39" s="68"/>
      <c r="L39" s="68"/>
      <c r="M39" s="68"/>
      <c r="N39" s="79"/>
    </row>
    <row r="40" spans="1:15" ht="12" thickBot="1">
      <c r="A40" s="125" t="s">
        <v>72</v>
      </c>
      <c r="B40" s="126">
        <f>B38-B39</f>
        <v>7.383588681561382</v>
      </c>
      <c r="C40" s="127"/>
      <c r="D40" s="127"/>
      <c r="E40" s="127"/>
      <c r="F40" s="128"/>
      <c r="G40" s="128"/>
      <c r="H40" s="129"/>
      <c r="I40" s="129"/>
      <c r="J40" s="129"/>
      <c r="K40" s="129"/>
      <c r="L40" s="129"/>
      <c r="M40" s="129"/>
      <c r="N40" s="130"/>
    </row>
    <row r="42" spans="1:15">
      <c r="A42" s="131" t="s">
        <v>73</v>
      </c>
      <c r="B42" s="94"/>
      <c r="C42" s="94"/>
      <c r="D42" s="132"/>
      <c r="E42" s="94"/>
      <c r="F42" s="88"/>
      <c r="G42" s="88"/>
    </row>
    <row r="43" spans="1:15">
      <c r="A43" s="134" t="s">
        <v>74</v>
      </c>
      <c r="B43" s="135" t="s">
        <v>75</v>
      </c>
      <c r="C43" s="135" t="s">
        <v>76</v>
      </c>
      <c r="E43" s="136" t="s">
        <v>77</v>
      </c>
      <c r="F43" s="137"/>
    </row>
    <row r="44" spans="1:15">
      <c r="A44" s="138" t="s">
        <v>78</v>
      </c>
      <c r="B44" s="139">
        <f>G26</f>
        <v>19.378946728505881</v>
      </c>
      <c r="C44" s="139">
        <v>100</v>
      </c>
      <c r="E44" s="140" t="s">
        <v>79</v>
      </c>
      <c r="F44" s="141"/>
      <c r="G44" s="135" t="s">
        <v>75</v>
      </c>
      <c r="H44" s="135" t="s">
        <v>76</v>
      </c>
      <c r="J44" s="142" t="s">
        <v>80</v>
      </c>
      <c r="K44" s="142"/>
      <c r="L44" s="143" t="s">
        <v>75</v>
      </c>
    </row>
    <row r="45" spans="1:15">
      <c r="A45" s="144" t="s">
        <v>81</v>
      </c>
      <c r="B45" s="139">
        <f>F30</f>
        <v>5.8170421954512115</v>
      </c>
      <c r="C45" s="139">
        <f>B45/B44%</f>
        <v>30.017328995979476</v>
      </c>
      <c r="E45" s="145" t="s">
        <v>82</v>
      </c>
      <c r="F45" s="146"/>
      <c r="G45" s="139">
        <f>(5797589+GETPIVOTDATA("Closing",'[1]Trail Bal. 30.6.12'!$M$252,"Nature","Job Work"))/10000000</f>
        <v>0.77025889999999997</v>
      </c>
      <c r="H45" s="139">
        <f>G45/$G$51%</f>
        <v>5.4087251401205254</v>
      </c>
      <c r="J45" s="147" t="s">
        <v>83</v>
      </c>
      <c r="K45" s="148"/>
      <c r="L45" s="139">
        <f>('[1]Adv.recpts &amp; Adjtmts.'!K13)/10000000</f>
        <v>58.874200000000002</v>
      </c>
    </row>
    <row r="46" spans="1:15" ht="12" thickBot="1">
      <c r="A46" s="149" t="s">
        <v>84</v>
      </c>
      <c r="B46" s="150">
        <f>SUM(B44:B45)</f>
        <v>25.195988923957092</v>
      </c>
      <c r="C46" s="150"/>
      <c r="E46" s="145" t="s">
        <v>85</v>
      </c>
      <c r="F46" s="146"/>
      <c r="G46" s="139">
        <v>1.5</v>
      </c>
      <c r="H46" s="139">
        <f t="shared" ref="H46:H50" si="7">G46/$G$51%</f>
        <v>10.532936016942859</v>
      </c>
      <c r="J46" s="151" t="s">
        <v>86</v>
      </c>
      <c r="K46" s="152"/>
      <c r="L46" s="153">
        <f>D35</f>
        <v>1.9406289000000001</v>
      </c>
      <c r="O46" s="5" t="s">
        <v>87</v>
      </c>
    </row>
    <row r="47" spans="1:15" ht="12" thickTop="1">
      <c r="A47" s="154" t="s">
        <v>88</v>
      </c>
      <c r="B47" s="155">
        <f>G51</f>
        <v>14.2410435</v>
      </c>
      <c r="C47" s="139">
        <f>B47/B46%</f>
        <v>56.521073822425741</v>
      </c>
      <c r="E47" s="145" t="s">
        <v>89</v>
      </c>
      <c r="F47" s="146"/>
      <c r="G47" s="139">
        <f>(4086524)/10000000</f>
        <v>0.40865240000000003</v>
      </c>
      <c r="H47" s="139">
        <f t="shared" si="7"/>
        <v>2.8695397215800935</v>
      </c>
      <c r="J47" s="156" t="s">
        <v>90</v>
      </c>
      <c r="K47" s="157"/>
      <c r="L47" s="40">
        <f>L45-L46</f>
        <v>56.933571100000002</v>
      </c>
    </row>
    <row r="48" spans="1:15">
      <c r="A48" s="144" t="s">
        <v>91</v>
      </c>
      <c r="B48" s="139">
        <f>H26</f>
        <v>18.893593041999999</v>
      </c>
      <c r="C48" s="139">
        <f>B48/B47%</f>
        <v>132.6700044276952</v>
      </c>
      <c r="E48" s="145" t="s">
        <v>92</v>
      </c>
      <c r="F48" s="146"/>
      <c r="G48" s="139">
        <v>4.9408839000000002</v>
      </c>
      <c r="H48" s="139">
        <f t="shared" si="7"/>
        <v>34.694675990562068</v>
      </c>
    </row>
    <row r="49" spans="1:14">
      <c r="A49" s="144" t="s">
        <v>93</v>
      </c>
      <c r="B49" s="139">
        <f>I26</f>
        <v>2.3136994650074074</v>
      </c>
      <c r="C49" s="139">
        <f>B49/B48%</f>
        <v>12.245947395310726</v>
      </c>
      <c r="E49" s="145" t="s">
        <v>94</v>
      </c>
      <c r="F49" s="146"/>
      <c r="G49" s="139">
        <f>('[1]Bills Submitted &amp; Passed'!G54)/10000000</f>
        <v>1.8362023000000001</v>
      </c>
      <c r="H49" s="139">
        <f t="shared" si="7"/>
        <v>12.893734226708879</v>
      </c>
    </row>
    <row r="50" spans="1:14">
      <c r="A50" s="144" t="s">
        <v>95</v>
      </c>
      <c r="B50" s="139">
        <f>N26</f>
        <v>3.2577368</v>
      </c>
      <c r="C50" s="139">
        <f>B50/B49%</f>
        <v>140.80207257987891</v>
      </c>
      <c r="E50" s="145" t="s">
        <v>96</v>
      </c>
      <c r="F50" s="146"/>
      <c r="G50" s="139">
        <f>(45331415+GETPIVOTDATA("Closing",'[1]Trail Bal. 30.6.12'!$M$252,"Nature","Salary"))/10000000</f>
        <v>4.7850460000000004</v>
      </c>
      <c r="H50" s="139">
        <f t="shared" si="7"/>
        <v>33.600388904085577</v>
      </c>
      <c r="I50" s="133" t="s">
        <v>97</v>
      </c>
    </row>
    <row r="51" spans="1:14">
      <c r="A51" s="158" t="s">
        <v>98</v>
      </c>
      <c r="B51" s="159">
        <f>B46-B47-B48+B49</f>
        <v>-5.6249481530354997</v>
      </c>
      <c r="C51" s="160">
        <f>B51/B46%</f>
        <v>-22.324776257093575</v>
      </c>
      <c r="E51" s="161" t="s">
        <v>99</v>
      </c>
      <c r="F51" s="162"/>
      <c r="G51" s="163">
        <f>SUM(G45:G50)</f>
        <v>14.2410435</v>
      </c>
      <c r="H51" s="163">
        <v>100</v>
      </c>
      <c r="J51" s="164" t="s">
        <v>100</v>
      </c>
      <c r="K51" s="164"/>
      <c r="L51" s="164"/>
      <c r="M51" s="164"/>
      <c r="N51" s="164"/>
    </row>
    <row r="52" spans="1:14">
      <c r="A52" s="144" t="s">
        <v>101</v>
      </c>
      <c r="B52" s="43">
        <v>5.8536999999999999E-3</v>
      </c>
      <c r="C52" s="43">
        <f>B52/B46%</f>
        <v>2.3232666190109844E-2</v>
      </c>
      <c r="D52" s="165"/>
      <c r="E52" s="166"/>
      <c r="F52" s="166"/>
      <c r="G52" s="94"/>
      <c r="H52" s="94"/>
      <c r="I52" s="165"/>
      <c r="J52" s="167" t="s">
        <v>102</v>
      </c>
      <c r="K52" s="167"/>
      <c r="L52" s="133">
        <f>F26</f>
        <v>16.99502766750588</v>
      </c>
    </row>
    <row r="53" spans="1:14">
      <c r="A53" s="168" t="s">
        <v>103</v>
      </c>
      <c r="B53" s="169">
        <f>B51+B52</f>
        <v>-5.6190944530354994</v>
      </c>
      <c r="C53" s="170">
        <f>C51+C52</f>
        <v>-22.301543590903464</v>
      </c>
      <c r="J53" s="133" t="s">
        <v>104</v>
      </c>
      <c r="L53" s="133">
        <v>3.1043636000000001</v>
      </c>
    </row>
    <row r="54" spans="1:14">
      <c r="A54" s="171" t="s">
        <v>105</v>
      </c>
      <c r="B54" s="88"/>
      <c r="C54" s="88"/>
      <c r="E54" s="172" t="s">
        <v>106</v>
      </c>
      <c r="F54" s="173"/>
      <c r="J54" s="133" t="s">
        <v>107</v>
      </c>
      <c r="L54" s="133">
        <f>('[1]RA Details'!L11)/10000000</f>
        <v>0.24501439999999999</v>
      </c>
    </row>
    <row r="55" spans="1:14">
      <c r="A55" s="174"/>
      <c r="B55" s="88"/>
      <c r="C55" s="88"/>
      <c r="E55" s="175" t="s">
        <v>108</v>
      </c>
      <c r="F55" s="176">
        <f>('[1]Bills Submitted &amp; Passed'!D31)/10000000</f>
        <v>1.64</v>
      </c>
      <c r="G55" s="133" t="s">
        <v>109</v>
      </c>
      <c r="J55" s="133" t="s">
        <v>110</v>
      </c>
      <c r="L55" s="133">
        <v>3.9613000000000002E-2</v>
      </c>
    </row>
    <row r="56" spans="1:14">
      <c r="A56" s="174"/>
      <c r="E56" s="175" t="s">
        <v>111</v>
      </c>
      <c r="F56" s="176">
        <v>1.4663636</v>
      </c>
      <c r="G56" s="133" t="s">
        <v>112</v>
      </c>
      <c r="J56" s="177" t="s">
        <v>113</v>
      </c>
      <c r="K56" s="177"/>
      <c r="L56" s="177">
        <f>L52+L53-L54-L55</f>
        <v>19.814763867505881</v>
      </c>
    </row>
    <row r="57" spans="1:14">
      <c r="A57" s="174"/>
      <c r="E57" s="178" t="s">
        <v>114</v>
      </c>
      <c r="F57" s="179">
        <f>SUM(F55:F56)</f>
        <v>3.1063635999999999</v>
      </c>
      <c r="J57" s="133" t="s">
        <v>115</v>
      </c>
      <c r="L57" s="133">
        <f>C30</f>
        <v>19.814866518820001</v>
      </c>
    </row>
    <row r="58" spans="1:14">
      <c r="J58" s="133" t="s">
        <v>116</v>
      </c>
      <c r="L58" s="133">
        <f>L56-L57</f>
        <v>-1.0265131411912876E-4</v>
      </c>
    </row>
    <row r="63" spans="1:14">
      <c r="A63" s="180"/>
      <c r="D63" s="88"/>
      <c r="E63" s="88"/>
      <c r="F63" s="68"/>
      <c r="G63" s="68"/>
    </row>
  </sheetData>
  <mergeCells count="30">
    <mergeCell ref="E50:F50"/>
    <mergeCell ref="E51:F51"/>
    <mergeCell ref="J52:K52"/>
    <mergeCell ref="J45:K45"/>
    <mergeCell ref="E46:F46"/>
    <mergeCell ref="J46:K46"/>
    <mergeCell ref="E47:F47"/>
    <mergeCell ref="E48:F48"/>
    <mergeCell ref="E49:F49"/>
    <mergeCell ref="B31:E31"/>
    <mergeCell ref="D32:E32"/>
    <mergeCell ref="E36:E37"/>
    <mergeCell ref="E43:F43"/>
    <mergeCell ref="E44:F44"/>
    <mergeCell ref="E45:F45"/>
    <mergeCell ref="I3:I4"/>
    <mergeCell ref="J3:J4"/>
    <mergeCell ref="K3:L4"/>
    <mergeCell ref="M3:M4"/>
    <mergeCell ref="N3:N4"/>
    <mergeCell ref="A1:N1"/>
    <mergeCell ref="H2:J2"/>
    <mergeCell ref="A3:A5"/>
    <mergeCell ref="B3:B4"/>
    <mergeCell ref="C3:C4"/>
    <mergeCell ref="D3:D4"/>
    <mergeCell ref="E3:E4"/>
    <mergeCell ref="F3:F4"/>
    <mergeCell ref="G3:G4"/>
    <mergeCell ref="H3:H4"/>
  </mergeCells>
  <pageMargins left="0.2" right="0.2" top="0" bottom="0" header="0.3" footer="0.3"/>
  <pageSetup paperSize="9" scale="4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MIS Reporting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2012-09-11T18:06:09Z</dcterms:modified>
</cp:coreProperties>
</file>