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19920" windowHeight="8010"/>
  </bookViews>
  <sheets>
    <sheet name="cost" sheetId="1" r:id="rId1"/>
    <sheet name="source" sheetId="2" r:id="rId2"/>
    <sheet name="gantt" sheetId="3" r:id="rId3"/>
    <sheet name="cash budget" sheetId="4" r:id="rId4"/>
    <sheet name="wc" sheetId="9" r:id="rId5"/>
    <sheet name="TL" sheetId="5" r:id="rId6"/>
    <sheet name="wcl" sheetId="15" r:id="rId7"/>
    <sheet name="depn" sheetId="7" r:id="rId8"/>
    <sheet name="bs" sheetId="10" r:id="rId9"/>
    <sheet name="cf" sheetId="11" r:id="rId10"/>
    <sheet name="cs" sheetId="12" r:id="rId11"/>
    <sheet name="cu" sheetId="13" r:id="rId12"/>
    <sheet name="process" sheetId="14" r:id="rId13"/>
    <sheet name="bep" sheetId="17" r:id="rId14"/>
    <sheet name="sense-1" sheetId="18" r:id="rId15"/>
    <sheet name="sense-2" sheetId="19" r:id="rId16"/>
    <sheet name="sense-3" sheetId="20" r:id="rId17"/>
  </sheets>
  <definedNames>
    <definedName name="_xlnm.Print_Area" localSheetId="13">bep!$A$1:$I$34</definedName>
    <definedName name="_xlnm.Print_Area" localSheetId="3">'cash budget'!$A$1:$M$17</definedName>
    <definedName name="_xlnm.Print_Area" localSheetId="9">cf!$A$1:$J$31</definedName>
    <definedName name="_xlnm.Print_Area" localSheetId="0">cost!$A$1:$C$17</definedName>
    <definedName name="_xlnm.Print_Area" localSheetId="10">cs!$A$1:$I$47</definedName>
    <definedName name="_xlnm.Print_Area" localSheetId="11">cu!$A$1:$F$32</definedName>
    <definedName name="_xlnm.Print_Area" localSheetId="7">depn!$A$1:$M$17</definedName>
    <definedName name="_xlnm.Print_Area" localSheetId="2">gantt!$C$1:$L$12</definedName>
    <definedName name="_xlnm.Print_Area" localSheetId="12">process!$A$1:$O$44</definedName>
    <definedName name="_xlnm.Print_Area" localSheetId="14">'sense-1'!$A$1:$O$36</definedName>
    <definedName name="_xlnm.Print_Area" localSheetId="15">'sense-2'!$A$1:$O$36</definedName>
    <definedName name="_xlnm.Print_Area" localSheetId="16">'sense-3'!$A$1:$O$36</definedName>
    <definedName name="_xlnm.Print_Area" localSheetId="1">source!$A$1:$C$11</definedName>
    <definedName name="_xlnm.Print_Area" localSheetId="5">TL!$A$1:$G$102</definedName>
    <definedName name="_xlnm.Print_Area" localSheetId="4">wc!$A$1:$J$18</definedName>
    <definedName name="_xlnm.Print_Area" localSheetId="6">wcl!$A$1:$I$14</definedName>
    <definedName name="_xlnm.Print_Titles" localSheetId="5">TL!$5:$5</definedName>
  </definedNames>
  <calcPr calcId="145621"/>
</workbook>
</file>

<file path=xl/calcChain.xml><?xml version="1.0" encoding="utf-8"?>
<calcChain xmlns="http://schemas.openxmlformats.org/spreadsheetml/2006/main">
  <c r="B84" i="20" l="1"/>
  <c r="B83" i="20"/>
  <c r="B80" i="20"/>
  <c r="B79" i="20"/>
  <c r="B75" i="20"/>
  <c r="B74" i="20"/>
  <c r="B70" i="20"/>
  <c r="B65" i="20"/>
  <c r="B29" i="20" s="1"/>
  <c r="B64" i="20"/>
  <c r="B62" i="20"/>
  <c r="B59" i="20"/>
  <c r="L56" i="20"/>
  <c r="L14" i="20" s="1"/>
  <c r="U54" i="20"/>
  <c r="B54" i="20"/>
  <c r="B52" i="20"/>
  <c r="B24" i="20" s="1"/>
  <c r="B27" i="20"/>
  <c r="M6" i="20"/>
  <c r="N6" i="20" s="1"/>
  <c r="O6" i="20" s="1"/>
  <c r="L6" i="20"/>
  <c r="J6" i="20"/>
  <c r="G6" i="20"/>
  <c r="D6" i="20"/>
  <c r="B84" i="19"/>
  <c r="B83" i="19"/>
  <c r="B80" i="19"/>
  <c r="B79" i="19"/>
  <c r="B75" i="19"/>
  <c r="B74" i="19"/>
  <c r="B70" i="19"/>
  <c r="B65" i="19"/>
  <c r="B64" i="19"/>
  <c r="B62" i="19"/>
  <c r="B59" i="19"/>
  <c r="U54" i="19"/>
  <c r="B54" i="19"/>
  <c r="B52" i="19"/>
  <c r="B24" i="19" s="1"/>
  <c r="B29" i="19"/>
  <c r="B27" i="19"/>
  <c r="M6" i="19"/>
  <c r="N6" i="19" s="1"/>
  <c r="O6" i="19" s="1"/>
  <c r="L6" i="19"/>
  <c r="J6" i="19"/>
  <c r="G6" i="19"/>
  <c r="D6" i="19"/>
  <c r="B84" i="18"/>
  <c r="B83" i="18"/>
  <c r="B80" i="18"/>
  <c r="B79" i="18"/>
  <c r="B75" i="18"/>
  <c r="B74" i="18"/>
  <c r="B70" i="18"/>
  <c r="B65" i="18"/>
  <c r="B29" i="18" s="1"/>
  <c r="B64" i="18"/>
  <c r="B62" i="18"/>
  <c r="B59" i="18"/>
  <c r="U54" i="18"/>
  <c r="B54" i="18"/>
  <c r="B52" i="18"/>
  <c r="B24" i="18" s="1"/>
  <c r="B27" i="18"/>
  <c r="M6" i="18"/>
  <c r="N6" i="18" s="1"/>
  <c r="O6" i="18" s="1"/>
  <c r="L6" i="18"/>
  <c r="J6" i="18"/>
  <c r="G6" i="18"/>
  <c r="D6" i="18"/>
  <c r="B9" i="4"/>
  <c r="B50" i="17"/>
  <c r="B22" i="17" s="1"/>
  <c r="B52" i="17"/>
  <c r="B57" i="17"/>
  <c r="B25" i="17" s="1"/>
  <c r="B60" i="17"/>
  <c r="B62" i="17"/>
  <c r="B63" i="17"/>
  <c r="B68" i="17"/>
  <c r="B72" i="17"/>
  <c r="B73" i="17"/>
  <c r="B77" i="17"/>
  <c r="B78" i="17"/>
  <c r="B81" i="17"/>
  <c r="B82" i="17"/>
  <c r="C20" i="7"/>
  <c r="C7" i="7"/>
  <c r="C6" i="7"/>
  <c r="C8" i="7"/>
  <c r="M8" i="4"/>
  <c r="M6" i="4"/>
  <c r="B6" i="4" s="1"/>
  <c r="J7" i="4"/>
  <c r="I7" i="4"/>
  <c r="D9" i="4"/>
  <c r="H9" i="4"/>
  <c r="B9" i="2"/>
  <c r="C14" i="1"/>
  <c r="C9" i="4" s="1"/>
  <c r="Q10" i="7"/>
  <c r="Q15" i="7" s="1"/>
  <c r="S15" i="7"/>
  <c r="D11" i="10"/>
  <c r="G11" i="10"/>
  <c r="H11" i="10"/>
  <c r="C11" i="10"/>
  <c r="J25" i="11"/>
  <c r="I11" i="10" s="1"/>
  <c r="I25" i="11"/>
  <c r="H25" i="11"/>
  <c r="G25" i="11"/>
  <c r="F11" i="10" s="1"/>
  <c r="F25" i="11"/>
  <c r="E11" i="10" s="1"/>
  <c r="E25" i="11"/>
  <c r="D25" i="11"/>
  <c r="B27" i="17"/>
  <c r="O52" i="17"/>
  <c r="G4" i="17"/>
  <c r="H4" i="17" s="1"/>
  <c r="I4" i="17" s="1"/>
  <c r="F4" i="17"/>
  <c r="E4" i="17"/>
  <c r="D4" i="17"/>
  <c r="C4" i="17"/>
  <c r="C24" i="11"/>
  <c r="C22" i="11"/>
  <c r="C19" i="11"/>
  <c r="C9" i="11"/>
  <c r="B38" i="12"/>
  <c r="O15" i="12"/>
  <c r="E38" i="14"/>
  <c r="E36" i="14"/>
  <c r="G36" i="14"/>
  <c r="G38" i="14" s="1"/>
  <c r="B35" i="14"/>
  <c r="B36" i="14" s="1"/>
  <c r="B38" i="14" s="1"/>
  <c r="E20" i="14"/>
  <c r="E35" i="14" s="1"/>
  <c r="F20" i="14"/>
  <c r="F35" i="14" s="1"/>
  <c r="F36" i="14" s="1"/>
  <c r="F38" i="14" s="1"/>
  <c r="G20" i="14"/>
  <c r="G35" i="14" s="1"/>
  <c r="D20" i="14"/>
  <c r="D22" i="14" s="1"/>
  <c r="D24" i="14" s="1"/>
  <c r="B28" i="14"/>
  <c r="B30" i="14" s="1"/>
  <c r="C20" i="14"/>
  <c r="C28" i="14" s="1"/>
  <c r="C30" i="14" s="1"/>
  <c r="B22" i="14"/>
  <c r="B24" i="14" s="1"/>
  <c r="B11" i="13"/>
  <c r="K12" i="4"/>
  <c r="K14" i="4" s="1"/>
  <c r="G54" i="17" l="1"/>
  <c r="H54" i="17" s="1"/>
  <c r="I54" i="17" s="1"/>
  <c r="I12" i="17" s="1"/>
  <c r="G17" i="12"/>
  <c r="H17" i="12" s="1"/>
  <c r="I17" i="12" s="1"/>
  <c r="M56" i="20"/>
  <c r="M56" i="18"/>
  <c r="M56" i="19"/>
  <c r="J56" i="20"/>
  <c r="J14" i="20" s="1"/>
  <c r="E54" i="17"/>
  <c r="E12" i="17" s="1"/>
  <c r="E17" i="12"/>
  <c r="B77" i="18"/>
  <c r="B75" i="17"/>
  <c r="B77" i="19"/>
  <c r="J56" i="19"/>
  <c r="J14" i="19" s="1"/>
  <c r="J56" i="18"/>
  <c r="J14" i="18" s="1"/>
  <c r="L56" i="18"/>
  <c r="L14" i="18" s="1"/>
  <c r="L56" i="19"/>
  <c r="L14" i="19" s="1"/>
  <c r="D53" i="17"/>
  <c r="D11" i="17" s="1"/>
  <c r="F17" i="12"/>
  <c r="F54" i="17"/>
  <c r="F12" i="17" s="1"/>
  <c r="B77" i="20"/>
  <c r="F9" i="4"/>
  <c r="B8" i="2"/>
  <c r="C7" i="2" s="1"/>
  <c r="N56" i="20"/>
  <c r="N14" i="20" s="1"/>
  <c r="M14" i="20"/>
  <c r="O56" i="20"/>
  <c r="O14" i="20" s="1"/>
  <c r="C10" i="7"/>
  <c r="I9" i="4"/>
  <c r="I14" i="4" s="1"/>
  <c r="G9" i="4"/>
  <c r="G14" i="4" s="1"/>
  <c r="E9" i="4"/>
  <c r="G12" i="17"/>
  <c r="H12" i="17"/>
  <c r="D28" i="14"/>
  <c r="D30" i="14" s="1"/>
  <c r="G55" i="20" s="1"/>
  <c r="G13" i="20" s="1"/>
  <c r="C35" i="14"/>
  <c r="C36" i="14" s="1"/>
  <c r="C38" i="14" s="1"/>
  <c r="C22" i="14"/>
  <c r="C24" i="14" s="1"/>
  <c r="D35" i="14"/>
  <c r="D36" i="14" s="1"/>
  <c r="D38" i="14" s="1"/>
  <c r="C54" i="17" l="1"/>
  <c r="C12" i="17" s="1"/>
  <c r="D56" i="20"/>
  <c r="D14" i="20" s="1"/>
  <c r="D56" i="19"/>
  <c r="D14" i="19" s="1"/>
  <c r="C17" i="12"/>
  <c r="B17" i="12" s="1"/>
  <c r="D56" i="18"/>
  <c r="D14" i="18" s="1"/>
  <c r="G56" i="19"/>
  <c r="G14" i="19" s="1"/>
  <c r="G56" i="20"/>
  <c r="G14" i="20" s="1"/>
  <c r="G56" i="18"/>
  <c r="G14" i="18" s="1"/>
  <c r="D17" i="12"/>
  <c r="D54" i="17"/>
  <c r="D12" i="17" s="1"/>
  <c r="G55" i="18"/>
  <c r="G13" i="18" s="1"/>
  <c r="D16" i="12"/>
  <c r="N56" i="18"/>
  <c r="M14" i="18"/>
  <c r="G55" i="19"/>
  <c r="G13" i="19" s="1"/>
  <c r="D55" i="18"/>
  <c r="D13" i="18" s="1"/>
  <c r="D55" i="19"/>
  <c r="D13" i="19" s="1"/>
  <c r="C16" i="12"/>
  <c r="B16" i="12" s="1"/>
  <c r="C53" i="17"/>
  <c r="C11" i="17" s="1"/>
  <c r="D55" i="20"/>
  <c r="D13" i="20" s="1"/>
  <c r="N56" i="19"/>
  <c r="M14" i="19"/>
  <c r="E28" i="14"/>
  <c r="E30" i="14" s="1"/>
  <c r="E22" i="14"/>
  <c r="E24" i="14" s="1"/>
  <c r="J55" i="19" l="1"/>
  <c r="J13" i="19" s="1"/>
  <c r="J55" i="20"/>
  <c r="J13" i="20" s="1"/>
  <c r="J55" i="18"/>
  <c r="J13" i="18" s="1"/>
  <c r="E16" i="12"/>
  <c r="E53" i="17"/>
  <c r="E11" i="17" s="1"/>
  <c r="B54" i="17"/>
  <c r="B12" i="17" s="1"/>
  <c r="B56" i="20"/>
  <c r="B14" i="20" s="1"/>
  <c r="B56" i="18"/>
  <c r="B14" i="18" s="1"/>
  <c r="B56" i="19"/>
  <c r="B14" i="19" s="1"/>
  <c r="B55" i="19"/>
  <c r="B13" i="19" s="1"/>
  <c r="B53" i="17"/>
  <c r="B11" i="17" s="1"/>
  <c r="B55" i="20"/>
  <c r="B13" i="20" s="1"/>
  <c r="B55" i="18"/>
  <c r="B13" i="18" s="1"/>
  <c r="N14" i="19"/>
  <c r="O56" i="19"/>
  <c r="O14" i="19" s="1"/>
  <c r="O56" i="18"/>
  <c r="O14" i="18" s="1"/>
  <c r="N14" i="18"/>
  <c r="F22" i="14"/>
  <c r="F24" i="14" s="1"/>
  <c r="F28" i="14"/>
  <c r="F30" i="14" s="1"/>
  <c r="L55" i="20" l="1"/>
  <c r="L13" i="20" s="1"/>
  <c r="F16" i="12"/>
  <c r="F53" i="17"/>
  <c r="F11" i="17" s="1"/>
  <c r="L55" i="19"/>
  <c r="L13" i="19" s="1"/>
  <c r="L55" i="18"/>
  <c r="L13" i="18" s="1"/>
  <c r="G28" i="14"/>
  <c r="G30" i="14" s="1"/>
  <c r="G22" i="14"/>
  <c r="G24" i="14" s="1"/>
  <c r="M55" i="18" l="1"/>
  <c r="M55" i="19"/>
  <c r="M55" i="20"/>
  <c r="G53" i="17"/>
  <c r="G16" i="12"/>
  <c r="H16" i="12" s="1"/>
  <c r="I16" i="12" s="1"/>
  <c r="D19" i="13"/>
  <c r="F19" i="13" s="1"/>
  <c r="D20" i="13"/>
  <c r="F20" i="13" s="1"/>
  <c r="D21" i="13"/>
  <c r="F21" i="13" s="1"/>
  <c r="E22" i="13"/>
  <c r="F22" i="13" s="1"/>
  <c r="D23" i="13"/>
  <c r="F23" i="13" s="1"/>
  <c r="E24" i="13"/>
  <c r="F24" i="13" s="1"/>
  <c r="E25" i="13"/>
  <c r="F25" i="13" s="1"/>
  <c r="E26" i="13"/>
  <c r="F26" i="13" s="1"/>
  <c r="D18" i="13"/>
  <c r="E5" i="9"/>
  <c r="F5" i="9"/>
  <c r="G5" i="9"/>
  <c r="H5" i="9"/>
  <c r="D5" i="9"/>
  <c r="G6" i="12"/>
  <c r="H6" i="12" s="1"/>
  <c r="I6" i="12" s="1"/>
  <c r="D6" i="12"/>
  <c r="E6" i="12"/>
  <c r="F6" i="12"/>
  <c r="C6" i="12"/>
  <c r="B10" i="13"/>
  <c r="C13" i="14"/>
  <c r="D13" i="14"/>
  <c r="E8" i="14"/>
  <c r="K8" i="14" s="1"/>
  <c r="E9" i="14"/>
  <c r="I9" i="14" s="1"/>
  <c r="O9" i="14" s="1"/>
  <c r="E10" i="14"/>
  <c r="K10" i="14" s="1"/>
  <c r="E11" i="14"/>
  <c r="I11" i="14" s="1"/>
  <c r="O11" i="14" s="1"/>
  <c r="E7" i="14"/>
  <c r="B13" i="14"/>
  <c r="D28" i="13" l="1"/>
  <c r="F18" i="13"/>
  <c r="N55" i="18"/>
  <c r="M13" i="18"/>
  <c r="H53" i="17"/>
  <c r="G11" i="17"/>
  <c r="M13" i="20"/>
  <c r="N55" i="20"/>
  <c r="N55" i="19"/>
  <c r="M13" i="19"/>
  <c r="E28" i="13"/>
  <c r="H11" i="14"/>
  <c r="N11" i="14" s="1"/>
  <c r="K11" i="14"/>
  <c r="H10" i="14"/>
  <c r="N10" i="14" s="1"/>
  <c r="I10" i="14"/>
  <c r="O10" i="14" s="1"/>
  <c r="H9" i="14"/>
  <c r="N9" i="14" s="1"/>
  <c r="K9" i="14"/>
  <c r="E13" i="14"/>
  <c r="H8" i="14"/>
  <c r="N8" i="14" s="1"/>
  <c r="I8" i="14"/>
  <c r="O8" i="14" s="1"/>
  <c r="H7" i="14"/>
  <c r="K7" i="14"/>
  <c r="K13" i="14" s="1"/>
  <c r="B16" i="14" s="1"/>
  <c r="C16" i="14" s="1"/>
  <c r="I7" i="14"/>
  <c r="D51" i="18" l="1"/>
  <c r="D51" i="19"/>
  <c r="C49" i="17"/>
  <c r="D51" i="20"/>
  <c r="C12" i="12"/>
  <c r="B12" i="12" s="1"/>
  <c r="D9" i="9"/>
  <c r="O55" i="19"/>
  <c r="O13" i="19" s="1"/>
  <c r="N13" i="19"/>
  <c r="I53" i="17"/>
  <c r="I11" i="17" s="1"/>
  <c r="H11" i="17"/>
  <c r="F28" i="13"/>
  <c r="N13" i="20"/>
  <c r="O55" i="20"/>
  <c r="O13" i="20" s="1"/>
  <c r="O55" i="18"/>
  <c r="O13" i="18" s="1"/>
  <c r="N13" i="18"/>
  <c r="D29" i="13"/>
  <c r="C9" i="9"/>
  <c r="E29" i="13"/>
  <c r="E30" i="13" s="1"/>
  <c r="C11" i="9" s="1"/>
  <c r="D11" i="9" s="1"/>
  <c r="D16" i="14"/>
  <c r="I13" i="14"/>
  <c r="O7" i="14"/>
  <c r="O13" i="14" s="1"/>
  <c r="N7" i="14"/>
  <c r="N13" i="14" s="1"/>
  <c r="B17" i="14" s="1"/>
  <c r="H13" i="14"/>
  <c r="D57" i="19" l="1"/>
  <c r="D25" i="19" s="1"/>
  <c r="C18" i="12"/>
  <c r="B18" i="12" s="1"/>
  <c r="C55" i="17"/>
  <c r="C23" i="17" s="1"/>
  <c r="E11" i="9"/>
  <c r="D57" i="18"/>
  <c r="D25" i="18" s="1"/>
  <c r="D57" i="20"/>
  <c r="D25" i="20" s="1"/>
  <c r="B51" i="18"/>
  <c r="B12" i="18" s="1"/>
  <c r="B51" i="19"/>
  <c r="B12" i="19" s="1"/>
  <c r="B49" i="17"/>
  <c r="B10" i="17" s="1"/>
  <c r="B51" i="20"/>
  <c r="B12" i="20" s="1"/>
  <c r="B14" i="12"/>
  <c r="D12" i="18"/>
  <c r="D30" i="13"/>
  <c r="F29" i="13"/>
  <c r="D12" i="20"/>
  <c r="C10" i="17"/>
  <c r="B42" i="14"/>
  <c r="G51" i="20"/>
  <c r="G12" i="20" s="1"/>
  <c r="D49" i="17"/>
  <c r="D10" i="17" s="1"/>
  <c r="G51" i="18"/>
  <c r="G12" i="18" s="1"/>
  <c r="G51" i="19"/>
  <c r="G12" i="19" s="1"/>
  <c r="B11" i="12"/>
  <c r="D50" i="20"/>
  <c r="D49" i="20" s="1"/>
  <c r="D50" i="18"/>
  <c r="D49" i="18" s="1"/>
  <c r="D50" i="19"/>
  <c r="D49" i="19" s="1"/>
  <c r="D12" i="19"/>
  <c r="E16" i="14"/>
  <c r="D12" i="12"/>
  <c r="E9" i="9"/>
  <c r="C17" i="14"/>
  <c r="C12" i="9"/>
  <c r="D73" i="19" l="1"/>
  <c r="D63" i="19"/>
  <c r="D12" i="9"/>
  <c r="D73" i="20"/>
  <c r="D63" i="20"/>
  <c r="D8" i="19"/>
  <c r="D48" i="19" s="1"/>
  <c r="C61" i="17"/>
  <c r="C24" i="12"/>
  <c r="D8" i="20"/>
  <c r="D73" i="18"/>
  <c r="C34" i="12"/>
  <c r="C6" i="17"/>
  <c r="D8" i="18"/>
  <c r="D63" i="18"/>
  <c r="C71" i="17"/>
  <c r="J51" i="19"/>
  <c r="J12" i="19" s="1"/>
  <c r="J51" i="20"/>
  <c r="J12" i="20" s="1"/>
  <c r="J51" i="18"/>
  <c r="J12" i="18" s="1"/>
  <c r="E49" i="17"/>
  <c r="E10" i="17" s="1"/>
  <c r="B50" i="18"/>
  <c r="B50" i="20"/>
  <c r="B48" i="17"/>
  <c r="B50" i="19"/>
  <c r="B10" i="12"/>
  <c r="B43" i="14"/>
  <c r="G42" i="14"/>
  <c r="G43" i="14" s="1"/>
  <c r="E42" i="14"/>
  <c r="E43" i="14" s="1"/>
  <c r="F42" i="14"/>
  <c r="F43" i="14" s="1"/>
  <c r="D42" i="14"/>
  <c r="D43" i="14" s="1"/>
  <c r="C42" i="14"/>
  <c r="C43" i="14" s="1"/>
  <c r="D18" i="12"/>
  <c r="D55" i="17"/>
  <c r="D23" i="17" s="1"/>
  <c r="F11" i="9"/>
  <c r="G57" i="20"/>
  <c r="G25" i="20" s="1"/>
  <c r="G57" i="19"/>
  <c r="G25" i="19" s="1"/>
  <c r="G57" i="18"/>
  <c r="G25" i="18" s="1"/>
  <c r="D48" i="20"/>
  <c r="B53" i="20"/>
  <c r="B53" i="19"/>
  <c r="B53" i="18"/>
  <c r="B51" i="17"/>
  <c r="C10" i="9"/>
  <c r="D10" i="9" s="1"/>
  <c r="F30" i="13"/>
  <c r="B55" i="17"/>
  <c r="B23" i="17" s="1"/>
  <c r="B57" i="20"/>
  <c r="B25" i="20" s="1"/>
  <c r="B57" i="19"/>
  <c r="B25" i="19" s="1"/>
  <c r="B57" i="18"/>
  <c r="B25" i="18" s="1"/>
  <c r="G50" i="19"/>
  <c r="G49" i="19" s="1"/>
  <c r="G50" i="18"/>
  <c r="G49" i="18" s="1"/>
  <c r="G50" i="20"/>
  <c r="G49" i="20" s="1"/>
  <c r="D48" i="17"/>
  <c r="D47" i="17" s="1"/>
  <c r="C48" i="17"/>
  <c r="C47" i="17" s="1"/>
  <c r="C46" i="17" s="1"/>
  <c r="C11" i="12"/>
  <c r="C10" i="12" s="1"/>
  <c r="D11" i="12"/>
  <c r="F16" i="14"/>
  <c r="E12" i="12"/>
  <c r="F9" i="9"/>
  <c r="D17" i="14"/>
  <c r="D46" i="17" l="1"/>
  <c r="G48" i="19"/>
  <c r="E18" i="12"/>
  <c r="J57" i="19"/>
  <c r="J25" i="19" s="1"/>
  <c r="J57" i="18"/>
  <c r="J25" i="18" s="1"/>
  <c r="G11" i="9"/>
  <c r="J57" i="20"/>
  <c r="J25" i="20" s="1"/>
  <c r="E55" i="17"/>
  <c r="E23" i="17" s="1"/>
  <c r="G60" i="18"/>
  <c r="G15" i="18" s="1"/>
  <c r="D58" i="17"/>
  <c r="D13" i="17" s="1"/>
  <c r="G60" i="20"/>
  <c r="G15" i="20" s="1"/>
  <c r="G60" i="19"/>
  <c r="G15" i="19" s="1"/>
  <c r="D21" i="12"/>
  <c r="B49" i="19"/>
  <c r="B47" i="17"/>
  <c r="B49" i="18"/>
  <c r="B49" i="20"/>
  <c r="E8" i="18"/>
  <c r="C8" i="18"/>
  <c r="C8" i="20"/>
  <c r="E8" i="20"/>
  <c r="D69" i="20"/>
  <c r="D17" i="20" s="1"/>
  <c r="D28" i="20"/>
  <c r="G8" i="19"/>
  <c r="G8" i="18"/>
  <c r="G73" i="20"/>
  <c r="G63" i="20"/>
  <c r="G8" i="20"/>
  <c r="G73" i="18"/>
  <c r="G63" i="18"/>
  <c r="D34" i="12"/>
  <c r="D24" i="12"/>
  <c r="D30" i="12" s="1"/>
  <c r="G73" i="19"/>
  <c r="G63" i="19"/>
  <c r="D61" i="17"/>
  <c r="D71" i="17"/>
  <c r="D6" i="17"/>
  <c r="L51" i="20"/>
  <c r="L12" i="20" s="1"/>
  <c r="F49" i="17"/>
  <c r="F10" i="17" s="1"/>
  <c r="L51" i="18"/>
  <c r="L12" i="18" s="1"/>
  <c r="L51" i="19"/>
  <c r="L12" i="19" s="1"/>
  <c r="D52" i="19"/>
  <c r="D52" i="18"/>
  <c r="D52" i="20"/>
  <c r="C50" i="17"/>
  <c r="C13" i="12"/>
  <c r="C14" i="12" s="1"/>
  <c r="E10" i="9"/>
  <c r="D14" i="9"/>
  <c r="D19" i="11" s="1"/>
  <c r="F58" i="17"/>
  <c r="F13" i="17" s="1"/>
  <c r="L60" i="20"/>
  <c r="L15" i="20" s="1"/>
  <c r="L60" i="18"/>
  <c r="L15" i="18" s="1"/>
  <c r="F21" i="12"/>
  <c r="L60" i="19"/>
  <c r="L15" i="19" s="1"/>
  <c r="D48" i="18"/>
  <c r="C30" i="12"/>
  <c r="B24" i="12"/>
  <c r="G48" i="20"/>
  <c r="J60" i="19"/>
  <c r="J15" i="19" s="1"/>
  <c r="E21" i="12"/>
  <c r="J60" i="20"/>
  <c r="J15" i="20" s="1"/>
  <c r="J60" i="18"/>
  <c r="J15" i="18" s="1"/>
  <c r="E58" i="17"/>
  <c r="E13" i="17" s="1"/>
  <c r="C67" i="17"/>
  <c r="C15" i="17" s="1"/>
  <c r="C26" i="17"/>
  <c r="D20" i="9"/>
  <c r="B24" i="10"/>
  <c r="C24" i="10" s="1"/>
  <c r="G48" i="18"/>
  <c r="D60" i="20"/>
  <c r="D15" i="20" s="1"/>
  <c r="D60" i="19"/>
  <c r="D15" i="19" s="1"/>
  <c r="C58" i="17"/>
  <c r="C13" i="17" s="1"/>
  <c r="C21" i="12"/>
  <c r="B21" i="12" s="1"/>
  <c r="D60" i="18"/>
  <c r="D15" i="18" s="1"/>
  <c r="M60" i="20"/>
  <c r="M60" i="19"/>
  <c r="G21" i="12"/>
  <c r="H21" i="12" s="1"/>
  <c r="I21" i="12" s="1"/>
  <c r="M60" i="18"/>
  <c r="G58" i="17"/>
  <c r="C14" i="9"/>
  <c r="C15" i="9" s="1"/>
  <c r="C17" i="9" s="1"/>
  <c r="D69" i="18"/>
  <c r="D17" i="18" s="1"/>
  <c r="D28" i="18"/>
  <c r="E8" i="19"/>
  <c r="C8" i="19"/>
  <c r="D69" i="19"/>
  <c r="D17" i="19" s="1"/>
  <c r="D28" i="19"/>
  <c r="J50" i="20"/>
  <c r="J49" i="20" s="1"/>
  <c r="J50" i="18"/>
  <c r="J49" i="18" s="1"/>
  <c r="J50" i="19"/>
  <c r="J49" i="19" s="1"/>
  <c r="E48" i="17"/>
  <c r="E47" i="17" s="1"/>
  <c r="D15" i="9"/>
  <c r="D17" i="9" s="1"/>
  <c r="E17" i="14"/>
  <c r="E12" i="9"/>
  <c r="D8" i="12"/>
  <c r="E11" i="12"/>
  <c r="G16" i="14"/>
  <c r="F12" i="12"/>
  <c r="G9" i="9"/>
  <c r="D10" i="12"/>
  <c r="E8" i="12"/>
  <c r="C8" i="12"/>
  <c r="C9" i="12" s="1"/>
  <c r="M51" i="18" l="1"/>
  <c r="M51" i="19"/>
  <c r="G49" i="17"/>
  <c r="M51" i="20"/>
  <c r="J73" i="20"/>
  <c r="J63" i="20"/>
  <c r="E71" i="17"/>
  <c r="E61" i="17"/>
  <c r="J8" i="20"/>
  <c r="J73" i="19"/>
  <c r="J63" i="19"/>
  <c r="J8" i="19"/>
  <c r="E6" i="17"/>
  <c r="E46" i="17" s="1"/>
  <c r="J8" i="18"/>
  <c r="E34" i="12"/>
  <c r="J63" i="18"/>
  <c r="E24" i="12"/>
  <c r="E30" i="12" s="1"/>
  <c r="J73" i="18"/>
  <c r="B60" i="20"/>
  <c r="B15" i="20" s="1"/>
  <c r="B60" i="18"/>
  <c r="B15" i="18" s="1"/>
  <c r="B58" i="17"/>
  <c r="B13" i="17" s="1"/>
  <c r="B60" i="19"/>
  <c r="B15" i="19" s="1"/>
  <c r="G52" i="20"/>
  <c r="G52" i="19"/>
  <c r="F10" i="9"/>
  <c r="D13" i="12"/>
  <c r="D14" i="12" s="1"/>
  <c r="G52" i="18"/>
  <c r="D50" i="17"/>
  <c r="D24" i="18"/>
  <c r="D53" i="18"/>
  <c r="H8" i="20"/>
  <c r="F8" i="20"/>
  <c r="H8" i="19"/>
  <c r="F8" i="19"/>
  <c r="D9" i="12"/>
  <c r="J48" i="19"/>
  <c r="M15" i="19"/>
  <c r="N60" i="19"/>
  <c r="D24" i="19"/>
  <c r="D53" i="19"/>
  <c r="D67" i="17"/>
  <c r="D15" i="17" s="1"/>
  <c r="D26" i="17"/>
  <c r="G69" i="20"/>
  <c r="G17" i="20" s="1"/>
  <c r="G28" i="20"/>
  <c r="J48" i="18"/>
  <c r="H58" i="17"/>
  <c r="G13" i="17"/>
  <c r="M15" i="20"/>
  <c r="N60" i="20"/>
  <c r="C22" i="17"/>
  <c r="C51" i="17"/>
  <c r="G28" i="19"/>
  <c r="G69" i="19"/>
  <c r="G17" i="19" s="1"/>
  <c r="G69" i="18"/>
  <c r="G17" i="18" s="1"/>
  <c r="G28" i="18"/>
  <c r="L57" i="20"/>
  <c r="L25" i="20" s="1"/>
  <c r="L57" i="19"/>
  <c r="L25" i="19" s="1"/>
  <c r="F18" i="12"/>
  <c r="L57" i="18"/>
  <c r="L25" i="18" s="1"/>
  <c r="H11" i="9"/>
  <c r="F55" i="17"/>
  <c r="F23" i="17" s="1"/>
  <c r="N60" i="18"/>
  <c r="M15" i="18"/>
  <c r="B63" i="20"/>
  <c r="B28" i="20" s="1"/>
  <c r="B61" i="17"/>
  <c r="B26" i="17" s="1"/>
  <c r="B63" i="18"/>
  <c r="B28" i="18" s="1"/>
  <c r="B30" i="12"/>
  <c r="B63" i="19"/>
  <c r="B28" i="19" s="1"/>
  <c r="D24" i="20"/>
  <c r="D53" i="20"/>
  <c r="H8" i="18"/>
  <c r="F8" i="18"/>
  <c r="L50" i="19"/>
  <c r="L49" i="19" s="1"/>
  <c r="L50" i="20"/>
  <c r="L49" i="20" s="1"/>
  <c r="L50" i="18"/>
  <c r="L49" i="18" s="1"/>
  <c r="E14" i="9"/>
  <c r="D24" i="10"/>
  <c r="E20" i="9"/>
  <c r="F48" i="17"/>
  <c r="F47" i="17" s="1"/>
  <c r="B9" i="15"/>
  <c r="B16" i="10" s="1"/>
  <c r="C9" i="15"/>
  <c r="C16" i="10" s="1"/>
  <c r="F11" i="12"/>
  <c r="G12" i="12"/>
  <c r="H9" i="9"/>
  <c r="F8" i="12"/>
  <c r="E10" i="12"/>
  <c r="E9" i="12" s="1"/>
  <c r="F17" i="14"/>
  <c r="F12" i="9"/>
  <c r="E15" i="9"/>
  <c r="L8" i="20" l="1"/>
  <c r="L48" i="20" s="1"/>
  <c r="L73" i="18"/>
  <c r="L63" i="18"/>
  <c r="F34" i="12"/>
  <c r="F24" i="12"/>
  <c r="F30" i="12" s="1"/>
  <c r="L73" i="19"/>
  <c r="L63" i="19"/>
  <c r="L8" i="18"/>
  <c r="L48" i="18" s="1"/>
  <c r="L8" i="19"/>
  <c r="L48" i="19" s="1"/>
  <c r="L63" i="20"/>
  <c r="F6" i="17"/>
  <c r="F71" i="17"/>
  <c r="L73" i="20"/>
  <c r="F61" i="17"/>
  <c r="J52" i="20"/>
  <c r="J52" i="18"/>
  <c r="E50" i="17"/>
  <c r="G10" i="9"/>
  <c r="E13" i="12"/>
  <c r="E14" i="12" s="1"/>
  <c r="J52" i="19"/>
  <c r="I8" i="20"/>
  <c r="K8" i="20"/>
  <c r="M12" i="18"/>
  <c r="N51" i="18"/>
  <c r="B67" i="17"/>
  <c r="B15" i="17" s="1"/>
  <c r="B69" i="19"/>
  <c r="B17" i="19" s="1"/>
  <c r="B69" i="18"/>
  <c r="B17" i="18" s="1"/>
  <c r="B69" i="20"/>
  <c r="B17" i="20" s="1"/>
  <c r="I58" i="17"/>
  <c r="I13" i="17" s="1"/>
  <c r="H13" i="17"/>
  <c r="O60" i="19"/>
  <c r="O15" i="19" s="1"/>
  <c r="N15" i="19"/>
  <c r="D22" i="17"/>
  <c r="D51" i="17"/>
  <c r="G53" i="19"/>
  <c r="G24" i="19"/>
  <c r="J69" i="18"/>
  <c r="J17" i="18" s="1"/>
  <c r="J28" i="18"/>
  <c r="K8" i="19"/>
  <c r="I8" i="19"/>
  <c r="E67" i="17"/>
  <c r="E15" i="17" s="1"/>
  <c r="E26" i="17"/>
  <c r="M12" i="20"/>
  <c r="N51" i="20"/>
  <c r="O60" i="18"/>
  <c r="O15" i="18" s="1"/>
  <c r="N15" i="18"/>
  <c r="N15" i="20"/>
  <c r="O60" i="20"/>
  <c r="O15" i="20" s="1"/>
  <c r="G24" i="18"/>
  <c r="G53" i="18"/>
  <c r="G24" i="20"/>
  <c r="G53" i="20"/>
  <c r="J69" i="19"/>
  <c r="J17" i="19" s="1"/>
  <c r="J28" i="19"/>
  <c r="G10" i="17"/>
  <c r="H49" i="17"/>
  <c r="F46" i="17"/>
  <c r="J48" i="20"/>
  <c r="M57" i="18"/>
  <c r="M25" i="18" s="1"/>
  <c r="G55" i="17"/>
  <c r="G23" i="17" s="1"/>
  <c r="M57" i="20"/>
  <c r="M25" i="20" s="1"/>
  <c r="G18" i="12"/>
  <c r="M57" i="19"/>
  <c r="M25" i="19" s="1"/>
  <c r="I11" i="9"/>
  <c r="I8" i="18"/>
  <c r="K8" i="18"/>
  <c r="J69" i="20"/>
  <c r="J17" i="20" s="1"/>
  <c r="J28" i="20"/>
  <c r="M12" i="19"/>
  <c r="N51" i="19"/>
  <c r="M50" i="20"/>
  <c r="M49" i="20" s="1"/>
  <c r="M50" i="18"/>
  <c r="M49" i="18" s="1"/>
  <c r="M50" i="19"/>
  <c r="M49" i="19" s="1"/>
  <c r="F14" i="9"/>
  <c r="F20" i="9"/>
  <c r="E24" i="10"/>
  <c r="G48" i="17"/>
  <c r="G47" i="17" s="1"/>
  <c r="E19" i="11"/>
  <c r="E17" i="9"/>
  <c r="D9" i="15" s="1"/>
  <c r="D12" i="11"/>
  <c r="G17" i="14"/>
  <c r="G12" i="9"/>
  <c r="H12" i="12"/>
  <c r="F10" i="12"/>
  <c r="F9" i="12" s="1"/>
  <c r="G8" i="12"/>
  <c r="B8" i="15"/>
  <c r="B10" i="15"/>
  <c r="B12" i="15" s="1"/>
  <c r="C7" i="15"/>
  <c r="C8" i="15" s="1"/>
  <c r="C10" i="15" s="1"/>
  <c r="C12" i="15" s="1"/>
  <c r="F15" i="9"/>
  <c r="G11" i="12"/>
  <c r="I9" i="9"/>
  <c r="D7" i="15"/>
  <c r="N12" i="19" l="1"/>
  <c r="O51" i="19"/>
  <c r="O12" i="19" s="1"/>
  <c r="O51" i="18"/>
  <c r="O12" i="18" s="1"/>
  <c r="N12" i="18"/>
  <c r="J24" i="19"/>
  <c r="J53" i="19"/>
  <c r="J53" i="18"/>
  <c r="J24" i="18"/>
  <c r="H12" i="9"/>
  <c r="I12" i="9" s="1"/>
  <c r="J12" i="9" s="1"/>
  <c r="M73" i="19"/>
  <c r="N73" i="19" s="1"/>
  <c r="O73" i="19" s="1"/>
  <c r="M63" i="19"/>
  <c r="M8" i="19"/>
  <c r="N8" i="19" s="1"/>
  <c r="O8" i="19" s="1"/>
  <c r="G6" i="17"/>
  <c r="H6" i="17" s="1"/>
  <c r="I6" i="17" s="1"/>
  <c r="M73" i="20"/>
  <c r="N73" i="20" s="1"/>
  <c r="O73" i="20" s="1"/>
  <c r="M63" i="20"/>
  <c r="G71" i="17"/>
  <c r="H71" i="17" s="1"/>
  <c r="I71" i="17" s="1"/>
  <c r="G61" i="17"/>
  <c r="M63" i="18"/>
  <c r="G34" i="12"/>
  <c r="H34" i="12" s="1"/>
  <c r="I34" i="12" s="1"/>
  <c r="G24" i="12"/>
  <c r="M73" i="18"/>
  <c r="N73" i="18" s="1"/>
  <c r="O73" i="18" s="1"/>
  <c r="M8" i="20"/>
  <c r="N8" i="20" s="1"/>
  <c r="O8" i="20" s="1"/>
  <c r="M8" i="18"/>
  <c r="N8" i="18" s="1"/>
  <c r="O8" i="18" s="1"/>
  <c r="M48" i="19"/>
  <c r="J24" i="20"/>
  <c r="J53" i="20"/>
  <c r="M48" i="18"/>
  <c r="J11" i="9"/>
  <c r="N57" i="20"/>
  <c r="N25" i="20" s="1"/>
  <c r="N57" i="19"/>
  <c r="N25" i="19" s="1"/>
  <c r="H55" i="17"/>
  <c r="H23" i="17" s="1"/>
  <c r="N57" i="18"/>
  <c r="N25" i="18" s="1"/>
  <c r="H18" i="12"/>
  <c r="L52" i="20"/>
  <c r="F13" i="12"/>
  <c r="F14" i="12" s="1"/>
  <c r="L52" i="19"/>
  <c r="L52" i="18"/>
  <c r="F50" i="17"/>
  <c r="H10" i="9"/>
  <c r="L69" i="19"/>
  <c r="L17" i="19" s="1"/>
  <c r="L28" i="19"/>
  <c r="L69" i="18"/>
  <c r="L17" i="18" s="1"/>
  <c r="L28" i="18"/>
  <c r="G46" i="17"/>
  <c r="M48" i="20"/>
  <c r="H10" i="17"/>
  <c r="I49" i="17"/>
  <c r="I10" i="17" s="1"/>
  <c r="O51" i="20"/>
  <c r="O12" i="20" s="1"/>
  <c r="N12" i="20"/>
  <c r="E51" i="17"/>
  <c r="E22" i="17"/>
  <c r="F67" i="17"/>
  <c r="F15" i="17" s="1"/>
  <c r="F26" i="17"/>
  <c r="L69" i="20"/>
  <c r="L17" i="20" s="1"/>
  <c r="L28" i="20"/>
  <c r="D66" i="20"/>
  <c r="D16" i="20" s="1"/>
  <c r="D19" i="20" s="1"/>
  <c r="D66" i="18"/>
  <c r="D16" i="18" s="1"/>
  <c r="D19" i="18" s="1"/>
  <c r="D66" i="19"/>
  <c r="D16" i="19" s="1"/>
  <c r="D19" i="19" s="1"/>
  <c r="N50" i="19"/>
  <c r="N49" i="19" s="1"/>
  <c r="N48" i="19" s="1"/>
  <c r="N50" i="18"/>
  <c r="N49" i="18" s="1"/>
  <c r="N50" i="20"/>
  <c r="N49" i="20" s="1"/>
  <c r="N48" i="20" s="1"/>
  <c r="E12" i="11"/>
  <c r="E7" i="15"/>
  <c r="D16" i="10"/>
  <c r="H48" i="17"/>
  <c r="H47" i="17" s="1"/>
  <c r="H46" i="17" s="1"/>
  <c r="I20" i="9"/>
  <c r="F19" i="11"/>
  <c r="F17" i="9"/>
  <c r="E9" i="15" s="1"/>
  <c r="D8" i="15"/>
  <c r="D10" i="15" s="1"/>
  <c r="D12" i="15" s="1"/>
  <c r="H20" i="9"/>
  <c r="G14" i="9"/>
  <c r="G19" i="11" s="1"/>
  <c r="G20" i="9"/>
  <c r="F24" i="10"/>
  <c r="C27" i="12"/>
  <c r="D23" i="11" s="1"/>
  <c r="C64" i="17"/>
  <c r="B27" i="12"/>
  <c r="D27" i="12"/>
  <c r="E23" i="11" s="1"/>
  <c r="J9" i="9"/>
  <c r="H11" i="12"/>
  <c r="I12" i="12"/>
  <c r="H8" i="12"/>
  <c r="G10" i="12"/>
  <c r="G9" i="12" s="1"/>
  <c r="E16" i="10" l="1"/>
  <c r="E8" i="15"/>
  <c r="E10" i="15" s="1"/>
  <c r="E12" i="15" s="1"/>
  <c r="E27" i="12" s="1"/>
  <c r="F23" i="11" s="1"/>
  <c r="F12" i="11"/>
  <c r="F7" i="15"/>
  <c r="M52" i="20"/>
  <c r="M52" i="19"/>
  <c r="G13" i="12"/>
  <c r="G14" i="12" s="1"/>
  <c r="M52" i="18"/>
  <c r="G50" i="17"/>
  <c r="I10" i="9"/>
  <c r="H14" i="9"/>
  <c r="H24" i="12"/>
  <c r="G30" i="12"/>
  <c r="G24" i="10"/>
  <c r="M69" i="20"/>
  <c r="M17" i="20" s="1"/>
  <c r="M28" i="20"/>
  <c r="N63" i="20"/>
  <c r="G15" i="9"/>
  <c r="L24" i="18"/>
  <c r="L53" i="18"/>
  <c r="M69" i="18"/>
  <c r="M17" i="18" s="1"/>
  <c r="M28" i="18"/>
  <c r="N63" i="18"/>
  <c r="F22" i="17"/>
  <c r="F51" i="17"/>
  <c r="L24" i="20"/>
  <c r="L53" i="20"/>
  <c r="M69" i="19"/>
  <c r="M17" i="19" s="1"/>
  <c r="N63" i="19"/>
  <c r="M28" i="19"/>
  <c r="N48" i="18"/>
  <c r="L53" i="19"/>
  <c r="L24" i="19"/>
  <c r="O57" i="18"/>
  <c r="O25" i="18" s="1"/>
  <c r="O57" i="20"/>
  <c r="O25" i="20" s="1"/>
  <c r="I55" i="17"/>
  <c r="I23" i="17" s="1"/>
  <c r="O57" i="19"/>
  <c r="O25" i="19" s="1"/>
  <c r="I18" i="12"/>
  <c r="G67" i="17"/>
  <c r="G15" i="17" s="1"/>
  <c r="H61" i="17"/>
  <c r="G26" i="17"/>
  <c r="J66" i="18"/>
  <c r="J16" i="18" s="1"/>
  <c r="J19" i="18" s="1"/>
  <c r="J66" i="19"/>
  <c r="J16" i="19" s="1"/>
  <c r="J19" i="19" s="1"/>
  <c r="D64" i="17"/>
  <c r="D14" i="17" s="1"/>
  <c r="D17" i="17" s="1"/>
  <c r="D18" i="17" s="1"/>
  <c r="G66" i="19"/>
  <c r="G16" i="19" s="1"/>
  <c r="G19" i="19" s="1"/>
  <c r="G66" i="18"/>
  <c r="G16" i="18" s="1"/>
  <c r="G19" i="18" s="1"/>
  <c r="G66" i="20"/>
  <c r="G16" i="20" s="1"/>
  <c r="G19" i="20" s="1"/>
  <c r="D20" i="19"/>
  <c r="C19" i="19"/>
  <c r="C20" i="19" s="1"/>
  <c r="E19" i="19"/>
  <c r="E20" i="19" s="1"/>
  <c r="E19" i="20"/>
  <c r="E20" i="20" s="1"/>
  <c r="D20" i="20"/>
  <c r="C19" i="20"/>
  <c r="C20" i="20" s="1"/>
  <c r="O50" i="20"/>
  <c r="O49" i="20" s="1"/>
  <c r="O48" i="20" s="1"/>
  <c r="O50" i="18"/>
  <c r="O49" i="18" s="1"/>
  <c r="O48" i="18" s="1"/>
  <c r="O50" i="19"/>
  <c r="O49" i="19" s="1"/>
  <c r="O48" i="19" s="1"/>
  <c r="B64" i="17"/>
  <c r="B14" i="17" s="1"/>
  <c r="B17" i="17" s="1"/>
  <c r="B66" i="19"/>
  <c r="B16" i="19" s="1"/>
  <c r="B19" i="19" s="1"/>
  <c r="B66" i="20"/>
  <c r="B16" i="20" s="1"/>
  <c r="B19" i="20" s="1"/>
  <c r="B66" i="18"/>
  <c r="B16" i="18" s="1"/>
  <c r="B19" i="18" s="1"/>
  <c r="C19" i="18"/>
  <c r="C20" i="18" s="1"/>
  <c r="E19" i="18"/>
  <c r="E20" i="18" s="1"/>
  <c r="D20" i="18"/>
  <c r="I48" i="17"/>
  <c r="I47" i="17" s="1"/>
  <c r="I46" i="17" s="1"/>
  <c r="J20" i="9"/>
  <c r="G17" i="9"/>
  <c r="F9" i="15" s="1"/>
  <c r="C14" i="17"/>
  <c r="C17" i="17" s="1"/>
  <c r="C18" i="17" s="1"/>
  <c r="C31" i="17" s="1"/>
  <c r="B42" i="12"/>
  <c r="D31" i="17"/>
  <c r="I11" i="12"/>
  <c r="I10" i="12" s="1"/>
  <c r="H10" i="12"/>
  <c r="H9" i="12" s="1"/>
  <c r="I8" i="12"/>
  <c r="C17" i="5"/>
  <c r="B11" i="4"/>
  <c r="B14" i="4" s="1"/>
  <c r="G17" i="4"/>
  <c r="G16" i="4" s="1"/>
  <c r="I17" i="4"/>
  <c r="C8" i="4"/>
  <c r="H6" i="4"/>
  <c r="H14" i="4" s="1"/>
  <c r="M9" i="4"/>
  <c r="M7" i="4"/>
  <c r="M10" i="4"/>
  <c r="M12" i="4"/>
  <c r="C11" i="11"/>
  <c r="C17" i="1"/>
  <c r="C11" i="2" s="1"/>
  <c r="H26" i="17" l="1"/>
  <c r="I61" i="17"/>
  <c r="H67" i="17"/>
  <c r="H15" i="17" s="1"/>
  <c r="O63" i="19"/>
  <c r="N28" i="19"/>
  <c r="N69" i="19"/>
  <c r="N17" i="19" s="1"/>
  <c r="N52" i="20"/>
  <c r="H13" i="12"/>
  <c r="H14" i="12" s="1"/>
  <c r="N52" i="19"/>
  <c r="N52" i="18"/>
  <c r="J10" i="9"/>
  <c r="H50" i="17"/>
  <c r="H24" i="10"/>
  <c r="M24" i="19"/>
  <c r="M53" i="19"/>
  <c r="E8" i="4"/>
  <c r="E14" i="4" s="1"/>
  <c r="D8" i="4"/>
  <c r="D14" i="4" s="1"/>
  <c r="C14" i="4"/>
  <c r="N28" i="20"/>
  <c r="N69" i="20"/>
  <c r="N17" i="20" s="1"/>
  <c r="O63" i="20"/>
  <c r="G51" i="17"/>
  <c r="G22" i="17"/>
  <c r="M24" i="20"/>
  <c r="M53" i="20"/>
  <c r="E64" i="17"/>
  <c r="E14" i="17" s="1"/>
  <c r="E17" i="17" s="1"/>
  <c r="E18" i="17" s="1"/>
  <c r="J66" i="20"/>
  <c r="J16" i="20" s="1"/>
  <c r="J19" i="20" s="1"/>
  <c r="J20" i="20" s="1"/>
  <c r="N28" i="18"/>
  <c r="N69" i="18"/>
  <c r="N17" i="18" s="1"/>
  <c r="O63" i="18"/>
  <c r="I24" i="12"/>
  <c r="I30" i="12" s="1"/>
  <c r="H30" i="12"/>
  <c r="M24" i="18"/>
  <c r="M53" i="18"/>
  <c r="H19" i="11"/>
  <c r="H15" i="9"/>
  <c r="H17" i="9" s="1"/>
  <c r="G9" i="15" s="1"/>
  <c r="E33" i="18"/>
  <c r="C33" i="20"/>
  <c r="E33" i="20"/>
  <c r="C33" i="19"/>
  <c r="F19" i="20"/>
  <c r="F20" i="20" s="1"/>
  <c r="H19" i="20"/>
  <c r="H20" i="20" s="1"/>
  <c r="G20" i="20"/>
  <c r="G20" i="19"/>
  <c r="F19" i="19"/>
  <c r="F20" i="19" s="1"/>
  <c r="H19" i="19"/>
  <c r="H20" i="19" s="1"/>
  <c r="J20" i="19"/>
  <c r="I19" i="19"/>
  <c r="I20" i="19" s="1"/>
  <c r="K19" i="19"/>
  <c r="K20" i="19" s="1"/>
  <c r="I19" i="20"/>
  <c r="I20" i="20" s="1"/>
  <c r="B81" i="19"/>
  <c r="B81" i="20"/>
  <c r="B81" i="18"/>
  <c r="D33" i="18"/>
  <c r="C33" i="18"/>
  <c r="D33" i="20"/>
  <c r="E33" i="19"/>
  <c r="D33" i="19"/>
  <c r="H19" i="18"/>
  <c r="H20" i="18" s="1"/>
  <c r="F19" i="18"/>
  <c r="F20" i="18" s="1"/>
  <c r="G20" i="18"/>
  <c r="K19" i="18"/>
  <c r="K20" i="18" s="1"/>
  <c r="I19" i="18"/>
  <c r="I20" i="18" s="1"/>
  <c r="J20" i="18"/>
  <c r="F16" i="10"/>
  <c r="G12" i="11"/>
  <c r="F8" i="15"/>
  <c r="F10" i="15" s="1"/>
  <c r="F12" i="15" s="1"/>
  <c r="G7" i="15"/>
  <c r="G16" i="10"/>
  <c r="H7" i="15"/>
  <c r="H12" i="11"/>
  <c r="J9" i="4"/>
  <c r="J14" i="4" s="1"/>
  <c r="J17" i="4" s="1"/>
  <c r="J16" i="4" s="1"/>
  <c r="D10" i="7"/>
  <c r="B43" i="12"/>
  <c r="B79" i="17"/>
  <c r="I16" i="4"/>
  <c r="C14" i="5" s="1"/>
  <c r="C12" i="5"/>
  <c r="M14" i="4"/>
  <c r="E31" i="17"/>
  <c r="C12" i="11"/>
  <c r="I9" i="12"/>
  <c r="K17" i="4"/>
  <c r="K16" i="4" s="1"/>
  <c r="H17" i="4"/>
  <c r="H16" i="4" s="1"/>
  <c r="C13" i="5" s="1"/>
  <c r="B17" i="4"/>
  <c r="B16" i="4" s="1"/>
  <c r="N24" i="19" l="1"/>
  <c r="N53" i="19"/>
  <c r="K19" i="20"/>
  <c r="K20" i="20" s="1"/>
  <c r="K33" i="20" s="1"/>
  <c r="O69" i="18"/>
  <c r="O17" i="18" s="1"/>
  <c r="O28" i="18"/>
  <c r="F8" i="4"/>
  <c r="F14" i="4" s="1"/>
  <c r="H22" i="17"/>
  <c r="H51" i="17"/>
  <c r="O69" i="19"/>
  <c r="O17" i="19" s="1"/>
  <c r="O28" i="19"/>
  <c r="O69" i="20"/>
  <c r="O17" i="20" s="1"/>
  <c r="O28" i="20"/>
  <c r="I50" i="17"/>
  <c r="O52" i="20"/>
  <c r="O52" i="19"/>
  <c r="O52" i="18"/>
  <c r="I13" i="12"/>
  <c r="I14" i="12" s="1"/>
  <c r="J14" i="9"/>
  <c r="J15" i="9" s="1"/>
  <c r="I24" i="10"/>
  <c r="N53" i="20"/>
  <c r="N24" i="20"/>
  <c r="N24" i="18"/>
  <c r="N53" i="18"/>
  <c r="I26" i="17"/>
  <c r="I67" i="17"/>
  <c r="I15" i="17" s="1"/>
  <c r="J33" i="18"/>
  <c r="K33" i="18"/>
  <c r="F33" i="18"/>
  <c r="I33" i="20"/>
  <c r="K33" i="19"/>
  <c r="J33" i="19"/>
  <c r="F33" i="19"/>
  <c r="G33" i="20"/>
  <c r="F33" i="20"/>
  <c r="B80" i="17"/>
  <c r="B82" i="20"/>
  <c r="B82" i="18"/>
  <c r="B82" i="19"/>
  <c r="L66" i="19"/>
  <c r="L16" i="19" s="1"/>
  <c r="L19" i="19" s="1"/>
  <c r="L20" i="19" s="1"/>
  <c r="L66" i="20"/>
  <c r="L16" i="20" s="1"/>
  <c r="L19" i="20" s="1"/>
  <c r="L20" i="20" s="1"/>
  <c r="L66" i="18"/>
  <c r="L16" i="18" s="1"/>
  <c r="L19" i="18" s="1"/>
  <c r="L20" i="18" s="1"/>
  <c r="I33" i="18"/>
  <c r="G33" i="18"/>
  <c r="H33" i="18"/>
  <c r="J33" i="20"/>
  <c r="I33" i="19"/>
  <c r="H33" i="19"/>
  <c r="G33" i="19"/>
  <c r="H33" i="20"/>
  <c r="F64" i="17"/>
  <c r="F14" i="17" s="1"/>
  <c r="F17" i="17" s="1"/>
  <c r="F18" i="17" s="1"/>
  <c r="F31" i="17" s="1"/>
  <c r="F27" i="12"/>
  <c r="G23" i="11" s="1"/>
  <c r="G8" i="15"/>
  <c r="G10" i="15" s="1"/>
  <c r="G12" i="15" s="1"/>
  <c r="J17" i="9"/>
  <c r="I9" i="15" s="1"/>
  <c r="I16" i="10" s="1"/>
  <c r="C18" i="11"/>
  <c r="D8" i="7"/>
  <c r="D7" i="7"/>
  <c r="D6" i="7"/>
  <c r="C15" i="5"/>
  <c r="D17" i="4"/>
  <c r="D16" i="4" s="1"/>
  <c r="C9" i="5" s="1"/>
  <c r="E17" i="4"/>
  <c r="E16" i="4" s="1"/>
  <c r="C10" i="5" s="1"/>
  <c r="C17" i="4"/>
  <c r="C16" i="4" s="1"/>
  <c r="C8" i="5" s="1"/>
  <c r="C5" i="2"/>
  <c r="C7" i="11" s="1"/>
  <c r="O24" i="18" l="1"/>
  <c r="O53" i="18"/>
  <c r="O53" i="19"/>
  <c r="O24" i="19"/>
  <c r="O24" i="20"/>
  <c r="O53" i="20"/>
  <c r="F17" i="4"/>
  <c r="F16" i="4" s="1"/>
  <c r="I22" i="17"/>
  <c r="I51" i="17"/>
  <c r="L33" i="20"/>
  <c r="M66" i="20"/>
  <c r="M16" i="20" s="1"/>
  <c r="M19" i="20" s="1"/>
  <c r="M20" i="20" s="1"/>
  <c r="M66" i="18"/>
  <c r="M16" i="18" s="1"/>
  <c r="M19" i="18" s="1"/>
  <c r="M20" i="18" s="1"/>
  <c r="M66" i="19"/>
  <c r="M16" i="19" s="1"/>
  <c r="M19" i="19" s="1"/>
  <c r="M20" i="19" s="1"/>
  <c r="L33" i="18"/>
  <c r="L33" i="19"/>
  <c r="G27" i="12"/>
  <c r="H23" i="11" s="1"/>
  <c r="G64" i="17"/>
  <c r="G14" i="17" s="1"/>
  <c r="G17" i="17" s="1"/>
  <c r="G18" i="17" s="1"/>
  <c r="G31" i="17" s="1"/>
  <c r="M17" i="4"/>
  <c r="B7" i="10"/>
  <c r="C11" i="5" l="1"/>
  <c r="I22" i="4"/>
  <c r="M33" i="19"/>
  <c r="M33" i="20"/>
  <c r="M33" i="18"/>
  <c r="M16" i="4"/>
  <c r="C7" i="5"/>
  <c r="D7" i="5" s="1"/>
  <c r="G7" i="5" l="1"/>
  <c r="B8" i="5" l="1"/>
  <c r="D8" i="5" s="1"/>
  <c r="G8" i="5" l="1"/>
  <c r="B9" i="5" s="1"/>
  <c r="D9" i="5" l="1"/>
  <c r="G9" i="5" l="1"/>
  <c r="B10" i="5" s="1"/>
  <c r="D10" i="5" s="1"/>
  <c r="G10" i="5" s="1"/>
  <c r="B11" i="5" s="1"/>
  <c r="D11" i="5" s="1"/>
  <c r="G11" i="5" s="1"/>
  <c r="B12" i="5" s="1"/>
  <c r="D12" i="5" l="1"/>
  <c r="G12" i="5" s="1"/>
  <c r="B13" i="5" s="1"/>
  <c r="D13" i="5" l="1"/>
  <c r="G13" i="5" s="1"/>
  <c r="B14" i="5" s="1"/>
  <c r="D14" i="5" s="1"/>
  <c r="G14" i="5" l="1"/>
  <c r="B15" i="5" s="1"/>
  <c r="D15" i="5" l="1"/>
  <c r="G15" i="5" s="1"/>
  <c r="B16" i="5" s="1"/>
  <c r="D16" i="5" l="1"/>
  <c r="G16" i="5" l="1"/>
  <c r="B17" i="5" s="1"/>
  <c r="D17" i="5" l="1"/>
  <c r="G17" i="5" l="1"/>
  <c r="B18" i="5" s="1"/>
  <c r="D18" i="5" l="1"/>
  <c r="N19" i="5" l="1"/>
  <c r="O15" i="7" s="1"/>
  <c r="O6" i="7" s="1"/>
  <c r="E10" i="7"/>
  <c r="G18" i="5"/>
  <c r="B15" i="10" s="1"/>
  <c r="O8" i="7"/>
  <c r="B19" i="5" l="1"/>
  <c r="D19" i="5" s="1"/>
  <c r="F19" i="5" s="1"/>
  <c r="G19" i="5" s="1"/>
  <c r="B20" i="5" s="1"/>
  <c r="D20" i="5" s="1"/>
  <c r="J18" i="5"/>
  <c r="E19" i="5" s="1"/>
  <c r="E20" i="5" s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O7" i="7"/>
  <c r="M7" i="5" l="1"/>
  <c r="E8" i="7"/>
  <c r="F8" i="7" s="1"/>
  <c r="G8" i="7" s="1"/>
  <c r="H8" i="7" s="1"/>
  <c r="I8" i="7" s="1"/>
  <c r="J8" i="7" s="1"/>
  <c r="K8" i="7" s="1"/>
  <c r="L8" i="7" s="1"/>
  <c r="M8" i="7" s="1"/>
  <c r="E6" i="7"/>
  <c r="F6" i="7" s="1"/>
  <c r="E7" i="7"/>
  <c r="F7" i="7" s="1"/>
  <c r="G7" i="7" s="1"/>
  <c r="H7" i="7" s="1"/>
  <c r="I7" i="7" s="1"/>
  <c r="J7" i="7" s="1"/>
  <c r="K7" i="7" s="1"/>
  <c r="L7" i="7" s="1"/>
  <c r="M7" i="7" s="1"/>
  <c r="C78" i="17"/>
  <c r="F20" i="5"/>
  <c r="G20" i="5" s="1"/>
  <c r="B21" i="5" s="1"/>
  <c r="E32" i="5"/>
  <c r="E33" i="5" s="1"/>
  <c r="E34" i="5" s="1"/>
  <c r="E35" i="5" s="1"/>
  <c r="E36" i="5" s="1"/>
  <c r="E37" i="5" s="1"/>
  <c r="E38" i="5" s="1"/>
  <c r="E39" i="5" s="1"/>
  <c r="E40" i="5" s="1"/>
  <c r="E41" i="5" s="1"/>
  <c r="E42" i="5" s="1"/>
  <c r="E43" i="5" s="1"/>
  <c r="C41" i="12" l="1"/>
  <c r="D24" i="11" s="1"/>
  <c r="C15" i="10" s="1"/>
  <c r="D80" i="20"/>
  <c r="D80" i="18"/>
  <c r="D80" i="19"/>
  <c r="G6" i="7"/>
  <c r="F10" i="7"/>
  <c r="C19" i="12" s="1"/>
  <c r="N7" i="5"/>
  <c r="D21" i="5"/>
  <c r="E44" i="5"/>
  <c r="E45" i="5" s="1"/>
  <c r="E46" i="5" s="1"/>
  <c r="E47" i="5" s="1"/>
  <c r="E48" i="5" s="1"/>
  <c r="E49" i="5" s="1"/>
  <c r="E50" i="5" s="1"/>
  <c r="E51" i="5" s="1"/>
  <c r="E52" i="5" s="1"/>
  <c r="E53" i="5" s="1"/>
  <c r="E54" i="5" s="1"/>
  <c r="E55" i="5" s="1"/>
  <c r="G80" i="19" l="1"/>
  <c r="G80" i="18"/>
  <c r="G80" i="20"/>
  <c r="C56" i="17"/>
  <c r="C24" i="17" s="1"/>
  <c r="D58" i="18"/>
  <c r="D58" i="20"/>
  <c r="D58" i="19"/>
  <c r="F21" i="5"/>
  <c r="G21" i="5" s="1"/>
  <c r="B22" i="5" s="1"/>
  <c r="H6" i="7"/>
  <c r="G10" i="7"/>
  <c r="G12" i="7" s="1"/>
  <c r="O7" i="5"/>
  <c r="E41" i="12" s="1"/>
  <c r="F24" i="11" s="1"/>
  <c r="B22" i="10"/>
  <c r="B19" i="12"/>
  <c r="D78" i="17"/>
  <c r="D41" i="12"/>
  <c r="E24" i="11" s="1"/>
  <c r="D15" i="10" s="1"/>
  <c r="E56" i="5"/>
  <c r="E57" i="5" s="1"/>
  <c r="E58" i="5" s="1"/>
  <c r="E59" i="5" s="1"/>
  <c r="E60" i="5" s="1"/>
  <c r="E61" i="5" s="1"/>
  <c r="E62" i="5" s="1"/>
  <c r="E63" i="5" s="1"/>
  <c r="E64" i="5" s="1"/>
  <c r="E65" i="5" s="1"/>
  <c r="E66" i="5" s="1"/>
  <c r="E67" i="5" s="1"/>
  <c r="E78" i="17" l="1"/>
  <c r="B58" i="20"/>
  <c r="B26" i="20" s="1"/>
  <c r="B31" i="20" s="1"/>
  <c r="B58" i="19"/>
  <c r="B26" i="19" s="1"/>
  <c r="B31" i="19" s="1"/>
  <c r="B58" i="18"/>
  <c r="B26" i="18" s="1"/>
  <c r="B31" i="18" s="1"/>
  <c r="G58" i="20"/>
  <c r="G58" i="19"/>
  <c r="G58" i="18"/>
  <c r="D26" i="20"/>
  <c r="C57" i="17"/>
  <c r="C59" i="17" s="1"/>
  <c r="D59" i="20"/>
  <c r="D59" i="19"/>
  <c r="D61" i="19" s="1"/>
  <c r="D59" i="18"/>
  <c r="D61" i="18" s="1"/>
  <c r="J80" i="20"/>
  <c r="J80" i="18"/>
  <c r="J80" i="19"/>
  <c r="D26" i="19"/>
  <c r="D26" i="18"/>
  <c r="C20" i="12"/>
  <c r="C22" i="12" s="1"/>
  <c r="I6" i="7"/>
  <c r="H10" i="7"/>
  <c r="P7" i="5"/>
  <c r="H12" i="7"/>
  <c r="D19" i="12"/>
  <c r="C22" i="10"/>
  <c r="D56" i="17"/>
  <c r="D24" i="17" s="1"/>
  <c r="B22" i="12"/>
  <c r="B56" i="17"/>
  <c r="B24" i="17" s="1"/>
  <c r="B29" i="17" s="1"/>
  <c r="C25" i="17"/>
  <c r="C75" i="17"/>
  <c r="F78" i="17"/>
  <c r="D22" i="5"/>
  <c r="F22" i="5" s="1"/>
  <c r="E68" i="5"/>
  <c r="E69" i="5" s="1"/>
  <c r="E70" i="5" s="1"/>
  <c r="E71" i="5" s="1"/>
  <c r="E72" i="5" s="1"/>
  <c r="E73" i="5" s="1"/>
  <c r="E74" i="5" s="1"/>
  <c r="E75" i="5" s="1"/>
  <c r="E76" i="5" s="1"/>
  <c r="E77" i="5" s="1"/>
  <c r="E78" i="5" s="1"/>
  <c r="E79" i="5" s="1"/>
  <c r="F41" i="12"/>
  <c r="G24" i="11" s="1"/>
  <c r="E15" i="10"/>
  <c r="C38" i="12" l="1"/>
  <c r="D9" i="11"/>
  <c r="B61" i="20"/>
  <c r="B61" i="18"/>
  <c r="B61" i="19"/>
  <c r="G59" i="20"/>
  <c r="G59" i="19"/>
  <c r="G59" i="18"/>
  <c r="J58" i="20"/>
  <c r="J58" i="19"/>
  <c r="J58" i="18"/>
  <c r="D77" i="19"/>
  <c r="D27" i="19"/>
  <c r="G26" i="19"/>
  <c r="G61" i="19"/>
  <c r="L80" i="19"/>
  <c r="L80" i="20"/>
  <c r="L80" i="18"/>
  <c r="D77" i="18"/>
  <c r="D27" i="18"/>
  <c r="D77" i="20"/>
  <c r="D27" i="20"/>
  <c r="G26" i="18"/>
  <c r="G61" i="18"/>
  <c r="G26" i="20"/>
  <c r="G61" i="20"/>
  <c r="D61" i="20"/>
  <c r="D20" i="12"/>
  <c r="D57" i="17"/>
  <c r="J6" i="7"/>
  <c r="I10" i="7"/>
  <c r="I12" i="7" s="1"/>
  <c r="Q7" i="5"/>
  <c r="E19" i="12"/>
  <c r="D22" i="10"/>
  <c r="E56" i="17"/>
  <c r="E24" i="17" s="1"/>
  <c r="D22" i="12"/>
  <c r="B28" i="12"/>
  <c r="B59" i="17"/>
  <c r="F15" i="10"/>
  <c r="G22" i="5"/>
  <c r="B23" i="5" s="1"/>
  <c r="E80" i="5"/>
  <c r="E81" i="5" s="1"/>
  <c r="E82" i="5" s="1"/>
  <c r="E83" i="5" s="1"/>
  <c r="E84" i="5" s="1"/>
  <c r="E85" i="5" s="1"/>
  <c r="E86" i="5" s="1"/>
  <c r="E87" i="5" s="1"/>
  <c r="E88" i="5" s="1"/>
  <c r="E89" i="5" s="1"/>
  <c r="E90" i="5" s="1"/>
  <c r="E91" i="5" s="1"/>
  <c r="B67" i="19" l="1"/>
  <c r="B67" i="20"/>
  <c r="B67" i="18"/>
  <c r="J59" i="18"/>
  <c r="J61" i="18" s="1"/>
  <c r="J59" i="20"/>
  <c r="J59" i="19"/>
  <c r="L58" i="20"/>
  <c r="L58" i="19"/>
  <c r="L58" i="18"/>
  <c r="J26" i="18"/>
  <c r="J26" i="20"/>
  <c r="J61" i="20"/>
  <c r="G77" i="19"/>
  <c r="G27" i="19"/>
  <c r="M80" i="20"/>
  <c r="M80" i="18"/>
  <c r="M80" i="19"/>
  <c r="J26" i="19"/>
  <c r="J61" i="19"/>
  <c r="G77" i="18"/>
  <c r="G27" i="18"/>
  <c r="G77" i="20"/>
  <c r="G27" i="20"/>
  <c r="J10" i="7"/>
  <c r="K6" i="7"/>
  <c r="D38" i="12"/>
  <c r="E9" i="11"/>
  <c r="E20" i="12"/>
  <c r="E57" i="17"/>
  <c r="J12" i="7"/>
  <c r="F57" i="17" s="1"/>
  <c r="E22" i="10"/>
  <c r="F56" i="17"/>
  <c r="F24" i="17" s="1"/>
  <c r="F19" i="12"/>
  <c r="D59" i="17"/>
  <c r="D75" i="17"/>
  <c r="D25" i="17"/>
  <c r="R7" i="5"/>
  <c r="H78" i="17" s="1"/>
  <c r="B29" i="12"/>
  <c r="B65" i="17"/>
  <c r="F20" i="12"/>
  <c r="H41" i="12"/>
  <c r="I24" i="11" s="1"/>
  <c r="D23" i="5"/>
  <c r="F23" i="5" s="1"/>
  <c r="E92" i="5"/>
  <c r="E93" i="5" s="1"/>
  <c r="E94" i="5" s="1"/>
  <c r="E95" i="5" s="1"/>
  <c r="E96" i="5" s="1"/>
  <c r="E97" i="5" s="1"/>
  <c r="E98" i="5" s="1"/>
  <c r="E99" i="5" s="1"/>
  <c r="E100" i="5" s="1"/>
  <c r="E101" i="5" s="1"/>
  <c r="E102" i="5" s="1"/>
  <c r="G78" i="17"/>
  <c r="G41" i="12"/>
  <c r="H24" i="11" s="1"/>
  <c r="G15" i="10" s="1"/>
  <c r="B68" i="20" l="1"/>
  <c r="B68" i="18"/>
  <c r="B68" i="19"/>
  <c r="L59" i="20"/>
  <c r="L61" i="20" s="1"/>
  <c r="L59" i="19"/>
  <c r="L59" i="18"/>
  <c r="M58" i="18"/>
  <c r="M58" i="20"/>
  <c r="M58" i="19"/>
  <c r="L26" i="18"/>
  <c r="L61" i="18"/>
  <c r="L26" i="20"/>
  <c r="J77" i="20"/>
  <c r="J27" i="20"/>
  <c r="N80" i="19"/>
  <c r="N80" i="18"/>
  <c r="N80" i="20"/>
  <c r="L26" i="19"/>
  <c r="L61" i="19"/>
  <c r="J27" i="19"/>
  <c r="J77" i="19"/>
  <c r="J77" i="18"/>
  <c r="J27" i="18"/>
  <c r="E38" i="12"/>
  <c r="F9" i="11"/>
  <c r="G56" i="17"/>
  <c r="G24" i="17" s="1"/>
  <c r="F22" i="10"/>
  <c r="G19" i="12"/>
  <c r="S7" i="5"/>
  <c r="E25" i="17"/>
  <c r="E59" i="17"/>
  <c r="E75" i="17"/>
  <c r="L6" i="7"/>
  <c r="K10" i="7"/>
  <c r="E22" i="12"/>
  <c r="B66" i="17"/>
  <c r="B32" i="12"/>
  <c r="F25" i="17"/>
  <c r="F75" i="17"/>
  <c r="F59" i="17"/>
  <c r="G9" i="11"/>
  <c r="F38" i="12"/>
  <c r="F22" i="12"/>
  <c r="G23" i="5"/>
  <c r="B24" i="5" s="1"/>
  <c r="H15" i="10"/>
  <c r="B71" i="19" l="1"/>
  <c r="B71" i="18"/>
  <c r="B71" i="20"/>
  <c r="O80" i="20"/>
  <c r="O80" i="18"/>
  <c r="O80" i="19"/>
  <c r="M26" i="19"/>
  <c r="M26" i="18"/>
  <c r="L77" i="19"/>
  <c r="L27" i="19"/>
  <c r="K12" i="7"/>
  <c r="G20" i="12" s="1"/>
  <c r="N58" i="20"/>
  <c r="N58" i="19"/>
  <c r="N58" i="18"/>
  <c r="M26" i="20"/>
  <c r="L77" i="18"/>
  <c r="L27" i="18"/>
  <c r="L77" i="20"/>
  <c r="L27" i="20"/>
  <c r="M6" i="7"/>
  <c r="M10" i="7" s="1"/>
  <c r="I22" i="10" s="1"/>
  <c r="L10" i="7"/>
  <c r="L12" i="7" s="1"/>
  <c r="H56" i="17"/>
  <c r="H24" i="17" s="1"/>
  <c r="G22" i="10"/>
  <c r="H19" i="12"/>
  <c r="B34" i="12"/>
  <c r="B69" i="17"/>
  <c r="I41" i="12"/>
  <c r="J24" i="11" s="1"/>
  <c r="I15" i="10" s="1"/>
  <c r="I78" i="17"/>
  <c r="D24" i="5"/>
  <c r="F24" i="5" s="1"/>
  <c r="H9" i="11" l="1"/>
  <c r="G22" i="12"/>
  <c r="G38" i="12"/>
  <c r="G57" i="17"/>
  <c r="O58" i="20"/>
  <c r="O58" i="19"/>
  <c r="O58" i="18"/>
  <c r="N26" i="19"/>
  <c r="M59" i="20"/>
  <c r="M59" i="19"/>
  <c r="M59" i="18"/>
  <c r="B73" i="19"/>
  <c r="B8" i="19" s="1"/>
  <c r="B20" i="19" s="1"/>
  <c r="B73" i="20"/>
  <c r="B8" i="20" s="1"/>
  <c r="B20" i="20" s="1"/>
  <c r="B73" i="18"/>
  <c r="B8" i="18" s="1"/>
  <c r="B20" i="18" s="1"/>
  <c r="N59" i="20"/>
  <c r="N61" i="20" s="1"/>
  <c r="N59" i="19"/>
  <c r="N59" i="18"/>
  <c r="N26" i="18"/>
  <c r="N61" i="18"/>
  <c r="N26" i="20"/>
  <c r="H20" i="12"/>
  <c r="H57" i="17"/>
  <c r="M12" i="7"/>
  <c r="H22" i="10"/>
  <c r="I19" i="12"/>
  <c r="I56" i="17"/>
  <c r="I24" i="17" s="1"/>
  <c r="H22" i="12"/>
  <c r="B71" i="17"/>
  <c r="B6" i="17" s="1"/>
  <c r="B18" i="17" s="1"/>
  <c r="B33" i="12"/>
  <c r="G24" i="5"/>
  <c r="B25" i="5" s="1"/>
  <c r="G75" i="17" l="1"/>
  <c r="G25" i="17"/>
  <c r="G59" i="17"/>
  <c r="N77" i="18"/>
  <c r="N27" i="18"/>
  <c r="N77" i="20"/>
  <c r="N27" i="20"/>
  <c r="B33" i="20"/>
  <c r="B34" i="20" s="1"/>
  <c r="B35" i="20" s="1"/>
  <c r="B32" i="20"/>
  <c r="M77" i="18"/>
  <c r="M27" i="18"/>
  <c r="M61" i="18"/>
  <c r="M77" i="20"/>
  <c r="M27" i="20"/>
  <c r="M61" i="20"/>
  <c r="O26" i="19"/>
  <c r="B72" i="20"/>
  <c r="B72" i="18"/>
  <c r="B72" i="19"/>
  <c r="O59" i="18"/>
  <c r="O59" i="20"/>
  <c r="O59" i="19"/>
  <c r="N77" i="19"/>
  <c r="N27" i="19"/>
  <c r="B32" i="18"/>
  <c r="B33" i="18"/>
  <c r="B34" i="18" s="1"/>
  <c r="B35" i="18" s="1"/>
  <c r="B32" i="19"/>
  <c r="B33" i="19"/>
  <c r="B34" i="19" s="1"/>
  <c r="B35" i="19" s="1"/>
  <c r="M77" i="19"/>
  <c r="M27" i="19"/>
  <c r="M61" i="19"/>
  <c r="O26" i="18"/>
  <c r="O61" i="18"/>
  <c r="O26" i="20"/>
  <c r="O61" i="20"/>
  <c r="N61" i="19"/>
  <c r="I57" i="17"/>
  <c r="I20" i="12"/>
  <c r="H38" i="12"/>
  <c r="I9" i="11"/>
  <c r="H75" i="17"/>
  <c r="H59" i="17"/>
  <c r="H25" i="17"/>
  <c r="B30" i="17"/>
  <c r="B31" i="17"/>
  <c r="B32" i="17" s="1"/>
  <c r="B33" i="17" s="1"/>
  <c r="B37" i="12"/>
  <c r="C8" i="11"/>
  <c r="C14" i="11" s="1"/>
  <c r="C27" i="11" s="1"/>
  <c r="C29" i="11" s="1"/>
  <c r="B70" i="17"/>
  <c r="D25" i="5"/>
  <c r="F25" i="5" s="1"/>
  <c r="B76" i="19" l="1"/>
  <c r="B76" i="20"/>
  <c r="B76" i="18"/>
  <c r="O27" i="19"/>
  <c r="O77" i="19"/>
  <c r="O77" i="18"/>
  <c r="O27" i="18"/>
  <c r="O77" i="20"/>
  <c r="O27" i="20"/>
  <c r="O61" i="19"/>
  <c r="I59" i="17"/>
  <c r="I25" i="17"/>
  <c r="I75" i="17"/>
  <c r="I38" i="12"/>
  <c r="I22" i="12"/>
  <c r="J9" i="11"/>
  <c r="D6" i="11"/>
  <c r="B27" i="10"/>
  <c r="B74" i="17"/>
  <c r="B39" i="12"/>
  <c r="B8" i="10"/>
  <c r="B10" i="10" s="1"/>
  <c r="B12" i="10" s="1"/>
  <c r="B18" i="10" s="1"/>
  <c r="G25" i="5"/>
  <c r="B26" i="5" s="1"/>
  <c r="B76" i="17" l="1"/>
  <c r="B78" i="19"/>
  <c r="B78" i="20"/>
  <c r="B78" i="18"/>
  <c r="C7" i="10"/>
  <c r="B30" i="10"/>
  <c r="B34" i="10" s="1"/>
  <c r="D26" i="5"/>
  <c r="F26" i="5" s="1"/>
  <c r="G26" i="5" l="1"/>
  <c r="B27" i="5" s="1"/>
  <c r="D27" i="5" l="1"/>
  <c r="F27" i="5" l="1"/>
  <c r="G27" i="5" s="1"/>
  <c r="B28" i="5" s="1"/>
  <c r="D28" i="5" l="1"/>
  <c r="F28" i="5" l="1"/>
  <c r="G28" i="5" s="1"/>
  <c r="B29" i="5" s="1"/>
  <c r="D29" i="5" l="1"/>
  <c r="F29" i="5" l="1"/>
  <c r="G29" i="5" s="1"/>
  <c r="B30" i="5" s="1"/>
  <c r="D30" i="5" l="1"/>
  <c r="M8" i="5" s="1"/>
  <c r="D65" i="20" l="1"/>
  <c r="D65" i="18"/>
  <c r="D65" i="19"/>
  <c r="F30" i="5"/>
  <c r="G30" i="5" s="1"/>
  <c r="B31" i="5" s="1"/>
  <c r="D31" i="5" s="1"/>
  <c r="D81" i="19" l="1"/>
  <c r="D82" i="19" s="1"/>
  <c r="D29" i="19"/>
  <c r="D31" i="19" s="1"/>
  <c r="D67" i="19"/>
  <c r="D68" i="19" s="1"/>
  <c r="D71" i="19" s="1"/>
  <c r="D72" i="19" s="1"/>
  <c r="D76" i="19" s="1"/>
  <c r="D78" i="19" s="1"/>
  <c r="D81" i="20"/>
  <c r="D82" i="20" s="1"/>
  <c r="D29" i="20"/>
  <c r="D31" i="20" s="1"/>
  <c r="D67" i="20"/>
  <c r="D68" i="20" s="1"/>
  <c r="D71" i="20" s="1"/>
  <c r="D72" i="20" s="1"/>
  <c r="D76" i="20" s="1"/>
  <c r="D78" i="20" s="1"/>
  <c r="D81" i="18"/>
  <c r="D82" i="18" s="1"/>
  <c r="D29" i="18"/>
  <c r="D31" i="18" s="1"/>
  <c r="D67" i="18"/>
  <c r="D68" i="18" s="1"/>
  <c r="D71" i="18" s="1"/>
  <c r="D72" i="18" s="1"/>
  <c r="D76" i="18" s="1"/>
  <c r="D78" i="18" s="1"/>
  <c r="F31" i="5"/>
  <c r="G31" i="5" s="1"/>
  <c r="B32" i="5" s="1"/>
  <c r="D32" i="5" s="1"/>
  <c r="F32" i="5" s="1"/>
  <c r="G32" i="5" s="1"/>
  <c r="B33" i="5" s="1"/>
  <c r="D33" i="5" s="1"/>
  <c r="F33" i="5" s="1"/>
  <c r="G33" i="5" s="1"/>
  <c r="B34" i="5" s="1"/>
  <c r="D34" i="5" s="1"/>
  <c r="F34" i="5" s="1"/>
  <c r="G34" i="5" s="1"/>
  <c r="B35" i="5" s="1"/>
  <c r="D35" i="5" s="1"/>
  <c r="F35" i="5" s="1"/>
  <c r="G35" i="5" s="1"/>
  <c r="B36" i="5" s="1"/>
  <c r="D36" i="5" s="1"/>
  <c r="F36" i="5" s="1"/>
  <c r="C26" i="12"/>
  <c r="C63" i="17"/>
  <c r="C31" i="20" l="1"/>
  <c r="E31" i="20"/>
  <c r="D32" i="20"/>
  <c r="D34" i="20"/>
  <c r="D35" i="20" s="1"/>
  <c r="D84" i="18"/>
  <c r="D84" i="19"/>
  <c r="C31" i="18"/>
  <c r="E31" i="18"/>
  <c r="D32" i="18"/>
  <c r="D34" i="18"/>
  <c r="D35" i="18" s="1"/>
  <c r="C31" i="19"/>
  <c r="E31" i="19"/>
  <c r="D32" i="19"/>
  <c r="D34" i="19"/>
  <c r="D35" i="19" s="1"/>
  <c r="D84" i="20"/>
  <c r="G36" i="5"/>
  <c r="B37" i="5" s="1"/>
  <c r="D37" i="5" s="1"/>
  <c r="F37" i="5" s="1"/>
  <c r="C28" i="12"/>
  <c r="C29" i="12" s="1"/>
  <c r="C42" i="12"/>
  <c r="C43" i="12" s="1"/>
  <c r="D22" i="11"/>
  <c r="C27" i="17"/>
  <c r="C29" i="17" s="1"/>
  <c r="C79" i="17"/>
  <c r="C80" i="17" s="1"/>
  <c r="C65" i="17"/>
  <c r="C66" i="17" s="1"/>
  <c r="C69" i="17" s="1"/>
  <c r="C70" i="17" s="1"/>
  <c r="C74" i="17" s="1"/>
  <c r="C76" i="17" s="1"/>
  <c r="G37" i="5"/>
  <c r="B38" i="5" s="1"/>
  <c r="D38" i="5" s="1"/>
  <c r="C32" i="19" l="1"/>
  <c r="C34" i="19"/>
  <c r="C35" i="19" s="1"/>
  <c r="C34" i="18"/>
  <c r="C35" i="18" s="1"/>
  <c r="C32" i="18"/>
  <c r="C34" i="20"/>
  <c r="C35" i="20" s="1"/>
  <c r="C32" i="20"/>
  <c r="E34" i="19"/>
  <c r="E35" i="19" s="1"/>
  <c r="E32" i="19"/>
  <c r="E34" i="18"/>
  <c r="E35" i="18" s="1"/>
  <c r="E32" i="18"/>
  <c r="E34" i="20"/>
  <c r="E35" i="20" s="1"/>
  <c r="E32" i="20"/>
  <c r="C82" i="17"/>
  <c r="C32" i="12"/>
  <c r="C32" i="17"/>
  <c r="C33" i="17" s="1"/>
  <c r="C30" i="17"/>
  <c r="F38" i="5"/>
  <c r="C33" i="12" l="1"/>
  <c r="D8" i="11" s="1"/>
  <c r="D14" i="11" s="1"/>
  <c r="D27" i="11" s="1"/>
  <c r="G38" i="5"/>
  <c r="B39" i="5" s="1"/>
  <c r="D39" i="5" s="1"/>
  <c r="D29" i="11" l="1"/>
  <c r="C25" i="10"/>
  <c r="C27" i="10" s="1"/>
  <c r="C37" i="12"/>
  <c r="E6" i="11"/>
  <c r="F39" i="5"/>
  <c r="C39" i="12" l="1"/>
  <c r="C45" i="12" s="1"/>
  <c r="C8" i="10"/>
  <c r="C10" i="10" s="1"/>
  <c r="C12" i="10" s="1"/>
  <c r="G39" i="5"/>
  <c r="B40" i="5" s="1"/>
  <c r="D40" i="5" s="1"/>
  <c r="D7" i="10" l="1"/>
  <c r="C18" i="10"/>
  <c r="C30" i="10" s="1"/>
  <c r="C32" i="10" s="1"/>
  <c r="F40" i="5"/>
  <c r="G40" i="5" l="1"/>
  <c r="B41" i="5" s="1"/>
  <c r="D41" i="5" s="1"/>
  <c r="F41" i="5" l="1"/>
  <c r="G41" i="5" l="1"/>
  <c r="B42" i="5" s="1"/>
  <c r="D42" i="5" s="1"/>
  <c r="N8" i="5" s="1"/>
  <c r="G65" i="19" l="1"/>
  <c r="G65" i="18"/>
  <c r="G65" i="20"/>
  <c r="F42" i="5"/>
  <c r="G42" i="5" s="1"/>
  <c r="B43" i="5" s="1"/>
  <c r="D43" i="5" s="1"/>
  <c r="G81" i="20" l="1"/>
  <c r="G82" i="20" s="1"/>
  <c r="G29" i="20"/>
  <c r="G31" i="20" s="1"/>
  <c r="G67" i="20"/>
  <c r="G68" i="20" s="1"/>
  <c r="G71" i="20" s="1"/>
  <c r="G72" i="20" s="1"/>
  <c r="G76" i="20" s="1"/>
  <c r="G78" i="20" s="1"/>
  <c r="G81" i="19"/>
  <c r="G82" i="19" s="1"/>
  <c r="G29" i="19"/>
  <c r="G31" i="19" s="1"/>
  <c r="G67" i="19"/>
  <c r="G68" i="19" s="1"/>
  <c r="G71" i="19" s="1"/>
  <c r="G72" i="19" s="1"/>
  <c r="G76" i="19" s="1"/>
  <c r="G78" i="19" s="1"/>
  <c r="G81" i="18"/>
  <c r="G82" i="18" s="1"/>
  <c r="G29" i="18"/>
  <c r="G31" i="18" s="1"/>
  <c r="G67" i="18"/>
  <c r="G68" i="18" s="1"/>
  <c r="G71" i="18" s="1"/>
  <c r="G72" i="18" s="1"/>
  <c r="G76" i="18" s="1"/>
  <c r="G78" i="18" s="1"/>
  <c r="D26" i="12"/>
  <c r="D42" i="12" s="1"/>
  <c r="D43" i="12" s="1"/>
  <c r="D63" i="17"/>
  <c r="D27" i="17" s="1"/>
  <c r="D29" i="17" s="1"/>
  <c r="D28" i="12"/>
  <c r="D29" i="12" s="1"/>
  <c r="D32" i="12" s="1"/>
  <c r="E22" i="11" l="1"/>
  <c r="F31" i="19"/>
  <c r="H31" i="19"/>
  <c r="G32" i="19"/>
  <c r="G34" i="19"/>
  <c r="G35" i="19" s="1"/>
  <c r="G84" i="18"/>
  <c r="G84" i="20"/>
  <c r="F31" i="18"/>
  <c r="H31" i="18"/>
  <c r="G32" i="18"/>
  <c r="G34" i="18"/>
  <c r="G35" i="18" s="1"/>
  <c r="F31" i="20"/>
  <c r="H31" i="20"/>
  <c r="G34" i="20"/>
  <c r="G35" i="20" s="1"/>
  <c r="G32" i="20"/>
  <c r="G84" i="19"/>
  <c r="D33" i="12"/>
  <c r="E8" i="11" s="1"/>
  <c r="E14" i="11" s="1"/>
  <c r="E27" i="11" s="1"/>
  <c r="D25" i="10" s="1"/>
  <c r="D32" i="17"/>
  <c r="D33" i="17" s="1"/>
  <c r="D30" i="17"/>
  <c r="D79" i="17"/>
  <c r="D80" i="17" s="1"/>
  <c r="D65" i="17"/>
  <c r="D66" i="17" s="1"/>
  <c r="D69" i="17" s="1"/>
  <c r="D70" i="17" s="1"/>
  <c r="D74" i="17" s="1"/>
  <c r="D76" i="17" s="1"/>
  <c r="F43" i="5"/>
  <c r="G43" i="5" s="1"/>
  <c r="B44" i="5" s="1"/>
  <c r="D44" i="5" s="1"/>
  <c r="F34" i="20" l="1"/>
  <c r="F35" i="20" s="1"/>
  <c r="F32" i="20"/>
  <c r="F32" i="18"/>
  <c r="F34" i="18"/>
  <c r="F35" i="18" s="1"/>
  <c r="F34" i="19"/>
  <c r="F35" i="19" s="1"/>
  <c r="F32" i="19"/>
  <c r="H34" i="20"/>
  <c r="H35" i="20" s="1"/>
  <c r="H32" i="20"/>
  <c r="H34" i="18"/>
  <c r="H35" i="18" s="1"/>
  <c r="H32" i="18"/>
  <c r="H32" i="19"/>
  <c r="H34" i="19"/>
  <c r="H35" i="19" s="1"/>
  <c r="D37" i="12"/>
  <c r="D8" i="10" s="1"/>
  <c r="D10" i="10" s="1"/>
  <c r="D12" i="10" s="1"/>
  <c r="D82" i="17"/>
  <c r="D39" i="12"/>
  <c r="D45" i="12" s="1"/>
  <c r="F6" i="11"/>
  <c r="D27" i="10"/>
  <c r="E29" i="11"/>
  <c r="D18" i="10" l="1"/>
  <c r="D30" i="10" s="1"/>
  <c r="D32" i="10" s="1"/>
  <c r="E7" i="10"/>
  <c r="F44" i="5"/>
  <c r="G44" i="5" s="1"/>
  <c r="B45" i="5" s="1"/>
  <c r="D45" i="5" s="1"/>
  <c r="F45" i="5" l="1"/>
  <c r="G45" i="5" s="1"/>
  <c r="B46" i="5" s="1"/>
  <c r="D46" i="5" s="1"/>
  <c r="F46" i="5" l="1"/>
  <c r="G46" i="5" s="1"/>
  <c r="B47" i="5" s="1"/>
  <c r="D47" i="5" s="1"/>
  <c r="F47" i="5" l="1"/>
  <c r="G47" i="5" s="1"/>
  <c r="B48" i="5" s="1"/>
  <c r="D48" i="5" s="1"/>
  <c r="F48" i="5" l="1"/>
  <c r="G48" i="5" l="1"/>
  <c r="B49" i="5" s="1"/>
  <c r="D49" i="5" s="1"/>
  <c r="F49" i="5" l="1"/>
  <c r="G49" i="5" l="1"/>
  <c r="B50" i="5" s="1"/>
  <c r="D50" i="5" s="1"/>
  <c r="F50" i="5" l="1"/>
  <c r="G50" i="5" l="1"/>
  <c r="B51" i="5" s="1"/>
  <c r="D51" i="5" s="1"/>
  <c r="F51" i="5" l="1"/>
  <c r="G51" i="5" l="1"/>
  <c r="B52" i="5" s="1"/>
  <c r="D52" i="5" s="1"/>
  <c r="F52" i="5" l="1"/>
  <c r="G52" i="5" l="1"/>
  <c r="B53" i="5" s="1"/>
  <c r="D53" i="5" s="1"/>
  <c r="F53" i="5" l="1"/>
  <c r="G53" i="5" l="1"/>
  <c r="B54" i="5" s="1"/>
  <c r="D54" i="5" s="1"/>
  <c r="O8" i="5" s="1"/>
  <c r="J65" i="20" l="1"/>
  <c r="J65" i="18"/>
  <c r="J65" i="19"/>
  <c r="F54" i="5"/>
  <c r="G54" i="5" s="1"/>
  <c r="B55" i="5" s="1"/>
  <c r="D55" i="5" s="1"/>
  <c r="J81" i="19" l="1"/>
  <c r="J82" i="19" s="1"/>
  <c r="J29" i="19"/>
  <c r="J31" i="19" s="1"/>
  <c r="J67" i="19"/>
  <c r="J68" i="19" s="1"/>
  <c r="J71" i="19" s="1"/>
  <c r="J72" i="19" s="1"/>
  <c r="J76" i="19" s="1"/>
  <c r="J78" i="19" s="1"/>
  <c r="J81" i="20"/>
  <c r="J82" i="20" s="1"/>
  <c r="J29" i="20"/>
  <c r="J31" i="20" s="1"/>
  <c r="J67" i="20"/>
  <c r="J68" i="20" s="1"/>
  <c r="J71" i="20" s="1"/>
  <c r="J72" i="20" s="1"/>
  <c r="J76" i="20" s="1"/>
  <c r="J78" i="20" s="1"/>
  <c r="J81" i="18"/>
  <c r="J82" i="18" s="1"/>
  <c r="J29" i="18"/>
  <c r="J31" i="18" s="1"/>
  <c r="J67" i="18"/>
  <c r="J68" i="18" s="1"/>
  <c r="J71" i="18" s="1"/>
  <c r="J72" i="18" s="1"/>
  <c r="J76" i="18" s="1"/>
  <c r="J78" i="18" s="1"/>
  <c r="E26" i="12"/>
  <c r="F22" i="11" s="1"/>
  <c r="E63" i="17"/>
  <c r="E27" i="17" s="1"/>
  <c r="E29" i="17" s="1"/>
  <c r="E28" i="12" l="1"/>
  <c r="E29" i="12" s="1"/>
  <c r="E32" i="12" s="1"/>
  <c r="E42" i="12"/>
  <c r="E43" i="12" s="1"/>
  <c r="I31" i="20"/>
  <c r="K31" i="20"/>
  <c r="J34" i="20"/>
  <c r="J35" i="20" s="1"/>
  <c r="J32" i="20"/>
  <c r="J84" i="18"/>
  <c r="J84" i="19"/>
  <c r="I31" i="18"/>
  <c r="K31" i="18"/>
  <c r="J32" i="18"/>
  <c r="J34" i="18"/>
  <c r="J35" i="18" s="1"/>
  <c r="I31" i="19"/>
  <c r="K31" i="19"/>
  <c r="J32" i="19"/>
  <c r="J34" i="19"/>
  <c r="J35" i="19" s="1"/>
  <c r="J84" i="20"/>
  <c r="E33" i="12"/>
  <c r="F8" i="11" s="1"/>
  <c r="F14" i="11" s="1"/>
  <c r="F27" i="11" s="1"/>
  <c r="E25" i="10" s="1"/>
  <c r="E32" i="17"/>
  <c r="E33" i="17" s="1"/>
  <c r="E30" i="17"/>
  <c r="E79" i="17"/>
  <c r="E80" i="17" s="1"/>
  <c r="E65" i="17"/>
  <c r="E66" i="17" s="1"/>
  <c r="E69" i="17" s="1"/>
  <c r="E70" i="17" s="1"/>
  <c r="E74" i="17" s="1"/>
  <c r="E76" i="17" s="1"/>
  <c r="F55" i="5"/>
  <c r="G55" i="5" s="1"/>
  <c r="B56" i="5" s="1"/>
  <c r="D56" i="5" s="1"/>
  <c r="I32" i="19" l="1"/>
  <c r="I34" i="19"/>
  <c r="I35" i="19" s="1"/>
  <c r="I32" i="18"/>
  <c r="I34" i="18"/>
  <c r="I35" i="18" s="1"/>
  <c r="I34" i="20"/>
  <c r="I35" i="20" s="1"/>
  <c r="I32" i="20"/>
  <c r="K32" i="19"/>
  <c r="K34" i="19"/>
  <c r="K35" i="19" s="1"/>
  <c r="K34" i="18"/>
  <c r="K35" i="18" s="1"/>
  <c r="K32" i="18"/>
  <c r="K34" i="20"/>
  <c r="K35" i="20" s="1"/>
  <c r="K32" i="20"/>
  <c r="E37" i="12"/>
  <c r="E39" i="12" s="1"/>
  <c r="E45" i="12" s="1"/>
  <c r="G6" i="11"/>
  <c r="E27" i="10"/>
  <c r="E82" i="17"/>
  <c r="F29" i="11"/>
  <c r="E8" i="10" l="1"/>
  <c r="E10" i="10" s="1"/>
  <c r="E12" i="10" s="1"/>
  <c r="E18" i="10" s="1"/>
  <c r="E30" i="10" s="1"/>
  <c r="E32" i="10" s="1"/>
  <c r="F56" i="5"/>
  <c r="G56" i="5" s="1"/>
  <c r="B57" i="5" s="1"/>
  <c r="D57" i="5" s="1"/>
  <c r="F7" i="10" l="1"/>
  <c r="F57" i="5"/>
  <c r="G57" i="5" s="1"/>
  <c r="B58" i="5" s="1"/>
  <c r="D58" i="5" s="1"/>
  <c r="F58" i="5" l="1"/>
  <c r="G58" i="5" s="1"/>
  <c r="B59" i="5" s="1"/>
  <c r="D59" i="5" s="1"/>
  <c r="F59" i="5" l="1"/>
  <c r="G59" i="5" s="1"/>
  <c r="B60" i="5" s="1"/>
  <c r="D60" i="5" s="1"/>
  <c r="F60" i="5" l="1"/>
  <c r="G60" i="5" l="1"/>
  <c r="B61" i="5" s="1"/>
  <c r="D61" i="5" s="1"/>
  <c r="F61" i="5" l="1"/>
  <c r="G61" i="5" l="1"/>
  <c r="B62" i="5" s="1"/>
  <c r="D62" i="5" s="1"/>
  <c r="F62" i="5" l="1"/>
  <c r="G62" i="5" l="1"/>
  <c r="B63" i="5" s="1"/>
  <c r="D63" i="5" s="1"/>
  <c r="F63" i="5" l="1"/>
  <c r="G63" i="5" l="1"/>
  <c r="B64" i="5" s="1"/>
  <c r="D64" i="5" s="1"/>
  <c r="F64" i="5" l="1"/>
  <c r="G64" i="5" l="1"/>
  <c r="B65" i="5" s="1"/>
  <c r="D65" i="5" s="1"/>
  <c r="F65" i="5" l="1"/>
  <c r="G65" i="5" l="1"/>
  <c r="B66" i="5" s="1"/>
  <c r="D66" i="5" s="1"/>
  <c r="P8" i="5" s="1"/>
  <c r="L65" i="19" l="1"/>
  <c r="L65" i="20"/>
  <c r="L65" i="18"/>
  <c r="F66" i="5"/>
  <c r="G66" i="5" s="1"/>
  <c r="B67" i="5" s="1"/>
  <c r="D67" i="5" s="1"/>
  <c r="L81" i="18" l="1"/>
  <c r="L82" i="18" s="1"/>
  <c r="L29" i="18"/>
  <c r="L31" i="18" s="1"/>
  <c r="L67" i="18"/>
  <c r="L68" i="18" s="1"/>
  <c r="L71" i="18" s="1"/>
  <c r="L72" i="18" s="1"/>
  <c r="L76" i="18" s="1"/>
  <c r="L78" i="18" s="1"/>
  <c r="L81" i="19"/>
  <c r="L82" i="19" s="1"/>
  <c r="L29" i="19"/>
  <c r="L31" i="19" s="1"/>
  <c r="L67" i="19"/>
  <c r="L68" i="19" s="1"/>
  <c r="L71" i="19" s="1"/>
  <c r="L72" i="19" s="1"/>
  <c r="L76" i="19" s="1"/>
  <c r="L78" i="19" s="1"/>
  <c r="L81" i="20"/>
  <c r="L82" i="20" s="1"/>
  <c r="L29" i="20"/>
  <c r="L31" i="20" s="1"/>
  <c r="L67" i="20"/>
  <c r="L68" i="20" s="1"/>
  <c r="L71" i="20" s="1"/>
  <c r="L72" i="20" s="1"/>
  <c r="L76" i="20" s="1"/>
  <c r="L78" i="20" s="1"/>
  <c r="F26" i="12"/>
  <c r="F42" i="12" s="1"/>
  <c r="F43" i="12" s="1"/>
  <c r="F63" i="17"/>
  <c r="F27" i="17" s="1"/>
  <c r="F29" i="17" s="1"/>
  <c r="F28" i="12" l="1"/>
  <c r="F29" i="12" s="1"/>
  <c r="F32" i="12" s="1"/>
  <c r="G22" i="11"/>
  <c r="L32" i="19"/>
  <c r="L34" i="19"/>
  <c r="L35" i="19" s="1"/>
  <c r="L84" i="20"/>
  <c r="L84" i="18"/>
  <c r="L32" i="20"/>
  <c r="L34" i="20"/>
  <c r="L35" i="20" s="1"/>
  <c r="L32" i="18"/>
  <c r="L34" i="18"/>
  <c r="L35" i="18" s="1"/>
  <c r="L84" i="19"/>
  <c r="F33" i="12"/>
  <c r="G8" i="11" s="1"/>
  <c r="G14" i="11" s="1"/>
  <c r="G27" i="11" s="1"/>
  <c r="F25" i="10" s="1"/>
  <c r="F32" i="17"/>
  <c r="F33" i="17" s="1"/>
  <c r="F30" i="17"/>
  <c r="F79" i="17"/>
  <c r="F80" i="17" s="1"/>
  <c r="F65" i="17"/>
  <c r="F66" i="17" s="1"/>
  <c r="F69" i="17" s="1"/>
  <c r="F70" i="17" s="1"/>
  <c r="F74" i="17" s="1"/>
  <c r="F76" i="17" s="1"/>
  <c r="F67" i="5"/>
  <c r="G67" i="5" s="1"/>
  <c r="B68" i="5" s="1"/>
  <c r="D68" i="5" s="1"/>
  <c r="F37" i="12" l="1"/>
  <c r="F8" i="10" s="1"/>
  <c r="F10" i="10" s="1"/>
  <c r="F12" i="10" s="1"/>
  <c r="F82" i="17"/>
  <c r="F39" i="12"/>
  <c r="F45" i="12" s="1"/>
  <c r="H6" i="11"/>
  <c r="F27" i="10"/>
  <c r="G29" i="11"/>
  <c r="F18" i="10" l="1"/>
  <c r="F30" i="10" s="1"/>
  <c r="F32" i="10" s="1"/>
  <c r="G7" i="10"/>
  <c r="F68" i="5"/>
  <c r="G68" i="5" s="1"/>
  <c r="B69" i="5" s="1"/>
  <c r="D69" i="5" s="1"/>
  <c r="F69" i="5" l="1"/>
  <c r="G69" i="5" s="1"/>
  <c r="B70" i="5" s="1"/>
  <c r="D70" i="5" s="1"/>
  <c r="F70" i="5" l="1"/>
  <c r="G70" i="5" s="1"/>
  <c r="B71" i="5" s="1"/>
  <c r="D71" i="5" s="1"/>
  <c r="F71" i="5" l="1"/>
  <c r="G71" i="5" s="1"/>
  <c r="B72" i="5" s="1"/>
  <c r="D72" i="5" s="1"/>
  <c r="F72" i="5" l="1"/>
  <c r="G72" i="5" l="1"/>
  <c r="B73" i="5" s="1"/>
  <c r="D73" i="5" s="1"/>
  <c r="F73" i="5" l="1"/>
  <c r="G73" i="5" l="1"/>
  <c r="B74" i="5" s="1"/>
  <c r="D74" i="5" s="1"/>
  <c r="F74" i="5" l="1"/>
  <c r="G74" i="5" l="1"/>
  <c r="B75" i="5" s="1"/>
  <c r="D75" i="5" s="1"/>
  <c r="F75" i="5" l="1"/>
  <c r="G75" i="5" l="1"/>
  <c r="B76" i="5" s="1"/>
  <c r="D76" i="5" s="1"/>
  <c r="F76" i="5" l="1"/>
  <c r="G76" i="5" l="1"/>
  <c r="B77" i="5" s="1"/>
  <c r="D77" i="5" s="1"/>
  <c r="F77" i="5" l="1"/>
  <c r="G77" i="5" l="1"/>
  <c r="B78" i="5" s="1"/>
  <c r="D78" i="5" s="1"/>
  <c r="Q8" i="5" s="1"/>
  <c r="M65" i="20" l="1"/>
  <c r="M65" i="18"/>
  <c r="M65" i="19"/>
  <c r="F78" i="5"/>
  <c r="G78" i="5" s="1"/>
  <c r="B79" i="5" s="1"/>
  <c r="D79" i="5" s="1"/>
  <c r="M81" i="19" l="1"/>
  <c r="M82" i="19" s="1"/>
  <c r="M29" i="19"/>
  <c r="M31" i="19" s="1"/>
  <c r="M67" i="19"/>
  <c r="M68" i="19" s="1"/>
  <c r="M71" i="19" s="1"/>
  <c r="M72" i="19" s="1"/>
  <c r="M76" i="19" s="1"/>
  <c r="M78" i="19" s="1"/>
  <c r="M81" i="20"/>
  <c r="M82" i="20" s="1"/>
  <c r="M29" i="20"/>
  <c r="M31" i="20" s="1"/>
  <c r="M67" i="20"/>
  <c r="M68" i="20" s="1"/>
  <c r="M71" i="20" s="1"/>
  <c r="M72" i="20" s="1"/>
  <c r="M76" i="20" s="1"/>
  <c r="M78" i="20" s="1"/>
  <c r="M81" i="18"/>
  <c r="M82" i="18" s="1"/>
  <c r="M29" i="18"/>
  <c r="M31" i="18" s="1"/>
  <c r="M67" i="18"/>
  <c r="M68" i="18" s="1"/>
  <c r="M71" i="18" s="1"/>
  <c r="M72" i="18" s="1"/>
  <c r="M76" i="18" s="1"/>
  <c r="M78" i="18" s="1"/>
  <c r="G26" i="12"/>
  <c r="G42" i="12" s="1"/>
  <c r="G43" i="12" s="1"/>
  <c r="G63" i="17"/>
  <c r="G27" i="17" s="1"/>
  <c r="G29" i="17" s="1"/>
  <c r="G28" i="12" l="1"/>
  <c r="G29" i="12" s="1"/>
  <c r="G32" i="12" s="1"/>
  <c r="G33" i="12" s="1"/>
  <c r="H8" i="11" s="1"/>
  <c r="H14" i="11" s="1"/>
  <c r="H27" i="11" s="1"/>
  <c r="G25" i="10" s="1"/>
  <c r="H22" i="11"/>
  <c r="M32" i="20"/>
  <c r="M34" i="20"/>
  <c r="M35" i="20" s="1"/>
  <c r="M84" i="18"/>
  <c r="M84" i="19"/>
  <c r="M32" i="18"/>
  <c r="M34" i="18"/>
  <c r="M35" i="18" s="1"/>
  <c r="M32" i="19"/>
  <c r="M34" i="19"/>
  <c r="M35" i="19" s="1"/>
  <c r="M84" i="20"/>
  <c r="G32" i="17"/>
  <c r="G33" i="17" s="1"/>
  <c r="G30" i="17"/>
  <c r="G79" i="17"/>
  <c r="G80" i="17" s="1"/>
  <c r="G65" i="17"/>
  <c r="G66" i="17" s="1"/>
  <c r="G69" i="17" s="1"/>
  <c r="G70" i="17" s="1"/>
  <c r="G74" i="17" s="1"/>
  <c r="G76" i="17" s="1"/>
  <c r="F79" i="5"/>
  <c r="G79" i="5" s="1"/>
  <c r="B80" i="5" s="1"/>
  <c r="D80" i="5" s="1"/>
  <c r="G37" i="12" l="1"/>
  <c r="G39" i="12" s="1"/>
  <c r="G45" i="12" s="1"/>
  <c r="I6" i="11"/>
  <c r="G27" i="10"/>
  <c r="G82" i="17"/>
  <c r="H29" i="11"/>
  <c r="G8" i="10" l="1"/>
  <c r="G10" i="10" s="1"/>
  <c r="G12" i="10" s="1"/>
  <c r="H7" i="10" s="1"/>
  <c r="G18" i="10"/>
  <c r="G30" i="10" s="1"/>
  <c r="G32" i="10" s="1"/>
  <c r="F80" i="5"/>
  <c r="G80" i="5" s="1"/>
  <c r="B81" i="5" s="1"/>
  <c r="D81" i="5" s="1"/>
  <c r="F81" i="5" l="1"/>
  <c r="G81" i="5" s="1"/>
  <c r="B82" i="5" s="1"/>
  <c r="D82" i="5" s="1"/>
  <c r="F82" i="5" l="1"/>
  <c r="G82" i="5" s="1"/>
  <c r="B83" i="5" s="1"/>
  <c r="D83" i="5" s="1"/>
  <c r="F83" i="5" l="1"/>
  <c r="G83" i="5" s="1"/>
  <c r="B84" i="5" s="1"/>
  <c r="D84" i="5" s="1"/>
  <c r="F84" i="5" l="1"/>
  <c r="G84" i="5" l="1"/>
  <c r="B85" i="5" s="1"/>
  <c r="D85" i="5" s="1"/>
  <c r="F85" i="5" l="1"/>
  <c r="G85" i="5" l="1"/>
  <c r="B86" i="5" s="1"/>
  <c r="D86" i="5" s="1"/>
  <c r="F86" i="5" l="1"/>
  <c r="G86" i="5" l="1"/>
  <c r="B87" i="5" s="1"/>
  <c r="D87" i="5" s="1"/>
  <c r="F87" i="5" l="1"/>
  <c r="G87" i="5" l="1"/>
  <c r="B88" i="5" s="1"/>
  <c r="D88" i="5" s="1"/>
  <c r="F88" i="5" l="1"/>
  <c r="G88" i="5" l="1"/>
  <c r="B89" i="5" s="1"/>
  <c r="D89" i="5" s="1"/>
  <c r="F89" i="5" l="1"/>
  <c r="G89" i="5" l="1"/>
  <c r="B90" i="5" s="1"/>
  <c r="D90" i="5" s="1"/>
  <c r="R8" i="5" s="1"/>
  <c r="N65" i="19" l="1"/>
  <c r="N65" i="18"/>
  <c r="N65" i="20"/>
  <c r="F90" i="5"/>
  <c r="G90" i="5" s="1"/>
  <c r="B91" i="5" s="1"/>
  <c r="D91" i="5" s="1"/>
  <c r="N29" i="20" l="1"/>
  <c r="N31" i="20" s="1"/>
  <c r="N29" i="19"/>
  <c r="N31" i="19" s="1"/>
  <c r="N29" i="18"/>
  <c r="N31" i="18" s="1"/>
  <c r="H26" i="12"/>
  <c r="H63" i="17"/>
  <c r="H27" i="17" s="1"/>
  <c r="H29" i="17" s="1"/>
  <c r="I22" i="11"/>
  <c r="F91" i="5" l="1"/>
  <c r="G91" i="5" s="1"/>
  <c r="B92" i="5" s="1"/>
  <c r="D92" i="5" s="1"/>
  <c r="F92" i="5" l="1"/>
  <c r="G92" i="5" s="1"/>
  <c r="B93" i="5" s="1"/>
  <c r="D93" i="5" s="1"/>
  <c r="F93" i="5" l="1"/>
  <c r="G93" i="5" s="1"/>
  <c r="B94" i="5" s="1"/>
  <c r="D94" i="5" s="1"/>
  <c r="F94" i="5" l="1"/>
  <c r="G94" i="5" s="1"/>
  <c r="B95" i="5" s="1"/>
  <c r="D95" i="5" s="1"/>
  <c r="F95" i="5" l="1"/>
  <c r="G95" i="5" s="1"/>
  <c r="B96" i="5" s="1"/>
  <c r="D96" i="5" s="1"/>
  <c r="F96" i="5" l="1"/>
  <c r="G96" i="5" l="1"/>
  <c r="B97" i="5" s="1"/>
  <c r="D97" i="5" s="1"/>
  <c r="F97" i="5" l="1"/>
  <c r="G97" i="5" s="1"/>
  <c r="B98" i="5" l="1"/>
  <c r="D98" i="5" s="1"/>
  <c r="F98" i="5" l="1"/>
  <c r="G98" i="5" l="1"/>
  <c r="B99" i="5" s="1"/>
  <c r="D99" i="5" s="1"/>
  <c r="F99" i="5" l="1"/>
  <c r="G99" i="5" l="1"/>
  <c r="B100" i="5" s="1"/>
  <c r="D100" i="5" s="1"/>
  <c r="F100" i="5" l="1"/>
  <c r="G100" i="5" l="1"/>
  <c r="B101" i="5" s="1"/>
  <c r="D101" i="5" s="1"/>
  <c r="F101" i="5" l="1"/>
  <c r="G101" i="5" l="1"/>
  <c r="B102" i="5" s="1"/>
  <c r="D102" i="5" s="1"/>
  <c r="S8" i="5" s="1"/>
  <c r="O65" i="20" l="1"/>
  <c r="O65" i="18"/>
  <c r="O65" i="19"/>
  <c r="F102" i="5"/>
  <c r="G102" i="5" s="1"/>
  <c r="I14" i="9"/>
  <c r="O29" i="19" l="1"/>
  <c r="O31" i="19" s="1"/>
  <c r="O29" i="20"/>
  <c r="O31" i="20" s="1"/>
  <c r="O29" i="18"/>
  <c r="O31" i="18" s="1"/>
  <c r="I15" i="9"/>
  <c r="I17" i="9" s="1"/>
  <c r="I19" i="11"/>
  <c r="J19" i="11"/>
  <c r="I26" i="12"/>
  <c r="J22" i="11" s="1"/>
  <c r="I63" i="17"/>
  <c r="I27" i="17" s="1"/>
  <c r="I29" i="17" s="1"/>
  <c r="H9" i="15" l="1"/>
  <c r="H16" i="10" s="1"/>
  <c r="I7" i="15" l="1"/>
  <c r="H8" i="15"/>
  <c r="H10" i="15" s="1"/>
  <c r="H12" i="15" s="1"/>
  <c r="J12" i="11"/>
  <c r="I12" i="11"/>
  <c r="I8" i="15"/>
  <c r="I10" i="15" s="1"/>
  <c r="I12" i="15" s="1"/>
  <c r="O66" i="20" l="1"/>
  <c r="O66" i="18"/>
  <c r="O66" i="19"/>
  <c r="H27" i="12"/>
  <c r="N66" i="19"/>
  <c r="N66" i="18"/>
  <c r="N66" i="20"/>
  <c r="H64" i="17"/>
  <c r="H14" i="17" s="1"/>
  <c r="H17" i="17" s="1"/>
  <c r="H18" i="17" s="1"/>
  <c r="H42" i="12"/>
  <c r="H43" i="12" s="1"/>
  <c r="I23" i="11"/>
  <c r="H28" i="12"/>
  <c r="H29" i="12" s="1"/>
  <c r="H32" i="12" s="1"/>
  <c r="H33" i="12" s="1"/>
  <c r="H31" i="17"/>
  <c r="H32" i="17" s="1"/>
  <c r="H33" i="17" s="1"/>
  <c r="H30" i="17"/>
  <c r="I27" i="12"/>
  <c r="I64" i="17"/>
  <c r="I14" i="17" s="1"/>
  <c r="I17" i="17" s="1"/>
  <c r="I18" i="17" s="1"/>
  <c r="H65" i="17"/>
  <c r="H66" i="17" s="1"/>
  <c r="H69" i="17" s="1"/>
  <c r="H70" i="17" s="1"/>
  <c r="H74" i="17" s="1"/>
  <c r="H76" i="17" s="1"/>
  <c r="H79" i="17"/>
  <c r="H80" i="17" s="1"/>
  <c r="J23" i="11"/>
  <c r="I42" i="12"/>
  <c r="I43" i="12" s="1"/>
  <c r="I28" i="12"/>
  <c r="I29" i="12" s="1"/>
  <c r="I32" i="12" s="1"/>
  <c r="N16" i="20" l="1"/>
  <c r="N19" i="20" s="1"/>
  <c r="N20" i="20" s="1"/>
  <c r="N81" i="20"/>
  <c r="N82" i="20" s="1"/>
  <c r="N67" i="20"/>
  <c r="N68" i="20" s="1"/>
  <c r="N71" i="20" s="1"/>
  <c r="N72" i="20" s="1"/>
  <c r="N76" i="20" s="1"/>
  <c r="N78" i="20" s="1"/>
  <c r="N84" i="20" s="1"/>
  <c r="N16" i="19"/>
  <c r="N19" i="19" s="1"/>
  <c r="N20" i="19" s="1"/>
  <c r="N81" i="19"/>
  <c r="N82" i="19" s="1"/>
  <c r="N67" i="19"/>
  <c r="N68" i="19" s="1"/>
  <c r="N71" i="19" s="1"/>
  <c r="N72" i="19" s="1"/>
  <c r="N76" i="19" s="1"/>
  <c r="N78" i="19" s="1"/>
  <c r="O16" i="19"/>
  <c r="O19" i="19" s="1"/>
  <c r="O20" i="19" s="1"/>
  <c r="O81" i="19"/>
  <c r="O82" i="19" s="1"/>
  <c r="O67" i="19"/>
  <c r="O68" i="19" s="1"/>
  <c r="O71" i="19" s="1"/>
  <c r="O72" i="19" s="1"/>
  <c r="O76" i="19" s="1"/>
  <c r="O78" i="19" s="1"/>
  <c r="O84" i="19" s="1"/>
  <c r="O16" i="20"/>
  <c r="O19" i="20" s="1"/>
  <c r="O20" i="20" s="1"/>
  <c r="O81" i="20"/>
  <c r="O82" i="20" s="1"/>
  <c r="O67" i="20"/>
  <c r="O68" i="20" s="1"/>
  <c r="O71" i="20" s="1"/>
  <c r="O72" i="20" s="1"/>
  <c r="O76" i="20" s="1"/>
  <c r="O78" i="20" s="1"/>
  <c r="N16" i="18"/>
  <c r="N19" i="18" s="1"/>
  <c r="N20" i="18" s="1"/>
  <c r="N81" i="18"/>
  <c r="N82" i="18" s="1"/>
  <c r="N67" i="18"/>
  <c r="N68" i="18" s="1"/>
  <c r="N71" i="18" s="1"/>
  <c r="N72" i="18" s="1"/>
  <c r="N76" i="18" s="1"/>
  <c r="N78" i="18" s="1"/>
  <c r="N84" i="18" s="1"/>
  <c r="O16" i="18"/>
  <c r="O19" i="18" s="1"/>
  <c r="O20" i="18" s="1"/>
  <c r="O81" i="18"/>
  <c r="O82" i="18" s="1"/>
  <c r="O67" i="18"/>
  <c r="O68" i="18" s="1"/>
  <c r="O71" i="18" s="1"/>
  <c r="O72" i="18" s="1"/>
  <c r="O76" i="18" s="1"/>
  <c r="O78" i="18" s="1"/>
  <c r="I8" i="11"/>
  <c r="I14" i="11" s="1"/>
  <c r="I27" i="11" s="1"/>
  <c r="J6" i="11" s="1"/>
  <c r="H37" i="12"/>
  <c r="I33" i="12"/>
  <c r="J8" i="11" s="1"/>
  <c r="H82" i="17"/>
  <c r="H39" i="12"/>
  <c r="H45" i="12" s="1"/>
  <c r="H8" i="10"/>
  <c r="H10" i="10" s="1"/>
  <c r="H12" i="10" s="1"/>
  <c r="I30" i="17"/>
  <c r="I31" i="17"/>
  <c r="I32" i="17" s="1"/>
  <c r="I33" i="17" s="1"/>
  <c r="I65" i="17"/>
  <c r="I66" i="17" s="1"/>
  <c r="I69" i="17" s="1"/>
  <c r="I70" i="17" s="1"/>
  <c r="I74" i="17" s="1"/>
  <c r="I76" i="17" s="1"/>
  <c r="I79" i="17"/>
  <c r="I80" i="17" s="1"/>
  <c r="I29" i="11"/>
  <c r="H25" i="10" l="1"/>
  <c r="H27" i="10" s="1"/>
  <c r="I37" i="12"/>
  <c r="O84" i="20"/>
  <c r="O84" i="18"/>
  <c r="N84" i="19"/>
  <c r="N32" i="18"/>
  <c r="N33" i="18"/>
  <c r="N34" i="18" s="1"/>
  <c r="N35" i="18" s="1"/>
  <c r="O32" i="19"/>
  <c r="O33" i="19"/>
  <c r="O34" i="19" s="1"/>
  <c r="O35" i="19" s="1"/>
  <c r="N33" i="20"/>
  <c r="N34" i="20" s="1"/>
  <c r="N35" i="20" s="1"/>
  <c r="N32" i="20"/>
  <c r="O32" i="18"/>
  <c r="O33" i="18"/>
  <c r="O34" i="18" s="1"/>
  <c r="O35" i="18" s="1"/>
  <c r="O32" i="20"/>
  <c r="O33" i="20"/>
  <c r="O34" i="20" s="1"/>
  <c r="O35" i="20" s="1"/>
  <c r="N33" i="19"/>
  <c r="N34" i="19" s="1"/>
  <c r="N35" i="19" s="1"/>
  <c r="N32" i="19"/>
  <c r="I82" i="17"/>
  <c r="I39" i="12"/>
  <c r="I45" i="12" s="1"/>
  <c r="I8" i="10"/>
  <c r="I7" i="10"/>
  <c r="H18" i="10"/>
  <c r="J14" i="11"/>
  <c r="J27" i="11" s="1"/>
  <c r="I25" i="10" s="1"/>
  <c r="H30" i="10" l="1"/>
  <c r="H32" i="10" s="1"/>
  <c r="I10" i="10"/>
  <c r="I12" i="10" s="1"/>
  <c r="I18" i="10" s="1"/>
  <c r="J29" i="11"/>
  <c r="I27" i="10"/>
  <c r="I30" i="10" l="1"/>
  <c r="I32" i="10" s="1"/>
  <c r="B9" i="12"/>
  <c r="B46" i="17" l="1"/>
  <c r="B48" i="20"/>
  <c r="B48" i="19"/>
  <c r="B48" i="18"/>
</calcChain>
</file>

<file path=xl/comments1.xml><?xml version="1.0" encoding="utf-8"?>
<comments xmlns="http://schemas.openxmlformats.org/spreadsheetml/2006/main">
  <authors>
    <author>administrator # aejose-47b63fbc # aejose</author>
  </authors>
  <commentList>
    <comment ref="B13" authorId="0">
      <text>
        <r>
          <rPr>
            <b/>
            <sz val="8"/>
            <color indexed="81"/>
            <rFont val="Tahoma"/>
            <charset val="1"/>
          </rPr>
          <t>Assumed as all labour not engaged</t>
        </r>
      </text>
    </comment>
  </commentList>
</comments>
</file>

<file path=xl/sharedStrings.xml><?xml version="1.0" encoding="utf-8"?>
<sst xmlns="http://schemas.openxmlformats.org/spreadsheetml/2006/main" count="623" uniqueCount="262">
  <si>
    <t>SCFE Equipment</t>
  </si>
  <si>
    <t>Estimated Cost of the Project:</t>
  </si>
  <si>
    <t>` in Lakhs</t>
  </si>
  <si>
    <t>Utilities (Water heater, Brine Chiller, Air Compressor, CO2 Storage)</t>
  </si>
  <si>
    <t>Pretreatment Machine (Grinding)</t>
  </si>
  <si>
    <t>Other Equipment (Hoist, Piping, Insulation, Electrical, Instr. Outside B.L)</t>
  </si>
  <si>
    <t>Erection &amp; Commissioning</t>
  </si>
  <si>
    <t>Land</t>
  </si>
  <si>
    <t>Civil Works (Buildings)</t>
  </si>
  <si>
    <t>Furniture &amp; Fixtures</t>
  </si>
  <si>
    <t>Working Capital</t>
  </si>
  <si>
    <t>Source of Funds:</t>
  </si>
  <si>
    <t>Promoters' Contribution</t>
  </si>
  <si>
    <t>Financial Assistance</t>
  </si>
  <si>
    <t xml:space="preserve">   - Term Loan</t>
  </si>
  <si>
    <t xml:space="preserve">   - Working Capital Limit</t>
  </si>
  <si>
    <t>Month</t>
  </si>
  <si>
    <t>Machinery Procurement</t>
  </si>
  <si>
    <t>Installation</t>
  </si>
  <si>
    <t>Building</t>
  </si>
  <si>
    <t>Trial Run</t>
  </si>
  <si>
    <t>Project Time Line</t>
  </si>
  <si>
    <t xml:space="preserve">Machinery Procurement </t>
  </si>
  <si>
    <t>Cash Budget</t>
  </si>
  <si>
    <t>Cost</t>
  </si>
  <si>
    <t>Staffing</t>
  </si>
  <si>
    <t>Particulars</t>
  </si>
  <si>
    <t>Licenses &amp; Contingencies (@ 5% on the above)</t>
  </si>
  <si>
    <t>Bank Assistance</t>
  </si>
  <si>
    <t xml:space="preserve"> </t>
  </si>
  <si>
    <t>Commercial Production</t>
  </si>
  <si>
    <t>Licenses &amp; Contingencies</t>
  </si>
  <si>
    <t>Opening Balance</t>
  </si>
  <si>
    <t>Debits</t>
  </si>
  <si>
    <t>Balance</t>
  </si>
  <si>
    <t>Term Loan Schedule</t>
  </si>
  <si>
    <t>Interest Rate</t>
  </si>
  <si>
    <t>Charges</t>
  </si>
  <si>
    <t>Principal Repayment</t>
  </si>
  <si>
    <t>Total Repayment</t>
  </si>
  <si>
    <t>Gestation</t>
  </si>
  <si>
    <t>Period</t>
  </si>
  <si>
    <t>Depreciation Schedule:</t>
  </si>
  <si>
    <t>Rate of Depn</t>
  </si>
  <si>
    <t>Opening Value</t>
  </si>
  <si>
    <t>Machinery &amp; Assessories</t>
  </si>
  <si>
    <t>Plant &amp; Building</t>
  </si>
  <si>
    <t>Total WDV of Fixed Assets</t>
  </si>
  <si>
    <t>Depreciation for the year</t>
  </si>
  <si>
    <t>Capacity Utilisation</t>
  </si>
  <si>
    <t>Total</t>
  </si>
  <si>
    <t xml:space="preserve"> - Term Loan</t>
  </si>
  <si>
    <t>Capacity</t>
  </si>
  <si>
    <t>Days</t>
  </si>
  <si>
    <t>Amount</t>
  </si>
  <si>
    <t>1.  Stock (Raw, WIP &amp; Finished)</t>
  </si>
  <si>
    <t>Sources of Funds:</t>
  </si>
  <si>
    <t>Closing Balance</t>
  </si>
  <si>
    <t>Secured Loan:</t>
  </si>
  <si>
    <t>Working Capital Loan</t>
  </si>
  <si>
    <t>Total Liabilities</t>
  </si>
  <si>
    <t>Application of Funds:</t>
  </si>
  <si>
    <t>Fixed Assets</t>
  </si>
  <si>
    <t>Current Assets</t>
  </si>
  <si>
    <t xml:space="preserve"> - Cash &amp; Cash Equivalents</t>
  </si>
  <si>
    <t>Total Assets</t>
  </si>
  <si>
    <t>Cash Flow Statement:</t>
  </si>
  <si>
    <t>Inflow:</t>
  </si>
  <si>
    <t>Opening Cash &amp; Bank</t>
  </si>
  <si>
    <t>Current Year Profit before Interest &amp; Tax</t>
  </si>
  <si>
    <t>Non Cash Expenditure Charged to P/L</t>
  </si>
  <si>
    <t>Term Loan from Bank</t>
  </si>
  <si>
    <t>Outflow:</t>
  </si>
  <si>
    <t>Additions to Working Capital</t>
  </si>
  <si>
    <t>Interest on Loans</t>
  </si>
  <si>
    <t xml:space="preserve"> - WC Loan</t>
  </si>
  <si>
    <t>Repayment of Term Loan</t>
  </si>
  <si>
    <t>Dividend / Drawings</t>
  </si>
  <si>
    <t>Closing Cash &amp; Bank</t>
  </si>
  <si>
    <t xml:space="preserve">Opening Stock of Raw Material </t>
  </si>
  <si>
    <t xml:space="preserve">Raw Materials Consumed            </t>
  </si>
  <si>
    <t xml:space="preserve">Direct Wages (Labour)               </t>
  </si>
  <si>
    <t xml:space="preserve">Prime cost (1)                                                                </t>
  </si>
  <si>
    <t xml:space="preserve">Works cost (2)                                                                </t>
  </si>
  <si>
    <t xml:space="preserve">Cost of Production (3)                                                  </t>
  </si>
  <si>
    <t xml:space="preserve">Cost of Sales (5)                                                           </t>
  </si>
  <si>
    <t xml:space="preserve">Sales   </t>
  </si>
  <si>
    <t>Capacity Utilisation Estimation</t>
  </si>
  <si>
    <t>Shifts per day</t>
  </si>
  <si>
    <t>No of Working Days per annum</t>
  </si>
  <si>
    <t>Extractor Capacity per hour</t>
  </si>
  <si>
    <t>No of Extractors working simultaneously</t>
  </si>
  <si>
    <t>Turmeric</t>
  </si>
  <si>
    <t>Pepper</t>
  </si>
  <si>
    <t>Ginger</t>
  </si>
  <si>
    <t>Coleus</t>
  </si>
  <si>
    <t>Clove</t>
  </si>
  <si>
    <t>Months</t>
  </si>
  <si>
    <t>Total Feed Capacity per hour (Kg)</t>
  </si>
  <si>
    <t>Working Hours Per day</t>
  </si>
  <si>
    <t>Feed Per day</t>
  </si>
  <si>
    <t>(Kg)</t>
  </si>
  <si>
    <t>Total Feed</t>
  </si>
  <si>
    <t>Yield</t>
  </si>
  <si>
    <t>Oil</t>
  </si>
  <si>
    <t>Oleoresin</t>
  </si>
  <si>
    <t>Yield (Kg)</t>
  </si>
  <si>
    <t>Cost Per Kg</t>
  </si>
  <si>
    <t>(Present)</t>
  </si>
  <si>
    <t>`</t>
  </si>
  <si>
    <t>Total Cost</t>
  </si>
  <si>
    <t>` in lakhs</t>
  </si>
  <si>
    <t>SP Per KG</t>
  </si>
  <si>
    <t>Gross Sales</t>
  </si>
  <si>
    <t>Process, Yield, Cost &amp; Revenue Estimates at 100% Capacity Utilisation</t>
  </si>
  <si>
    <t>Working</t>
  </si>
  <si>
    <t>Cost of Raw Materials</t>
  </si>
  <si>
    <t>Sales Revenue</t>
  </si>
  <si>
    <t>Total Feed Per day (Kg)</t>
  </si>
  <si>
    <t>Year - 1</t>
  </si>
  <si>
    <t>Year - 2</t>
  </si>
  <si>
    <t>Year - 3</t>
  </si>
  <si>
    <t>Year - 4</t>
  </si>
  <si>
    <t>Year - 5</t>
  </si>
  <si>
    <t>Year - 6</t>
  </si>
  <si>
    <t>Year - 7</t>
  </si>
  <si>
    <t>Year - 8</t>
  </si>
  <si>
    <t>Manpower Requirement:</t>
  </si>
  <si>
    <t>Foreman</t>
  </si>
  <si>
    <t>Operator</t>
  </si>
  <si>
    <t>Laboratory Assistant</t>
  </si>
  <si>
    <t>Secretary</t>
  </si>
  <si>
    <t>Purchase/Sales</t>
  </si>
  <si>
    <t>Accountant</t>
  </si>
  <si>
    <t>General Manager</t>
  </si>
  <si>
    <t>Services</t>
  </si>
  <si>
    <t>No of Persons</t>
  </si>
  <si>
    <t>Per Capita Salary pm</t>
  </si>
  <si>
    <t>Add: Fringe Benefits @ 40%</t>
  </si>
  <si>
    <t>Monthly Salary and Wages</t>
  </si>
  <si>
    <t>WDV as at the end of ~</t>
  </si>
  <si>
    <t>Working Capital Credit Limit</t>
  </si>
  <si>
    <t>Year</t>
  </si>
  <si>
    <t>Average Balance</t>
  </si>
  <si>
    <t>months</t>
  </si>
  <si>
    <t>Interest</t>
  </si>
  <si>
    <t>Additions</t>
  </si>
  <si>
    <t>Direct</t>
  </si>
  <si>
    <t>Indirect</t>
  </si>
  <si>
    <t>Fitter/electrician</t>
  </si>
  <si>
    <t>2.  Man Power - Direct</t>
  </si>
  <si>
    <t>3.  Man Power - Indirect</t>
  </si>
  <si>
    <t>4.  Receivables</t>
  </si>
  <si>
    <t>Indirect Wages</t>
  </si>
  <si>
    <t xml:space="preserve">Factory Fuel &amp; Power                      </t>
  </si>
  <si>
    <t>Working Hours Per annum</t>
  </si>
  <si>
    <t>Cost of Fuel</t>
  </si>
  <si>
    <t>No of working Hours pa</t>
  </si>
  <si>
    <t>Requirement per Hour (Kg)</t>
  </si>
  <si>
    <t>Annual Requirement</t>
  </si>
  <si>
    <t>Annual Fuel Cost</t>
  </si>
  <si>
    <t>Fuel Cost per Kg</t>
  </si>
  <si>
    <t>(No inflation Considered in Price per Kg)</t>
  </si>
  <si>
    <t>Cost of Power</t>
  </si>
  <si>
    <t>Requirement per hour (KW)</t>
  </si>
  <si>
    <t>Cost Per KW</t>
  </si>
  <si>
    <t>Annual Power Cost</t>
  </si>
  <si>
    <t>Cost of CO2</t>
  </si>
  <si>
    <t>Requirement Per Batch (Kg)</t>
  </si>
  <si>
    <t>No of Batches pa</t>
  </si>
  <si>
    <t>Cost per Kg</t>
  </si>
  <si>
    <t>Annual CO2 Cost</t>
  </si>
  <si>
    <t>Cost of Packing Materials</t>
  </si>
  <si>
    <t>Yeild Pa (Kg)</t>
  </si>
  <si>
    <t>Annual PM Cost</t>
  </si>
  <si>
    <t xml:space="preserve">Indirect Material         (CO2)                  </t>
  </si>
  <si>
    <t>Depreciation on Assets</t>
  </si>
  <si>
    <t>Factory Insurance &amp; Maintenance (1% of Assets)</t>
  </si>
  <si>
    <t>Packing &amp; Packaging</t>
  </si>
  <si>
    <t>General Charges and Administration</t>
  </si>
  <si>
    <t xml:space="preserve">   (Assumed at 5% on Sales)</t>
  </si>
  <si>
    <t>Cost of Goods Sold (4)</t>
  </si>
  <si>
    <t>Principal</t>
  </si>
  <si>
    <t>Year-1</t>
  </si>
  <si>
    <t>Year-2</t>
  </si>
  <si>
    <t>Year-3</t>
  </si>
  <si>
    <t>Year-4</t>
  </si>
  <si>
    <t>Year-5</t>
  </si>
  <si>
    <t>Year-6</t>
  </si>
  <si>
    <t>Year-7</t>
  </si>
  <si>
    <t>Year-8</t>
  </si>
  <si>
    <t>Interest on Term Loan</t>
  </si>
  <si>
    <t>Interest on Working Capital</t>
  </si>
  <si>
    <t>(Assumed at 5% on Sales)</t>
  </si>
  <si>
    <t>Debt Service Coverage Ratio</t>
  </si>
  <si>
    <t>Profit</t>
  </si>
  <si>
    <t>Add: Non Cash Expenditure - Depreciation</t>
  </si>
  <si>
    <t>Disposable Cash</t>
  </si>
  <si>
    <t>Debt Service</t>
  </si>
  <si>
    <t xml:space="preserve"> - Principal</t>
  </si>
  <si>
    <t xml:space="preserve"> - Interest</t>
  </si>
  <si>
    <t>DSCR</t>
  </si>
  <si>
    <t>Promoters' Capital</t>
  </si>
  <si>
    <t>Income Tax (Nil)</t>
  </si>
  <si>
    <t>Break Even Analysis</t>
  </si>
  <si>
    <t>Variable Cost</t>
  </si>
  <si>
    <t>Raw Materials Consumed</t>
  </si>
  <si>
    <t>Factory Fuel &amp; Power</t>
  </si>
  <si>
    <t>Consumables (CO2 etc)</t>
  </si>
  <si>
    <t>Selling &amp; Distribution Costs</t>
  </si>
  <si>
    <t>Total Variable Cost</t>
  </si>
  <si>
    <t>Contribution</t>
  </si>
  <si>
    <t>Fixed Cost</t>
  </si>
  <si>
    <t>Labour - Direct (Assumed as Regular Workers)</t>
  </si>
  <si>
    <t>Factory Insurance and Maintenance</t>
  </si>
  <si>
    <t>Total Fixed Cost</t>
  </si>
  <si>
    <t>Break Even Sales</t>
  </si>
  <si>
    <t>Margin of Safety</t>
  </si>
  <si>
    <t>PV Ratio (Profit to Volume Ratio)</t>
  </si>
  <si>
    <t>Note:  The Closing Cash and Bank Balance may vary depending upon the investment/expansion decisions made by the Firm</t>
  </si>
  <si>
    <t>Partner's Capital</t>
  </si>
  <si>
    <t xml:space="preserve"> - Others (Inventory &amp; Receivables)</t>
  </si>
  <si>
    <t>Assumed that Trial Run Output is saleable.</t>
  </si>
  <si>
    <t>Term Loan (Principal + Interest during holiday period)</t>
  </si>
  <si>
    <t>Holiday Period Interest</t>
  </si>
  <si>
    <t>Trial Run Expenditure is not Capitalised.</t>
  </si>
  <si>
    <t>Cost of FA</t>
  </si>
  <si>
    <t>D.G. Set 325 KVA</t>
  </si>
  <si>
    <t>Transformer for EB Power Connection &amp; Panel Board</t>
  </si>
  <si>
    <t>Less: Margin @ 25%</t>
  </si>
  <si>
    <t>Interest Apportioned</t>
  </si>
  <si>
    <t>Contingencies Apportioned</t>
  </si>
  <si>
    <t>Building, Furniture, Etc.</t>
  </si>
  <si>
    <t>Average Hours per Batch</t>
  </si>
  <si>
    <t>Assumed to Break even during the first two months which includes trial run and initial stages of commercial production.</t>
  </si>
  <si>
    <t>Licenses &amp; Staffing</t>
  </si>
  <si>
    <t>Working Capital Requirement</t>
  </si>
  <si>
    <t>Working Capital Loan Service Schedule</t>
  </si>
  <si>
    <t xml:space="preserve">Pre operative Interest &amp; Contingencies capitalised and apportioned to depreciable assets.  </t>
  </si>
  <si>
    <t xml:space="preserve">  Opening Balance</t>
  </si>
  <si>
    <t xml:space="preserve">  Add: Profit for the year</t>
  </si>
  <si>
    <t xml:space="preserve">  Add: Other Capital Additions (Subsidy)</t>
  </si>
  <si>
    <t xml:space="preserve">  Less: Drawings &amp; Tax (Assumed as Nil)</t>
  </si>
  <si>
    <t xml:space="preserve">  Closing Balance</t>
  </si>
  <si>
    <t>Projected Balance Sheet as at the end of ~</t>
  </si>
  <si>
    <t>Projected Profitability Statement (Cost Sheet Based)</t>
  </si>
  <si>
    <r>
      <t>Add</t>
    </r>
    <r>
      <rPr>
        <sz val="11"/>
        <rFont val="Calibri"/>
        <family val="2"/>
        <scheme val="minor"/>
      </rPr>
      <t xml:space="preserve">: Purchase of Raw materials              </t>
    </r>
  </si>
  <si>
    <r>
      <t>Less</t>
    </r>
    <r>
      <rPr>
        <sz val="11"/>
        <rFont val="Calibri"/>
        <family val="2"/>
        <scheme val="minor"/>
      </rPr>
      <t xml:space="preserve">: Closing stock of Raw Materials          </t>
    </r>
  </si>
  <si>
    <r>
      <t xml:space="preserve">Add </t>
    </r>
    <r>
      <rPr>
        <b/>
        <sz val="11"/>
        <rFont val="Calibri"/>
        <family val="2"/>
        <scheme val="minor"/>
      </rPr>
      <t>:- Factory Over Heads:</t>
    </r>
  </si>
  <si>
    <r>
      <t>Add</t>
    </r>
    <r>
      <rPr>
        <sz val="11"/>
        <rFont val="Calibri"/>
        <family val="2"/>
        <scheme val="minor"/>
      </rPr>
      <t>:- Administration Over Heads:-</t>
    </r>
  </si>
  <si>
    <r>
      <t>Add</t>
    </r>
    <r>
      <rPr>
        <sz val="11"/>
        <rFont val="Calibri"/>
        <family val="2"/>
        <scheme val="minor"/>
      </rPr>
      <t>:- Selling and Distribution OH:-</t>
    </r>
  </si>
  <si>
    <r>
      <t xml:space="preserve">Profit                        </t>
    </r>
    <r>
      <rPr>
        <u/>
        <sz val="11"/>
        <rFont val="Calibri"/>
        <family val="2"/>
        <scheme val="minor"/>
      </rPr>
      <t xml:space="preserve">     </t>
    </r>
  </si>
  <si>
    <t xml:space="preserve">Sensitivity Analysis - 1 </t>
  </si>
  <si>
    <t>Criteria - Variable Cost:  Increase and Decrease by 5%</t>
  </si>
  <si>
    <t>Range:  Year-2 to Year-4</t>
  </si>
  <si>
    <t>Optimistic</t>
  </si>
  <si>
    <t>Pessimistic</t>
  </si>
  <si>
    <t>Sensitivity Analysis - 2</t>
  </si>
  <si>
    <t>Criteria - Fixed Cost:  Increase and Decrease by 5%</t>
  </si>
  <si>
    <t>Sensitivity Analysis - 3</t>
  </si>
  <si>
    <t>Criteria - Sales Price:  Increase and Decrease by 5%</t>
  </si>
  <si>
    <t>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</si>
</sst>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00000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u/>
      <sz val="16"/>
      <name val="Calibri"/>
      <family val="2"/>
      <scheme val="minor"/>
    </font>
    <font>
      <sz val="11"/>
      <name val="Rupee Foradian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u/>
      <sz val="12"/>
      <name val="Calibri"/>
      <family val="2"/>
      <scheme val="minor"/>
    </font>
    <font>
      <u/>
      <sz val="11"/>
      <name val="Calibri"/>
      <family val="2"/>
      <scheme val="minor"/>
    </font>
    <font>
      <sz val="12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u/>
      <sz val="18"/>
      <name val="Calibri"/>
      <family val="2"/>
      <scheme val="minor"/>
    </font>
    <font>
      <b/>
      <u/>
      <sz val="14"/>
      <name val="Calibri"/>
      <family val="2"/>
      <scheme val="minor"/>
    </font>
    <font>
      <b/>
      <sz val="8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7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</cellStyleXfs>
  <cellXfs count="187">
    <xf numFmtId="0" fontId="0" fillId="0" borderId="0" xfId="0"/>
    <xf numFmtId="0" fontId="6" fillId="0" borderId="0" xfId="0" applyFont="1" applyFill="1"/>
    <xf numFmtId="0" fontId="6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 applyAlignment="1">
      <alignment horizontal="center"/>
    </xf>
    <xf numFmtId="0" fontId="9" fillId="0" borderId="15" xfId="0" applyFont="1" applyFill="1" applyBorder="1"/>
    <xf numFmtId="2" fontId="10" fillId="0" borderId="15" xfId="0" applyNumberFormat="1" applyFont="1" applyFill="1" applyBorder="1"/>
    <xf numFmtId="2" fontId="6" fillId="0" borderId="0" xfId="0" applyNumberFormat="1" applyFont="1" applyFill="1"/>
    <xf numFmtId="0" fontId="5" fillId="0" borderId="13" xfId="0" applyFont="1" applyFill="1" applyBorder="1" applyAlignment="1">
      <alignment horizontal="right"/>
    </xf>
    <xf numFmtId="2" fontId="11" fillId="0" borderId="22" xfId="0" applyNumberFormat="1" applyFont="1" applyFill="1" applyBorder="1"/>
    <xf numFmtId="0" fontId="12" fillId="0" borderId="15" xfId="0" applyFont="1" applyFill="1" applyBorder="1" applyAlignment="1">
      <alignment horizontal="left" vertical="top" wrapText="1"/>
    </xf>
    <xf numFmtId="0" fontId="13" fillId="0" borderId="15" xfId="0" applyFont="1" applyFill="1" applyBorder="1" applyAlignment="1">
      <alignment vertical="top" wrapText="1"/>
    </xf>
    <xf numFmtId="0" fontId="14" fillId="0" borderId="15" xfId="0" applyFont="1" applyFill="1" applyBorder="1" applyAlignment="1">
      <alignment horizontal="left" vertical="top" wrapText="1"/>
    </xf>
    <xf numFmtId="9" fontId="6" fillId="0" borderId="15" xfId="1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43" fontId="6" fillId="0" borderId="14" xfId="0" applyNumberFormat="1" applyFont="1" applyFill="1" applyBorder="1" applyAlignment="1">
      <alignment horizontal="right" vertical="top" wrapText="1"/>
    </xf>
    <xf numFmtId="43" fontId="6" fillId="0" borderId="14" xfId="0" applyNumberFormat="1" applyFont="1" applyFill="1" applyBorder="1" applyAlignment="1">
      <alignment vertical="top" wrapText="1"/>
    </xf>
    <xf numFmtId="43" fontId="6" fillId="0" borderId="29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43" fontId="6" fillId="0" borderId="0" xfId="0" applyNumberFormat="1" applyFont="1" applyFill="1" applyBorder="1" applyAlignment="1">
      <alignment horizontal="right" vertical="top" wrapText="1"/>
    </xf>
    <xf numFmtId="43" fontId="6" fillId="0" borderId="0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43" fontId="6" fillId="0" borderId="15" xfId="0" applyNumberFormat="1" applyFont="1" applyFill="1" applyBorder="1" applyAlignment="1">
      <alignment horizontal="right" vertical="top" wrapText="1"/>
    </xf>
    <xf numFmtId="0" fontId="6" fillId="0" borderId="5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top" wrapText="1"/>
    </xf>
    <xf numFmtId="0" fontId="10" fillId="0" borderId="7" xfId="0" applyFont="1" applyFill="1" applyBorder="1" applyAlignment="1">
      <alignment vertical="top" wrapText="1"/>
    </xf>
    <xf numFmtId="43" fontId="9" fillId="0" borderId="15" xfId="0" applyNumberFormat="1" applyFont="1" applyFill="1" applyBorder="1" applyAlignment="1">
      <alignment horizontal="right" vertical="top" wrapText="1"/>
    </xf>
    <xf numFmtId="43" fontId="9" fillId="0" borderId="15" xfId="0" applyNumberFormat="1" applyFont="1" applyFill="1" applyBorder="1" applyAlignment="1">
      <alignment vertical="top" wrapText="1"/>
    </xf>
    <xf numFmtId="43" fontId="6" fillId="0" borderId="25" xfId="0" applyNumberFormat="1" applyFont="1" applyFill="1" applyBorder="1" applyAlignment="1">
      <alignment vertical="top" wrapText="1"/>
    </xf>
    <xf numFmtId="43" fontId="6" fillId="0" borderId="27" xfId="0" applyNumberFormat="1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43" fontId="6" fillId="0" borderId="24" xfId="0" applyNumberFormat="1" applyFont="1" applyFill="1" applyBorder="1" applyAlignment="1">
      <alignment horizontal="left" vertical="top" wrapText="1"/>
    </xf>
    <xf numFmtId="43" fontId="6" fillId="0" borderId="24" xfId="0" applyNumberFormat="1" applyFont="1" applyFill="1" applyBorder="1" applyAlignment="1">
      <alignment vertical="top" wrapText="1"/>
    </xf>
    <xf numFmtId="0" fontId="15" fillId="0" borderId="0" xfId="0" applyFont="1" applyFill="1" applyBorder="1" applyAlignment="1">
      <alignment vertical="top" wrapText="1"/>
    </xf>
    <xf numFmtId="43" fontId="6" fillId="0" borderId="24" xfId="0" applyNumberFormat="1" applyFont="1" applyFill="1" applyBorder="1" applyAlignment="1">
      <alignment horizontal="right" vertical="top" wrapText="1"/>
    </xf>
    <xf numFmtId="43" fontId="6" fillId="0" borderId="0" xfId="0" applyNumberFormat="1" applyFont="1" applyFill="1" applyBorder="1"/>
    <xf numFmtId="0" fontId="11" fillId="0" borderId="0" xfId="0" applyFont="1" applyFill="1" applyBorder="1"/>
    <xf numFmtId="43" fontId="9" fillId="0" borderId="24" xfId="0" applyNumberFormat="1" applyFont="1" applyFill="1" applyBorder="1"/>
    <xf numFmtId="0" fontId="6" fillId="0" borderId="15" xfId="0" applyFont="1" applyFill="1" applyBorder="1"/>
    <xf numFmtId="0" fontId="6" fillId="0" borderId="15" xfId="0" applyFont="1" applyFill="1" applyBorder="1" applyAlignment="1"/>
    <xf numFmtId="0" fontId="8" fillId="0" borderId="15" xfId="0" applyFont="1" applyFill="1" applyBorder="1"/>
    <xf numFmtId="10" fontId="6" fillId="0" borderId="15" xfId="1" applyNumberFormat="1" applyFont="1" applyFill="1" applyBorder="1"/>
    <xf numFmtId="2" fontId="6" fillId="0" borderId="15" xfId="0" applyNumberFormat="1" applyFont="1" applyFill="1" applyBorder="1"/>
    <xf numFmtId="9" fontId="6" fillId="0" borderId="15" xfId="1" applyFont="1" applyFill="1" applyBorder="1"/>
    <xf numFmtId="9" fontId="6" fillId="0" borderId="0" xfId="1" applyFont="1" applyFill="1"/>
    <xf numFmtId="0" fontId="15" fillId="0" borderId="0" xfId="0" applyFont="1" applyFill="1"/>
    <xf numFmtId="0" fontId="9" fillId="0" borderId="26" xfId="0" applyFont="1" applyFill="1" applyBorder="1"/>
    <xf numFmtId="0" fontId="7" fillId="0" borderId="0" xfId="0" applyFont="1" applyFill="1"/>
    <xf numFmtId="0" fontId="10" fillId="0" borderId="0" xfId="0" applyFont="1" applyFill="1"/>
    <xf numFmtId="9" fontId="6" fillId="0" borderId="15" xfId="0" applyNumberFormat="1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9" fontId="6" fillId="0" borderId="0" xfId="1" applyFont="1" applyFill="1" applyBorder="1" applyAlignment="1">
      <alignment vertical="top" wrapText="1"/>
    </xf>
    <xf numFmtId="43" fontId="6" fillId="0" borderId="27" xfId="0" applyNumberFormat="1" applyFont="1" applyFill="1" applyBorder="1" applyAlignment="1">
      <alignment horizontal="right" vertical="top" wrapText="1"/>
    </xf>
    <xf numFmtId="0" fontId="9" fillId="0" borderId="24" xfId="0" applyFont="1" applyFill="1" applyBorder="1"/>
    <xf numFmtId="0" fontId="16" fillId="0" borderId="0" xfId="0" applyFont="1" applyFill="1"/>
    <xf numFmtId="0" fontId="16" fillId="0" borderId="15" xfId="0" applyFont="1" applyFill="1" applyBorder="1"/>
    <xf numFmtId="0" fontId="17" fillId="0" borderId="15" xfId="0" applyFont="1" applyFill="1" applyBorder="1"/>
    <xf numFmtId="0" fontId="18" fillId="0" borderId="15" xfId="0" applyFont="1" applyFill="1" applyBorder="1"/>
    <xf numFmtId="0" fontId="16" fillId="0" borderId="23" xfId="0" applyFont="1" applyFill="1" applyBorder="1"/>
    <xf numFmtId="43" fontId="16" fillId="0" borderId="15" xfId="0" applyNumberFormat="1" applyFont="1" applyFill="1" applyBorder="1"/>
    <xf numFmtId="43" fontId="18" fillId="0" borderId="15" xfId="0" applyNumberFormat="1" applyFont="1" applyFill="1" applyBorder="1"/>
    <xf numFmtId="0" fontId="18" fillId="0" borderId="0" xfId="0" applyFont="1" applyFill="1"/>
    <xf numFmtId="0" fontId="19" fillId="0" borderId="15" xfId="0" applyFont="1" applyFill="1" applyBorder="1"/>
    <xf numFmtId="0" fontId="15" fillId="0" borderId="15" xfId="0" applyFont="1" applyFill="1" applyBorder="1"/>
    <xf numFmtId="43" fontId="6" fillId="0" borderId="15" xfId="0" applyNumberFormat="1" applyFont="1" applyFill="1" applyBorder="1"/>
    <xf numFmtId="43" fontId="9" fillId="0" borderId="15" xfId="0" applyNumberFormat="1" applyFont="1" applyFill="1" applyBorder="1"/>
    <xf numFmtId="0" fontId="9" fillId="0" borderId="0" xfId="0" applyFont="1" applyFill="1"/>
    <xf numFmtId="1" fontId="6" fillId="0" borderId="0" xfId="0" applyNumberFormat="1" applyFont="1" applyFill="1"/>
    <xf numFmtId="0" fontId="6" fillId="0" borderId="27" xfId="0" applyFont="1" applyFill="1" applyBorder="1"/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1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3" fontId="6" fillId="0" borderId="0" xfId="0" applyNumberFormat="1" applyFont="1" applyFill="1"/>
    <xf numFmtId="2" fontId="9" fillId="0" borderId="15" xfId="0" applyNumberFormat="1" applyFont="1" applyFill="1" applyBorder="1"/>
    <xf numFmtId="0" fontId="6" fillId="0" borderId="2" xfId="0" applyFont="1" applyFill="1" applyBorder="1"/>
    <xf numFmtId="10" fontId="6" fillId="0" borderId="3" xfId="1" applyNumberFormat="1" applyFont="1" applyFill="1" applyBorder="1"/>
    <xf numFmtId="0" fontId="6" fillId="0" borderId="3" xfId="0" applyFont="1" applyFill="1" applyBorder="1"/>
    <xf numFmtId="0" fontId="6" fillId="0" borderId="4" xfId="0" applyFont="1" applyFill="1" applyBorder="1"/>
    <xf numFmtId="0" fontId="6" fillId="0" borderId="7" xfId="0" applyFont="1" applyFill="1" applyBorder="1"/>
    <xf numFmtId="10" fontId="6" fillId="0" borderId="8" xfId="1" applyNumberFormat="1" applyFont="1" applyFill="1" applyBorder="1"/>
    <xf numFmtId="0" fontId="6" fillId="0" borderId="8" xfId="0" applyFont="1" applyFill="1" applyBorder="1"/>
    <xf numFmtId="0" fontId="6" fillId="0" borderId="9" xfId="0" applyFont="1" applyFill="1" applyBorder="1"/>
    <xf numFmtId="0" fontId="6" fillId="0" borderId="20" xfId="0" applyFont="1" applyFill="1" applyBorder="1"/>
    <xf numFmtId="0" fontId="6" fillId="0" borderId="21" xfId="0" applyFont="1" applyFill="1" applyBorder="1"/>
    <xf numFmtId="0" fontId="6" fillId="0" borderId="22" xfId="0" applyFont="1" applyFill="1" applyBorder="1"/>
    <xf numFmtId="0" fontId="6" fillId="0" borderId="30" xfId="0" applyFont="1" applyFill="1" applyBorder="1"/>
    <xf numFmtId="2" fontId="6" fillId="0" borderId="31" xfId="0" applyNumberFormat="1" applyFont="1" applyFill="1" applyBorder="1"/>
    <xf numFmtId="2" fontId="6" fillId="0" borderId="32" xfId="0" applyNumberFormat="1" applyFont="1" applyFill="1" applyBorder="1"/>
    <xf numFmtId="0" fontId="6" fillId="0" borderId="16" xfId="0" applyFont="1" applyFill="1" applyBorder="1"/>
    <xf numFmtId="2" fontId="6" fillId="0" borderId="33" xfId="0" applyNumberFormat="1" applyFont="1" applyFill="1" applyBorder="1"/>
    <xf numFmtId="0" fontId="6" fillId="0" borderId="34" xfId="0" applyFont="1" applyFill="1" applyBorder="1"/>
    <xf numFmtId="2" fontId="6" fillId="0" borderId="35" xfId="0" applyNumberFormat="1" applyFont="1" applyFill="1" applyBorder="1"/>
    <xf numFmtId="2" fontId="6" fillId="0" borderId="36" xfId="0" applyNumberFormat="1" applyFont="1" applyFill="1" applyBorder="1"/>
    <xf numFmtId="0" fontId="6" fillId="0" borderId="0" xfId="4" applyFont="1" applyFill="1" applyAlignment="1">
      <alignment horizontal="center"/>
    </xf>
    <xf numFmtId="0" fontId="6" fillId="0" borderId="0" xfId="4" applyFont="1" applyFill="1"/>
    <xf numFmtId="10" fontId="6" fillId="0" borderId="0" xfId="4" applyNumberFormat="1" applyFont="1" applyFill="1"/>
    <xf numFmtId="0" fontId="6" fillId="0" borderId="20" xfId="4" applyFont="1" applyFill="1" applyBorder="1" applyAlignment="1">
      <alignment horizontal="center" vertical="center" wrapText="1"/>
    </xf>
    <xf numFmtId="0" fontId="6" fillId="0" borderId="21" xfId="4" applyFont="1" applyFill="1" applyBorder="1" applyAlignment="1">
      <alignment horizontal="center" vertical="center" wrapText="1"/>
    </xf>
    <xf numFmtId="0" fontId="6" fillId="0" borderId="22" xfId="4" applyFont="1" applyFill="1" applyBorder="1" applyAlignment="1">
      <alignment horizontal="center" vertical="center" wrapText="1"/>
    </xf>
    <xf numFmtId="0" fontId="6" fillId="0" borderId="15" xfId="4" applyFont="1" applyFill="1" applyBorder="1"/>
    <xf numFmtId="43" fontId="6" fillId="0" borderId="15" xfId="4" applyNumberFormat="1" applyFont="1" applyFill="1" applyBorder="1"/>
    <xf numFmtId="43" fontId="6" fillId="0" borderId="17" xfId="4" applyNumberFormat="1" applyFont="1" applyFill="1" applyBorder="1"/>
    <xf numFmtId="43" fontId="6" fillId="0" borderId="2" xfId="4" applyNumberFormat="1" applyFont="1" applyFill="1" applyBorder="1"/>
    <xf numFmtId="43" fontId="6" fillId="0" borderId="4" xfId="4" applyNumberFormat="1" applyFont="1" applyFill="1" applyBorder="1"/>
    <xf numFmtId="43" fontId="6" fillId="0" borderId="18" xfId="4" applyNumberFormat="1" applyFont="1" applyFill="1" applyBorder="1"/>
    <xf numFmtId="43" fontId="6" fillId="0" borderId="5" xfId="4" applyNumberFormat="1" applyFont="1" applyFill="1" applyBorder="1"/>
    <xf numFmtId="43" fontId="6" fillId="0" borderId="6" xfId="4" applyNumberFormat="1" applyFont="1" applyFill="1" applyBorder="1"/>
    <xf numFmtId="43" fontId="6" fillId="0" borderId="7" xfId="4" applyNumberFormat="1" applyFont="1" applyFill="1" applyBorder="1"/>
    <xf numFmtId="43" fontId="6" fillId="0" borderId="9" xfId="4" applyNumberFormat="1" applyFont="1" applyFill="1" applyBorder="1"/>
    <xf numFmtId="43" fontId="6" fillId="0" borderId="19" xfId="4" applyNumberFormat="1" applyFont="1" applyFill="1" applyBorder="1"/>
    <xf numFmtId="0" fontId="5" fillId="0" borderId="0" xfId="0" applyFont="1" applyFill="1" applyAlignment="1">
      <alignment horizontal="center"/>
    </xf>
    <xf numFmtId="0" fontId="6" fillId="0" borderId="15" xfId="5" applyFont="1" applyFill="1" applyBorder="1"/>
    <xf numFmtId="9" fontId="6" fillId="0" borderId="15" xfId="5" applyNumberFormat="1" applyFont="1" applyFill="1" applyBorder="1"/>
    <xf numFmtId="43" fontId="6" fillId="0" borderId="15" xfId="5" applyNumberFormat="1" applyFont="1" applyFill="1" applyBorder="1"/>
    <xf numFmtId="0" fontId="20" fillId="0" borderId="0" xfId="0" applyFont="1" applyFill="1" applyAlignment="1"/>
    <xf numFmtId="0" fontId="21" fillId="0" borderId="0" xfId="0" applyFont="1" applyFill="1" applyAlignment="1"/>
    <xf numFmtId="0" fontId="11" fillId="0" borderId="3" xfId="0" applyFont="1" applyFill="1" applyBorder="1" applyAlignment="1">
      <alignment horizontal="center"/>
    </xf>
    <xf numFmtId="0" fontId="9" fillId="0" borderId="13" xfId="0" applyFont="1" applyFill="1" applyBorder="1"/>
    <xf numFmtId="0" fontId="9" fillId="0" borderId="14" xfId="0" applyFont="1" applyFill="1" applyBorder="1"/>
    <xf numFmtId="0" fontId="6" fillId="0" borderId="10" xfId="0" applyFont="1" applyFill="1" applyBorder="1"/>
    <xf numFmtId="43" fontId="6" fillId="0" borderId="2" xfId="0" applyNumberFormat="1" applyFont="1" applyFill="1" applyBorder="1"/>
    <xf numFmtId="43" fontId="6" fillId="0" borderId="3" xfId="0" applyNumberFormat="1" applyFont="1" applyFill="1" applyBorder="1"/>
    <xf numFmtId="43" fontId="9" fillId="0" borderId="10" xfId="0" applyNumberFormat="1" applyFont="1" applyFill="1" applyBorder="1"/>
    <xf numFmtId="0" fontId="9" fillId="0" borderId="11" xfId="0" applyFont="1" applyFill="1" applyBorder="1"/>
    <xf numFmtId="43" fontId="9" fillId="0" borderId="16" xfId="0" applyNumberFormat="1" applyFont="1" applyFill="1" applyBorder="1" applyAlignment="1"/>
    <xf numFmtId="43" fontId="9" fillId="0" borderId="15" xfId="0" applyNumberFormat="1" applyFont="1" applyFill="1" applyBorder="1" applyAlignment="1"/>
    <xf numFmtId="43" fontId="9" fillId="0" borderId="11" xfId="0" applyNumberFormat="1" applyFont="1" applyFill="1" applyBorder="1"/>
    <xf numFmtId="43" fontId="6" fillId="0" borderId="5" xfId="0" applyNumberFormat="1" applyFont="1" applyFill="1" applyBorder="1"/>
    <xf numFmtId="43" fontId="9" fillId="0" borderId="16" xfId="0" applyNumberFormat="1" applyFont="1" applyFill="1" applyBorder="1"/>
    <xf numFmtId="43" fontId="9" fillId="0" borderId="15" xfId="0" applyNumberFormat="1" applyFont="1" applyFill="1" applyBorder="1" applyAlignment="1">
      <alignment vertical="center"/>
    </xf>
    <xf numFmtId="43" fontId="9" fillId="0" borderId="6" xfId="0" applyNumberFormat="1" applyFont="1" applyFill="1" applyBorder="1"/>
    <xf numFmtId="0" fontId="9" fillId="0" borderId="12" xfId="0" applyFont="1" applyFill="1" applyBorder="1"/>
    <xf numFmtId="43" fontId="6" fillId="0" borderId="7" xfId="0" applyNumberFormat="1" applyFont="1" applyFill="1" applyBorder="1"/>
    <xf numFmtId="43" fontId="6" fillId="0" borderId="8" xfId="0" applyNumberFormat="1" applyFont="1" applyFill="1" applyBorder="1"/>
    <xf numFmtId="43" fontId="9" fillId="0" borderId="9" xfId="0" applyNumberFormat="1" applyFont="1" applyFill="1" applyBorder="1"/>
    <xf numFmtId="43" fontId="9" fillId="0" borderId="12" xfId="0" applyNumberFormat="1" applyFont="1" applyFill="1" applyBorder="1" applyAlignment="1">
      <alignment horizontal="right"/>
    </xf>
    <xf numFmtId="43" fontId="9" fillId="0" borderId="12" xfId="0" applyNumberFormat="1" applyFont="1" applyFill="1" applyBorder="1"/>
    <xf numFmtId="43" fontId="9" fillId="0" borderId="1" xfId="0" applyNumberFormat="1" applyFont="1" applyFill="1" applyBorder="1"/>
    <xf numFmtId="43" fontId="9" fillId="0" borderId="7" xfId="0" applyNumberFormat="1" applyFont="1" applyFill="1" applyBorder="1"/>
    <xf numFmtId="0" fontId="9" fillId="0" borderId="15" xfId="0" applyFont="1" applyFill="1" applyBorder="1" applyAlignment="1">
      <alignment horizontal="center" vertical="center"/>
    </xf>
    <xf numFmtId="4" fontId="6" fillId="0" borderId="0" xfId="0" applyNumberFormat="1" applyFont="1" applyFill="1"/>
    <xf numFmtId="4" fontId="7" fillId="0" borderId="0" xfId="0" applyNumberFormat="1" applyFont="1" applyFill="1" applyAlignment="1">
      <alignment horizontal="center"/>
    </xf>
    <xf numFmtId="4" fontId="6" fillId="0" borderId="24" xfId="0" applyNumberFormat="1" applyFont="1" applyFill="1" applyBorder="1"/>
    <xf numFmtId="0" fontId="8" fillId="0" borderId="24" xfId="0" applyFont="1" applyFill="1" applyBorder="1" applyAlignment="1">
      <alignment horizontal="right"/>
    </xf>
    <xf numFmtId="4" fontId="9" fillId="0" borderId="0" xfId="0" applyNumberFormat="1" applyFont="1" applyFill="1"/>
    <xf numFmtId="164" fontId="6" fillId="0" borderId="0" xfId="0" applyNumberFormat="1" applyFont="1" applyFill="1"/>
    <xf numFmtId="4" fontId="6" fillId="0" borderId="26" xfId="0" applyNumberFormat="1" applyFont="1" applyFill="1" applyBorder="1" applyAlignment="1">
      <alignment horizontal="right"/>
    </xf>
    <xf numFmtId="4" fontId="6" fillId="0" borderId="26" xfId="0" applyNumberFormat="1" applyFont="1" applyFill="1" applyBorder="1"/>
    <xf numFmtId="4" fontId="9" fillId="0" borderId="26" xfId="0" applyNumberFormat="1" applyFont="1" applyFill="1" applyBorder="1"/>
    <xf numFmtId="0" fontId="7" fillId="0" borderId="0" xfId="0" applyFont="1" applyFill="1" applyBorder="1" applyAlignment="1">
      <alignment horizontal="center"/>
    </xf>
    <xf numFmtId="4" fontId="7" fillId="0" borderId="0" xfId="0" applyNumberFormat="1" applyFont="1" applyFill="1" applyAlignment="1">
      <alignment horizontal="center"/>
    </xf>
    <xf numFmtId="0" fontId="9" fillId="0" borderId="15" xfId="0" applyFont="1" applyFill="1" applyBorder="1" applyAlignment="1">
      <alignment horizontal="center" vertical="center"/>
    </xf>
    <xf numFmtId="0" fontId="21" fillId="0" borderId="0" xfId="0" applyFont="1" applyFill="1" applyAlignment="1"/>
    <xf numFmtId="0" fontId="11" fillId="0" borderId="15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43" fontId="9" fillId="0" borderId="15" xfId="0" applyNumberFormat="1" applyFont="1" applyFill="1" applyBorder="1" applyAlignment="1">
      <alignment horizontal="center" vertical="center"/>
    </xf>
    <xf numFmtId="0" fontId="4" fillId="0" borderId="0" xfId="5" applyFont="1" applyFill="1" applyAlignment="1">
      <alignment horizontal="center"/>
    </xf>
    <xf numFmtId="0" fontId="8" fillId="0" borderId="27" xfId="0" applyFont="1" applyFill="1" applyBorder="1" applyAlignment="1">
      <alignment horizontal="right"/>
    </xf>
    <xf numFmtId="0" fontId="5" fillId="0" borderId="13" xfId="4" applyFont="1" applyFill="1" applyBorder="1" applyAlignment="1">
      <alignment horizontal="center"/>
    </xf>
    <xf numFmtId="0" fontId="5" fillId="0" borderId="14" xfId="4" applyFont="1" applyFill="1" applyBorder="1" applyAlignment="1">
      <alignment horizontal="center"/>
    </xf>
    <xf numFmtId="0" fontId="5" fillId="0" borderId="29" xfId="4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49" fontId="6" fillId="0" borderId="17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6" fillId="0" borderId="27" xfId="0" applyNumberFormat="1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8" fillId="0" borderId="15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</cellXfs>
  <cellStyles count="6">
    <cellStyle name="Accent1" xfId="4" builtinId="29"/>
    <cellStyle name="Accent4" xfId="5" builtinId="41"/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F10" sqref="F10"/>
    </sheetView>
  </sheetViews>
  <sheetFormatPr defaultRowHeight="15" x14ac:dyDescent="0.25"/>
  <cols>
    <col min="1" max="1" width="9.140625" style="1"/>
    <col min="2" max="2" width="66" style="1" bestFit="1" customWidth="1"/>
    <col min="3" max="3" width="11.5703125" style="1" bestFit="1" customWidth="1"/>
    <col min="4" max="16384" width="9.140625" style="1"/>
  </cols>
  <sheetData>
    <row r="1" spans="1:3" ht="21" x14ac:dyDescent="0.35">
      <c r="B1" s="159" t="s">
        <v>1</v>
      </c>
      <c r="C1" s="159"/>
    </row>
    <row r="2" spans="1:3" x14ac:dyDescent="0.25">
      <c r="B2" s="2"/>
      <c r="C2" s="3" t="s">
        <v>2</v>
      </c>
    </row>
    <row r="3" spans="1:3" x14ac:dyDescent="0.25">
      <c r="B3" s="2"/>
      <c r="C3" s="3"/>
    </row>
    <row r="4" spans="1:3" ht="24.95" customHeight="1" x14ac:dyDescent="0.25">
      <c r="A4" s="4">
        <v>1</v>
      </c>
      <c r="B4" s="5" t="s">
        <v>0</v>
      </c>
      <c r="C4" s="6">
        <v>495</v>
      </c>
    </row>
    <row r="5" spans="1:3" ht="24.95" customHeight="1" x14ac:dyDescent="0.25">
      <c r="A5" s="4">
        <v>2</v>
      </c>
      <c r="B5" s="5" t="s">
        <v>3</v>
      </c>
      <c r="C5" s="6">
        <v>45</v>
      </c>
    </row>
    <row r="6" spans="1:3" ht="24.95" customHeight="1" x14ac:dyDescent="0.25">
      <c r="A6" s="4">
        <v>3</v>
      </c>
      <c r="B6" s="5" t="s">
        <v>4</v>
      </c>
      <c r="C6" s="6">
        <v>25</v>
      </c>
    </row>
    <row r="7" spans="1:3" ht="24.95" customHeight="1" x14ac:dyDescent="0.25">
      <c r="A7" s="4">
        <v>4</v>
      </c>
      <c r="B7" s="5" t="s">
        <v>5</v>
      </c>
      <c r="C7" s="6">
        <v>25</v>
      </c>
    </row>
    <row r="8" spans="1:3" ht="24.95" customHeight="1" x14ac:dyDescent="0.25">
      <c r="A8" s="4">
        <v>5</v>
      </c>
      <c r="B8" s="5" t="s">
        <v>6</v>
      </c>
      <c r="C8" s="6">
        <v>25</v>
      </c>
    </row>
    <row r="9" spans="1:3" ht="24.95" customHeight="1" x14ac:dyDescent="0.25">
      <c r="A9" s="4">
        <v>6</v>
      </c>
      <c r="B9" s="5" t="s">
        <v>7</v>
      </c>
      <c r="C9" s="6">
        <v>270</v>
      </c>
    </row>
    <row r="10" spans="1:3" ht="24.95" customHeight="1" x14ac:dyDescent="0.25">
      <c r="A10" s="4">
        <v>7</v>
      </c>
      <c r="B10" s="5" t="s">
        <v>8</v>
      </c>
      <c r="C10" s="6">
        <v>75</v>
      </c>
    </row>
    <row r="11" spans="1:3" ht="24.95" customHeight="1" x14ac:dyDescent="0.25">
      <c r="A11" s="4">
        <v>8</v>
      </c>
      <c r="B11" s="5" t="s">
        <v>9</v>
      </c>
      <c r="C11" s="6">
        <v>16</v>
      </c>
    </row>
    <row r="12" spans="1:3" ht="24.95" customHeight="1" x14ac:dyDescent="0.25">
      <c r="A12" s="4">
        <v>9</v>
      </c>
      <c r="B12" s="5" t="s">
        <v>227</v>
      </c>
      <c r="C12" s="6">
        <v>17</v>
      </c>
    </row>
    <row r="13" spans="1:3" ht="24.95" customHeight="1" x14ac:dyDescent="0.25">
      <c r="A13" s="4">
        <v>10</v>
      </c>
      <c r="B13" s="5" t="s">
        <v>228</v>
      </c>
      <c r="C13" s="6">
        <v>12</v>
      </c>
    </row>
    <row r="14" spans="1:3" ht="24.95" customHeight="1" x14ac:dyDescent="0.25">
      <c r="A14" s="4">
        <v>11</v>
      </c>
      <c r="B14" s="5" t="s">
        <v>27</v>
      </c>
      <c r="C14" s="6">
        <f>ROUND(0.05*SUM(C4:C12), 0)</f>
        <v>50</v>
      </c>
    </row>
    <row r="15" spans="1:3" ht="24.95" customHeight="1" x14ac:dyDescent="0.25">
      <c r="A15" s="4">
        <v>12</v>
      </c>
      <c r="B15" s="5" t="s">
        <v>10</v>
      </c>
      <c r="C15" s="6">
        <v>277.08</v>
      </c>
    </row>
    <row r="16" spans="1:3" ht="24.95" customHeight="1" thickBot="1" x14ac:dyDescent="0.3">
      <c r="C16" s="7"/>
    </row>
    <row r="17" spans="2:3" ht="24.95" customHeight="1" thickBot="1" x14ac:dyDescent="0.4">
      <c r="B17" s="8" t="s">
        <v>50</v>
      </c>
      <c r="C17" s="9">
        <f>SUM(C4:C16)</f>
        <v>1332.08</v>
      </c>
    </row>
    <row r="18" spans="2:3" x14ac:dyDescent="0.25">
      <c r="C18" s="7"/>
    </row>
    <row r="19" spans="2:3" x14ac:dyDescent="0.25">
      <c r="C19" s="7"/>
    </row>
    <row r="20" spans="2:3" x14ac:dyDescent="0.25">
      <c r="C20" s="7"/>
    </row>
    <row r="21" spans="2:3" x14ac:dyDescent="0.25">
      <c r="C21" s="7"/>
    </row>
    <row r="22" spans="2:3" x14ac:dyDescent="0.25">
      <c r="C22" s="7"/>
    </row>
    <row r="23" spans="2:3" x14ac:dyDescent="0.25">
      <c r="C23" s="7"/>
    </row>
    <row r="24" spans="2:3" x14ac:dyDescent="0.25">
      <c r="C24" s="7"/>
    </row>
    <row r="25" spans="2:3" x14ac:dyDescent="0.25">
      <c r="C25" s="7"/>
    </row>
    <row r="26" spans="2:3" x14ac:dyDescent="0.25">
      <c r="C26" s="7"/>
    </row>
    <row r="27" spans="2:3" x14ac:dyDescent="0.25">
      <c r="C27" s="7"/>
    </row>
    <row r="28" spans="2:3" x14ac:dyDescent="0.25">
      <c r="C28" s="7"/>
    </row>
    <row r="29" spans="2:3" x14ac:dyDescent="0.25">
      <c r="C29" s="7"/>
    </row>
    <row r="30" spans="2:3" x14ac:dyDescent="0.25">
      <c r="C30" s="7"/>
    </row>
    <row r="31" spans="2:3" x14ac:dyDescent="0.25">
      <c r="C31" s="7"/>
    </row>
    <row r="32" spans="2:3" x14ac:dyDescent="0.25">
      <c r="C32" s="7"/>
    </row>
    <row r="33" spans="3:3" x14ac:dyDescent="0.25">
      <c r="C33" s="7"/>
    </row>
    <row r="34" spans="3:3" x14ac:dyDescent="0.25">
      <c r="C34" s="7"/>
    </row>
  </sheetData>
  <mergeCells count="1">
    <mergeCell ref="B1:C1"/>
  </mergeCells>
  <pageMargins left="1.02" right="0.7" top="1.4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1"/>
  <sheetViews>
    <sheetView zoomScaleSheetLayoutView="106" workbookViewId="0">
      <selection sqref="A1:XFD1048576"/>
    </sheetView>
  </sheetViews>
  <sheetFormatPr defaultRowHeight="12.75" x14ac:dyDescent="0.2"/>
  <cols>
    <col min="1" max="1" width="33.42578125" style="64" customWidth="1"/>
    <col min="2" max="2" width="11.140625" style="64" hidden="1" customWidth="1"/>
    <col min="3" max="3" width="10" style="64" customWidth="1"/>
    <col min="4" max="5" width="8.85546875" style="64" customWidth="1"/>
    <col min="6" max="6" width="10.28515625" style="64" customWidth="1"/>
    <col min="7" max="8" width="10.140625" style="64" customWidth="1"/>
    <col min="9" max="9" width="10" style="64" customWidth="1"/>
    <col min="10" max="10" width="9" style="64" bestFit="1" customWidth="1"/>
    <col min="11" max="16384" width="9.140625" style="64"/>
  </cols>
  <sheetData>
    <row r="1" spans="1:11" ht="21" x14ac:dyDescent="0.35">
      <c r="A1" s="180" t="s">
        <v>66</v>
      </c>
      <c r="B1" s="181"/>
      <c r="C1" s="181"/>
      <c r="D1" s="181"/>
      <c r="E1" s="181"/>
      <c r="F1" s="181"/>
      <c r="G1" s="181"/>
      <c r="H1" s="181"/>
      <c r="I1" s="181"/>
      <c r="J1" s="182"/>
    </row>
    <row r="2" spans="1:1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1" x14ac:dyDescent="0.2">
      <c r="B3" s="65"/>
      <c r="C3" s="65"/>
      <c r="D3" s="65"/>
      <c r="E3" s="65"/>
      <c r="F3" s="65"/>
      <c r="G3" s="65"/>
      <c r="H3" s="65"/>
      <c r="I3" s="65"/>
      <c r="J3" s="65"/>
    </row>
    <row r="4" spans="1:11" x14ac:dyDescent="0.2">
      <c r="A4" s="66" t="s">
        <v>67</v>
      </c>
      <c r="B4" s="65"/>
      <c r="C4" s="67" t="s">
        <v>119</v>
      </c>
      <c r="D4" s="67" t="s">
        <v>120</v>
      </c>
      <c r="E4" s="67" t="s">
        <v>121</v>
      </c>
      <c r="F4" s="67" t="s">
        <v>122</v>
      </c>
      <c r="G4" s="67" t="s">
        <v>123</v>
      </c>
      <c r="H4" s="67" t="s">
        <v>124</v>
      </c>
      <c r="I4" s="67" t="s">
        <v>125</v>
      </c>
      <c r="J4" s="67" t="s">
        <v>126</v>
      </c>
      <c r="K4" s="68"/>
    </row>
    <row r="5" spans="1:11" x14ac:dyDescent="0.2">
      <c r="A5" s="65"/>
      <c r="B5" s="65"/>
      <c r="C5" s="65"/>
      <c r="D5" s="65"/>
      <c r="E5" s="65"/>
      <c r="F5" s="65"/>
      <c r="G5" s="65"/>
      <c r="H5" s="65"/>
      <c r="I5" s="65"/>
      <c r="J5" s="65"/>
    </row>
    <row r="6" spans="1:11" x14ac:dyDescent="0.2">
      <c r="A6" s="65" t="s">
        <v>68</v>
      </c>
      <c r="B6" s="65"/>
      <c r="C6" s="69">
        <v>0</v>
      </c>
      <c r="D6" s="69">
        <f>C27</f>
        <v>0</v>
      </c>
      <c r="E6" s="69">
        <f t="shared" ref="E6:J6" si="0">D27</f>
        <v>306.92000000000007</v>
      </c>
      <c r="F6" s="69">
        <f t="shared" si="0"/>
        <v>663.09650000000011</v>
      </c>
      <c r="G6" s="69">
        <f t="shared" si="0"/>
        <v>1074.1404083333334</v>
      </c>
      <c r="H6" s="69">
        <f t="shared" si="0"/>
        <v>1539.9454704166667</v>
      </c>
      <c r="I6" s="69">
        <f t="shared" si="0"/>
        <v>2060.3812439375001</v>
      </c>
      <c r="J6" s="69">
        <f t="shared" si="0"/>
        <v>2589.0364311343751</v>
      </c>
    </row>
    <row r="7" spans="1:11" x14ac:dyDescent="0.2">
      <c r="A7" s="65" t="s">
        <v>202</v>
      </c>
      <c r="B7" s="65"/>
      <c r="C7" s="69">
        <f>source!C5</f>
        <v>227.51999999999998</v>
      </c>
      <c r="D7" s="69"/>
      <c r="E7" s="69"/>
      <c r="F7" s="69"/>
      <c r="G7" s="69"/>
      <c r="H7" s="69"/>
      <c r="I7" s="69"/>
      <c r="J7" s="69"/>
    </row>
    <row r="8" spans="1:11" x14ac:dyDescent="0.2">
      <c r="A8" s="65" t="s">
        <v>69</v>
      </c>
      <c r="B8" s="65"/>
      <c r="C8" s="69">
        <f>cs!B33</f>
        <v>0</v>
      </c>
      <c r="D8" s="69">
        <f>cs!C33+cs!C26+cs!C27</f>
        <v>469.26</v>
      </c>
      <c r="E8" s="69">
        <f>cs!D33+cs!D26+cs!D27</f>
        <v>546.6</v>
      </c>
      <c r="F8" s="69">
        <f>cs!E33+cs!E26+cs!E27</f>
        <v>613.27</v>
      </c>
      <c r="G8" s="69">
        <f>cs!F33+cs!F26+cs!F27</f>
        <v>677.61</v>
      </c>
      <c r="H8" s="69">
        <f>cs!G33+cs!G26+cs!G27</f>
        <v>739.92000000000007</v>
      </c>
      <c r="I8" s="69">
        <f>cs!H33+cs!H26+cs!H27</f>
        <v>747.0200000000001</v>
      </c>
      <c r="J8" s="69">
        <f>cs!I33+cs!I26+cs!I27</f>
        <v>752.59999999999991</v>
      </c>
    </row>
    <row r="9" spans="1:11" x14ac:dyDescent="0.2">
      <c r="A9" s="65" t="s">
        <v>70</v>
      </c>
      <c r="B9" s="65"/>
      <c r="C9" s="69">
        <f>cs!B20</f>
        <v>0</v>
      </c>
      <c r="D9" s="69">
        <f>cs!C20</f>
        <v>131.21</v>
      </c>
      <c r="E9" s="69">
        <f>cs!D20</f>
        <v>105.46</v>
      </c>
      <c r="F9" s="69">
        <f>cs!E20</f>
        <v>90.24</v>
      </c>
      <c r="G9" s="69">
        <f>cs!F20</f>
        <v>77.25</v>
      </c>
      <c r="H9" s="69">
        <f>cs!G20</f>
        <v>66.16</v>
      </c>
      <c r="I9" s="69">
        <f>cs!H20</f>
        <v>56.68</v>
      </c>
      <c r="J9" s="69">
        <f>cs!I20</f>
        <v>48.57</v>
      </c>
    </row>
    <row r="10" spans="1:11" x14ac:dyDescent="0.2">
      <c r="A10" s="67" t="s">
        <v>58</v>
      </c>
      <c r="B10" s="65"/>
      <c r="C10" s="69"/>
      <c r="D10" s="69"/>
      <c r="E10" s="69"/>
      <c r="F10" s="69"/>
      <c r="G10" s="69"/>
      <c r="H10" s="69"/>
      <c r="I10" s="69"/>
      <c r="J10" s="69"/>
    </row>
    <row r="11" spans="1:11" x14ac:dyDescent="0.2">
      <c r="A11" s="65" t="s">
        <v>71</v>
      </c>
      <c r="B11" s="65"/>
      <c r="C11" s="69">
        <f>source!B8</f>
        <v>896.75</v>
      </c>
      <c r="D11" s="69"/>
      <c r="E11" s="69"/>
      <c r="F11" s="69"/>
      <c r="G11" s="69"/>
      <c r="H11" s="69"/>
      <c r="I11" s="69"/>
      <c r="J11" s="69"/>
    </row>
    <row r="12" spans="1:11" x14ac:dyDescent="0.2">
      <c r="A12" s="65" t="s">
        <v>59</v>
      </c>
      <c r="B12" s="65"/>
      <c r="C12" s="69">
        <f>source!B9</f>
        <v>207.81</v>
      </c>
      <c r="D12" s="69">
        <f>wcl!C9-wcl!B9</f>
        <v>0</v>
      </c>
      <c r="E12" s="69">
        <f>wcl!D9-wcl!C9</f>
        <v>17.22999999999999</v>
      </c>
      <c r="F12" s="69">
        <f>wcl!E9-wcl!D9</f>
        <v>17.240000000000009</v>
      </c>
      <c r="G12" s="69">
        <f>wcl!F9-wcl!E9</f>
        <v>17.239999999999981</v>
      </c>
      <c r="H12" s="69">
        <f>wcl!G9-wcl!F9</f>
        <v>17.259999999999991</v>
      </c>
      <c r="I12" s="69">
        <f>wcl!H9-wcl!G9</f>
        <v>0.15000000000003411</v>
      </c>
      <c r="J12" s="69">
        <f>wcl!I9-wcl!H9</f>
        <v>0.17000000000001592</v>
      </c>
    </row>
    <row r="13" spans="1:11" x14ac:dyDescent="0.2">
      <c r="A13" s="65"/>
      <c r="B13" s="65"/>
      <c r="C13" s="69"/>
      <c r="D13" s="69"/>
      <c r="E13" s="69"/>
      <c r="F13" s="69"/>
      <c r="G13" s="69"/>
      <c r="H13" s="69"/>
      <c r="I13" s="69"/>
      <c r="J13" s="69"/>
    </row>
    <row r="14" spans="1:11" s="71" customFormat="1" x14ac:dyDescent="0.2">
      <c r="A14" s="67" t="s">
        <v>50</v>
      </c>
      <c r="B14" s="67"/>
      <c r="C14" s="70">
        <f>SUM(C6:C13)</f>
        <v>1332.08</v>
      </c>
      <c r="D14" s="70">
        <f t="shared" ref="D14:J14" si="1">SUM(D6:D13)</f>
        <v>600.47</v>
      </c>
      <c r="E14" s="70">
        <f t="shared" si="1"/>
        <v>976.21000000000015</v>
      </c>
      <c r="F14" s="70">
        <f t="shared" si="1"/>
        <v>1383.8465000000001</v>
      </c>
      <c r="G14" s="70">
        <f t="shared" si="1"/>
        <v>1846.2404083333333</v>
      </c>
      <c r="H14" s="70">
        <f t="shared" si="1"/>
        <v>2363.2854704166666</v>
      </c>
      <c r="I14" s="70">
        <f t="shared" si="1"/>
        <v>2864.2312439375</v>
      </c>
      <c r="J14" s="70">
        <f t="shared" si="1"/>
        <v>3390.3764311343753</v>
      </c>
    </row>
    <row r="15" spans="1:11" x14ac:dyDescent="0.2">
      <c r="A15" s="65"/>
      <c r="B15" s="65"/>
      <c r="C15" s="69"/>
      <c r="D15" s="69"/>
      <c r="E15" s="69"/>
      <c r="F15" s="69"/>
      <c r="G15" s="69"/>
      <c r="H15" s="69"/>
      <c r="I15" s="69"/>
      <c r="J15" s="69"/>
    </row>
    <row r="16" spans="1:11" x14ac:dyDescent="0.2">
      <c r="A16" s="66" t="s">
        <v>72</v>
      </c>
      <c r="B16" s="65"/>
      <c r="C16" s="69"/>
      <c r="D16" s="69"/>
      <c r="E16" s="69"/>
      <c r="F16" s="69"/>
      <c r="G16" s="69"/>
      <c r="H16" s="69"/>
      <c r="I16" s="69"/>
      <c r="J16" s="69"/>
    </row>
    <row r="17" spans="1:10" x14ac:dyDescent="0.2">
      <c r="A17" s="65"/>
      <c r="B17" s="65"/>
      <c r="C17" s="69"/>
      <c r="D17" s="69"/>
      <c r="E17" s="69"/>
      <c r="F17" s="69"/>
      <c r="G17" s="69"/>
      <c r="H17" s="69"/>
      <c r="I17" s="69"/>
      <c r="J17" s="69"/>
    </row>
    <row r="18" spans="1:10" x14ac:dyDescent="0.2">
      <c r="A18" s="67" t="s">
        <v>62</v>
      </c>
      <c r="B18" s="65"/>
      <c r="C18" s="69">
        <f>depn!C10+cost!C9+depn!D10</f>
        <v>1055</v>
      </c>
      <c r="D18" s="69"/>
      <c r="E18" s="69"/>
      <c r="F18" s="69"/>
      <c r="G18" s="69"/>
      <c r="H18" s="69"/>
      <c r="I18" s="69"/>
      <c r="J18" s="69"/>
    </row>
    <row r="19" spans="1:10" x14ac:dyDescent="0.2">
      <c r="A19" s="65" t="s">
        <v>73</v>
      </c>
      <c r="B19" s="65"/>
      <c r="C19" s="69">
        <f>cost!C15</f>
        <v>277.08</v>
      </c>
      <c r="D19" s="69">
        <f>ROUND(wc!D14-cf!C19, 0)</f>
        <v>0</v>
      </c>
      <c r="E19" s="69">
        <f>wc!E14-wc!D14</f>
        <v>22.973500000000001</v>
      </c>
      <c r="F19" s="69">
        <f>wc!F14-wc!E14</f>
        <v>22.986091666666653</v>
      </c>
      <c r="G19" s="69">
        <f>wc!G14-wc!F14</f>
        <v>22.994937916666686</v>
      </c>
      <c r="H19" s="69">
        <f>wc!H14-wc!G14</f>
        <v>23.004226479166618</v>
      </c>
      <c r="I19" s="69">
        <f>wc!I14-wc!H14</f>
        <v>0.20481280312503714</v>
      </c>
      <c r="J19" s="69">
        <f>wc!J14-wc!I14</f>
        <v>0.2150534432812492</v>
      </c>
    </row>
    <row r="20" spans="1:10" x14ac:dyDescent="0.2">
      <c r="A20" s="65"/>
      <c r="B20" s="65"/>
      <c r="C20" s="69"/>
      <c r="D20" s="69"/>
      <c r="E20" s="69"/>
      <c r="F20" s="69"/>
      <c r="G20" s="69"/>
      <c r="H20" s="69"/>
      <c r="I20" s="69"/>
      <c r="J20" s="69"/>
    </row>
    <row r="21" spans="1:10" x14ac:dyDescent="0.2">
      <c r="A21" s="67" t="s">
        <v>74</v>
      </c>
      <c r="B21" s="65"/>
      <c r="C21" s="69"/>
      <c r="D21" s="69"/>
      <c r="E21" s="69"/>
      <c r="F21" s="69"/>
      <c r="G21" s="69"/>
      <c r="H21" s="69"/>
      <c r="I21" s="69"/>
      <c r="J21" s="69"/>
    </row>
    <row r="22" spans="1:10" x14ac:dyDescent="0.2">
      <c r="A22" s="65" t="s">
        <v>51</v>
      </c>
      <c r="B22" s="65"/>
      <c r="C22" s="69">
        <f>cs!B26</f>
        <v>0</v>
      </c>
      <c r="D22" s="69">
        <f>cs!C26</f>
        <v>110.62</v>
      </c>
      <c r="E22" s="69">
        <f>cs!D26</f>
        <v>93.72</v>
      </c>
      <c r="F22" s="69">
        <f>cs!E26</f>
        <v>76.8</v>
      </c>
      <c r="G22" s="69">
        <f>cs!F26</f>
        <v>59.89</v>
      </c>
      <c r="H22" s="69">
        <f>cs!G26</f>
        <v>42.99</v>
      </c>
      <c r="I22" s="69">
        <f>cs!H26</f>
        <v>26.07</v>
      </c>
      <c r="J22" s="69">
        <f>cs!I26</f>
        <v>9.15</v>
      </c>
    </row>
    <row r="23" spans="1:10" x14ac:dyDescent="0.2">
      <c r="A23" s="65" t="s">
        <v>75</v>
      </c>
      <c r="B23" s="65"/>
      <c r="C23" s="69">
        <v>0</v>
      </c>
      <c r="D23" s="69">
        <f>cs!C27</f>
        <v>18.010000000000002</v>
      </c>
      <c r="E23" s="69">
        <f>cs!D27</f>
        <v>19.5</v>
      </c>
      <c r="F23" s="69">
        <f>cs!E27</f>
        <v>21</v>
      </c>
      <c r="G23" s="69">
        <f>cs!F27</f>
        <v>22.49</v>
      </c>
      <c r="H23" s="69">
        <f>cs!G27</f>
        <v>23.99</v>
      </c>
      <c r="I23" s="69">
        <f>cs!H27</f>
        <v>24</v>
      </c>
      <c r="J23" s="69">
        <f>cs!I27</f>
        <v>24.02</v>
      </c>
    </row>
    <row r="24" spans="1:10" x14ac:dyDescent="0.2">
      <c r="A24" s="65" t="s">
        <v>76</v>
      </c>
      <c r="B24" s="65"/>
      <c r="C24" s="69">
        <f>cs!B41</f>
        <v>0</v>
      </c>
      <c r="D24" s="69">
        <f>cs!C41</f>
        <v>140.91999999999999</v>
      </c>
      <c r="E24" s="69">
        <f>cs!D41</f>
        <v>140.91999999999999</v>
      </c>
      <c r="F24" s="69">
        <f>cs!E41</f>
        <v>140.91999999999999</v>
      </c>
      <c r="G24" s="69">
        <f>cs!F41</f>
        <v>140.91999999999999</v>
      </c>
      <c r="H24" s="69">
        <f>cs!G41</f>
        <v>140.91999999999999</v>
      </c>
      <c r="I24" s="69">
        <f>cs!H41</f>
        <v>140.91999999999999</v>
      </c>
      <c r="J24" s="69">
        <f>cs!I41</f>
        <v>140.91999999999999</v>
      </c>
    </row>
    <row r="25" spans="1:10" x14ac:dyDescent="0.2">
      <c r="A25" s="65" t="s">
        <v>77</v>
      </c>
      <c r="B25" s="65"/>
      <c r="C25" s="69">
        <v>0</v>
      </c>
      <c r="D25" s="69">
        <f>1*12*2</f>
        <v>24</v>
      </c>
      <c r="E25" s="69">
        <f>1.5*12*2</f>
        <v>36</v>
      </c>
      <c r="F25" s="69">
        <f>2*12*2</f>
        <v>48</v>
      </c>
      <c r="G25" s="69">
        <f>2.5*12*2</f>
        <v>60</v>
      </c>
      <c r="H25" s="69">
        <f>3*12*2</f>
        <v>72</v>
      </c>
      <c r="I25" s="69">
        <f>3.5*12*2</f>
        <v>84</v>
      </c>
      <c r="J25" s="69">
        <f>4*12*2</f>
        <v>96</v>
      </c>
    </row>
    <row r="26" spans="1:10" x14ac:dyDescent="0.2">
      <c r="A26" s="65" t="s">
        <v>203</v>
      </c>
      <c r="B26" s="65"/>
      <c r="C26" s="69">
        <v>0</v>
      </c>
      <c r="D26" s="69">
        <v>0</v>
      </c>
      <c r="E26" s="69">
        <v>0</v>
      </c>
      <c r="F26" s="69">
        <v>0</v>
      </c>
      <c r="G26" s="69">
        <v>0</v>
      </c>
      <c r="H26" s="69">
        <v>0</v>
      </c>
      <c r="I26" s="69">
        <v>0</v>
      </c>
      <c r="J26" s="69">
        <v>0</v>
      </c>
    </row>
    <row r="27" spans="1:10" x14ac:dyDescent="0.2">
      <c r="A27" s="65" t="s">
        <v>78</v>
      </c>
      <c r="B27" s="65"/>
      <c r="C27" s="69">
        <f>C14-SUM(C18:C26)</f>
        <v>0</v>
      </c>
      <c r="D27" s="69">
        <f t="shared" ref="D27:J27" si="2">D14-SUM(D18:D26)</f>
        <v>306.92000000000007</v>
      </c>
      <c r="E27" s="69">
        <f t="shared" si="2"/>
        <v>663.09650000000011</v>
      </c>
      <c r="F27" s="69">
        <f t="shared" si="2"/>
        <v>1074.1404083333334</v>
      </c>
      <c r="G27" s="69">
        <f t="shared" si="2"/>
        <v>1539.9454704166667</v>
      </c>
      <c r="H27" s="69">
        <f t="shared" si="2"/>
        <v>2060.3812439375001</v>
      </c>
      <c r="I27" s="69">
        <f t="shared" si="2"/>
        <v>2589.0364311343751</v>
      </c>
      <c r="J27" s="69">
        <f t="shared" si="2"/>
        <v>3120.0713776910939</v>
      </c>
    </row>
    <row r="28" spans="1:10" x14ac:dyDescent="0.2">
      <c r="A28" s="65"/>
      <c r="B28" s="65"/>
      <c r="C28" s="69"/>
      <c r="D28" s="69"/>
      <c r="E28" s="69"/>
      <c r="F28" s="69"/>
      <c r="G28" s="69"/>
      <c r="H28" s="69"/>
      <c r="I28" s="69"/>
      <c r="J28" s="69"/>
    </row>
    <row r="29" spans="1:10" s="71" customFormat="1" x14ac:dyDescent="0.2">
      <c r="A29" s="67" t="s">
        <v>50</v>
      </c>
      <c r="B29" s="67"/>
      <c r="C29" s="70">
        <f>SUM(C18:C28)</f>
        <v>1332.08</v>
      </c>
      <c r="D29" s="70">
        <f>SUM(D18:D28)</f>
        <v>600.47</v>
      </c>
      <c r="E29" s="70">
        <f t="shared" ref="E29:J29" si="3">SUM(E18:E28)</f>
        <v>976.21</v>
      </c>
      <c r="F29" s="70">
        <f t="shared" si="3"/>
        <v>1383.8465000000001</v>
      </c>
      <c r="G29" s="70">
        <f t="shared" si="3"/>
        <v>1846.2404083333333</v>
      </c>
      <c r="H29" s="70">
        <f t="shared" si="3"/>
        <v>2363.2854704166666</v>
      </c>
      <c r="I29" s="70">
        <f t="shared" si="3"/>
        <v>2864.2312439375</v>
      </c>
      <c r="J29" s="70">
        <f t="shared" si="3"/>
        <v>3390.3764311343753</v>
      </c>
    </row>
    <row r="30" spans="1:10" x14ac:dyDescent="0.2">
      <c r="A30" s="65"/>
      <c r="B30" s="65"/>
      <c r="C30" s="65"/>
      <c r="D30" s="65"/>
      <c r="E30" s="65"/>
      <c r="F30" s="65"/>
      <c r="G30" s="65"/>
      <c r="H30" s="65"/>
      <c r="I30" s="65"/>
      <c r="J30" s="65"/>
    </row>
    <row r="31" spans="1:10" x14ac:dyDescent="0.2">
      <c r="A31" s="72" t="s">
        <v>219</v>
      </c>
      <c r="B31" s="65"/>
      <c r="C31" s="65"/>
      <c r="D31" s="65"/>
      <c r="E31" s="65"/>
      <c r="F31" s="65"/>
      <c r="G31" s="65"/>
      <c r="H31" s="65"/>
      <c r="I31" s="65"/>
      <c r="J31" s="65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7"/>
  <sheetViews>
    <sheetView topLeftCell="A7" zoomScaleSheetLayoutView="106" workbookViewId="0">
      <selection activeCell="B19" sqref="B19"/>
    </sheetView>
  </sheetViews>
  <sheetFormatPr defaultRowHeight="15" x14ac:dyDescent="0.25"/>
  <cols>
    <col min="1" max="1" width="44" style="2" customWidth="1"/>
    <col min="2" max="2" width="7.42578125" style="2" bestFit="1" customWidth="1"/>
    <col min="3" max="9" width="9" style="2" bestFit="1" customWidth="1"/>
    <col min="10" max="14" width="9.140625" style="2"/>
    <col min="15" max="15" width="11.140625" style="2" bestFit="1" customWidth="1"/>
    <col min="16" max="16384" width="9.140625" style="2"/>
  </cols>
  <sheetData>
    <row r="1" spans="1:15" ht="21" x14ac:dyDescent="0.35">
      <c r="A1" s="183" t="s">
        <v>245</v>
      </c>
      <c r="B1" s="183"/>
      <c r="C1" s="183"/>
      <c r="D1" s="183"/>
      <c r="E1" s="183"/>
      <c r="F1" s="183"/>
      <c r="G1" s="183"/>
      <c r="H1" s="183"/>
      <c r="I1" s="183"/>
    </row>
    <row r="2" spans="1:15" x14ac:dyDescent="0.25">
      <c r="H2" s="184" t="s">
        <v>2</v>
      </c>
      <c r="I2" s="184"/>
    </row>
    <row r="5" spans="1:15" x14ac:dyDescent="0.25">
      <c r="A5" s="59" t="s">
        <v>26</v>
      </c>
      <c r="B5" s="15" t="s">
        <v>119</v>
      </c>
      <c r="C5" s="15" t="s">
        <v>120</v>
      </c>
      <c r="D5" s="15" t="s">
        <v>121</v>
      </c>
      <c r="E5" s="15" t="s">
        <v>122</v>
      </c>
      <c r="F5" s="15" t="s">
        <v>123</v>
      </c>
      <c r="G5" s="15" t="s">
        <v>124</v>
      </c>
      <c r="H5" s="15" t="s">
        <v>125</v>
      </c>
      <c r="I5" s="15" t="s">
        <v>126</v>
      </c>
    </row>
    <row r="6" spans="1:15" x14ac:dyDescent="0.25">
      <c r="A6" s="60" t="s">
        <v>49</v>
      </c>
      <c r="B6" s="61">
        <v>0.6</v>
      </c>
      <c r="C6" s="61">
        <f>process!C15</f>
        <v>0.6</v>
      </c>
      <c r="D6" s="61">
        <f>process!D15</f>
        <v>0.65</v>
      </c>
      <c r="E6" s="61">
        <f>process!E15</f>
        <v>0.7</v>
      </c>
      <c r="F6" s="61">
        <f>process!F15</f>
        <v>0.75</v>
      </c>
      <c r="G6" s="61">
        <f>process!G15</f>
        <v>0.8</v>
      </c>
      <c r="H6" s="61">
        <f>G6</f>
        <v>0.8</v>
      </c>
      <c r="I6" s="61">
        <f>H6</f>
        <v>0.8</v>
      </c>
    </row>
    <row r="7" spans="1:15" x14ac:dyDescent="0.25">
      <c r="A7" s="14"/>
      <c r="B7" s="15"/>
      <c r="C7" s="15"/>
      <c r="D7" s="15"/>
      <c r="E7" s="15"/>
      <c r="F7" s="15"/>
      <c r="G7" s="15"/>
      <c r="H7" s="15"/>
      <c r="I7" s="15"/>
    </row>
    <row r="8" spans="1:15" x14ac:dyDescent="0.25">
      <c r="A8" s="20" t="s">
        <v>79</v>
      </c>
      <c r="B8" s="21">
        <v>0</v>
      </c>
      <c r="C8" s="22">
        <f>B11</f>
        <v>150.87</v>
      </c>
      <c r="D8" s="22">
        <f t="shared" ref="D8:I8" si="0">C11</f>
        <v>150.87</v>
      </c>
      <c r="E8" s="22">
        <f t="shared" si="0"/>
        <v>163.4425</v>
      </c>
      <c r="F8" s="22">
        <f t="shared" si="0"/>
        <v>176.01499999999999</v>
      </c>
      <c r="G8" s="22">
        <f t="shared" si="0"/>
        <v>188.58750000000001</v>
      </c>
      <c r="H8" s="22">
        <f t="shared" si="0"/>
        <v>201.16</v>
      </c>
      <c r="I8" s="22">
        <f t="shared" si="0"/>
        <v>201.16</v>
      </c>
    </row>
    <row r="9" spans="1:15" x14ac:dyDescent="0.25">
      <c r="A9" s="15" t="s">
        <v>246</v>
      </c>
      <c r="B9" s="22">
        <f>B10-B8</f>
        <v>251.45</v>
      </c>
      <c r="C9" s="22">
        <f>C10-C8</f>
        <v>603.48</v>
      </c>
      <c r="D9" s="22">
        <f t="shared" ref="D9:I9" si="1">D10-D8</f>
        <v>666.34249999999997</v>
      </c>
      <c r="E9" s="22">
        <f t="shared" si="1"/>
        <v>716.63249999999994</v>
      </c>
      <c r="F9" s="22">
        <f t="shared" si="1"/>
        <v>766.92250000000001</v>
      </c>
      <c r="G9" s="22">
        <f t="shared" si="1"/>
        <v>817.21249999999998</v>
      </c>
      <c r="H9" s="22">
        <f t="shared" si="1"/>
        <v>804.64</v>
      </c>
      <c r="I9" s="22">
        <f t="shared" si="1"/>
        <v>804.64</v>
      </c>
    </row>
    <row r="10" spans="1:15" x14ac:dyDescent="0.25">
      <c r="A10" s="15"/>
      <c r="B10" s="31">
        <f>B11+B12</f>
        <v>251.45</v>
      </c>
      <c r="C10" s="31">
        <f>C11+C12</f>
        <v>754.35</v>
      </c>
      <c r="D10" s="31">
        <f t="shared" ref="D10:I10" si="2">D11+D12</f>
        <v>817.21249999999998</v>
      </c>
      <c r="E10" s="31">
        <f t="shared" si="2"/>
        <v>880.07499999999993</v>
      </c>
      <c r="F10" s="31">
        <f t="shared" si="2"/>
        <v>942.9375</v>
      </c>
      <c r="G10" s="31">
        <f t="shared" si="2"/>
        <v>1005.8</v>
      </c>
      <c r="H10" s="31">
        <f t="shared" si="2"/>
        <v>1005.8</v>
      </c>
      <c r="I10" s="31">
        <f t="shared" si="2"/>
        <v>1005.8</v>
      </c>
    </row>
    <row r="11" spans="1:15" x14ac:dyDescent="0.25">
      <c r="A11" s="15" t="s">
        <v>247</v>
      </c>
      <c r="B11" s="62">
        <f>wc!D9</f>
        <v>150.87</v>
      </c>
      <c r="C11" s="32">
        <f>wc!D9</f>
        <v>150.87</v>
      </c>
      <c r="D11" s="32">
        <f>wc!E9</f>
        <v>163.4425</v>
      </c>
      <c r="E11" s="32">
        <f>wc!F9</f>
        <v>176.01499999999999</v>
      </c>
      <c r="F11" s="32">
        <f>wc!G9</f>
        <v>188.58750000000001</v>
      </c>
      <c r="G11" s="32">
        <f>wc!H9</f>
        <v>201.16</v>
      </c>
      <c r="H11" s="32">
        <f>wc!I9</f>
        <v>201.16</v>
      </c>
      <c r="I11" s="32">
        <f>wc!J9</f>
        <v>201.16</v>
      </c>
    </row>
    <row r="12" spans="1:15" x14ac:dyDescent="0.25">
      <c r="A12" s="20" t="s">
        <v>80</v>
      </c>
      <c r="B12" s="21">
        <f>C12/6</f>
        <v>100.58</v>
      </c>
      <c r="C12" s="22">
        <f>process!C16</f>
        <v>603.48</v>
      </c>
      <c r="D12" s="22">
        <f>process!D16</f>
        <v>653.77</v>
      </c>
      <c r="E12" s="22">
        <f>process!E16</f>
        <v>704.06</v>
      </c>
      <c r="F12" s="22">
        <f>process!F16</f>
        <v>754.35</v>
      </c>
      <c r="G12" s="22">
        <f>process!G16</f>
        <v>804.64</v>
      </c>
      <c r="H12" s="22">
        <f>G12</f>
        <v>804.64</v>
      </c>
      <c r="I12" s="22">
        <f>H12</f>
        <v>804.64</v>
      </c>
    </row>
    <row r="13" spans="1:15" x14ac:dyDescent="0.25">
      <c r="A13" s="20" t="s">
        <v>81</v>
      </c>
      <c r="B13" s="21">
        <v>0</v>
      </c>
      <c r="C13" s="22">
        <f>wc!D10*12</f>
        <v>19.440000000000001</v>
      </c>
      <c r="D13" s="22">
        <f>wc!E10*12</f>
        <v>20.412000000000003</v>
      </c>
      <c r="E13" s="22">
        <f>wc!F10*12</f>
        <v>21.432600000000004</v>
      </c>
      <c r="F13" s="22">
        <f>wc!G10*12</f>
        <v>22.504230000000007</v>
      </c>
      <c r="G13" s="22">
        <f>wc!H10*12</f>
        <v>23.629441500000006</v>
      </c>
      <c r="H13" s="22">
        <f>wc!I10*12</f>
        <v>24.810913575000008</v>
      </c>
      <c r="I13" s="22">
        <f>wc!J10*12</f>
        <v>26.051459253750007</v>
      </c>
    </row>
    <row r="14" spans="1:15" ht="18.75" x14ac:dyDescent="0.25">
      <c r="A14" s="33" t="s">
        <v>82</v>
      </c>
      <c r="B14" s="37">
        <f t="shared" ref="B14:I14" si="3">B12+B13</f>
        <v>100.58</v>
      </c>
      <c r="C14" s="34">
        <f t="shared" si="3"/>
        <v>622.92000000000007</v>
      </c>
      <c r="D14" s="35">
        <f t="shared" si="3"/>
        <v>674.18200000000002</v>
      </c>
      <c r="E14" s="35">
        <f t="shared" si="3"/>
        <v>725.49259999999992</v>
      </c>
      <c r="F14" s="35">
        <f t="shared" si="3"/>
        <v>776.85423000000003</v>
      </c>
      <c r="G14" s="35">
        <f t="shared" si="3"/>
        <v>828.26944149999997</v>
      </c>
      <c r="H14" s="35">
        <f t="shared" si="3"/>
        <v>829.45091357499996</v>
      </c>
      <c r="I14" s="35">
        <f t="shared" si="3"/>
        <v>830.69145925374994</v>
      </c>
    </row>
    <row r="15" spans="1:15" x14ac:dyDescent="0.25">
      <c r="A15" s="36" t="s">
        <v>248</v>
      </c>
      <c r="B15" s="21"/>
      <c r="C15" s="22"/>
      <c r="D15" s="21"/>
      <c r="E15" s="22"/>
      <c r="F15" s="21"/>
      <c r="G15" s="22"/>
      <c r="H15" s="21"/>
      <c r="I15" s="22"/>
      <c r="O15" s="2">
        <f>380450/0.004</f>
        <v>95112500</v>
      </c>
    </row>
    <row r="16" spans="1:15" x14ac:dyDescent="0.25">
      <c r="A16" s="20" t="s">
        <v>154</v>
      </c>
      <c r="B16" s="21">
        <f>C16/6</f>
        <v>10.53</v>
      </c>
      <c r="C16" s="22">
        <f>ROUND((process!C24+process!C30)/100000, 2)</f>
        <v>63.18</v>
      </c>
      <c r="D16" s="22">
        <f>ROUND((process!D24+process!D30)/100000, 2)</f>
        <v>68.45</v>
      </c>
      <c r="E16" s="22">
        <f>ROUND((process!E24+process!E30)/100000, 2)</f>
        <v>73.709999999999994</v>
      </c>
      <c r="F16" s="22">
        <f>ROUND((process!F24+process!F30)/100000, 2)</f>
        <v>78.98</v>
      </c>
      <c r="G16" s="22">
        <f>ROUND((process!G24+process!G30)/100000, 2)</f>
        <v>84.24</v>
      </c>
      <c r="H16" s="22">
        <f>G16</f>
        <v>84.24</v>
      </c>
      <c r="I16" s="22">
        <f>H16</f>
        <v>84.24</v>
      </c>
    </row>
    <row r="17" spans="1:9" x14ac:dyDescent="0.25">
      <c r="A17" s="20" t="s">
        <v>175</v>
      </c>
      <c r="B17" s="21">
        <f t="shared" ref="B17:B21" si="4">C17/6</f>
        <v>2.16</v>
      </c>
      <c r="C17" s="22">
        <f>ROUND(process!C38/100000, 2)</f>
        <v>12.96</v>
      </c>
      <c r="D17" s="22">
        <f>ROUND(process!D38/100000, 2)</f>
        <v>14.04</v>
      </c>
      <c r="E17" s="22">
        <f>ROUND(process!E38/100000, 2)</f>
        <v>15.12</v>
      </c>
      <c r="F17" s="22">
        <f>ROUND(process!F38/100000, 2)</f>
        <v>16.2</v>
      </c>
      <c r="G17" s="22">
        <f>ROUND(process!G38/100000, 2)</f>
        <v>17.28</v>
      </c>
      <c r="H17" s="22">
        <f>G17</f>
        <v>17.28</v>
      </c>
      <c r="I17" s="22">
        <f>H17</f>
        <v>17.28</v>
      </c>
    </row>
    <row r="18" spans="1:9" x14ac:dyDescent="0.25">
      <c r="A18" s="20" t="s">
        <v>153</v>
      </c>
      <c r="B18" s="21">
        <f t="shared" si="4"/>
        <v>3.5</v>
      </c>
      <c r="C18" s="22">
        <f>wc!D11*12</f>
        <v>21</v>
      </c>
      <c r="D18" s="22">
        <f>wc!E11*12</f>
        <v>22.05</v>
      </c>
      <c r="E18" s="22">
        <f>wc!F11*12</f>
        <v>23.152500000000003</v>
      </c>
      <c r="F18" s="22">
        <f>wc!G11*12</f>
        <v>24.310125000000006</v>
      </c>
      <c r="G18" s="22">
        <f>wc!H11*12</f>
        <v>25.525631250000004</v>
      </c>
      <c r="H18" s="22">
        <f>wc!I11*12</f>
        <v>26.801912812500007</v>
      </c>
      <c r="I18" s="22">
        <f>wc!J11*12</f>
        <v>28.142008453125005</v>
      </c>
    </row>
    <row r="19" spans="1:9" ht="30" x14ac:dyDescent="0.25">
      <c r="A19" s="20" t="s">
        <v>177</v>
      </c>
      <c r="B19" s="21">
        <f t="shared" si="4"/>
        <v>0.14499999999999999</v>
      </c>
      <c r="C19" s="22">
        <f>ROUND(depn!F10*0.001, 2)</f>
        <v>0.87</v>
      </c>
      <c r="D19" s="22">
        <f>ROUND(depn!G10*0.001, 2)</f>
        <v>0.74</v>
      </c>
      <c r="E19" s="22">
        <f>ROUND(depn!H10*0.001, 2)</f>
        <v>0.64</v>
      </c>
      <c r="F19" s="22">
        <f>ROUND(depn!I10*0.001, 2)</f>
        <v>0.55000000000000004</v>
      </c>
      <c r="G19" s="22">
        <f>ROUND(depn!J10*0.001, 2)</f>
        <v>0.47</v>
      </c>
      <c r="H19" s="22">
        <f>ROUND(depn!K10*0.001, 2)</f>
        <v>0.4</v>
      </c>
      <c r="I19" s="22">
        <f>ROUND(depn!L10*0.001, 2)</f>
        <v>0.35</v>
      </c>
    </row>
    <row r="20" spans="1:9" x14ac:dyDescent="0.25">
      <c r="A20" s="20" t="s">
        <v>176</v>
      </c>
      <c r="B20" s="21">
        <v>0</v>
      </c>
      <c r="C20" s="22">
        <f>depn!G12</f>
        <v>131.21</v>
      </c>
      <c r="D20" s="22">
        <f>depn!H12</f>
        <v>105.46</v>
      </c>
      <c r="E20" s="22">
        <f>depn!I12</f>
        <v>90.24</v>
      </c>
      <c r="F20" s="22">
        <f>depn!J12</f>
        <v>77.25</v>
      </c>
      <c r="G20" s="22">
        <f>depn!K12</f>
        <v>66.16</v>
      </c>
      <c r="H20" s="22">
        <f>depn!L12</f>
        <v>56.68</v>
      </c>
      <c r="I20" s="22">
        <f>depn!M12</f>
        <v>48.57</v>
      </c>
    </row>
    <row r="21" spans="1:9" x14ac:dyDescent="0.25">
      <c r="A21" s="20" t="s">
        <v>178</v>
      </c>
      <c r="B21" s="21">
        <f t="shared" si="4"/>
        <v>0.8716666666666667</v>
      </c>
      <c r="C21" s="22">
        <f>ROUND(process!C43/100000, 2)</f>
        <v>5.23</v>
      </c>
      <c r="D21" s="22">
        <f>ROUND(process!D43/100000, 2)</f>
        <v>5.67</v>
      </c>
      <c r="E21" s="22">
        <f>ROUND(process!E43/100000, 2)</f>
        <v>6.1</v>
      </c>
      <c r="F21" s="22">
        <f>ROUND(process!F43/100000, 2)</f>
        <v>6.54</v>
      </c>
      <c r="G21" s="22">
        <f>ROUND(process!G43/100000, 2)</f>
        <v>6.98</v>
      </c>
      <c r="H21" s="22">
        <f>G21</f>
        <v>6.98</v>
      </c>
      <c r="I21" s="22">
        <f>H21</f>
        <v>6.98</v>
      </c>
    </row>
    <row r="22" spans="1:9" ht="18.75" x14ac:dyDescent="0.25">
      <c r="A22" s="33" t="s">
        <v>83</v>
      </c>
      <c r="B22" s="35">
        <f>B14+B16+B17+B18+B19+B20+B21</f>
        <v>117.78666666666666</v>
      </c>
      <c r="C22" s="35">
        <f>C14+C16+C17+C18+C19+C20+C21</f>
        <v>857.37000000000012</v>
      </c>
      <c r="D22" s="35">
        <f t="shared" ref="D22:I22" si="5">D14+D16+D17+D18+D19+D20+D21</f>
        <v>890.59199999999998</v>
      </c>
      <c r="E22" s="35">
        <f t="shared" si="5"/>
        <v>934.45510000000002</v>
      </c>
      <c r="F22" s="35">
        <f t="shared" si="5"/>
        <v>980.68435499999998</v>
      </c>
      <c r="G22" s="35">
        <f t="shared" si="5"/>
        <v>1028.9250727499998</v>
      </c>
      <c r="H22" s="35">
        <f t="shared" si="5"/>
        <v>1021.8328263874998</v>
      </c>
      <c r="I22" s="35">
        <f t="shared" si="5"/>
        <v>1016.253467706875</v>
      </c>
    </row>
    <row r="23" spans="1:9" x14ac:dyDescent="0.25">
      <c r="A23" s="15" t="s">
        <v>249</v>
      </c>
      <c r="B23" s="21"/>
      <c r="C23" s="22"/>
      <c r="D23" s="21"/>
      <c r="E23" s="22"/>
      <c r="F23" s="21"/>
      <c r="G23" s="22"/>
      <c r="H23" s="21"/>
      <c r="I23" s="22"/>
    </row>
    <row r="24" spans="1:9" x14ac:dyDescent="0.25">
      <c r="A24" s="20" t="s">
        <v>179</v>
      </c>
      <c r="B24" s="22">
        <f>C24/6</f>
        <v>12.283333333333333</v>
      </c>
      <c r="C24" s="22">
        <f>ROUND(0.05*process!C17, 2)</f>
        <v>73.7</v>
      </c>
      <c r="D24" s="22">
        <f>ROUND(0.05*process!D17, 2)</f>
        <v>79.84</v>
      </c>
      <c r="E24" s="22">
        <f>ROUND(0.05*process!E17, 2)</f>
        <v>85.99</v>
      </c>
      <c r="F24" s="22">
        <f>ROUND(0.05*process!F17, 2)</f>
        <v>92.13</v>
      </c>
      <c r="G24" s="22">
        <f>ROUND(0.05*process!G17, 2)</f>
        <v>98.27</v>
      </c>
      <c r="H24" s="22">
        <f>G24</f>
        <v>98.27</v>
      </c>
      <c r="I24" s="22">
        <f>H24</f>
        <v>98.27</v>
      </c>
    </row>
    <row r="25" spans="1:9" x14ac:dyDescent="0.25">
      <c r="A25" s="20" t="s">
        <v>180</v>
      </c>
      <c r="B25" s="21"/>
      <c r="C25" s="22"/>
      <c r="D25" s="21"/>
      <c r="E25" s="22"/>
      <c r="F25" s="21"/>
      <c r="G25" s="22"/>
      <c r="H25" s="21"/>
      <c r="I25" s="22"/>
    </row>
    <row r="26" spans="1:9" x14ac:dyDescent="0.25">
      <c r="A26" s="20" t="s">
        <v>191</v>
      </c>
      <c r="B26" s="21">
        <v>0</v>
      </c>
      <c r="C26" s="22">
        <f>TL!M8</f>
        <v>110.62</v>
      </c>
      <c r="D26" s="22">
        <f>TL!N8</f>
        <v>93.72</v>
      </c>
      <c r="E26" s="22">
        <f>TL!O8</f>
        <v>76.8</v>
      </c>
      <c r="F26" s="22">
        <f>TL!P8</f>
        <v>59.89</v>
      </c>
      <c r="G26" s="22">
        <f>TL!Q8</f>
        <v>42.99</v>
      </c>
      <c r="H26" s="22">
        <f>TL!R8</f>
        <v>26.07</v>
      </c>
      <c r="I26" s="22">
        <f>TL!S8</f>
        <v>9.15</v>
      </c>
    </row>
    <row r="27" spans="1:9" x14ac:dyDescent="0.25">
      <c r="A27" s="20" t="s">
        <v>192</v>
      </c>
      <c r="B27" s="21">
        <f>wcl!B12</f>
        <v>4.5</v>
      </c>
      <c r="C27" s="21">
        <f>wcl!C12</f>
        <v>18.010000000000002</v>
      </c>
      <c r="D27" s="21">
        <f>wcl!D12</f>
        <v>19.5</v>
      </c>
      <c r="E27" s="21">
        <f>wcl!E12</f>
        <v>21</v>
      </c>
      <c r="F27" s="21">
        <f>wcl!F12</f>
        <v>22.49</v>
      </c>
      <c r="G27" s="21">
        <f>wcl!G12</f>
        <v>23.99</v>
      </c>
      <c r="H27" s="21">
        <f>wcl!H12</f>
        <v>24</v>
      </c>
      <c r="I27" s="21">
        <f>wcl!I12</f>
        <v>24.02</v>
      </c>
    </row>
    <row r="28" spans="1:9" ht="18.75" x14ac:dyDescent="0.25">
      <c r="A28" s="33" t="s">
        <v>84</v>
      </c>
      <c r="B28" s="35">
        <f>B22+B24+B26+B27</f>
        <v>134.57</v>
      </c>
      <c r="C28" s="35">
        <f>C22+C24+C26+C27</f>
        <v>1059.7</v>
      </c>
      <c r="D28" s="35">
        <f t="shared" ref="D28:I28" si="6">D22+D24+D26+D27</f>
        <v>1083.652</v>
      </c>
      <c r="E28" s="35">
        <f t="shared" si="6"/>
        <v>1118.2451000000001</v>
      </c>
      <c r="F28" s="35">
        <f t="shared" si="6"/>
        <v>1155.1943550000001</v>
      </c>
      <c r="G28" s="35">
        <f t="shared" si="6"/>
        <v>1194.1750727499998</v>
      </c>
      <c r="H28" s="35">
        <f t="shared" si="6"/>
        <v>1170.1728263874998</v>
      </c>
      <c r="I28" s="35">
        <f t="shared" si="6"/>
        <v>1147.693467706875</v>
      </c>
    </row>
    <row r="29" spans="1:9" ht="18.75" x14ac:dyDescent="0.25">
      <c r="A29" s="33" t="s">
        <v>181</v>
      </c>
      <c r="B29" s="22">
        <f>B28</f>
        <v>134.57</v>
      </c>
      <c r="C29" s="22">
        <f t="shared" ref="C29:I29" si="7">C28</f>
        <v>1059.7</v>
      </c>
      <c r="D29" s="22">
        <f t="shared" si="7"/>
        <v>1083.652</v>
      </c>
      <c r="E29" s="22">
        <f t="shared" si="7"/>
        <v>1118.2451000000001</v>
      </c>
      <c r="F29" s="22">
        <f t="shared" si="7"/>
        <v>1155.1943550000001</v>
      </c>
      <c r="G29" s="22">
        <f t="shared" si="7"/>
        <v>1194.1750727499998</v>
      </c>
      <c r="H29" s="22">
        <f t="shared" si="7"/>
        <v>1170.1728263874998</v>
      </c>
      <c r="I29" s="22">
        <f t="shared" si="7"/>
        <v>1147.693467706875</v>
      </c>
    </row>
    <row r="30" spans="1:9" x14ac:dyDescent="0.25">
      <c r="A30" s="15" t="s">
        <v>250</v>
      </c>
      <c r="B30" s="21">
        <f>B24</f>
        <v>12.283333333333333</v>
      </c>
      <c r="C30" s="21">
        <f t="shared" ref="C30:I30" si="8">C24</f>
        <v>73.7</v>
      </c>
      <c r="D30" s="21">
        <f t="shared" si="8"/>
        <v>79.84</v>
      </c>
      <c r="E30" s="21">
        <f t="shared" si="8"/>
        <v>85.99</v>
      </c>
      <c r="F30" s="21">
        <f t="shared" si="8"/>
        <v>92.13</v>
      </c>
      <c r="G30" s="21">
        <f t="shared" si="8"/>
        <v>98.27</v>
      </c>
      <c r="H30" s="21">
        <f t="shared" si="8"/>
        <v>98.27</v>
      </c>
      <c r="I30" s="21">
        <f t="shared" si="8"/>
        <v>98.27</v>
      </c>
    </row>
    <row r="31" spans="1:9" x14ac:dyDescent="0.25">
      <c r="A31" s="20" t="s">
        <v>193</v>
      </c>
      <c r="B31" s="21"/>
      <c r="C31" s="22"/>
      <c r="D31" s="21"/>
      <c r="E31" s="22"/>
      <c r="F31" s="21"/>
      <c r="G31" s="22"/>
      <c r="H31" s="21"/>
      <c r="I31" s="22"/>
    </row>
    <row r="32" spans="1:9" ht="18.75" x14ac:dyDescent="0.25">
      <c r="A32" s="33" t="s">
        <v>85</v>
      </c>
      <c r="B32" s="35">
        <f>B29+B30</f>
        <v>146.85333333333332</v>
      </c>
      <c r="C32" s="35">
        <f>C29+C30</f>
        <v>1133.4000000000001</v>
      </c>
      <c r="D32" s="35">
        <f t="shared" ref="D32:I32" si="9">D29+D30</f>
        <v>1163.492</v>
      </c>
      <c r="E32" s="35">
        <f t="shared" si="9"/>
        <v>1204.2351000000001</v>
      </c>
      <c r="F32" s="35">
        <f t="shared" si="9"/>
        <v>1247.3243550000002</v>
      </c>
      <c r="G32" s="35">
        <f t="shared" si="9"/>
        <v>1292.4450727499998</v>
      </c>
      <c r="H32" s="35">
        <f t="shared" si="9"/>
        <v>1268.4428263874997</v>
      </c>
      <c r="I32" s="35">
        <f t="shared" si="9"/>
        <v>1245.963467706875</v>
      </c>
    </row>
    <row r="33" spans="1:9" x14ac:dyDescent="0.25">
      <c r="A33" s="20" t="s">
        <v>251</v>
      </c>
      <c r="B33" s="22">
        <f>ROUND(B34-B32, 2)</f>
        <v>0</v>
      </c>
      <c r="C33" s="22">
        <f t="shared" ref="C33:I33" si="10">ROUND(C34-C32, 2)</f>
        <v>340.63</v>
      </c>
      <c r="D33" s="22">
        <f t="shared" si="10"/>
        <v>433.38</v>
      </c>
      <c r="E33" s="22">
        <f t="shared" si="10"/>
        <v>515.47</v>
      </c>
      <c r="F33" s="22">
        <f t="shared" si="10"/>
        <v>595.23</v>
      </c>
      <c r="G33" s="22">
        <f t="shared" si="10"/>
        <v>672.94</v>
      </c>
      <c r="H33" s="22">
        <f t="shared" si="10"/>
        <v>696.95</v>
      </c>
      <c r="I33" s="22">
        <f t="shared" si="10"/>
        <v>719.43</v>
      </c>
    </row>
    <row r="34" spans="1:9" x14ac:dyDescent="0.25">
      <c r="A34" s="20" t="s">
        <v>86</v>
      </c>
      <c r="B34" s="35">
        <f>B32</f>
        <v>146.85333333333332</v>
      </c>
      <c r="C34" s="37">
        <f>process!C17</f>
        <v>1474.03</v>
      </c>
      <c r="D34" s="37">
        <f>process!D17</f>
        <v>1596.87</v>
      </c>
      <c r="E34" s="37">
        <f>process!E17</f>
        <v>1719.71</v>
      </c>
      <c r="F34" s="37">
        <f>process!F17</f>
        <v>1842.55</v>
      </c>
      <c r="G34" s="37">
        <f>process!G17</f>
        <v>1965.39</v>
      </c>
      <c r="H34" s="37">
        <f>G34</f>
        <v>1965.39</v>
      </c>
      <c r="I34" s="37">
        <f>H34</f>
        <v>1965.39</v>
      </c>
    </row>
    <row r="36" spans="1:9" ht="18.75" x14ac:dyDescent="0.25">
      <c r="A36" s="33" t="s">
        <v>194</v>
      </c>
    </row>
    <row r="37" spans="1:9" x14ac:dyDescent="0.25">
      <c r="A37" s="2" t="s">
        <v>195</v>
      </c>
      <c r="B37" s="38">
        <f>B33</f>
        <v>0</v>
      </c>
      <c r="C37" s="38">
        <f t="shared" ref="C37:I37" si="11">C33</f>
        <v>340.63</v>
      </c>
      <c r="D37" s="38">
        <f t="shared" si="11"/>
        <v>433.38</v>
      </c>
      <c r="E37" s="38">
        <f t="shared" si="11"/>
        <v>515.47</v>
      </c>
      <c r="F37" s="38">
        <f t="shared" si="11"/>
        <v>595.23</v>
      </c>
      <c r="G37" s="38">
        <f t="shared" si="11"/>
        <v>672.94</v>
      </c>
      <c r="H37" s="38">
        <f t="shared" si="11"/>
        <v>696.95</v>
      </c>
      <c r="I37" s="38">
        <f t="shared" si="11"/>
        <v>719.43</v>
      </c>
    </row>
    <row r="38" spans="1:9" x14ac:dyDescent="0.25">
      <c r="A38" s="2" t="s">
        <v>196</v>
      </c>
      <c r="B38" s="38">
        <f>B20</f>
        <v>0</v>
      </c>
      <c r="C38" s="38">
        <f t="shared" ref="C38:I38" si="12">C20</f>
        <v>131.21</v>
      </c>
      <c r="D38" s="38">
        <f t="shared" si="12"/>
        <v>105.46</v>
      </c>
      <c r="E38" s="38">
        <f t="shared" si="12"/>
        <v>90.24</v>
      </c>
      <c r="F38" s="38">
        <f t="shared" si="12"/>
        <v>77.25</v>
      </c>
      <c r="G38" s="38">
        <f t="shared" si="12"/>
        <v>66.16</v>
      </c>
      <c r="H38" s="38">
        <f t="shared" si="12"/>
        <v>56.68</v>
      </c>
      <c r="I38" s="38">
        <f t="shared" si="12"/>
        <v>48.57</v>
      </c>
    </row>
    <row r="39" spans="1:9" x14ac:dyDescent="0.25">
      <c r="A39" s="2" t="s">
        <v>197</v>
      </c>
      <c r="B39" s="38">
        <f>B37+B38</f>
        <v>0</v>
      </c>
      <c r="C39" s="38">
        <f t="shared" ref="C39:I39" si="13">C37+C38</f>
        <v>471.84000000000003</v>
      </c>
      <c r="D39" s="38">
        <f t="shared" si="13"/>
        <v>538.84</v>
      </c>
      <c r="E39" s="38">
        <f t="shared" si="13"/>
        <v>605.71</v>
      </c>
      <c r="F39" s="38">
        <f t="shared" si="13"/>
        <v>672.48</v>
      </c>
      <c r="G39" s="38">
        <f t="shared" si="13"/>
        <v>739.1</v>
      </c>
      <c r="H39" s="38">
        <f t="shared" si="13"/>
        <v>753.63</v>
      </c>
      <c r="I39" s="38">
        <f t="shared" si="13"/>
        <v>768</v>
      </c>
    </row>
    <row r="40" spans="1:9" ht="18.75" x14ac:dyDescent="0.3">
      <c r="A40" s="39" t="s">
        <v>198</v>
      </c>
    </row>
    <row r="41" spans="1:9" x14ac:dyDescent="0.25">
      <c r="A41" s="2" t="s">
        <v>199</v>
      </c>
      <c r="B41" s="38">
        <v>0</v>
      </c>
      <c r="C41" s="38">
        <f>TL!M7</f>
        <v>140.91999999999999</v>
      </c>
      <c r="D41" s="38">
        <f>TL!N7</f>
        <v>140.91999999999999</v>
      </c>
      <c r="E41" s="38">
        <f>TL!O7</f>
        <v>140.91999999999999</v>
      </c>
      <c r="F41" s="38">
        <f>TL!P7</f>
        <v>140.91999999999999</v>
      </c>
      <c r="G41" s="38">
        <f>TL!Q7</f>
        <v>140.91999999999999</v>
      </c>
      <c r="H41" s="38">
        <f>TL!R7</f>
        <v>140.91999999999999</v>
      </c>
      <c r="I41" s="38">
        <f>TL!S7</f>
        <v>140.91999999999999</v>
      </c>
    </row>
    <row r="42" spans="1:9" x14ac:dyDescent="0.25">
      <c r="A42" s="2" t="s">
        <v>200</v>
      </c>
      <c r="B42" s="38">
        <f>B26+B27</f>
        <v>4.5</v>
      </c>
      <c r="C42" s="38">
        <f t="shared" ref="C42:I42" si="14">C26+C27</f>
        <v>128.63</v>
      </c>
      <c r="D42" s="38">
        <f t="shared" si="14"/>
        <v>113.22</v>
      </c>
      <c r="E42" s="38">
        <f t="shared" si="14"/>
        <v>97.8</v>
      </c>
      <c r="F42" s="38">
        <f t="shared" si="14"/>
        <v>82.38</v>
      </c>
      <c r="G42" s="38">
        <f t="shared" si="14"/>
        <v>66.98</v>
      </c>
      <c r="H42" s="38">
        <f t="shared" si="14"/>
        <v>50.07</v>
      </c>
      <c r="I42" s="38">
        <f t="shared" si="14"/>
        <v>33.17</v>
      </c>
    </row>
    <row r="43" spans="1:9" x14ac:dyDescent="0.25">
      <c r="A43" s="2" t="s">
        <v>50</v>
      </c>
      <c r="B43" s="38">
        <f>B41+B42</f>
        <v>4.5</v>
      </c>
      <c r="C43" s="38">
        <f t="shared" ref="C43:I43" si="15">C41+C42</f>
        <v>269.54999999999995</v>
      </c>
      <c r="D43" s="38">
        <f t="shared" si="15"/>
        <v>254.14</v>
      </c>
      <c r="E43" s="38">
        <f t="shared" si="15"/>
        <v>238.71999999999997</v>
      </c>
      <c r="F43" s="38">
        <f t="shared" si="15"/>
        <v>223.29999999999998</v>
      </c>
      <c r="G43" s="38">
        <f t="shared" si="15"/>
        <v>207.89999999999998</v>
      </c>
      <c r="H43" s="38">
        <f t="shared" si="15"/>
        <v>190.98999999999998</v>
      </c>
      <c r="I43" s="38">
        <f t="shared" si="15"/>
        <v>174.08999999999997</v>
      </c>
    </row>
    <row r="45" spans="1:9" x14ac:dyDescent="0.25">
      <c r="A45" s="2" t="s">
        <v>201</v>
      </c>
      <c r="B45" s="63"/>
      <c r="C45" s="40">
        <f>(C39+C42)/C43</f>
        <v>2.2276757558894458</v>
      </c>
      <c r="D45" s="40">
        <f t="shared" ref="D45:I45" si="16">(D39+D42)/D43</f>
        <v>2.5657511607775247</v>
      </c>
      <c r="E45" s="40">
        <f t="shared" si="16"/>
        <v>2.9470090482573732</v>
      </c>
      <c r="F45" s="40">
        <f t="shared" si="16"/>
        <v>3.3804746977160773</v>
      </c>
      <c r="G45" s="40">
        <f t="shared" si="16"/>
        <v>3.8772486772486778</v>
      </c>
      <c r="H45" s="40">
        <f t="shared" si="16"/>
        <v>4.2080737211372332</v>
      </c>
      <c r="I45" s="40">
        <f t="shared" si="16"/>
        <v>4.6020449192946185</v>
      </c>
    </row>
    <row r="47" spans="1:9" x14ac:dyDescent="0.25">
      <c r="A47" s="2" t="s">
        <v>234</v>
      </c>
    </row>
  </sheetData>
  <mergeCells count="2">
    <mergeCell ref="A1:I1"/>
    <mergeCell ref="H2:I2"/>
  </mergeCells>
  <pageMargins left="0.8" right="0.19685039370078741" top="0.74803149606299213" bottom="0.74803149606299213" header="0.31496062992125984" footer="0.31496062992125984"/>
  <pageSetup scale="80" orientation="portrait" horizontalDpi="300" verticalDpi="300" r:id="rId1"/>
  <colBreaks count="1" manualBreakCount="1">
    <brk id="9" max="44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BreakPreview" zoomScale="60" workbookViewId="0">
      <selection sqref="A1:XFD1048576"/>
    </sheetView>
  </sheetViews>
  <sheetFormatPr defaultRowHeight="15" x14ac:dyDescent="0.25"/>
  <cols>
    <col min="1" max="1" width="37.42578125" style="1" bestFit="1" customWidth="1"/>
    <col min="2" max="2" width="10.42578125" style="1" customWidth="1"/>
    <col min="3" max="3" width="13.140625" style="1" customWidth="1"/>
    <col min="4" max="6" width="10.5703125" style="1" bestFit="1" customWidth="1"/>
    <col min="7" max="16384" width="9.140625" style="1"/>
  </cols>
  <sheetData>
    <row r="1" spans="1:6" ht="21" x14ac:dyDescent="0.35">
      <c r="A1" s="50" t="s">
        <v>87</v>
      </c>
    </row>
    <row r="2" spans="1:6" ht="15.75" x14ac:dyDescent="0.25">
      <c r="A2" s="51"/>
    </row>
    <row r="3" spans="1:6" x14ac:dyDescent="0.25">
      <c r="A3" s="41" t="s">
        <v>49</v>
      </c>
      <c r="B3" s="52">
        <v>1</v>
      </c>
    </row>
    <row r="4" spans="1:6" x14ac:dyDescent="0.25">
      <c r="A4" s="41" t="s">
        <v>88</v>
      </c>
      <c r="B4" s="53">
        <v>3</v>
      </c>
    </row>
    <row r="5" spans="1:6" x14ac:dyDescent="0.25">
      <c r="A5" s="41" t="s">
        <v>89</v>
      </c>
      <c r="B5" s="53">
        <v>300</v>
      </c>
    </row>
    <row r="6" spans="1:6" x14ac:dyDescent="0.25">
      <c r="A6" s="41" t="s">
        <v>90</v>
      </c>
      <c r="B6" s="53">
        <v>225</v>
      </c>
    </row>
    <row r="7" spans="1:6" x14ac:dyDescent="0.25">
      <c r="A7" s="41" t="s">
        <v>91</v>
      </c>
      <c r="B7" s="53">
        <v>2</v>
      </c>
    </row>
    <row r="8" spans="1:6" x14ac:dyDescent="0.25">
      <c r="A8" s="41" t="s">
        <v>98</v>
      </c>
      <c r="B8" s="53">
        <v>107</v>
      </c>
    </row>
    <row r="9" spans="1:6" x14ac:dyDescent="0.25">
      <c r="A9" s="41" t="s">
        <v>99</v>
      </c>
      <c r="B9" s="53">
        <v>20</v>
      </c>
    </row>
    <row r="10" spans="1:6" x14ac:dyDescent="0.25">
      <c r="A10" s="41" t="s">
        <v>118</v>
      </c>
      <c r="B10" s="41">
        <f>B8*B9</f>
        <v>2140</v>
      </c>
    </row>
    <row r="11" spans="1:6" x14ac:dyDescent="0.25">
      <c r="A11" s="41" t="s">
        <v>155</v>
      </c>
      <c r="B11" s="41">
        <f>B5*B9</f>
        <v>6000</v>
      </c>
    </row>
    <row r="14" spans="1:6" ht="21" x14ac:dyDescent="0.25">
      <c r="A14" s="54" t="s">
        <v>127</v>
      </c>
    </row>
    <row r="15" spans="1:6" ht="15.75" thickBot="1" x14ac:dyDescent="0.3"/>
    <row r="16" spans="1:6" s="58" customFormat="1" ht="48.75" customHeight="1" thickBot="1" x14ac:dyDescent="0.3">
      <c r="A16" s="55" t="s">
        <v>26</v>
      </c>
      <c r="B16" s="56" t="s">
        <v>136</v>
      </c>
      <c r="C16" s="56" t="s">
        <v>137</v>
      </c>
      <c r="D16" s="56" t="s">
        <v>147</v>
      </c>
      <c r="E16" s="56" t="s">
        <v>148</v>
      </c>
      <c r="F16" s="57" t="s">
        <v>50</v>
      </c>
    </row>
    <row r="18" spans="1:6" x14ac:dyDescent="0.25">
      <c r="A18" s="41" t="s">
        <v>128</v>
      </c>
      <c r="B18" s="41">
        <v>3</v>
      </c>
      <c r="C18" s="41">
        <v>12000</v>
      </c>
      <c r="D18" s="41">
        <f>B18*C18</f>
        <v>36000</v>
      </c>
      <c r="E18" s="41"/>
      <c r="F18" s="41">
        <f>D18+E18</f>
        <v>36000</v>
      </c>
    </row>
    <row r="19" spans="1:6" x14ac:dyDescent="0.25">
      <c r="A19" s="41" t="s">
        <v>129</v>
      </c>
      <c r="B19" s="41">
        <v>3</v>
      </c>
      <c r="C19" s="41">
        <v>13000</v>
      </c>
      <c r="D19" s="41">
        <f>B19*C19</f>
        <v>39000</v>
      </c>
      <c r="E19" s="41"/>
      <c r="F19" s="41">
        <f t="shared" ref="F19:F30" si="0">D19+E19</f>
        <v>39000</v>
      </c>
    </row>
    <row r="20" spans="1:6" x14ac:dyDescent="0.25">
      <c r="A20" s="41" t="s">
        <v>149</v>
      </c>
      <c r="B20" s="41">
        <v>1</v>
      </c>
      <c r="C20" s="41">
        <v>10000</v>
      </c>
      <c r="D20" s="41">
        <f>B20*C20</f>
        <v>10000</v>
      </c>
      <c r="E20" s="41"/>
      <c r="F20" s="41">
        <f t="shared" si="0"/>
        <v>10000</v>
      </c>
    </row>
    <row r="21" spans="1:6" x14ac:dyDescent="0.25">
      <c r="A21" s="41" t="s">
        <v>130</v>
      </c>
      <c r="B21" s="41">
        <v>1</v>
      </c>
      <c r="C21" s="41">
        <v>10000</v>
      </c>
      <c r="D21" s="41">
        <f>B21*C21</f>
        <v>10000</v>
      </c>
      <c r="E21" s="41"/>
      <c r="F21" s="41">
        <f t="shared" si="0"/>
        <v>10000</v>
      </c>
    </row>
    <row r="22" spans="1:6" x14ac:dyDescent="0.25">
      <c r="A22" s="41" t="s">
        <v>131</v>
      </c>
      <c r="B22" s="41">
        <v>1</v>
      </c>
      <c r="C22" s="41">
        <v>8000</v>
      </c>
      <c r="D22" s="41"/>
      <c r="E22" s="41">
        <f>B22*C22</f>
        <v>8000</v>
      </c>
      <c r="F22" s="41">
        <f t="shared" si="0"/>
        <v>8000</v>
      </c>
    </row>
    <row r="23" spans="1:6" x14ac:dyDescent="0.25">
      <c r="A23" s="41" t="s">
        <v>132</v>
      </c>
      <c r="B23" s="41">
        <v>1</v>
      </c>
      <c r="C23" s="41">
        <v>15000</v>
      </c>
      <c r="D23" s="41">
        <f>B23*C23</f>
        <v>15000</v>
      </c>
      <c r="E23" s="41"/>
      <c r="F23" s="41">
        <f t="shared" si="0"/>
        <v>15000</v>
      </c>
    </row>
    <row r="24" spans="1:6" x14ac:dyDescent="0.25">
      <c r="A24" s="41" t="s">
        <v>133</v>
      </c>
      <c r="B24" s="41">
        <v>1</v>
      </c>
      <c r="C24" s="41">
        <v>9000</v>
      </c>
      <c r="D24" s="41"/>
      <c r="E24" s="41">
        <f>B24*C24</f>
        <v>9000</v>
      </c>
      <c r="F24" s="41">
        <f t="shared" si="0"/>
        <v>9000</v>
      </c>
    </row>
    <row r="25" spans="1:6" x14ac:dyDescent="0.25">
      <c r="A25" s="41" t="s">
        <v>134</v>
      </c>
      <c r="B25" s="41">
        <v>1</v>
      </c>
      <c r="C25" s="41">
        <v>30000</v>
      </c>
      <c r="D25" s="41"/>
      <c r="E25" s="41">
        <f>B25*C25</f>
        <v>30000</v>
      </c>
      <c r="F25" s="41">
        <f t="shared" si="0"/>
        <v>30000</v>
      </c>
    </row>
    <row r="26" spans="1:6" x14ac:dyDescent="0.25">
      <c r="A26" s="41" t="s">
        <v>135</v>
      </c>
      <c r="B26" s="41">
        <v>9</v>
      </c>
      <c r="C26" s="41">
        <v>8000</v>
      </c>
      <c r="D26" s="41"/>
      <c r="E26" s="41">
        <f>B26*C26</f>
        <v>72000</v>
      </c>
      <c r="F26" s="41">
        <f t="shared" si="0"/>
        <v>72000</v>
      </c>
    </row>
    <row r="27" spans="1:6" x14ac:dyDescent="0.25">
      <c r="A27" s="41"/>
      <c r="B27" s="41"/>
      <c r="C27" s="41"/>
      <c r="D27" s="41"/>
      <c r="E27" s="41"/>
      <c r="F27" s="41"/>
    </row>
    <row r="28" spans="1:6" x14ac:dyDescent="0.25">
      <c r="A28" s="41"/>
      <c r="B28" s="41"/>
      <c r="C28" s="41"/>
      <c r="D28" s="41">
        <f t="shared" ref="D28:E28" si="1">SUM(D18:D27)</f>
        <v>110000</v>
      </c>
      <c r="E28" s="41">
        <f t="shared" si="1"/>
        <v>119000</v>
      </c>
      <c r="F28" s="41">
        <f t="shared" si="0"/>
        <v>229000</v>
      </c>
    </row>
    <row r="29" spans="1:6" x14ac:dyDescent="0.25">
      <c r="A29" s="41" t="s">
        <v>138</v>
      </c>
      <c r="B29" s="41"/>
      <c r="C29" s="41"/>
      <c r="D29" s="41">
        <f t="shared" ref="D29:E29" si="2">D28*0.4</f>
        <v>44000</v>
      </c>
      <c r="E29" s="41">
        <f t="shared" si="2"/>
        <v>47600</v>
      </c>
      <c r="F29" s="41">
        <f t="shared" si="0"/>
        <v>91600</v>
      </c>
    </row>
    <row r="30" spans="1:6" x14ac:dyDescent="0.25">
      <c r="A30" s="41" t="s">
        <v>139</v>
      </c>
      <c r="B30" s="41"/>
      <c r="C30" s="41"/>
      <c r="D30" s="5">
        <f t="shared" ref="D30:E30" si="3">D28+D29</f>
        <v>154000</v>
      </c>
      <c r="E30" s="5">
        <f t="shared" si="3"/>
        <v>166600</v>
      </c>
      <c r="F30" s="5">
        <f t="shared" si="0"/>
        <v>320600</v>
      </c>
    </row>
  </sheetData>
  <pageMargins left="0.7" right="0.7" top="0.75" bottom="0.75" header="0.3" footer="0.3"/>
  <pageSetup scale="97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view="pageBreakPreview" zoomScale="95" zoomScaleSheetLayoutView="95" workbookViewId="0">
      <selection sqref="A1:XFD1048576"/>
    </sheetView>
  </sheetViews>
  <sheetFormatPr defaultRowHeight="15" x14ac:dyDescent="0.25"/>
  <cols>
    <col min="1" max="1" width="26.140625" style="1" bestFit="1" customWidth="1"/>
    <col min="2" max="3" width="8.42578125" style="1" bestFit="1" customWidth="1"/>
    <col min="4" max="4" width="12.42578125" style="1" bestFit="1" customWidth="1"/>
    <col min="5" max="5" width="10.28515625" style="1" bestFit="1" customWidth="1"/>
    <col min="6" max="6" width="8.42578125" style="1" bestFit="1" customWidth="1"/>
    <col min="7" max="7" width="9.7109375" style="1" bestFit="1" customWidth="1"/>
    <col min="8" max="8" width="6.28515625" style="1" bestFit="1" customWidth="1"/>
    <col min="9" max="9" width="9.7109375" style="1" customWidth="1"/>
    <col min="10" max="11" width="10.85546875" style="1" bestFit="1" customWidth="1"/>
    <col min="12" max="12" width="5.28515625" style="1" bestFit="1" customWidth="1"/>
    <col min="13" max="13" width="8.85546875" style="1" customWidth="1"/>
    <col min="14" max="14" width="8.42578125" style="1" bestFit="1" customWidth="1"/>
    <col min="15" max="15" width="9.7109375" style="1" bestFit="1" customWidth="1"/>
    <col min="16" max="16384" width="9.140625" style="1"/>
  </cols>
  <sheetData>
    <row r="1" spans="1:15" ht="21" x14ac:dyDescent="0.35">
      <c r="A1" s="175" t="s">
        <v>114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4" spans="1:15" x14ac:dyDescent="0.25">
      <c r="A4" s="41"/>
      <c r="B4" s="41" t="s">
        <v>97</v>
      </c>
      <c r="C4" s="41" t="s">
        <v>115</v>
      </c>
      <c r="D4" s="41" t="s">
        <v>100</v>
      </c>
      <c r="E4" s="41" t="s">
        <v>102</v>
      </c>
      <c r="F4" s="186" t="s">
        <v>103</v>
      </c>
      <c r="G4" s="186"/>
      <c r="H4" s="186" t="s">
        <v>106</v>
      </c>
      <c r="I4" s="186"/>
      <c r="J4" s="41" t="s">
        <v>107</v>
      </c>
      <c r="K4" s="41" t="s">
        <v>110</v>
      </c>
      <c r="L4" s="186" t="s">
        <v>112</v>
      </c>
      <c r="M4" s="186"/>
      <c r="N4" s="186" t="s">
        <v>113</v>
      </c>
      <c r="O4" s="186"/>
    </row>
    <row r="5" spans="1:15" x14ac:dyDescent="0.25">
      <c r="A5" s="41"/>
      <c r="B5" s="41"/>
      <c r="C5" s="41" t="s">
        <v>53</v>
      </c>
      <c r="D5" s="41" t="s">
        <v>101</v>
      </c>
      <c r="E5" s="41" t="s">
        <v>101</v>
      </c>
      <c r="F5" s="41" t="s">
        <v>104</v>
      </c>
      <c r="G5" s="41" t="s">
        <v>105</v>
      </c>
      <c r="H5" s="41" t="s">
        <v>104</v>
      </c>
      <c r="I5" s="41" t="s">
        <v>105</v>
      </c>
      <c r="J5" s="41" t="s">
        <v>108</v>
      </c>
      <c r="K5" s="41"/>
      <c r="L5" s="42" t="s">
        <v>104</v>
      </c>
      <c r="M5" s="42" t="s">
        <v>105</v>
      </c>
      <c r="N5" s="42" t="s">
        <v>104</v>
      </c>
      <c r="O5" s="42" t="s">
        <v>105</v>
      </c>
    </row>
    <row r="6" spans="1:15" x14ac:dyDescent="0.25">
      <c r="A6" s="41"/>
      <c r="B6" s="41"/>
      <c r="C6" s="41"/>
      <c r="D6" s="41"/>
      <c r="E6" s="41"/>
      <c r="F6" s="41"/>
      <c r="G6" s="41"/>
      <c r="H6" s="41"/>
      <c r="I6" s="41"/>
      <c r="J6" s="43" t="s">
        <v>109</v>
      </c>
      <c r="K6" s="43" t="s">
        <v>111</v>
      </c>
      <c r="L6" s="43" t="s">
        <v>109</v>
      </c>
      <c r="M6" s="43" t="s">
        <v>109</v>
      </c>
      <c r="N6" s="185" t="s">
        <v>111</v>
      </c>
      <c r="O6" s="185"/>
    </row>
    <row r="7" spans="1:15" x14ac:dyDescent="0.25">
      <c r="A7" s="41" t="s">
        <v>92</v>
      </c>
      <c r="B7" s="41">
        <v>2</v>
      </c>
      <c r="C7" s="41">
        <v>50</v>
      </c>
      <c r="D7" s="41">
        <v>2140</v>
      </c>
      <c r="E7" s="41">
        <f>C7*D7</f>
        <v>107000</v>
      </c>
      <c r="F7" s="44">
        <v>0.06</v>
      </c>
      <c r="G7" s="44">
        <v>0</v>
      </c>
      <c r="H7" s="41">
        <f>E7*F7</f>
        <v>6420</v>
      </c>
      <c r="I7" s="41">
        <f>E7*G7</f>
        <v>0</v>
      </c>
      <c r="J7" s="41">
        <v>100</v>
      </c>
      <c r="K7" s="45">
        <f>ROUND(J7*E7/100000, 2)</f>
        <v>107</v>
      </c>
      <c r="L7" s="41">
        <v>3700</v>
      </c>
      <c r="M7" s="41">
        <v>0</v>
      </c>
      <c r="N7" s="41">
        <f>ROUND(L7*H7/100000, 2)</f>
        <v>237.54</v>
      </c>
      <c r="O7" s="41">
        <f>ROUND(M7*I7/100000, 2)</f>
        <v>0</v>
      </c>
    </row>
    <row r="8" spans="1:15" x14ac:dyDescent="0.25">
      <c r="A8" s="41" t="s">
        <v>93</v>
      </c>
      <c r="B8" s="41">
        <v>2</v>
      </c>
      <c r="C8" s="41">
        <v>50</v>
      </c>
      <c r="D8" s="41">
        <v>2140</v>
      </c>
      <c r="E8" s="41">
        <f t="shared" ref="E8:E11" si="0">C8*D8</f>
        <v>107000</v>
      </c>
      <c r="F8" s="44">
        <v>0.02</v>
      </c>
      <c r="G8" s="44">
        <v>0.09</v>
      </c>
      <c r="H8" s="41">
        <f t="shared" ref="H8:H11" si="1">E8*F8</f>
        <v>2140</v>
      </c>
      <c r="I8" s="41">
        <f t="shared" ref="I8:I11" si="2">E8*G8</f>
        <v>9630</v>
      </c>
      <c r="J8" s="41">
        <v>200</v>
      </c>
      <c r="K8" s="45">
        <f t="shared" ref="K8:K11" si="3">ROUND(J8*E8/100000, 2)</f>
        <v>214</v>
      </c>
      <c r="L8" s="41">
        <v>4300</v>
      </c>
      <c r="M8" s="41">
        <v>1300</v>
      </c>
      <c r="N8" s="41">
        <f t="shared" ref="N8:N11" si="4">ROUND(L8*H8/100000, 2)</f>
        <v>92.02</v>
      </c>
      <c r="O8" s="41">
        <f t="shared" ref="O8:O11" si="5">ROUND(M8*I8/100000, 2)</f>
        <v>125.19</v>
      </c>
    </row>
    <row r="9" spans="1:15" x14ac:dyDescent="0.25">
      <c r="A9" s="41" t="s">
        <v>94</v>
      </c>
      <c r="B9" s="41">
        <v>2</v>
      </c>
      <c r="C9" s="41">
        <v>50</v>
      </c>
      <c r="D9" s="41">
        <v>2140</v>
      </c>
      <c r="E9" s="41">
        <f t="shared" si="0"/>
        <v>107000</v>
      </c>
      <c r="F9" s="44">
        <v>2.5000000000000001E-2</v>
      </c>
      <c r="G9" s="44">
        <v>0.02</v>
      </c>
      <c r="H9" s="41">
        <f t="shared" si="1"/>
        <v>2675</v>
      </c>
      <c r="I9" s="41">
        <f t="shared" si="2"/>
        <v>2140</v>
      </c>
      <c r="J9" s="41">
        <v>90</v>
      </c>
      <c r="K9" s="45">
        <f t="shared" si="3"/>
        <v>96.3</v>
      </c>
      <c r="L9" s="41">
        <v>5000</v>
      </c>
      <c r="M9" s="41">
        <v>3100</v>
      </c>
      <c r="N9" s="41">
        <f t="shared" si="4"/>
        <v>133.75</v>
      </c>
      <c r="O9" s="41">
        <f t="shared" si="5"/>
        <v>66.34</v>
      </c>
    </row>
    <row r="10" spans="1:15" x14ac:dyDescent="0.25">
      <c r="A10" s="41" t="s">
        <v>95</v>
      </c>
      <c r="B10" s="41">
        <v>4</v>
      </c>
      <c r="C10" s="41">
        <v>100</v>
      </c>
      <c r="D10" s="41">
        <v>2140</v>
      </c>
      <c r="E10" s="41">
        <f t="shared" si="0"/>
        <v>214000</v>
      </c>
      <c r="F10" s="44">
        <v>0.2</v>
      </c>
      <c r="G10" s="44">
        <v>0</v>
      </c>
      <c r="H10" s="41">
        <f t="shared" si="1"/>
        <v>42800</v>
      </c>
      <c r="I10" s="41">
        <f t="shared" si="2"/>
        <v>0</v>
      </c>
      <c r="J10" s="41">
        <v>150</v>
      </c>
      <c r="K10" s="45">
        <f t="shared" si="3"/>
        <v>321</v>
      </c>
      <c r="L10" s="41">
        <v>3360</v>
      </c>
      <c r="M10" s="41">
        <v>0</v>
      </c>
      <c r="N10" s="41">
        <f t="shared" si="4"/>
        <v>1438.08</v>
      </c>
      <c r="O10" s="41">
        <f t="shared" si="5"/>
        <v>0</v>
      </c>
    </row>
    <row r="11" spans="1:15" x14ac:dyDescent="0.25">
      <c r="A11" s="41" t="s">
        <v>96</v>
      </c>
      <c r="B11" s="41">
        <v>2</v>
      </c>
      <c r="C11" s="41">
        <v>50</v>
      </c>
      <c r="D11" s="41">
        <v>2140</v>
      </c>
      <c r="E11" s="41">
        <f t="shared" si="0"/>
        <v>107000</v>
      </c>
      <c r="F11" s="44">
        <v>0.2</v>
      </c>
      <c r="G11" s="44">
        <v>0</v>
      </c>
      <c r="H11" s="41">
        <f t="shared" si="1"/>
        <v>21400</v>
      </c>
      <c r="I11" s="41">
        <f t="shared" si="2"/>
        <v>0</v>
      </c>
      <c r="J11" s="41">
        <v>250</v>
      </c>
      <c r="K11" s="45">
        <f t="shared" si="3"/>
        <v>267.5</v>
      </c>
      <c r="L11" s="41">
        <v>1700</v>
      </c>
      <c r="M11" s="41">
        <v>0</v>
      </c>
      <c r="N11" s="41">
        <f t="shared" si="4"/>
        <v>363.8</v>
      </c>
      <c r="O11" s="41">
        <f t="shared" si="5"/>
        <v>0</v>
      </c>
    </row>
    <row r="13" spans="1:15" x14ac:dyDescent="0.25">
      <c r="B13" s="41">
        <f>SUM(B7:B12)</f>
        <v>12</v>
      </c>
      <c r="C13" s="41">
        <f t="shared" ref="C13:E13" si="6">SUM(C7:C12)</f>
        <v>300</v>
      </c>
      <c r="D13" s="41">
        <f t="shared" si="6"/>
        <v>10700</v>
      </c>
      <c r="E13" s="41">
        <f t="shared" si="6"/>
        <v>642000</v>
      </c>
      <c r="F13" s="41"/>
      <c r="G13" s="41"/>
      <c r="H13" s="41">
        <f t="shared" ref="H13" si="7">SUM(H7:H12)</f>
        <v>75435</v>
      </c>
      <c r="I13" s="41">
        <f t="shared" ref="I13" si="8">SUM(I7:I12)</f>
        <v>11770</v>
      </c>
      <c r="J13" s="41"/>
      <c r="K13" s="45">
        <f>SUM(K7:K12)</f>
        <v>1005.8</v>
      </c>
      <c r="L13" s="41"/>
      <c r="M13" s="41"/>
      <c r="N13" s="41">
        <f t="shared" ref="N13:O13" si="9">SUM(N7:N12)</f>
        <v>2265.19</v>
      </c>
      <c r="O13" s="41">
        <f t="shared" si="9"/>
        <v>191.53</v>
      </c>
    </row>
    <row r="15" spans="1:15" x14ac:dyDescent="0.25">
      <c r="A15" s="1" t="s">
        <v>49</v>
      </c>
      <c r="B15" s="46">
        <v>1</v>
      </c>
      <c r="C15" s="46">
        <v>0.6</v>
      </c>
      <c r="D15" s="46">
        <v>0.65</v>
      </c>
      <c r="E15" s="46">
        <v>0.7</v>
      </c>
      <c r="F15" s="46">
        <v>0.75</v>
      </c>
      <c r="G15" s="46">
        <v>0.8</v>
      </c>
      <c r="H15" s="47"/>
      <c r="I15" s="47"/>
    </row>
    <row r="16" spans="1:15" x14ac:dyDescent="0.25">
      <c r="A16" s="1" t="s">
        <v>116</v>
      </c>
      <c r="B16" s="45">
        <f>K13</f>
        <v>1005.8</v>
      </c>
      <c r="C16" s="41">
        <f>ROUND((B16/B15)*C15, 2)</f>
        <v>603.48</v>
      </c>
      <c r="D16" s="41">
        <f>ROUND((C16/C15)*D15, 2)</f>
        <v>653.77</v>
      </c>
      <c r="E16" s="41">
        <f t="shared" ref="E16:G16" si="10">ROUND((D16/D15)*E15, 2)</f>
        <v>704.06</v>
      </c>
      <c r="F16" s="41">
        <f t="shared" si="10"/>
        <v>754.35</v>
      </c>
      <c r="G16" s="41">
        <f t="shared" si="10"/>
        <v>804.64</v>
      </c>
    </row>
    <row r="17" spans="1:9" x14ac:dyDescent="0.25">
      <c r="A17" s="1" t="s">
        <v>117</v>
      </c>
      <c r="B17" s="41">
        <f>N13+O13</f>
        <v>2456.7200000000003</v>
      </c>
      <c r="C17" s="41">
        <f>ROUND((B17/B15)*C15, 2)</f>
        <v>1474.03</v>
      </c>
      <c r="D17" s="41">
        <f>ROUND((C17/C15)*D15, 2)</f>
        <v>1596.87</v>
      </c>
      <c r="E17" s="41">
        <f t="shared" ref="E17:G17" si="11">ROUND((D17/D15)*E15, 2)</f>
        <v>1719.71</v>
      </c>
      <c r="F17" s="41">
        <f t="shared" si="11"/>
        <v>1842.55</v>
      </c>
      <c r="G17" s="41">
        <f t="shared" si="11"/>
        <v>1965.39</v>
      </c>
    </row>
    <row r="19" spans="1:9" x14ac:dyDescent="0.25">
      <c r="A19" s="48" t="s">
        <v>156</v>
      </c>
    </row>
    <row r="20" spans="1:9" x14ac:dyDescent="0.25">
      <c r="A20" s="1" t="s">
        <v>157</v>
      </c>
      <c r="B20" s="41">
        <v>6000</v>
      </c>
      <c r="C20" s="41">
        <f>ROUND(B20*C15, 0)</f>
        <v>3600</v>
      </c>
      <c r="D20" s="41">
        <f>ROUND($B$20*D15, 0)</f>
        <v>3900</v>
      </c>
      <c r="E20" s="41">
        <f t="shared" ref="E20:G20" si="12">ROUND($B$20*E15, 0)</f>
        <v>4200</v>
      </c>
      <c r="F20" s="41">
        <f t="shared" si="12"/>
        <v>4500</v>
      </c>
      <c r="G20" s="41">
        <f t="shared" si="12"/>
        <v>4800</v>
      </c>
    </row>
    <row r="21" spans="1:9" x14ac:dyDescent="0.25">
      <c r="A21" s="1" t="s">
        <v>158</v>
      </c>
      <c r="B21" s="41">
        <v>23</v>
      </c>
      <c r="C21" s="41">
        <v>23</v>
      </c>
      <c r="D21" s="41">
        <v>23</v>
      </c>
      <c r="E21" s="41">
        <v>23</v>
      </c>
      <c r="F21" s="41">
        <v>23</v>
      </c>
      <c r="G21" s="41">
        <v>23</v>
      </c>
    </row>
    <row r="22" spans="1:9" x14ac:dyDescent="0.25">
      <c r="A22" s="1" t="s">
        <v>159</v>
      </c>
      <c r="B22" s="41">
        <f>B20*B21</f>
        <v>138000</v>
      </c>
      <c r="C22" s="41">
        <f t="shared" ref="C22:G22" si="13">C20*C21</f>
        <v>82800</v>
      </c>
      <c r="D22" s="41">
        <f t="shared" si="13"/>
        <v>89700</v>
      </c>
      <c r="E22" s="41">
        <f t="shared" si="13"/>
        <v>96600</v>
      </c>
      <c r="F22" s="41">
        <f t="shared" si="13"/>
        <v>103500</v>
      </c>
      <c r="G22" s="41">
        <f t="shared" si="13"/>
        <v>110400</v>
      </c>
    </row>
    <row r="23" spans="1:9" x14ac:dyDescent="0.25">
      <c r="A23" s="1" t="s">
        <v>161</v>
      </c>
      <c r="B23" s="41">
        <v>45</v>
      </c>
      <c r="C23" s="41">
        <v>45</v>
      </c>
      <c r="D23" s="41">
        <v>45</v>
      </c>
      <c r="E23" s="41">
        <v>45</v>
      </c>
      <c r="F23" s="41">
        <v>45</v>
      </c>
      <c r="G23" s="41">
        <v>45</v>
      </c>
      <c r="I23" s="1" t="s">
        <v>162</v>
      </c>
    </row>
    <row r="24" spans="1:9" ht="15.75" thickBot="1" x14ac:dyDescent="0.3">
      <c r="A24" s="1" t="s">
        <v>160</v>
      </c>
      <c r="B24" s="49">
        <f>B22*B23</f>
        <v>6210000</v>
      </c>
      <c r="C24" s="49">
        <f t="shared" ref="C24:G24" si="14">C22*C23</f>
        <v>3726000</v>
      </c>
      <c r="D24" s="49">
        <f t="shared" si="14"/>
        <v>4036500</v>
      </c>
      <c r="E24" s="49">
        <f t="shared" si="14"/>
        <v>4347000</v>
      </c>
      <c r="F24" s="49">
        <f t="shared" si="14"/>
        <v>4657500</v>
      </c>
      <c r="G24" s="49">
        <f t="shared" si="14"/>
        <v>4968000</v>
      </c>
    </row>
    <row r="25" spans="1:9" ht="15.75" thickTop="1" x14ac:dyDescent="0.25"/>
    <row r="26" spans="1:9" x14ac:dyDescent="0.25">
      <c r="A26" s="48" t="s">
        <v>163</v>
      </c>
    </row>
    <row r="27" spans="1:9" x14ac:dyDescent="0.25">
      <c r="A27" s="1" t="s">
        <v>164</v>
      </c>
      <c r="B27" s="41">
        <v>120</v>
      </c>
      <c r="C27" s="41">
        <v>120</v>
      </c>
      <c r="D27" s="41">
        <v>120</v>
      </c>
      <c r="E27" s="41">
        <v>120</v>
      </c>
      <c r="F27" s="41">
        <v>120</v>
      </c>
      <c r="G27" s="41">
        <v>120</v>
      </c>
    </row>
    <row r="28" spans="1:9" x14ac:dyDescent="0.25">
      <c r="A28" s="1" t="s">
        <v>159</v>
      </c>
      <c r="B28" s="41">
        <f>B20*B27</f>
        <v>720000</v>
      </c>
      <c r="C28" s="41">
        <f>C20*C27</f>
        <v>432000</v>
      </c>
      <c r="D28" s="41">
        <f>D20*D27</f>
        <v>468000</v>
      </c>
      <c r="E28" s="41">
        <f t="shared" ref="E28:G28" si="15">E20*E27</f>
        <v>504000</v>
      </c>
      <c r="F28" s="41">
        <f t="shared" si="15"/>
        <v>540000</v>
      </c>
      <c r="G28" s="41">
        <f t="shared" si="15"/>
        <v>576000</v>
      </c>
    </row>
    <row r="29" spans="1:9" x14ac:dyDescent="0.25">
      <c r="A29" s="1" t="s">
        <v>165</v>
      </c>
      <c r="B29" s="41">
        <v>6</v>
      </c>
      <c r="C29" s="41">
        <v>6</v>
      </c>
      <c r="D29" s="41">
        <v>6</v>
      </c>
      <c r="E29" s="41">
        <v>6</v>
      </c>
      <c r="F29" s="41">
        <v>6</v>
      </c>
      <c r="G29" s="41">
        <v>6</v>
      </c>
    </row>
    <row r="30" spans="1:9" ht="15.75" thickBot="1" x14ac:dyDescent="0.3">
      <c r="A30" s="1" t="s">
        <v>166</v>
      </c>
      <c r="B30" s="49">
        <f>B28*B29</f>
        <v>4320000</v>
      </c>
      <c r="C30" s="49">
        <f t="shared" ref="C30:G30" si="16">C28*C29</f>
        <v>2592000</v>
      </c>
      <c r="D30" s="49">
        <f t="shared" si="16"/>
        <v>2808000</v>
      </c>
      <c r="E30" s="49">
        <f t="shared" si="16"/>
        <v>3024000</v>
      </c>
      <c r="F30" s="49">
        <f t="shared" si="16"/>
        <v>3240000</v>
      </c>
      <c r="G30" s="49">
        <f t="shared" si="16"/>
        <v>3456000</v>
      </c>
    </row>
    <row r="31" spans="1:9" ht="15.75" thickTop="1" x14ac:dyDescent="0.25"/>
    <row r="32" spans="1:9" x14ac:dyDescent="0.25">
      <c r="A32" s="48" t="s">
        <v>167</v>
      </c>
    </row>
    <row r="33" spans="1:7" x14ac:dyDescent="0.25">
      <c r="A33" s="1" t="s">
        <v>168</v>
      </c>
      <c r="B33" s="41">
        <v>60</v>
      </c>
      <c r="C33" s="41">
        <v>60</v>
      </c>
      <c r="D33" s="41">
        <v>60</v>
      </c>
      <c r="E33" s="41">
        <v>60</v>
      </c>
      <c r="F33" s="41">
        <v>60</v>
      </c>
      <c r="G33" s="41">
        <v>60</v>
      </c>
    </row>
    <row r="34" spans="1:7" x14ac:dyDescent="0.25">
      <c r="A34" s="1" t="s">
        <v>233</v>
      </c>
      <c r="B34" s="41">
        <v>2</v>
      </c>
      <c r="C34" s="41">
        <v>2</v>
      </c>
      <c r="D34" s="41">
        <v>2</v>
      </c>
      <c r="E34" s="41">
        <v>2</v>
      </c>
      <c r="F34" s="41">
        <v>2</v>
      </c>
      <c r="G34" s="41">
        <v>2</v>
      </c>
    </row>
    <row r="35" spans="1:7" x14ac:dyDescent="0.25">
      <c r="A35" s="1" t="s">
        <v>169</v>
      </c>
      <c r="B35" s="41">
        <f t="shared" ref="B35:G35" si="17">B20/B34</f>
        <v>3000</v>
      </c>
      <c r="C35" s="41">
        <f t="shared" si="17"/>
        <v>1800</v>
      </c>
      <c r="D35" s="41">
        <f t="shared" si="17"/>
        <v>1950</v>
      </c>
      <c r="E35" s="41">
        <f t="shared" si="17"/>
        <v>2100</v>
      </c>
      <c r="F35" s="41">
        <f t="shared" si="17"/>
        <v>2250</v>
      </c>
      <c r="G35" s="41">
        <f t="shared" si="17"/>
        <v>2400</v>
      </c>
    </row>
    <row r="36" spans="1:7" x14ac:dyDescent="0.25">
      <c r="A36" s="1" t="s">
        <v>159</v>
      </c>
      <c r="B36" s="41">
        <f>B35*B33</f>
        <v>180000</v>
      </c>
      <c r="C36" s="41">
        <f t="shared" ref="C36:G36" si="18">C35*C33</f>
        <v>108000</v>
      </c>
      <c r="D36" s="41">
        <f t="shared" si="18"/>
        <v>117000</v>
      </c>
      <c r="E36" s="41">
        <f t="shared" si="18"/>
        <v>126000</v>
      </c>
      <c r="F36" s="41">
        <f t="shared" si="18"/>
        <v>135000</v>
      </c>
      <c r="G36" s="41">
        <f t="shared" si="18"/>
        <v>144000</v>
      </c>
    </row>
    <row r="37" spans="1:7" x14ac:dyDescent="0.25">
      <c r="A37" s="1" t="s">
        <v>170</v>
      </c>
      <c r="B37" s="41">
        <v>12</v>
      </c>
      <c r="C37" s="41">
        <v>12</v>
      </c>
      <c r="D37" s="41">
        <v>12</v>
      </c>
      <c r="E37" s="41">
        <v>12</v>
      </c>
      <c r="F37" s="41">
        <v>12</v>
      </c>
      <c r="G37" s="41">
        <v>12</v>
      </c>
    </row>
    <row r="38" spans="1:7" ht="15.75" thickBot="1" x14ac:dyDescent="0.3">
      <c r="A38" s="1" t="s">
        <v>171</v>
      </c>
      <c r="B38" s="49">
        <f>B36*B37</f>
        <v>2160000</v>
      </c>
      <c r="C38" s="49">
        <f t="shared" ref="C38:G38" si="19">C36*C37</f>
        <v>1296000</v>
      </c>
      <c r="D38" s="49">
        <f t="shared" si="19"/>
        <v>1404000</v>
      </c>
      <c r="E38" s="49">
        <f t="shared" si="19"/>
        <v>1512000</v>
      </c>
      <c r="F38" s="49">
        <f t="shared" si="19"/>
        <v>1620000</v>
      </c>
      <c r="G38" s="49">
        <f t="shared" si="19"/>
        <v>1728000</v>
      </c>
    </row>
    <row r="39" spans="1:7" ht="15.75" thickTop="1" x14ac:dyDescent="0.25"/>
    <row r="40" spans="1:7" x14ac:dyDescent="0.25">
      <c r="A40" s="48" t="s">
        <v>172</v>
      </c>
    </row>
    <row r="41" spans="1:7" x14ac:dyDescent="0.25">
      <c r="A41" s="1" t="s">
        <v>170</v>
      </c>
      <c r="B41" s="41">
        <v>10</v>
      </c>
      <c r="C41" s="41">
        <v>10</v>
      </c>
      <c r="D41" s="41">
        <v>10</v>
      </c>
      <c r="E41" s="41">
        <v>10</v>
      </c>
      <c r="F41" s="41">
        <v>10</v>
      </c>
      <c r="G41" s="41">
        <v>10</v>
      </c>
    </row>
    <row r="42" spans="1:7" x14ac:dyDescent="0.25">
      <c r="A42" s="1" t="s">
        <v>173</v>
      </c>
      <c r="B42" s="41">
        <f>H13+I13</f>
        <v>87205</v>
      </c>
      <c r="C42" s="41">
        <f>ROUND($B$42*C15, 0)</f>
        <v>52323</v>
      </c>
      <c r="D42" s="41">
        <f>ROUND($B$42*D15, 0)</f>
        <v>56683</v>
      </c>
      <c r="E42" s="41">
        <f t="shared" ref="E42:G42" si="20">ROUND($B$42*E15, 0)</f>
        <v>61044</v>
      </c>
      <c r="F42" s="41">
        <f t="shared" si="20"/>
        <v>65404</v>
      </c>
      <c r="G42" s="41">
        <f t="shared" si="20"/>
        <v>69764</v>
      </c>
    </row>
    <row r="43" spans="1:7" ht="15.75" thickBot="1" x14ac:dyDescent="0.3">
      <c r="A43" s="1" t="s">
        <v>174</v>
      </c>
      <c r="B43" s="49">
        <f>B41*B42</f>
        <v>872050</v>
      </c>
      <c r="C43" s="49">
        <f t="shared" ref="C43:G43" si="21">C41*C42</f>
        <v>523230</v>
      </c>
      <c r="D43" s="49">
        <f t="shared" si="21"/>
        <v>566830</v>
      </c>
      <c r="E43" s="49">
        <f t="shared" si="21"/>
        <v>610440</v>
      </c>
      <c r="F43" s="49">
        <f t="shared" si="21"/>
        <v>654040</v>
      </c>
      <c r="G43" s="49">
        <f t="shared" si="21"/>
        <v>697640</v>
      </c>
    </row>
    <row r="44" spans="1:7" ht="15.75" thickTop="1" x14ac:dyDescent="0.25"/>
  </sheetData>
  <mergeCells count="6">
    <mergeCell ref="N6:O6"/>
    <mergeCell ref="A1:O1"/>
    <mergeCell ref="F4:G4"/>
    <mergeCell ref="H4:I4"/>
    <mergeCell ref="L4:M4"/>
    <mergeCell ref="N4:O4"/>
  </mergeCells>
  <pageMargins left="0.70866141732283472" right="0.23622047244094491" top="0.74803149606299213" bottom="0.47244094488188981" header="0.31496062992125984" footer="0.31496062992125984"/>
  <pageSetup scale="8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view="pageBreakPreview" zoomScale="60" zoomScaleNormal="85" workbookViewId="0">
      <selection sqref="A1:XFD1048576"/>
    </sheetView>
  </sheetViews>
  <sheetFormatPr defaultRowHeight="15" x14ac:dyDescent="0.25"/>
  <cols>
    <col min="1" max="1" width="50.5703125" style="2" bestFit="1" customWidth="1"/>
    <col min="2" max="2" width="10.85546875" style="2" bestFit="1" customWidth="1"/>
    <col min="3" max="4" width="11.28515625" style="2" bestFit="1" customWidth="1"/>
    <col min="5" max="6" width="13" style="2" bestFit="1" customWidth="1"/>
    <col min="7" max="8" width="12.5703125" style="2" bestFit="1" customWidth="1"/>
    <col min="9" max="9" width="13" style="2" bestFit="1" customWidth="1"/>
    <col min="10" max="14" width="9.140625" style="2"/>
    <col min="15" max="15" width="9.28515625" style="2" bestFit="1" customWidth="1"/>
    <col min="16" max="16384" width="9.140625" style="2"/>
  </cols>
  <sheetData>
    <row r="1" spans="1:9" ht="21" x14ac:dyDescent="0.35">
      <c r="A1" s="183" t="s">
        <v>204</v>
      </c>
      <c r="B1" s="183"/>
      <c r="C1" s="183"/>
      <c r="D1" s="183"/>
      <c r="E1" s="183"/>
      <c r="F1" s="183"/>
      <c r="G1" s="183"/>
      <c r="H1" s="183"/>
      <c r="I1" s="183"/>
    </row>
    <row r="3" spans="1:9" ht="15.75" x14ac:dyDescent="0.25">
      <c r="A3" s="10" t="s">
        <v>26</v>
      </c>
      <c r="B3" s="11" t="s">
        <v>119</v>
      </c>
      <c r="C3" s="11" t="s">
        <v>120</v>
      </c>
      <c r="D3" s="11" t="s">
        <v>121</v>
      </c>
      <c r="E3" s="11" t="s">
        <v>122</v>
      </c>
      <c r="F3" s="11" t="s">
        <v>123</v>
      </c>
      <c r="G3" s="11" t="s">
        <v>124</v>
      </c>
      <c r="H3" s="11" t="s">
        <v>125</v>
      </c>
      <c r="I3" s="11" t="s">
        <v>126</v>
      </c>
    </row>
    <row r="4" spans="1:9" ht="15.75" x14ac:dyDescent="0.25">
      <c r="A4" s="12" t="s">
        <v>49</v>
      </c>
      <c r="B4" s="13">
        <v>0.6</v>
      </c>
      <c r="C4" s="13">
        <f>process!C15</f>
        <v>0.6</v>
      </c>
      <c r="D4" s="13">
        <f>process!D15</f>
        <v>0.65</v>
      </c>
      <c r="E4" s="13">
        <f>process!E15</f>
        <v>0.7</v>
      </c>
      <c r="F4" s="13">
        <f>process!F15</f>
        <v>0.75</v>
      </c>
      <c r="G4" s="13">
        <f>process!G15</f>
        <v>0.8</v>
      </c>
      <c r="H4" s="13">
        <f>G4</f>
        <v>0.8</v>
      </c>
      <c r="I4" s="13">
        <f>H4</f>
        <v>0.8</v>
      </c>
    </row>
    <row r="5" spans="1:9" ht="15.75" thickBot="1" x14ac:dyDescent="0.3">
      <c r="A5" s="14"/>
      <c r="B5" s="15"/>
      <c r="C5" s="15"/>
      <c r="D5" s="15"/>
      <c r="E5" s="15"/>
      <c r="F5" s="15"/>
      <c r="G5" s="15"/>
      <c r="H5" s="15"/>
      <c r="I5" s="15"/>
    </row>
    <row r="6" spans="1:9" ht="15.75" thickBot="1" x14ac:dyDescent="0.3">
      <c r="A6" s="16" t="s">
        <v>86</v>
      </c>
      <c r="B6" s="17">
        <f>B71</f>
        <v>146.85333333333332</v>
      </c>
      <c r="C6" s="18">
        <f>process!C17</f>
        <v>1474.03</v>
      </c>
      <c r="D6" s="18">
        <f>process!D17</f>
        <v>1596.87</v>
      </c>
      <c r="E6" s="18">
        <f>process!E17</f>
        <v>1719.71</v>
      </c>
      <c r="F6" s="18">
        <f>process!F17</f>
        <v>1842.55</v>
      </c>
      <c r="G6" s="18">
        <f>process!G17</f>
        <v>1965.39</v>
      </c>
      <c r="H6" s="18">
        <f>G6</f>
        <v>1965.39</v>
      </c>
      <c r="I6" s="19">
        <f>H6</f>
        <v>1965.39</v>
      </c>
    </row>
    <row r="7" spans="1:9" x14ac:dyDescent="0.25">
      <c r="A7" s="20"/>
      <c r="B7" s="21"/>
      <c r="C7" s="22"/>
      <c r="D7" s="22"/>
      <c r="E7" s="22"/>
      <c r="F7" s="22"/>
      <c r="G7" s="22"/>
      <c r="H7" s="22"/>
      <c r="I7" s="22"/>
    </row>
    <row r="8" spans="1:9" ht="15.75" x14ac:dyDescent="0.25">
      <c r="A8" s="23" t="s">
        <v>205</v>
      </c>
      <c r="B8" s="21"/>
      <c r="C8" s="22"/>
      <c r="D8" s="22"/>
      <c r="E8" s="22"/>
      <c r="F8" s="22"/>
      <c r="G8" s="22"/>
      <c r="H8" s="22"/>
      <c r="I8" s="22"/>
    </row>
    <row r="9" spans="1:9" ht="15.75" thickBot="1" x14ac:dyDescent="0.3">
      <c r="A9" s="20"/>
      <c r="B9" s="21"/>
      <c r="C9" s="22"/>
      <c r="D9" s="22"/>
      <c r="E9" s="22"/>
      <c r="F9" s="22"/>
      <c r="G9" s="22"/>
      <c r="H9" s="22"/>
      <c r="I9" s="22"/>
    </row>
    <row r="10" spans="1:9" x14ac:dyDescent="0.25">
      <c r="A10" s="24" t="s">
        <v>206</v>
      </c>
      <c r="B10" s="25">
        <f>B49</f>
        <v>100.58</v>
      </c>
      <c r="C10" s="25">
        <f t="shared" ref="C10:I10" si="0">C49</f>
        <v>603.48</v>
      </c>
      <c r="D10" s="25">
        <f t="shared" si="0"/>
        <v>653.77</v>
      </c>
      <c r="E10" s="25">
        <f t="shared" si="0"/>
        <v>704.06</v>
      </c>
      <c r="F10" s="25">
        <f t="shared" si="0"/>
        <v>754.35</v>
      </c>
      <c r="G10" s="25">
        <f t="shared" si="0"/>
        <v>804.64</v>
      </c>
      <c r="H10" s="25">
        <f t="shared" si="0"/>
        <v>804.64</v>
      </c>
      <c r="I10" s="25">
        <f t="shared" si="0"/>
        <v>804.64</v>
      </c>
    </row>
    <row r="11" spans="1:9" x14ac:dyDescent="0.25">
      <c r="A11" s="26" t="s">
        <v>207</v>
      </c>
      <c r="B11" s="25">
        <f>B53</f>
        <v>10.53</v>
      </c>
      <c r="C11" s="25">
        <f t="shared" ref="C11:I11" si="1">C53</f>
        <v>63.18</v>
      </c>
      <c r="D11" s="25">
        <f t="shared" si="1"/>
        <v>68.45</v>
      </c>
      <c r="E11" s="25">
        <f t="shared" si="1"/>
        <v>73.709999999999994</v>
      </c>
      <c r="F11" s="25">
        <f t="shared" si="1"/>
        <v>78.98</v>
      </c>
      <c r="G11" s="25">
        <f t="shared" si="1"/>
        <v>84.24</v>
      </c>
      <c r="H11" s="25">
        <f t="shared" si="1"/>
        <v>84.24</v>
      </c>
      <c r="I11" s="25">
        <f t="shared" si="1"/>
        <v>84.24</v>
      </c>
    </row>
    <row r="12" spans="1:9" x14ac:dyDescent="0.25">
      <c r="A12" s="26" t="s">
        <v>208</v>
      </c>
      <c r="B12" s="25">
        <f>B54</f>
        <v>2.16</v>
      </c>
      <c r="C12" s="25">
        <f t="shared" ref="C12:I12" si="2">C54</f>
        <v>12.96</v>
      </c>
      <c r="D12" s="25">
        <f t="shared" si="2"/>
        <v>14.04</v>
      </c>
      <c r="E12" s="25">
        <f t="shared" si="2"/>
        <v>15.12</v>
      </c>
      <c r="F12" s="25">
        <f t="shared" si="2"/>
        <v>16.2</v>
      </c>
      <c r="G12" s="25">
        <f t="shared" si="2"/>
        <v>17.28</v>
      </c>
      <c r="H12" s="25">
        <f t="shared" si="2"/>
        <v>17.28</v>
      </c>
      <c r="I12" s="25">
        <f t="shared" si="2"/>
        <v>17.28</v>
      </c>
    </row>
    <row r="13" spans="1:9" x14ac:dyDescent="0.25">
      <c r="A13" s="26" t="s">
        <v>178</v>
      </c>
      <c r="B13" s="25">
        <f>B58</f>
        <v>0.8716666666666667</v>
      </c>
      <c r="C13" s="25">
        <f t="shared" ref="C13:I13" si="3">C58</f>
        <v>5.23</v>
      </c>
      <c r="D13" s="25">
        <f t="shared" si="3"/>
        <v>5.67</v>
      </c>
      <c r="E13" s="25">
        <f t="shared" si="3"/>
        <v>6.1</v>
      </c>
      <c r="F13" s="25">
        <f t="shared" si="3"/>
        <v>6.54</v>
      </c>
      <c r="G13" s="25">
        <f t="shared" si="3"/>
        <v>6.98</v>
      </c>
      <c r="H13" s="25">
        <f t="shared" si="3"/>
        <v>6.98</v>
      </c>
      <c r="I13" s="25">
        <f t="shared" si="3"/>
        <v>6.98</v>
      </c>
    </row>
    <row r="14" spans="1:9" x14ac:dyDescent="0.25">
      <c r="A14" s="26" t="s">
        <v>192</v>
      </c>
      <c r="B14" s="25">
        <f>B64</f>
        <v>4.5</v>
      </c>
      <c r="C14" s="25">
        <f>C64</f>
        <v>18.010000000000002</v>
      </c>
      <c r="D14" s="25">
        <f t="shared" ref="D14:I14" si="4">D64</f>
        <v>19.5</v>
      </c>
      <c r="E14" s="25">
        <f t="shared" si="4"/>
        <v>21</v>
      </c>
      <c r="F14" s="25">
        <f t="shared" si="4"/>
        <v>22.49</v>
      </c>
      <c r="G14" s="25">
        <f t="shared" si="4"/>
        <v>23.99</v>
      </c>
      <c r="H14" s="25">
        <f t="shared" si="4"/>
        <v>24</v>
      </c>
      <c r="I14" s="25">
        <f t="shared" si="4"/>
        <v>24.02</v>
      </c>
    </row>
    <row r="15" spans="1:9" ht="15.75" thickBot="1" x14ac:dyDescent="0.3">
      <c r="A15" s="27" t="s">
        <v>209</v>
      </c>
      <c r="B15" s="25">
        <f>B67</f>
        <v>12.283333333333333</v>
      </c>
      <c r="C15" s="25">
        <f t="shared" ref="C15:I15" si="5">C67</f>
        <v>73.7</v>
      </c>
      <c r="D15" s="25">
        <f t="shared" si="5"/>
        <v>79.84</v>
      </c>
      <c r="E15" s="25">
        <f t="shared" si="5"/>
        <v>85.99</v>
      </c>
      <c r="F15" s="25">
        <f t="shared" si="5"/>
        <v>92.13</v>
      </c>
      <c r="G15" s="25">
        <f t="shared" si="5"/>
        <v>98.27</v>
      </c>
      <c r="H15" s="25">
        <f t="shared" si="5"/>
        <v>98.27</v>
      </c>
      <c r="I15" s="25">
        <f t="shared" si="5"/>
        <v>98.27</v>
      </c>
    </row>
    <row r="16" spans="1:9" ht="15.75" thickBot="1" x14ac:dyDescent="0.3">
      <c r="A16" s="20"/>
      <c r="B16" s="21"/>
      <c r="C16" s="22"/>
      <c r="D16" s="22"/>
      <c r="E16" s="22"/>
      <c r="F16" s="22"/>
      <c r="G16" s="22"/>
      <c r="H16" s="22"/>
      <c r="I16" s="22"/>
    </row>
    <row r="17" spans="1:9" x14ac:dyDescent="0.25">
      <c r="A17" s="24" t="s">
        <v>210</v>
      </c>
      <c r="B17" s="25">
        <f>SUM(B10:B16)</f>
        <v>130.92500000000001</v>
      </c>
      <c r="C17" s="25">
        <f t="shared" ref="C17:I17" si="6">SUM(C10:C16)</f>
        <v>776.56000000000006</v>
      </c>
      <c r="D17" s="25">
        <f t="shared" si="6"/>
        <v>841.27</v>
      </c>
      <c r="E17" s="25">
        <f t="shared" si="6"/>
        <v>905.98</v>
      </c>
      <c r="F17" s="25">
        <f t="shared" si="6"/>
        <v>970.69</v>
      </c>
      <c r="G17" s="25">
        <f t="shared" si="6"/>
        <v>1035.4000000000001</v>
      </c>
      <c r="H17" s="25">
        <f t="shared" si="6"/>
        <v>1035.4100000000001</v>
      </c>
      <c r="I17" s="25">
        <f t="shared" si="6"/>
        <v>1035.43</v>
      </c>
    </row>
    <row r="18" spans="1:9" ht="16.5" thickBot="1" x14ac:dyDescent="0.3">
      <c r="A18" s="28" t="s">
        <v>211</v>
      </c>
      <c r="B18" s="25">
        <f>B6-B17</f>
        <v>15.928333333333313</v>
      </c>
      <c r="C18" s="29">
        <f t="shared" ref="C18:I18" si="7">C6-C17</f>
        <v>697.46999999999991</v>
      </c>
      <c r="D18" s="29">
        <f t="shared" si="7"/>
        <v>755.59999999999991</v>
      </c>
      <c r="E18" s="29">
        <f t="shared" si="7"/>
        <v>813.73</v>
      </c>
      <c r="F18" s="29">
        <f t="shared" si="7"/>
        <v>871.8599999999999</v>
      </c>
      <c r="G18" s="29">
        <f t="shared" si="7"/>
        <v>929.99</v>
      </c>
      <c r="H18" s="29">
        <f t="shared" si="7"/>
        <v>929.98</v>
      </c>
      <c r="I18" s="29">
        <f t="shared" si="7"/>
        <v>929.96</v>
      </c>
    </row>
    <row r="19" spans="1:9" x14ac:dyDescent="0.25">
      <c r="A19" s="20"/>
      <c r="B19" s="21"/>
      <c r="C19" s="22"/>
      <c r="D19" s="22"/>
      <c r="E19" s="22"/>
      <c r="F19" s="22"/>
      <c r="G19" s="22"/>
      <c r="H19" s="22"/>
      <c r="I19" s="22"/>
    </row>
    <row r="20" spans="1:9" ht="15.75" x14ac:dyDescent="0.25">
      <c r="A20" s="23" t="s">
        <v>212</v>
      </c>
      <c r="B20" s="21"/>
      <c r="C20" s="22"/>
      <c r="D20" s="22"/>
      <c r="E20" s="22"/>
      <c r="F20" s="22"/>
      <c r="G20" s="22"/>
      <c r="H20" s="22"/>
      <c r="I20" s="22"/>
    </row>
    <row r="21" spans="1:9" ht="15.75" thickBot="1" x14ac:dyDescent="0.3">
      <c r="A21" s="20"/>
      <c r="B21" s="21"/>
      <c r="C21" s="22"/>
      <c r="D21" s="22"/>
      <c r="E21" s="22"/>
      <c r="F21" s="22"/>
      <c r="G21" s="22"/>
      <c r="H21" s="22"/>
      <c r="I21" s="22"/>
    </row>
    <row r="22" spans="1:9" x14ac:dyDescent="0.25">
      <c r="A22" s="24" t="s">
        <v>213</v>
      </c>
      <c r="B22" s="25">
        <f>B50</f>
        <v>0</v>
      </c>
      <c r="C22" s="25">
        <f t="shared" ref="C22:I22" si="8">C50</f>
        <v>19.440000000000001</v>
      </c>
      <c r="D22" s="25">
        <f t="shared" si="8"/>
        <v>20.412000000000003</v>
      </c>
      <c r="E22" s="25">
        <f t="shared" si="8"/>
        <v>21.432600000000004</v>
      </c>
      <c r="F22" s="25">
        <f t="shared" si="8"/>
        <v>22.504230000000007</v>
      </c>
      <c r="G22" s="25">
        <f t="shared" si="8"/>
        <v>23.629441500000006</v>
      </c>
      <c r="H22" s="25">
        <f t="shared" si="8"/>
        <v>24.810913575000008</v>
      </c>
      <c r="I22" s="25">
        <f t="shared" si="8"/>
        <v>26.051459253750007</v>
      </c>
    </row>
    <row r="23" spans="1:9" x14ac:dyDescent="0.25">
      <c r="A23" s="26" t="s">
        <v>153</v>
      </c>
      <c r="B23" s="25">
        <f>B55</f>
        <v>3.5</v>
      </c>
      <c r="C23" s="25">
        <f t="shared" ref="C23:I23" si="9">C55</f>
        <v>21</v>
      </c>
      <c r="D23" s="25">
        <f t="shared" si="9"/>
        <v>22.05</v>
      </c>
      <c r="E23" s="25">
        <f t="shared" si="9"/>
        <v>23.152500000000003</v>
      </c>
      <c r="F23" s="25">
        <f t="shared" si="9"/>
        <v>24.310125000000006</v>
      </c>
      <c r="G23" s="25">
        <f t="shared" si="9"/>
        <v>25.525631250000004</v>
      </c>
      <c r="H23" s="25">
        <f t="shared" si="9"/>
        <v>26.801912812500007</v>
      </c>
      <c r="I23" s="25">
        <f t="shared" si="9"/>
        <v>28.142008453125005</v>
      </c>
    </row>
    <row r="24" spans="1:9" x14ac:dyDescent="0.25">
      <c r="A24" s="26" t="s">
        <v>214</v>
      </c>
      <c r="B24" s="25">
        <f>B56</f>
        <v>0.14499999999999999</v>
      </c>
      <c r="C24" s="25">
        <f t="shared" ref="C24:I24" si="10">C56</f>
        <v>0.87</v>
      </c>
      <c r="D24" s="25">
        <f t="shared" si="10"/>
        <v>0.74</v>
      </c>
      <c r="E24" s="25">
        <f t="shared" si="10"/>
        <v>0.64</v>
      </c>
      <c r="F24" s="25">
        <f t="shared" si="10"/>
        <v>0.55000000000000004</v>
      </c>
      <c r="G24" s="25">
        <f t="shared" si="10"/>
        <v>0.47</v>
      </c>
      <c r="H24" s="25">
        <f t="shared" si="10"/>
        <v>0.4</v>
      </c>
      <c r="I24" s="25">
        <f t="shared" si="10"/>
        <v>0.35</v>
      </c>
    </row>
    <row r="25" spans="1:9" x14ac:dyDescent="0.25">
      <c r="A25" s="26" t="s">
        <v>176</v>
      </c>
      <c r="B25" s="25">
        <f>B57</f>
        <v>0</v>
      </c>
      <c r="C25" s="25">
        <f t="shared" ref="C25:I25" si="11">C57</f>
        <v>131.21</v>
      </c>
      <c r="D25" s="25">
        <f t="shared" si="11"/>
        <v>105.46</v>
      </c>
      <c r="E25" s="25">
        <f t="shared" si="11"/>
        <v>90.24</v>
      </c>
      <c r="F25" s="25">
        <f t="shared" si="11"/>
        <v>77.25</v>
      </c>
      <c r="G25" s="25">
        <f t="shared" si="11"/>
        <v>66.16</v>
      </c>
      <c r="H25" s="25">
        <f t="shared" si="11"/>
        <v>56.68</v>
      </c>
      <c r="I25" s="25">
        <f t="shared" si="11"/>
        <v>48.57</v>
      </c>
    </row>
    <row r="26" spans="1:9" x14ac:dyDescent="0.25">
      <c r="A26" s="26" t="s">
        <v>179</v>
      </c>
      <c r="B26" s="25">
        <f>B61</f>
        <v>12.283333333333333</v>
      </c>
      <c r="C26" s="25">
        <f t="shared" ref="C26:I26" si="12">C61</f>
        <v>73.7</v>
      </c>
      <c r="D26" s="25">
        <f t="shared" si="12"/>
        <v>79.84</v>
      </c>
      <c r="E26" s="25">
        <f t="shared" si="12"/>
        <v>85.99</v>
      </c>
      <c r="F26" s="25">
        <f t="shared" si="12"/>
        <v>92.13</v>
      </c>
      <c r="G26" s="25">
        <f t="shared" si="12"/>
        <v>98.27</v>
      </c>
      <c r="H26" s="25">
        <f t="shared" si="12"/>
        <v>98.27</v>
      </c>
      <c r="I26" s="25">
        <f t="shared" si="12"/>
        <v>98.27</v>
      </c>
    </row>
    <row r="27" spans="1:9" ht="15.75" thickBot="1" x14ac:dyDescent="0.3">
      <c r="A27" s="27" t="s">
        <v>191</v>
      </c>
      <c r="B27" s="25">
        <f>B63</f>
        <v>0</v>
      </c>
      <c r="C27" s="25">
        <f t="shared" ref="C27:I27" si="13">C63</f>
        <v>110.62</v>
      </c>
      <c r="D27" s="25">
        <f t="shared" si="13"/>
        <v>93.72</v>
      </c>
      <c r="E27" s="25">
        <f t="shared" si="13"/>
        <v>76.8</v>
      </c>
      <c r="F27" s="25">
        <f t="shared" si="13"/>
        <v>59.89</v>
      </c>
      <c r="G27" s="25">
        <f t="shared" si="13"/>
        <v>42.99</v>
      </c>
      <c r="H27" s="25">
        <f t="shared" si="13"/>
        <v>26.07</v>
      </c>
      <c r="I27" s="25">
        <f t="shared" si="13"/>
        <v>9.15</v>
      </c>
    </row>
    <row r="28" spans="1:9" x14ac:dyDescent="0.25">
      <c r="A28" s="20"/>
      <c r="B28" s="21"/>
      <c r="C28" s="22"/>
      <c r="D28" s="22"/>
      <c r="E28" s="22"/>
      <c r="F28" s="22"/>
      <c r="G28" s="22"/>
      <c r="H28" s="22"/>
      <c r="I28" s="22"/>
    </row>
    <row r="29" spans="1:9" x14ac:dyDescent="0.25">
      <c r="A29" s="20" t="s">
        <v>215</v>
      </c>
      <c r="B29" s="25">
        <f>SUM(B22:B28)</f>
        <v>15.928333333333333</v>
      </c>
      <c r="C29" s="25">
        <f>SUM(C22:C28)</f>
        <v>356.84000000000003</v>
      </c>
      <c r="D29" s="25">
        <f t="shared" ref="D29:I29" si="14">SUM(D22:D28)</f>
        <v>322.22199999999998</v>
      </c>
      <c r="E29" s="25">
        <f t="shared" si="14"/>
        <v>298.25510000000003</v>
      </c>
      <c r="F29" s="25">
        <f t="shared" si="14"/>
        <v>276.63435500000003</v>
      </c>
      <c r="G29" s="25">
        <f t="shared" si="14"/>
        <v>257.04507275000003</v>
      </c>
      <c r="H29" s="25">
        <f t="shared" si="14"/>
        <v>233.03282638749999</v>
      </c>
      <c r="I29" s="25">
        <f t="shared" si="14"/>
        <v>210.53346770687503</v>
      </c>
    </row>
    <row r="30" spans="1:9" x14ac:dyDescent="0.25">
      <c r="A30" s="20" t="s">
        <v>195</v>
      </c>
      <c r="B30" s="25">
        <f>B18-B29</f>
        <v>-1.9539925233402755E-14</v>
      </c>
      <c r="C30" s="25">
        <f t="shared" ref="C30:I30" si="15">C18-C29</f>
        <v>340.62999999999988</v>
      </c>
      <c r="D30" s="25">
        <f t="shared" si="15"/>
        <v>433.37799999999993</v>
      </c>
      <c r="E30" s="25">
        <f t="shared" si="15"/>
        <v>515.47489999999993</v>
      </c>
      <c r="F30" s="25">
        <f t="shared" si="15"/>
        <v>595.22564499999987</v>
      </c>
      <c r="G30" s="25">
        <f t="shared" si="15"/>
        <v>672.94492724999998</v>
      </c>
      <c r="H30" s="25">
        <f t="shared" si="15"/>
        <v>696.94717361250002</v>
      </c>
      <c r="I30" s="25">
        <f t="shared" si="15"/>
        <v>719.42653229312498</v>
      </c>
    </row>
    <row r="31" spans="1:9" x14ac:dyDescent="0.25">
      <c r="A31" s="20" t="s">
        <v>218</v>
      </c>
      <c r="B31" s="29">
        <f t="shared" ref="B31:I31" si="16">B18/B6</f>
        <v>0.10846422734701276</v>
      </c>
      <c r="C31" s="29">
        <f t="shared" si="16"/>
        <v>0.47317218781164555</v>
      </c>
      <c r="D31" s="29">
        <f t="shared" si="16"/>
        <v>0.47317564986504845</v>
      </c>
      <c r="E31" s="29">
        <f t="shared" si="16"/>
        <v>0.47317861732501409</v>
      </c>
      <c r="F31" s="29">
        <f t="shared" si="16"/>
        <v>0.47318118911291412</v>
      </c>
      <c r="G31" s="29">
        <f t="shared" si="16"/>
        <v>0.47318343941914837</v>
      </c>
      <c r="H31" s="29">
        <f t="shared" si="16"/>
        <v>0.47317835137046588</v>
      </c>
      <c r="I31" s="29">
        <f t="shared" si="16"/>
        <v>0.47316817527310101</v>
      </c>
    </row>
    <row r="32" spans="1:9" x14ac:dyDescent="0.25">
      <c r="A32" s="20" t="s">
        <v>216</v>
      </c>
      <c r="B32" s="30">
        <f>B29/B31</f>
        <v>146.8533333333335</v>
      </c>
      <c r="C32" s="30">
        <f>C29/C31</f>
        <v>754.1440709994697</v>
      </c>
      <c r="D32" s="30">
        <f t="shared" ref="D32:I32" si="17">D29/D31</f>
        <v>680.97756106405507</v>
      </c>
      <c r="E32" s="30">
        <f t="shared" si="17"/>
        <v>630.32243867253271</v>
      </c>
      <c r="F32" s="30">
        <f t="shared" si="17"/>
        <v>584.62669557641141</v>
      </c>
      <c r="G32" s="30">
        <f t="shared" si="17"/>
        <v>543.22499761515985</v>
      </c>
      <c r="H32" s="30">
        <f t="shared" si="17"/>
        <v>492.48412509272094</v>
      </c>
      <c r="I32" s="30">
        <f t="shared" si="17"/>
        <v>444.94426867436783</v>
      </c>
    </row>
    <row r="33" spans="1:9" x14ac:dyDescent="0.25">
      <c r="A33" s="20" t="s">
        <v>217</v>
      </c>
      <c r="B33" s="30">
        <f>B6-B32</f>
        <v>0</v>
      </c>
      <c r="C33" s="30">
        <f>C6-C32</f>
        <v>719.88592900053027</v>
      </c>
      <c r="D33" s="30">
        <f t="shared" ref="D33:I33" si="18">D6-D32</f>
        <v>915.89243893594482</v>
      </c>
      <c r="E33" s="30">
        <f t="shared" si="18"/>
        <v>1089.3875613274672</v>
      </c>
      <c r="F33" s="30">
        <f t="shared" si="18"/>
        <v>1257.9233044235884</v>
      </c>
      <c r="G33" s="30">
        <f t="shared" si="18"/>
        <v>1422.1650023848401</v>
      </c>
      <c r="H33" s="30">
        <f t="shared" si="18"/>
        <v>1472.9058749072792</v>
      </c>
      <c r="I33" s="30">
        <f t="shared" si="18"/>
        <v>1520.4457313256323</v>
      </c>
    </row>
    <row r="34" spans="1:9" x14ac:dyDescent="0.25">
      <c r="A34" s="20"/>
      <c r="B34" s="21"/>
      <c r="C34" s="22"/>
      <c r="D34" s="22"/>
      <c r="E34" s="22"/>
      <c r="F34" s="22"/>
      <c r="G34" s="22"/>
      <c r="H34" s="22"/>
      <c r="I34" s="22"/>
    </row>
    <row r="35" spans="1:9" x14ac:dyDescent="0.25">
      <c r="A35" s="20"/>
      <c r="B35" s="21"/>
      <c r="C35" s="22"/>
      <c r="D35" s="22"/>
      <c r="E35" s="22"/>
      <c r="F35" s="22"/>
      <c r="G35" s="22"/>
      <c r="H35" s="22"/>
      <c r="I35" s="22"/>
    </row>
    <row r="36" spans="1:9" x14ac:dyDescent="0.25">
      <c r="A36" s="20"/>
      <c r="B36" s="21"/>
      <c r="C36" s="22"/>
      <c r="D36" s="22"/>
      <c r="E36" s="22"/>
      <c r="F36" s="22"/>
      <c r="G36" s="22"/>
      <c r="H36" s="22"/>
      <c r="I36" s="22"/>
    </row>
    <row r="37" spans="1:9" x14ac:dyDescent="0.25">
      <c r="A37" s="20"/>
      <c r="B37" s="21"/>
      <c r="C37" s="22"/>
      <c r="D37" s="22"/>
      <c r="E37" s="22"/>
      <c r="F37" s="22"/>
      <c r="G37" s="22"/>
      <c r="H37" s="22"/>
      <c r="I37" s="22"/>
    </row>
    <row r="38" spans="1:9" x14ac:dyDescent="0.25">
      <c r="A38" s="20"/>
      <c r="B38" s="21"/>
      <c r="C38" s="22"/>
      <c r="D38" s="22"/>
      <c r="E38" s="22"/>
      <c r="F38" s="22"/>
      <c r="G38" s="22"/>
      <c r="H38" s="22"/>
      <c r="I38" s="22"/>
    </row>
    <row r="39" spans="1:9" x14ac:dyDescent="0.25">
      <c r="A39" s="20"/>
      <c r="B39" s="21"/>
      <c r="C39" s="22"/>
      <c r="D39" s="22"/>
      <c r="E39" s="22"/>
      <c r="F39" s="22"/>
      <c r="G39" s="22"/>
      <c r="H39" s="22"/>
      <c r="I39" s="22"/>
    </row>
    <row r="40" spans="1:9" x14ac:dyDescent="0.25">
      <c r="A40" s="20"/>
      <c r="B40" s="21"/>
      <c r="C40" s="22"/>
      <c r="D40" s="22"/>
      <c r="E40" s="22"/>
      <c r="F40" s="22"/>
      <c r="G40" s="22"/>
      <c r="H40" s="22"/>
      <c r="I40" s="22"/>
    </row>
    <row r="41" spans="1:9" x14ac:dyDescent="0.25">
      <c r="A41" s="20"/>
      <c r="B41" s="21"/>
      <c r="C41" s="22"/>
      <c r="D41" s="22"/>
      <c r="E41" s="22"/>
      <c r="F41" s="22"/>
      <c r="G41" s="22"/>
      <c r="H41" s="22"/>
      <c r="I41" s="22"/>
    </row>
    <row r="42" spans="1:9" x14ac:dyDescent="0.25">
      <c r="A42" s="20"/>
      <c r="B42" s="21"/>
      <c r="C42" s="22"/>
      <c r="D42" s="22"/>
      <c r="E42" s="22"/>
      <c r="F42" s="22"/>
      <c r="G42" s="22"/>
      <c r="H42" s="22"/>
      <c r="I42" s="22"/>
    </row>
    <row r="43" spans="1:9" x14ac:dyDescent="0.25">
      <c r="A43" s="20"/>
      <c r="B43" s="21"/>
      <c r="C43" s="22"/>
      <c r="D43" s="22"/>
      <c r="E43" s="22"/>
      <c r="F43" s="22"/>
      <c r="G43" s="22"/>
      <c r="H43" s="22"/>
      <c r="I43" s="22"/>
    </row>
    <row r="44" spans="1:9" x14ac:dyDescent="0.25">
      <c r="A44" s="20"/>
      <c r="B44" s="21"/>
      <c r="C44" s="22"/>
      <c r="D44" s="22"/>
      <c r="E44" s="22"/>
      <c r="F44" s="22"/>
      <c r="G44" s="22"/>
      <c r="H44" s="22"/>
      <c r="I44" s="22"/>
    </row>
    <row r="45" spans="1:9" x14ac:dyDescent="0.25">
      <c r="A45" s="20"/>
      <c r="B45" s="21"/>
      <c r="C45" s="22"/>
      <c r="D45" s="22"/>
      <c r="E45" s="22"/>
      <c r="F45" s="22"/>
      <c r="G45" s="22"/>
      <c r="H45" s="22"/>
      <c r="I45" s="22"/>
    </row>
    <row r="46" spans="1:9" x14ac:dyDescent="0.25">
      <c r="A46" s="15" t="s">
        <v>246</v>
      </c>
      <c r="B46" s="22">
        <f>cs!B9</f>
        <v>251.45</v>
      </c>
      <c r="C46" s="22">
        <f>C47-C6</f>
        <v>-719.68</v>
      </c>
      <c r="D46" s="22">
        <f t="shared" ref="D46:I46" si="19">D47-D6</f>
        <v>-779.65749999999991</v>
      </c>
      <c r="E46" s="22">
        <f t="shared" si="19"/>
        <v>-839.6350000000001</v>
      </c>
      <c r="F46" s="22">
        <f t="shared" si="19"/>
        <v>-899.61249999999995</v>
      </c>
      <c r="G46" s="22">
        <f t="shared" si="19"/>
        <v>-959.59000000000015</v>
      </c>
      <c r="H46" s="22">
        <f t="shared" si="19"/>
        <v>-959.59000000000015</v>
      </c>
      <c r="I46" s="22">
        <f t="shared" si="19"/>
        <v>-959.59000000000015</v>
      </c>
    </row>
    <row r="47" spans="1:9" x14ac:dyDescent="0.25">
      <c r="A47" s="15"/>
      <c r="B47" s="31">
        <f>cs!B10</f>
        <v>251.45</v>
      </c>
      <c r="C47" s="31">
        <f>C48+C49</f>
        <v>754.35</v>
      </c>
      <c r="D47" s="31">
        <f t="shared" ref="D47:I47" si="20">D48+D49</f>
        <v>817.21249999999998</v>
      </c>
      <c r="E47" s="31">
        <f t="shared" si="20"/>
        <v>880.07499999999993</v>
      </c>
      <c r="F47" s="31">
        <f t="shared" si="20"/>
        <v>942.9375</v>
      </c>
      <c r="G47" s="31">
        <f t="shared" si="20"/>
        <v>1005.8</v>
      </c>
      <c r="H47" s="31">
        <f t="shared" si="20"/>
        <v>1005.8</v>
      </c>
      <c r="I47" s="31">
        <f t="shared" si="20"/>
        <v>1005.8</v>
      </c>
    </row>
    <row r="48" spans="1:9" x14ac:dyDescent="0.25">
      <c r="A48" s="15" t="s">
        <v>247</v>
      </c>
      <c r="B48" s="32">
        <f>cs!B11</f>
        <v>150.87</v>
      </c>
      <c r="C48" s="32">
        <f>wc!D9</f>
        <v>150.87</v>
      </c>
      <c r="D48" s="32">
        <f>wc!E9</f>
        <v>163.4425</v>
      </c>
      <c r="E48" s="32">
        <f>wc!F9</f>
        <v>176.01499999999999</v>
      </c>
      <c r="F48" s="32">
        <f>wc!G9</f>
        <v>188.58750000000001</v>
      </c>
      <c r="G48" s="32">
        <f>wc!H9</f>
        <v>201.16</v>
      </c>
      <c r="H48" s="32">
        <f>wc!I9</f>
        <v>201.16</v>
      </c>
      <c r="I48" s="32">
        <f>wc!J9</f>
        <v>201.16</v>
      </c>
    </row>
    <row r="49" spans="1:15" x14ac:dyDescent="0.25">
      <c r="A49" s="20" t="s">
        <v>80</v>
      </c>
      <c r="B49" s="22">
        <f>cs!B12</f>
        <v>100.58</v>
      </c>
      <c r="C49" s="22">
        <f>process!C16</f>
        <v>603.48</v>
      </c>
      <c r="D49" s="22">
        <f>process!D16</f>
        <v>653.77</v>
      </c>
      <c r="E49" s="22">
        <f>process!E16</f>
        <v>704.06</v>
      </c>
      <c r="F49" s="22">
        <f>process!F16</f>
        <v>754.35</v>
      </c>
      <c r="G49" s="22">
        <f>process!G16</f>
        <v>804.64</v>
      </c>
      <c r="H49" s="22">
        <f>G49</f>
        <v>804.64</v>
      </c>
      <c r="I49" s="22">
        <f>H49</f>
        <v>804.64</v>
      </c>
    </row>
    <row r="50" spans="1:15" x14ac:dyDescent="0.25">
      <c r="A50" s="20" t="s">
        <v>81</v>
      </c>
      <c r="B50" s="22">
        <f>cs!B13</f>
        <v>0</v>
      </c>
      <c r="C50" s="22">
        <f>wc!D10*12</f>
        <v>19.440000000000001</v>
      </c>
      <c r="D50" s="22">
        <f>wc!E10*12</f>
        <v>20.412000000000003</v>
      </c>
      <c r="E50" s="22">
        <f>wc!F10*12</f>
        <v>21.432600000000004</v>
      </c>
      <c r="F50" s="22">
        <f>wc!G10*12</f>
        <v>22.504230000000007</v>
      </c>
      <c r="G50" s="22">
        <f>wc!H10*12</f>
        <v>23.629441500000006</v>
      </c>
      <c r="H50" s="22">
        <f>wc!I10*12</f>
        <v>24.810913575000008</v>
      </c>
      <c r="I50" s="22">
        <f>wc!J10*12</f>
        <v>26.051459253750007</v>
      </c>
    </row>
    <row r="51" spans="1:15" ht="18.75" x14ac:dyDescent="0.25">
      <c r="A51" s="33" t="s">
        <v>82</v>
      </c>
      <c r="B51" s="34">
        <f>cs!B14</f>
        <v>100.58</v>
      </c>
      <c r="C51" s="34">
        <f t="shared" ref="C51:I51" si="21">C49+C50</f>
        <v>622.92000000000007</v>
      </c>
      <c r="D51" s="35">
        <f t="shared" si="21"/>
        <v>674.18200000000002</v>
      </c>
      <c r="E51" s="35">
        <f t="shared" si="21"/>
        <v>725.49259999999992</v>
      </c>
      <c r="F51" s="35">
        <f t="shared" si="21"/>
        <v>776.85423000000003</v>
      </c>
      <c r="G51" s="35">
        <f t="shared" si="21"/>
        <v>828.26944149999997</v>
      </c>
      <c r="H51" s="35">
        <f t="shared" si="21"/>
        <v>829.45091357499996</v>
      </c>
      <c r="I51" s="35">
        <f t="shared" si="21"/>
        <v>830.69145925374994</v>
      </c>
    </row>
    <row r="52" spans="1:15" x14ac:dyDescent="0.25">
      <c r="A52" s="36" t="s">
        <v>248</v>
      </c>
      <c r="B52" s="22">
        <f>cs!B15</f>
        <v>0</v>
      </c>
      <c r="C52" s="22"/>
      <c r="D52" s="21"/>
      <c r="E52" s="22"/>
      <c r="F52" s="21"/>
      <c r="G52" s="22"/>
      <c r="H52" s="21"/>
      <c r="I52" s="22"/>
      <c r="O52" s="2">
        <f>380450/0.004</f>
        <v>95112500</v>
      </c>
    </row>
    <row r="53" spans="1:15" x14ac:dyDescent="0.25">
      <c r="A53" s="20" t="s">
        <v>154</v>
      </c>
      <c r="B53" s="22">
        <f>cs!B16</f>
        <v>10.53</v>
      </c>
      <c r="C53" s="22">
        <f>ROUND((process!C24+process!C30)/100000, 2)</f>
        <v>63.18</v>
      </c>
      <c r="D53" s="22">
        <f>ROUND((process!D24+process!D30)/100000, 2)</f>
        <v>68.45</v>
      </c>
      <c r="E53" s="22">
        <f>ROUND((process!E24+process!E30)/100000, 2)</f>
        <v>73.709999999999994</v>
      </c>
      <c r="F53" s="22">
        <f>ROUND((process!F24+process!F30)/100000, 2)</f>
        <v>78.98</v>
      </c>
      <c r="G53" s="22">
        <f>ROUND((process!G24+process!G30)/100000, 2)</f>
        <v>84.24</v>
      </c>
      <c r="H53" s="22">
        <f>G53</f>
        <v>84.24</v>
      </c>
      <c r="I53" s="22">
        <f>H53</f>
        <v>84.24</v>
      </c>
    </row>
    <row r="54" spans="1:15" x14ac:dyDescent="0.25">
      <c r="A54" s="20" t="s">
        <v>175</v>
      </c>
      <c r="B54" s="22">
        <f>cs!B17</f>
        <v>2.16</v>
      </c>
      <c r="C54" s="22">
        <f>ROUND(process!C38/100000, 2)</f>
        <v>12.96</v>
      </c>
      <c r="D54" s="22">
        <f>ROUND(process!D38/100000, 2)</f>
        <v>14.04</v>
      </c>
      <c r="E54" s="22">
        <f>ROUND(process!E38/100000, 2)</f>
        <v>15.12</v>
      </c>
      <c r="F54" s="22">
        <f>ROUND(process!F38/100000, 2)</f>
        <v>16.2</v>
      </c>
      <c r="G54" s="22">
        <f>ROUND(process!G38/100000, 2)</f>
        <v>17.28</v>
      </c>
      <c r="H54" s="22">
        <f>G54</f>
        <v>17.28</v>
      </c>
      <c r="I54" s="22">
        <f>H54</f>
        <v>17.28</v>
      </c>
    </row>
    <row r="55" spans="1:15" x14ac:dyDescent="0.25">
      <c r="A55" s="20" t="s">
        <v>153</v>
      </c>
      <c r="B55" s="22">
        <f>cs!B18</f>
        <v>3.5</v>
      </c>
      <c r="C55" s="22">
        <f>wc!D11*12</f>
        <v>21</v>
      </c>
      <c r="D55" s="22">
        <f>wc!E11*12</f>
        <v>22.05</v>
      </c>
      <c r="E55" s="22">
        <f>wc!F11*12</f>
        <v>23.152500000000003</v>
      </c>
      <c r="F55" s="22">
        <f>wc!G11*12</f>
        <v>24.310125000000006</v>
      </c>
      <c r="G55" s="22">
        <f>wc!H11*12</f>
        <v>25.525631250000004</v>
      </c>
      <c r="H55" s="22">
        <f>wc!I11*12</f>
        <v>26.801912812500007</v>
      </c>
      <c r="I55" s="22">
        <f>wc!J11*12</f>
        <v>28.142008453125005</v>
      </c>
    </row>
    <row r="56" spans="1:15" x14ac:dyDescent="0.25">
      <c r="A56" s="20" t="s">
        <v>177</v>
      </c>
      <c r="B56" s="22">
        <f>cs!B19</f>
        <v>0.14499999999999999</v>
      </c>
      <c r="C56" s="22">
        <f>ROUND(depn!F10*0.001, 2)</f>
        <v>0.87</v>
      </c>
      <c r="D56" s="22">
        <f>ROUND(depn!G10*0.001, 2)</f>
        <v>0.74</v>
      </c>
      <c r="E56" s="22">
        <f>ROUND(depn!H10*0.001, 2)</f>
        <v>0.64</v>
      </c>
      <c r="F56" s="22">
        <f>ROUND(depn!I10*0.001, 2)</f>
        <v>0.55000000000000004</v>
      </c>
      <c r="G56" s="22">
        <f>ROUND(depn!J10*0.001, 2)</f>
        <v>0.47</v>
      </c>
      <c r="H56" s="22">
        <f>ROUND(depn!K10*0.001, 2)</f>
        <v>0.4</v>
      </c>
      <c r="I56" s="22">
        <f>ROUND(depn!L10*0.001, 2)</f>
        <v>0.35</v>
      </c>
    </row>
    <row r="57" spans="1:15" x14ac:dyDescent="0.25">
      <c r="A57" s="20" t="s">
        <v>176</v>
      </c>
      <c r="B57" s="22">
        <f>cs!B20</f>
        <v>0</v>
      </c>
      <c r="C57" s="22">
        <f>depn!G12</f>
        <v>131.21</v>
      </c>
      <c r="D57" s="22">
        <f>depn!H12</f>
        <v>105.46</v>
      </c>
      <c r="E57" s="22">
        <f>depn!I12</f>
        <v>90.24</v>
      </c>
      <c r="F57" s="22">
        <f>depn!J12</f>
        <v>77.25</v>
      </c>
      <c r="G57" s="22">
        <f>depn!K12</f>
        <v>66.16</v>
      </c>
      <c r="H57" s="22">
        <f>depn!L12</f>
        <v>56.68</v>
      </c>
      <c r="I57" s="22">
        <f>depn!M12</f>
        <v>48.57</v>
      </c>
    </row>
    <row r="58" spans="1:15" x14ac:dyDescent="0.25">
      <c r="A58" s="20" t="s">
        <v>178</v>
      </c>
      <c r="B58" s="22">
        <f>cs!B21</f>
        <v>0.8716666666666667</v>
      </c>
      <c r="C58" s="22">
        <f>ROUND(process!C43/100000, 2)</f>
        <v>5.23</v>
      </c>
      <c r="D58" s="22">
        <f>ROUND(process!D43/100000, 2)</f>
        <v>5.67</v>
      </c>
      <c r="E58" s="22">
        <f>ROUND(process!E43/100000, 2)</f>
        <v>6.1</v>
      </c>
      <c r="F58" s="22">
        <f>ROUND(process!F43/100000, 2)</f>
        <v>6.54</v>
      </c>
      <c r="G58" s="22">
        <f>ROUND(process!G43/100000, 2)</f>
        <v>6.98</v>
      </c>
      <c r="H58" s="22">
        <f>G58</f>
        <v>6.98</v>
      </c>
      <c r="I58" s="22">
        <f>H58</f>
        <v>6.98</v>
      </c>
    </row>
    <row r="59" spans="1:15" ht="18.75" x14ac:dyDescent="0.25">
      <c r="A59" s="33" t="s">
        <v>83</v>
      </c>
      <c r="B59" s="35">
        <f>cs!B22</f>
        <v>117.78666666666666</v>
      </c>
      <c r="C59" s="35">
        <f t="shared" ref="C59:I59" si="22">C51+C53+C54+C55+C56+C57+C58</f>
        <v>857.37000000000012</v>
      </c>
      <c r="D59" s="35">
        <f t="shared" si="22"/>
        <v>890.59199999999998</v>
      </c>
      <c r="E59" s="35">
        <f t="shared" si="22"/>
        <v>934.45510000000002</v>
      </c>
      <c r="F59" s="35">
        <f t="shared" si="22"/>
        <v>980.68435499999998</v>
      </c>
      <c r="G59" s="35">
        <f t="shared" si="22"/>
        <v>1028.9250727499998</v>
      </c>
      <c r="H59" s="35">
        <f t="shared" si="22"/>
        <v>1021.8328263874998</v>
      </c>
      <c r="I59" s="35">
        <f t="shared" si="22"/>
        <v>1016.253467706875</v>
      </c>
    </row>
    <row r="60" spans="1:15" x14ac:dyDescent="0.25">
      <c r="A60" s="15" t="s">
        <v>249</v>
      </c>
      <c r="B60" s="22">
        <f>cs!B23</f>
        <v>0</v>
      </c>
      <c r="C60" s="22"/>
      <c r="D60" s="21"/>
      <c r="E60" s="22"/>
      <c r="F60" s="21"/>
      <c r="G60" s="22"/>
      <c r="H60" s="21"/>
      <c r="I60" s="22"/>
    </row>
    <row r="61" spans="1:15" x14ac:dyDescent="0.25">
      <c r="A61" s="20" t="s">
        <v>179</v>
      </c>
      <c r="B61" s="22">
        <f>cs!B24</f>
        <v>12.283333333333333</v>
      </c>
      <c r="C61" s="22">
        <f>ROUND(0.05*process!C17, 2)</f>
        <v>73.7</v>
      </c>
      <c r="D61" s="22">
        <f>ROUND(0.05*process!D17, 2)</f>
        <v>79.84</v>
      </c>
      <c r="E61" s="22">
        <f>ROUND(0.05*process!E17, 2)</f>
        <v>85.99</v>
      </c>
      <c r="F61" s="22">
        <f>ROUND(0.05*process!F17, 2)</f>
        <v>92.13</v>
      </c>
      <c r="G61" s="22">
        <f>ROUND(0.05*process!G17, 2)</f>
        <v>98.27</v>
      </c>
      <c r="H61" s="22">
        <f>G61</f>
        <v>98.27</v>
      </c>
      <c r="I61" s="22">
        <f>H61</f>
        <v>98.27</v>
      </c>
    </row>
    <row r="62" spans="1:15" x14ac:dyDescent="0.25">
      <c r="A62" s="20" t="s">
        <v>180</v>
      </c>
      <c r="B62" s="22">
        <f>cs!B25</f>
        <v>0</v>
      </c>
      <c r="C62" s="22"/>
      <c r="D62" s="21"/>
      <c r="E62" s="22"/>
      <c r="F62" s="21"/>
      <c r="G62" s="22"/>
      <c r="H62" s="21"/>
      <c r="I62" s="22"/>
    </row>
    <row r="63" spans="1:15" x14ac:dyDescent="0.25">
      <c r="A63" s="20" t="s">
        <v>191</v>
      </c>
      <c r="B63" s="22">
        <f>cs!B26</f>
        <v>0</v>
      </c>
      <c r="C63" s="22">
        <f>TL!M8</f>
        <v>110.62</v>
      </c>
      <c r="D63" s="22">
        <f>TL!N8</f>
        <v>93.72</v>
      </c>
      <c r="E63" s="22">
        <f>TL!O8</f>
        <v>76.8</v>
      </c>
      <c r="F63" s="22">
        <f>TL!P8</f>
        <v>59.89</v>
      </c>
      <c r="G63" s="22">
        <f>TL!Q8</f>
        <v>42.99</v>
      </c>
      <c r="H63" s="22">
        <f>TL!R8</f>
        <v>26.07</v>
      </c>
      <c r="I63" s="22">
        <f>TL!S8</f>
        <v>9.15</v>
      </c>
    </row>
    <row r="64" spans="1:15" x14ac:dyDescent="0.25">
      <c r="A64" s="20" t="s">
        <v>192</v>
      </c>
      <c r="B64" s="21">
        <f>cs!B27</f>
        <v>4.5</v>
      </c>
      <c r="C64" s="21">
        <f>wcl!C12</f>
        <v>18.010000000000002</v>
      </c>
      <c r="D64" s="21">
        <f>wcl!D12</f>
        <v>19.5</v>
      </c>
      <c r="E64" s="21">
        <f>wcl!E12</f>
        <v>21</v>
      </c>
      <c r="F64" s="21">
        <f>wcl!F12</f>
        <v>22.49</v>
      </c>
      <c r="G64" s="21">
        <f>wcl!G12</f>
        <v>23.99</v>
      </c>
      <c r="H64" s="21">
        <f>wcl!H12</f>
        <v>24</v>
      </c>
      <c r="I64" s="21">
        <f>wcl!I12</f>
        <v>24.02</v>
      </c>
    </row>
    <row r="65" spans="1:9" ht="18.75" x14ac:dyDescent="0.25">
      <c r="A65" s="33" t="s">
        <v>84</v>
      </c>
      <c r="B65" s="35">
        <f>cs!B28</f>
        <v>134.57</v>
      </c>
      <c r="C65" s="35">
        <f t="shared" ref="C65:I65" si="23">C59+C61+C63+C64</f>
        <v>1059.7</v>
      </c>
      <c r="D65" s="35">
        <f t="shared" si="23"/>
        <v>1083.652</v>
      </c>
      <c r="E65" s="35">
        <f t="shared" si="23"/>
        <v>1118.2451000000001</v>
      </c>
      <c r="F65" s="35">
        <f t="shared" si="23"/>
        <v>1155.1943550000001</v>
      </c>
      <c r="G65" s="35">
        <f t="shared" si="23"/>
        <v>1194.1750727499998</v>
      </c>
      <c r="H65" s="35">
        <f t="shared" si="23"/>
        <v>1170.1728263874998</v>
      </c>
      <c r="I65" s="35">
        <f t="shared" si="23"/>
        <v>1147.693467706875</v>
      </c>
    </row>
    <row r="66" spans="1:9" ht="18.75" x14ac:dyDescent="0.25">
      <c r="A66" s="33" t="s">
        <v>181</v>
      </c>
      <c r="B66" s="22">
        <f>cs!B29</f>
        <v>134.57</v>
      </c>
      <c r="C66" s="22">
        <f t="shared" ref="C66:I66" si="24">C65</f>
        <v>1059.7</v>
      </c>
      <c r="D66" s="22">
        <f t="shared" si="24"/>
        <v>1083.652</v>
      </c>
      <c r="E66" s="22">
        <f t="shared" si="24"/>
        <v>1118.2451000000001</v>
      </c>
      <c r="F66" s="22">
        <f t="shared" si="24"/>
        <v>1155.1943550000001</v>
      </c>
      <c r="G66" s="22">
        <f t="shared" si="24"/>
        <v>1194.1750727499998</v>
      </c>
      <c r="H66" s="22">
        <f t="shared" si="24"/>
        <v>1170.1728263874998</v>
      </c>
      <c r="I66" s="22">
        <f t="shared" si="24"/>
        <v>1147.693467706875</v>
      </c>
    </row>
    <row r="67" spans="1:9" x14ac:dyDescent="0.25">
      <c r="A67" s="15" t="s">
        <v>250</v>
      </c>
      <c r="B67" s="21">
        <f>cs!B30</f>
        <v>12.283333333333333</v>
      </c>
      <c r="C67" s="21">
        <f t="shared" ref="C67:I67" si="25">C61</f>
        <v>73.7</v>
      </c>
      <c r="D67" s="21">
        <f t="shared" si="25"/>
        <v>79.84</v>
      </c>
      <c r="E67" s="21">
        <f t="shared" si="25"/>
        <v>85.99</v>
      </c>
      <c r="F67" s="21">
        <f t="shared" si="25"/>
        <v>92.13</v>
      </c>
      <c r="G67" s="21">
        <f t="shared" si="25"/>
        <v>98.27</v>
      </c>
      <c r="H67" s="21">
        <f t="shared" si="25"/>
        <v>98.27</v>
      </c>
      <c r="I67" s="21">
        <f t="shared" si="25"/>
        <v>98.27</v>
      </c>
    </row>
    <row r="68" spans="1:9" x14ac:dyDescent="0.25">
      <c r="A68" s="20" t="s">
        <v>193</v>
      </c>
      <c r="B68" s="22">
        <f>cs!B31</f>
        <v>0</v>
      </c>
      <c r="C68" s="22"/>
      <c r="D68" s="21"/>
      <c r="E68" s="22"/>
      <c r="F68" s="21"/>
      <c r="G68" s="22"/>
      <c r="H68" s="21"/>
      <c r="I68" s="22"/>
    </row>
    <row r="69" spans="1:9" ht="18.75" x14ac:dyDescent="0.25">
      <c r="A69" s="33" t="s">
        <v>85</v>
      </c>
      <c r="B69" s="35">
        <f>cs!B32</f>
        <v>146.85333333333332</v>
      </c>
      <c r="C69" s="35">
        <f t="shared" ref="C69:I69" si="26">C66+C67</f>
        <v>1133.4000000000001</v>
      </c>
      <c r="D69" s="35">
        <f t="shared" si="26"/>
        <v>1163.492</v>
      </c>
      <c r="E69" s="35">
        <f t="shared" si="26"/>
        <v>1204.2351000000001</v>
      </c>
      <c r="F69" s="35">
        <f t="shared" si="26"/>
        <v>1247.3243550000002</v>
      </c>
      <c r="G69" s="35">
        <f t="shared" si="26"/>
        <v>1292.4450727499998</v>
      </c>
      <c r="H69" s="35">
        <f t="shared" si="26"/>
        <v>1268.4428263874997</v>
      </c>
      <c r="I69" s="35">
        <f t="shared" si="26"/>
        <v>1245.963467706875</v>
      </c>
    </row>
    <row r="70" spans="1:9" x14ac:dyDescent="0.25">
      <c r="A70" s="20" t="s">
        <v>251</v>
      </c>
      <c r="B70" s="35">
        <f>cs!B33</f>
        <v>0</v>
      </c>
      <c r="C70" s="35">
        <f t="shared" ref="C70:I70" si="27">C71-C69</f>
        <v>340.62999999999988</v>
      </c>
      <c r="D70" s="22">
        <f t="shared" si="27"/>
        <v>433.37799999999993</v>
      </c>
      <c r="E70" s="22">
        <f t="shared" si="27"/>
        <v>515.47489999999993</v>
      </c>
      <c r="F70" s="22">
        <f t="shared" si="27"/>
        <v>595.22564499999976</v>
      </c>
      <c r="G70" s="22">
        <f t="shared" si="27"/>
        <v>672.94492725000032</v>
      </c>
      <c r="H70" s="22">
        <f t="shared" si="27"/>
        <v>696.94717361250036</v>
      </c>
      <c r="I70" s="22">
        <f t="shared" si="27"/>
        <v>719.42653229312509</v>
      </c>
    </row>
    <row r="71" spans="1:9" x14ac:dyDescent="0.25">
      <c r="A71" s="20" t="s">
        <v>86</v>
      </c>
      <c r="B71" s="32">
        <f>cs!B34</f>
        <v>146.85333333333332</v>
      </c>
      <c r="C71" s="32">
        <f>process!C17</f>
        <v>1474.03</v>
      </c>
      <c r="D71" s="37">
        <f>process!D17</f>
        <v>1596.87</v>
      </c>
      <c r="E71" s="37">
        <f>process!E17</f>
        <v>1719.71</v>
      </c>
      <c r="F71" s="37">
        <f>process!F17</f>
        <v>1842.55</v>
      </c>
      <c r="G71" s="37">
        <f>process!G17</f>
        <v>1965.39</v>
      </c>
      <c r="H71" s="37">
        <f>G71</f>
        <v>1965.39</v>
      </c>
      <c r="I71" s="37">
        <f>H71</f>
        <v>1965.39</v>
      </c>
    </row>
    <row r="72" spans="1:9" x14ac:dyDescent="0.25">
      <c r="B72" s="2">
        <f>cs!B35</f>
        <v>0</v>
      </c>
    </row>
    <row r="73" spans="1:9" ht="18.75" x14ac:dyDescent="0.25">
      <c r="A73" s="33" t="s">
        <v>194</v>
      </c>
      <c r="B73" s="2">
        <f>cs!B36</f>
        <v>0</v>
      </c>
    </row>
    <row r="74" spans="1:9" x14ac:dyDescent="0.25">
      <c r="A74" s="2" t="s">
        <v>195</v>
      </c>
      <c r="B74" s="38">
        <f>cs!B37</f>
        <v>0</v>
      </c>
      <c r="C74" s="38">
        <f t="shared" ref="C74:I74" si="28">C70</f>
        <v>340.62999999999988</v>
      </c>
      <c r="D74" s="38">
        <f t="shared" si="28"/>
        <v>433.37799999999993</v>
      </c>
      <c r="E74" s="38">
        <f t="shared" si="28"/>
        <v>515.47489999999993</v>
      </c>
      <c r="F74" s="38">
        <f t="shared" si="28"/>
        <v>595.22564499999976</v>
      </c>
      <c r="G74" s="38">
        <f t="shared" si="28"/>
        <v>672.94492725000032</v>
      </c>
      <c r="H74" s="38">
        <f t="shared" si="28"/>
        <v>696.94717361250036</v>
      </c>
      <c r="I74" s="38">
        <f t="shared" si="28"/>
        <v>719.42653229312509</v>
      </c>
    </row>
    <row r="75" spans="1:9" x14ac:dyDescent="0.25">
      <c r="A75" s="2" t="s">
        <v>196</v>
      </c>
      <c r="B75" s="38">
        <f>cs!B38</f>
        <v>0</v>
      </c>
      <c r="C75" s="38">
        <f t="shared" ref="C75:I75" si="29">C57</f>
        <v>131.21</v>
      </c>
      <c r="D75" s="38">
        <f t="shared" si="29"/>
        <v>105.46</v>
      </c>
      <c r="E75" s="38">
        <f t="shared" si="29"/>
        <v>90.24</v>
      </c>
      <c r="F75" s="38">
        <f t="shared" si="29"/>
        <v>77.25</v>
      </c>
      <c r="G75" s="38">
        <f t="shared" si="29"/>
        <v>66.16</v>
      </c>
      <c r="H75" s="38">
        <f t="shared" si="29"/>
        <v>56.68</v>
      </c>
      <c r="I75" s="38">
        <f t="shared" si="29"/>
        <v>48.57</v>
      </c>
    </row>
    <row r="76" spans="1:9" x14ac:dyDescent="0.25">
      <c r="A76" s="2" t="s">
        <v>197</v>
      </c>
      <c r="B76" s="38">
        <f>cs!B39</f>
        <v>0</v>
      </c>
      <c r="C76" s="38">
        <f t="shared" ref="C76:I76" si="30">C74+C75</f>
        <v>471.83999999999992</v>
      </c>
      <c r="D76" s="38">
        <f t="shared" si="30"/>
        <v>538.83799999999997</v>
      </c>
      <c r="E76" s="38">
        <f t="shared" si="30"/>
        <v>605.71489999999994</v>
      </c>
      <c r="F76" s="38">
        <f t="shared" si="30"/>
        <v>672.47564499999976</v>
      </c>
      <c r="G76" s="38">
        <f t="shared" si="30"/>
        <v>739.10492725000029</v>
      </c>
      <c r="H76" s="38">
        <f t="shared" si="30"/>
        <v>753.62717361250031</v>
      </c>
      <c r="I76" s="38">
        <f t="shared" si="30"/>
        <v>767.99653229312514</v>
      </c>
    </row>
    <row r="77" spans="1:9" ht="18.75" x14ac:dyDescent="0.3">
      <c r="A77" s="39" t="s">
        <v>198</v>
      </c>
      <c r="B77" s="2">
        <f>cs!B40</f>
        <v>0</v>
      </c>
    </row>
    <row r="78" spans="1:9" x14ac:dyDescent="0.25">
      <c r="A78" s="2" t="s">
        <v>199</v>
      </c>
      <c r="B78" s="38">
        <f>cs!B41</f>
        <v>0</v>
      </c>
      <c r="C78" s="38">
        <f>TL!M7</f>
        <v>140.91999999999999</v>
      </c>
      <c r="D78" s="38">
        <f>TL!N7</f>
        <v>140.91999999999999</v>
      </c>
      <c r="E78" s="38">
        <f>TL!O7</f>
        <v>140.91999999999999</v>
      </c>
      <c r="F78" s="38">
        <f>TL!P7</f>
        <v>140.91999999999999</v>
      </c>
      <c r="G78" s="38">
        <f>TL!Q7</f>
        <v>140.91999999999999</v>
      </c>
      <c r="H78" s="38">
        <f>TL!R7</f>
        <v>140.91999999999999</v>
      </c>
      <c r="I78" s="38">
        <f>TL!S7</f>
        <v>140.91999999999999</v>
      </c>
    </row>
    <row r="79" spans="1:9" x14ac:dyDescent="0.25">
      <c r="A79" s="2" t="s">
        <v>200</v>
      </c>
      <c r="B79" s="38">
        <f>cs!B42</f>
        <v>4.5</v>
      </c>
      <c r="C79" s="38">
        <f t="shared" ref="C79:I79" si="31">C63+C64</f>
        <v>128.63</v>
      </c>
      <c r="D79" s="38">
        <f t="shared" si="31"/>
        <v>113.22</v>
      </c>
      <c r="E79" s="38">
        <f t="shared" si="31"/>
        <v>97.8</v>
      </c>
      <c r="F79" s="38">
        <f t="shared" si="31"/>
        <v>82.38</v>
      </c>
      <c r="G79" s="38">
        <f t="shared" si="31"/>
        <v>66.98</v>
      </c>
      <c r="H79" s="38">
        <f t="shared" si="31"/>
        <v>50.07</v>
      </c>
      <c r="I79" s="38">
        <f t="shared" si="31"/>
        <v>33.17</v>
      </c>
    </row>
    <row r="80" spans="1:9" x14ac:dyDescent="0.25">
      <c r="A80" s="2" t="s">
        <v>50</v>
      </c>
      <c r="B80" s="38">
        <f>cs!B43</f>
        <v>4.5</v>
      </c>
      <c r="C80" s="38">
        <f t="shared" ref="C80:I80" si="32">C78+C79</f>
        <v>269.54999999999995</v>
      </c>
      <c r="D80" s="38">
        <f t="shared" si="32"/>
        <v>254.14</v>
      </c>
      <c r="E80" s="38">
        <f t="shared" si="32"/>
        <v>238.71999999999997</v>
      </c>
      <c r="F80" s="38">
        <f t="shared" si="32"/>
        <v>223.29999999999998</v>
      </c>
      <c r="G80" s="38">
        <f t="shared" si="32"/>
        <v>207.89999999999998</v>
      </c>
      <c r="H80" s="38">
        <f t="shared" si="32"/>
        <v>190.98999999999998</v>
      </c>
      <c r="I80" s="38">
        <f t="shared" si="32"/>
        <v>174.08999999999997</v>
      </c>
    </row>
    <row r="81" spans="1:9" x14ac:dyDescent="0.25">
      <c r="B81" s="2">
        <f>cs!B44</f>
        <v>0</v>
      </c>
    </row>
    <row r="82" spans="1:9" x14ac:dyDescent="0.25">
      <c r="A82" s="2" t="s">
        <v>201</v>
      </c>
      <c r="B82" s="40">
        <f>cs!B45</f>
        <v>0</v>
      </c>
      <c r="C82" s="40">
        <f>(C76+C79)/C80</f>
        <v>2.2276757558894453</v>
      </c>
      <c r="D82" s="40">
        <f t="shared" ref="D82:I82" si="33">(D76+D79)/D80</f>
        <v>2.5657432910993943</v>
      </c>
      <c r="E82" s="40">
        <f t="shared" si="33"/>
        <v>2.9470295743967827</v>
      </c>
      <c r="F82" s="40">
        <f t="shared" si="33"/>
        <v>3.3804551948051937</v>
      </c>
      <c r="G82" s="40">
        <f t="shared" si="33"/>
        <v>3.8772723773448794</v>
      </c>
      <c r="H82" s="40">
        <f t="shared" si="33"/>
        <v>4.2080589225221239</v>
      </c>
      <c r="I82" s="40">
        <f t="shared" si="33"/>
        <v>4.6020250002477177</v>
      </c>
    </row>
  </sheetData>
  <mergeCells count="1">
    <mergeCell ref="A1:I1"/>
  </mergeCells>
  <pageMargins left="0.7" right="0.7" top="0.75" bottom="0.75" header="0.3" footer="0.3"/>
  <pageSetup scale="83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zoomScaleSheetLayoutView="95" workbookViewId="0">
      <selection activeCell="J7" sqref="J7"/>
    </sheetView>
  </sheetViews>
  <sheetFormatPr defaultRowHeight="15" x14ac:dyDescent="0.25"/>
  <cols>
    <col min="1" max="1" width="50.5703125" style="2" bestFit="1" customWidth="1"/>
    <col min="2" max="2" width="10.85546875" style="2" hidden="1" customWidth="1"/>
    <col min="3" max="3" width="10.85546875" style="2" customWidth="1"/>
    <col min="4" max="4" width="10.7109375" style="2" customWidth="1"/>
    <col min="5" max="5" width="9" style="2" customWidth="1"/>
    <col min="6" max="6" width="11.28515625" style="2" customWidth="1"/>
    <col min="7" max="7" width="10.28515625" style="2" customWidth="1"/>
    <col min="8" max="9" width="11.28515625" style="2" customWidth="1"/>
    <col min="10" max="10" width="9.85546875" style="2" customWidth="1"/>
    <col min="11" max="11" width="10.85546875" style="2" bestFit="1" customWidth="1"/>
    <col min="12" max="12" width="13" style="2" hidden="1" customWidth="1"/>
    <col min="13" max="14" width="12.5703125" style="2" hidden="1" customWidth="1"/>
    <col min="15" max="15" width="13" style="2" hidden="1" customWidth="1"/>
    <col min="16" max="20" width="9.140625" style="2"/>
    <col min="21" max="21" width="9.28515625" style="2" bestFit="1" customWidth="1"/>
    <col min="22" max="16384" width="9.140625" style="2"/>
  </cols>
  <sheetData>
    <row r="1" spans="1:15" ht="21" x14ac:dyDescent="0.35">
      <c r="A1" s="183" t="s">
        <v>252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 ht="21" x14ac:dyDescent="0.35">
      <c r="A2" s="183" t="s">
        <v>253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 ht="21" x14ac:dyDescent="0.35">
      <c r="A3" s="183" t="s">
        <v>254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5" spans="1:15" ht="15.75" x14ac:dyDescent="0.25">
      <c r="A5" s="10" t="s">
        <v>26</v>
      </c>
      <c r="B5" s="11" t="s">
        <v>119</v>
      </c>
      <c r="C5" s="11"/>
      <c r="D5" s="11" t="s">
        <v>120</v>
      </c>
      <c r="E5" s="11"/>
      <c r="F5" s="11"/>
      <c r="G5" s="11" t="s">
        <v>121</v>
      </c>
      <c r="H5" s="11"/>
      <c r="I5" s="11"/>
      <c r="J5" s="11" t="s">
        <v>122</v>
      </c>
      <c r="K5" s="11"/>
      <c r="L5" s="11" t="s">
        <v>123</v>
      </c>
      <c r="M5" s="11" t="s">
        <v>124</v>
      </c>
      <c r="N5" s="11" t="s">
        <v>125</v>
      </c>
      <c r="O5" s="11" t="s">
        <v>126</v>
      </c>
    </row>
    <row r="6" spans="1:15" ht="15.75" x14ac:dyDescent="0.25">
      <c r="A6" s="12" t="s">
        <v>49</v>
      </c>
      <c r="B6" s="13">
        <v>0.6</v>
      </c>
      <c r="C6" s="13"/>
      <c r="D6" s="13">
        <f>process!C15</f>
        <v>0.6</v>
      </c>
      <c r="E6" s="13"/>
      <c r="F6" s="13"/>
      <c r="G6" s="13">
        <f>process!D15</f>
        <v>0.65</v>
      </c>
      <c r="H6" s="13"/>
      <c r="I6" s="13"/>
      <c r="J6" s="13">
        <f>process!E15</f>
        <v>0.7</v>
      </c>
      <c r="K6" s="13"/>
      <c r="L6" s="13">
        <f>process!F15</f>
        <v>0.75</v>
      </c>
      <c r="M6" s="13">
        <f>process!G15</f>
        <v>0.8</v>
      </c>
      <c r="N6" s="13">
        <f>M6</f>
        <v>0.8</v>
      </c>
      <c r="O6" s="13">
        <f>N6</f>
        <v>0.8</v>
      </c>
    </row>
    <row r="7" spans="1:15" ht="30.75" thickBot="1" x14ac:dyDescent="0.3">
      <c r="A7" s="14"/>
      <c r="B7" s="15"/>
      <c r="C7" s="15" t="s">
        <v>255</v>
      </c>
      <c r="D7" s="15" t="s">
        <v>261</v>
      </c>
      <c r="E7" s="15" t="s">
        <v>256</v>
      </c>
      <c r="F7" s="15" t="s">
        <v>255</v>
      </c>
      <c r="G7" s="15" t="s">
        <v>261</v>
      </c>
      <c r="H7" s="15" t="s">
        <v>256</v>
      </c>
      <c r="I7" s="15" t="s">
        <v>255</v>
      </c>
      <c r="J7" s="15" t="s">
        <v>261</v>
      </c>
      <c r="K7" s="15" t="s">
        <v>256</v>
      </c>
      <c r="L7" s="15"/>
      <c r="M7" s="15"/>
      <c r="N7" s="15"/>
      <c r="O7" s="15"/>
    </row>
    <row r="8" spans="1:15" ht="15.75" thickBot="1" x14ac:dyDescent="0.3">
      <c r="A8" s="16" t="s">
        <v>86</v>
      </c>
      <c r="B8" s="17">
        <f>B73</f>
        <v>146.85333333333332</v>
      </c>
      <c r="C8" s="17">
        <f>D8</f>
        <v>1474.03</v>
      </c>
      <c r="D8" s="18">
        <f>process!C17</f>
        <v>1474.03</v>
      </c>
      <c r="E8" s="18">
        <f>D8</f>
        <v>1474.03</v>
      </c>
      <c r="F8" s="17">
        <f>G8</f>
        <v>1596.87</v>
      </c>
      <c r="G8" s="18">
        <f>process!D17</f>
        <v>1596.87</v>
      </c>
      <c r="H8" s="18">
        <f>G8</f>
        <v>1596.87</v>
      </c>
      <c r="I8" s="17">
        <f>J8</f>
        <v>1719.71</v>
      </c>
      <c r="J8" s="18">
        <f>process!E17</f>
        <v>1719.71</v>
      </c>
      <c r="K8" s="18">
        <f>J8</f>
        <v>1719.71</v>
      </c>
      <c r="L8" s="18">
        <f>process!F17</f>
        <v>1842.55</v>
      </c>
      <c r="M8" s="18">
        <f>process!G17</f>
        <v>1965.39</v>
      </c>
      <c r="N8" s="18">
        <f>M8</f>
        <v>1965.39</v>
      </c>
      <c r="O8" s="19">
        <f>N8</f>
        <v>1965.39</v>
      </c>
    </row>
    <row r="9" spans="1:15" x14ac:dyDescent="0.25">
      <c r="A9" s="20"/>
      <c r="B9" s="21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15" ht="16.5" thickBot="1" x14ac:dyDescent="0.3">
      <c r="A10" s="23" t="s">
        <v>205</v>
      </c>
      <c r="B10" s="21"/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5" hidden="1" x14ac:dyDescent="0.25">
      <c r="A11" s="20"/>
      <c r="B11" s="21"/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</row>
    <row r="12" spans="1:15" hidden="1" x14ac:dyDescent="0.25">
      <c r="A12" s="24" t="s">
        <v>206</v>
      </c>
      <c r="B12" s="25">
        <f>B51</f>
        <v>100.58</v>
      </c>
      <c r="C12" s="25"/>
      <c r="D12" s="25">
        <f t="shared" ref="D12:O12" si="0">D51</f>
        <v>603.48</v>
      </c>
      <c r="E12" s="25"/>
      <c r="F12" s="25"/>
      <c r="G12" s="25">
        <f t="shared" si="0"/>
        <v>653.77</v>
      </c>
      <c r="H12" s="25"/>
      <c r="I12" s="25"/>
      <c r="J12" s="25">
        <f t="shared" si="0"/>
        <v>704.06</v>
      </c>
      <c r="K12" s="25"/>
      <c r="L12" s="25">
        <f t="shared" si="0"/>
        <v>754.35</v>
      </c>
      <c r="M12" s="25">
        <f t="shared" si="0"/>
        <v>804.64</v>
      </c>
      <c r="N12" s="25">
        <f t="shared" si="0"/>
        <v>804.64</v>
      </c>
      <c r="O12" s="25">
        <f t="shared" si="0"/>
        <v>804.64</v>
      </c>
    </row>
    <row r="13" spans="1:15" hidden="1" x14ac:dyDescent="0.25">
      <c r="A13" s="26" t="s">
        <v>207</v>
      </c>
      <c r="B13" s="25">
        <f>B55</f>
        <v>10.53</v>
      </c>
      <c r="C13" s="25"/>
      <c r="D13" s="25">
        <f t="shared" ref="D13:O14" si="1">D55</f>
        <v>63.18</v>
      </c>
      <c r="E13" s="25"/>
      <c r="F13" s="25"/>
      <c r="G13" s="25">
        <f t="shared" si="1"/>
        <v>68.45</v>
      </c>
      <c r="H13" s="25"/>
      <c r="I13" s="25"/>
      <c r="J13" s="25">
        <f t="shared" si="1"/>
        <v>73.709999999999994</v>
      </c>
      <c r="K13" s="25"/>
      <c r="L13" s="25">
        <f t="shared" si="1"/>
        <v>78.98</v>
      </c>
      <c r="M13" s="25">
        <f t="shared" si="1"/>
        <v>84.24</v>
      </c>
      <c r="N13" s="25">
        <f t="shared" si="1"/>
        <v>84.24</v>
      </c>
      <c r="O13" s="25">
        <f t="shared" si="1"/>
        <v>84.24</v>
      </c>
    </row>
    <row r="14" spans="1:15" hidden="1" x14ac:dyDescent="0.25">
      <c r="A14" s="26" t="s">
        <v>208</v>
      </c>
      <c r="B14" s="25">
        <f>B56</f>
        <v>2.16</v>
      </c>
      <c r="C14" s="25"/>
      <c r="D14" s="25">
        <f t="shared" si="1"/>
        <v>12.96</v>
      </c>
      <c r="E14" s="25"/>
      <c r="F14" s="25"/>
      <c r="G14" s="25">
        <f t="shared" si="1"/>
        <v>14.04</v>
      </c>
      <c r="H14" s="25"/>
      <c r="I14" s="25"/>
      <c r="J14" s="25">
        <f t="shared" si="1"/>
        <v>15.12</v>
      </c>
      <c r="K14" s="25"/>
      <c r="L14" s="25">
        <f t="shared" si="1"/>
        <v>16.2</v>
      </c>
      <c r="M14" s="25">
        <f t="shared" si="1"/>
        <v>17.28</v>
      </c>
      <c r="N14" s="25">
        <f t="shared" si="1"/>
        <v>17.28</v>
      </c>
      <c r="O14" s="25">
        <f t="shared" si="1"/>
        <v>17.28</v>
      </c>
    </row>
    <row r="15" spans="1:15" hidden="1" x14ac:dyDescent="0.25">
      <c r="A15" s="26" t="s">
        <v>178</v>
      </c>
      <c r="B15" s="25">
        <f>B60</f>
        <v>0.8716666666666667</v>
      </c>
      <c r="C15" s="25"/>
      <c r="D15" s="25">
        <f t="shared" ref="D15:O15" si="2">D60</f>
        <v>5.23</v>
      </c>
      <c r="E15" s="25"/>
      <c r="F15" s="25"/>
      <c r="G15" s="25">
        <f t="shared" si="2"/>
        <v>5.67</v>
      </c>
      <c r="H15" s="25"/>
      <c r="I15" s="25"/>
      <c r="J15" s="25">
        <f t="shared" si="2"/>
        <v>6.1</v>
      </c>
      <c r="K15" s="25"/>
      <c r="L15" s="25">
        <f t="shared" si="2"/>
        <v>6.54</v>
      </c>
      <c r="M15" s="25">
        <f t="shared" si="2"/>
        <v>6.98</v>
      </c>
      <c r="N15" s="25">
        <f t="shared" si="2"/>
        <v>6.98</v>
      </c>
      <c r="O15" s="25">
        <f t="shared" si="2"/>
        <v>6.98</v>
      </c>
    </row>
    <row r="16" spans="1:15" hidden="1" x14ac:dyDescent="0.25">
      <c r="A16" s="26" t="s">
        <v>192</v>
      </c>
      <c r="B16" s="25">
        <f>B66</f>
        <v>4.5</v>
      </c>
      <c r="C16" s="25"/>
      <c r="D16" s="25">
        <f>D66</f>
        <v>18.010000000000002</v>
      </c>
      <c r="E16" s="25"/>
      <c r="F16" s="25"/>
      <c r="G16" s="25">
        <f t="shared" ref="G16:O16" si="3">G66</f>
        <v>19.5</v>
      </c>
      <c r="H16" s="25"/>
      <c r="I16" s="25"/>
      <c r="J16" s="25">
        <f t="shared" si="3"/>
        <v>21</v>
      </c>
      <c r="K16" s="25"/>
      <c r="L16" s="25">
        <f t="shared" si="3"/>
        <v>22.49</v>
      </c>
      <c r="M16" s="25">
        <f t="shared" si="3"/>
        <v>23.99</v>
      </c>
      <c r="N16" s="25">
        <f t="shared" si="3"/>
        <v>24</v>
      </c>
      <c r="O16" s="25">
        <f t="shared" si="3"/>
        <v>24.02</v>
      </c>
    </row>
    <row r="17" spans="1:15" ht="15.75" hidden="1" thickBot="1" x14ac:dyDescent="0.3">
      <c r="A17" s="27" t="s">
        <v>209</v>
      </c>
      <c r="B17" s="25">
        <f>B69</f>
        <v>12.283333333333333</v>
      </c>
      <c r="C17" s="25"/>
      <c r="D17" s="25">
        <f t="shared" ref="D17:O17" si="4">D69</f>
        <v>73.7</v>
      </c>
      <c r="E17" s="25"/>
      <c r="F17" s="25"/>
      <c r="G17" s="25">
        <f t="shared" si="4"/>
        <v>79.84</v>
      </c>
      <c r="H17" s="25"/>
      <c r="I17" s="25"/>
      <c r="J17" s="25">
        <f t="shared" si="4"/>
        <v>85.99</v>
      </c>
      <c r="K17" s="25"/>
      <c r="L17" s="25">
        <f t="shared" si="4"/>
        <v>92.13</v>
      </c>
      <c r="M17" s="25">
        <f t="shared" si="4"/>
        <v>98.27</v>
      </c>
      <c r="N17" s="25">
        <f t="shared" si="4"/>
        <v>98.27</v>
      </c>
      <c r="O17" s="25">
        <f t="shared" si="4"/>
        <v>98.27</v>
      </c>
    </row>
    <row r="18" spans="1:15" ht="15.75" hidden="1" thickBot="1" x14ac:dyDescent="0.3">
      <c r="A18" s="20"/>
      <c r="B18" s="21"/>
      <c r="C18" s="21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x14ac:dyDescent="0.25">
      <c r="A19" s="24" t="s">
        <v>210</v>
      </c>
      <c r="B19" s="25">
        <f>SUM(B12:B18)</f>
        <v>130.92500000000001</v>
      </c>
      <c r="C19" s="25">
        <f>ROUND(D19*0.95, 2)</f>
        <v>737.73</v>
      </c>
      <c r="D19" s="25">
        <f t="shared" ref="D19:O19" si="5">SUM(D12:D18)</f>
        <v>776.56000000000006</v>
      </c>
      <c r="E19" s="25">
        <f>ROUND(D19*1.05, 2)</f>
        <v>815.39</v>
      </c>
      <c r="F19" s="25">
        <f>ROUND(G19*0.95, 2)</f>
        <v>799.21</v>
      </c>
      <c r="G19" s="25">
        <f t="shared" si="5"/>
        <v>841.27</v>
      </c>
      <c r="H19" s="25">
        <f>ROUND(G19*1.05, 2)</f>
        <v>883.33</v>
      </c>
      <c r="I19" s="25">
        <f>ROUND(J19*0.95, 2)</f>
        <v>860.68</v>
      </c>
      <c r="J19" s="25">
        <f t="shared" si="5"/>
        <v>905.98</v>
      </c>
      <c r="K19" s="25">
        <f>ROUND(J19*1.05, 2)</f>
        <v>951.28</v>
      </c>
      <c r="L19" s="25">
        <f t="shared" si="5"/>
        <v>970.69</v>
      </c>
      <c r="M19" s="25">
        <f t="shared" si="5"/>
        <v>1035.4000000000001</v>
      </c>
      <c r="N19" s="25">
        <f t="shared" si="5"/>
        <v>1035.4100000000001</v>
      </c>
      <c r="O19" s="25">
        <f t="shared" si="5"/>
        <v>1035.43</v>
      </c>
    </row>
    <row r="20" spans="1:15" ht="16.5" thickBot="1" x14ac:dyDescent="0.3">
      <c r="A20" s="28" t="s">
        <v>211</v>
      </c>
      <c r="B20" s="25">
        <f>B8-B19</f>
        <v>15.928333333333313</v>
      </c>
      <c r="C20" s="29">
        <f t="shared" ref="C20:O20" si="6">C8-C19</f>
        <v>736.3</v>
      </c>
      <c r="D20" s="29">
        <f t="shared" si="6"/>
        <v>697.46999999999991</v>
      </c>
      <c r="E20" s="29">
        <f t="shared" si="6"/>
        <v>658.64</v>
      </c>
      <c r="F20" s="29">
        <f t="shared" si="6"/>
        <v>797.65999999999985</v>
      </c>
      <c r="G20" s="29">
        <f t="shared" si="6"/>
        <v>755.59999999999991</v>
      </c>
      <c r="H20" s="29">
        <f t="shared" si="6"/>
        <v>713.53999999999985</v>
      </c>
      <c r="I20" s="29">
        <f t="shared" si="6"/>
        <v>859.03000000000009</v>
      </c>
      <c r="J20" s="29">
        <f t="shared" si="6"/>
        <v>813.73</v>
      </c>
      <c r="K20" s="29">
        <f t="shared" si="6"/>
        <v>768.43000000000006</v>
      </c>
      <c r="L20" s="29">
        <f t="shared" si="6"/>
        <v>871.8599999999999</v>
      </c>
      <c r="M20" s="29">
        <f t="shared" si="6"/>
        <v>929.99</v>
      </c>
      <c r="N20" s="29">
        <f t="shared" si="6"/>
        <v>929.98</v>
      </c>
      <c r="O20" s="29">
        <f t="shared" si="6"/>
        <v>929.96</v>
      </c>
    </row>
    <row r="21" spans="1:15" x14ac:dyDescent="0.25">
      <c r="A21" s="20"/>
      <c r="B21" s="21"/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 spans="1:15" ht="15.75" x14ac:dyDescent="0.25">
      <c r="A22" s="23" t="s">
        <v>212</v>
      </c>
      <c r="B22" s="21"/>
      <c r="C22" s="21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1:15" hidden="1" x14ac:dyDescent="0.25">
      <c r="A23" s="20"/>
      <c r="B23" s="21"/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 hidden="1" x14ac:dyDescent="0.25">
      <c r="A24" s="24" t="s">
        <v>213</v>
      </c>
      <c r="B24" s="25">
        <f>B52</f>
        <v>0</v>
      </c>
      <c r="C24" s="25"/>
      <c r="D24" s="25">
        <f t="shared" ref="D24:O24" si="7">D52</f>
        <v>19.440000000000001</v>
      </c>
      <c r="E24" s="25"/>
      <c r="F24" s="25"/>
      <c r="G24" s="25">
        <f t="shared" si="7"/>
        <v>20.412000000000003</v>
      </c>
      <c r="H24" s="25"/>
      <c r="I24" s="25"/>
      <c r="J24" s="25">
        <f t="shared" si="7"/>
        <v>21.432600000000004</v>
      </c>
      <c r="K24" s="25"/>
      <c r="L24" s="25">
        <f t="shared" si="7"/>
        <v>22.504230000000007</v>
      </c>
      <c r="M24" s="25">
        <f t="shared" si="7"/>
        <v>23.629441500000006</v>
      </c>
      <c r="N24" s="25">
        <f t="shared" si="7"/>
        <v>24.810913575000008</v>
      </c>
      <c r="O24" s="25">
        <f t="shared" si="7"/>
        <v>26.051459253750007</v>
      </c>
    </row>
    <row r="25" spans="1:15" hidden="1" x14ac:dyDescent="0.25">
      <c r="A25" s="26" t="s">
        <v>153</v>
      </c>
      <c r="B25" s="25">
        <f>B57</f>
        <v>3.5</v>
      </c>
      <c r="C25" s="25"/>
      <c r="D25" s="25">
        <f t="shared" ref="D25:O27" si="8">D57</f>
        <v>21</v>
      </c>
      <c r="E25" s="25"/>
      <c r="F25" s="25"/>
      <c r="G25" s="25">
        <f t="shared" si="8"/>
        <v>22.05</v>
      </c>
      <c r="H25" s="25"/>
      <c r="I25" s="25"/>
      <c r="J25" s="25">
        <f t="shared" si="8"/>
        <v>23.152500000000003</v>
      </c>
      <c r="K25" s="25"/>
      <c r="L25" s="25">
        <f t="shared" si="8"/>
        <v>24.310125000000006</v>
      </c>
      <c r="M25" s="25">
        <f t="shared" si="8"/>
        <v>25.525631250000004</v>
      </c>
      <c r="N25" s="25">
        <f t="shared" si="8"/>
        <v>26.801912812500007</v>
      </c>
      <c r="O25" s="25">
        <f t="shared" si="8"/>
        <v>28.142008453125005</v>
      </c>
    </row>
    <row r="26" spans="1:15" hidden="1" x14ac:dyDescent="0.25">
      <c r="A26" s="26" t="s">
        <v>214</v>
      </c>
      <c r="B26" s="25">
        <f>B58</f>
        <v>0.14499999999999999</v>
      </c>
      <c r="C26" s="25"/>
      <c r="D26" s="25">
        <f t="shared" si="8"/>
        <v>0.87</v>
      </c>
      <c r="E26" s="25"/>
      <c r="F26" s="25"/>
      <c r="G26" s="25">
        <f t="shared" si="8"/>
        <v>0.74</v>
      </c>
      <c r="H26" s="25"/>
      <c r="I26" s="25"/>
      <c r="J26" s="25">
        <f t="shared" si="8"/>
        <v>0.64</v>
      </c>
      <c r="K26" s="25"/>
      <c r="L26" s="25">
        <f t="shared" si="8"/>
        <v>0.55000000000000004</v>
      </c>
      <c r="M26" s="25">
        <f t="shared" si="8"/>
        <v>0.47</v>
      </c>
      <c r="N26" s="25">
        <f t="shared" si="8"/>
        <v>0.4</v>
      </c>
      <c r="O26" s="25">
        <f t="shared" si="8"/>
        <v>0.35</v>
      </c>
    </row>
    <row r="27" spans="1:15" hidden="1" x14ac:dyDescent="0.25">
      <c r="A27" s="26" t="s">
        <v>176</v>
      </c>
      <c r="B27" s="25">
        <f>B59</f>
        <v>0</v>
      </c>
      <c r="C27" s="25"/>
      <c r="D27" s="25">
        <f t="shared" si="8"/>
        <v>131.21</v>
      </c>
      <c r="E27" s="25"/>
      <c r="F27" s="25"/>
      <c r="G27" s="25">
        <f t="shared" si="8"/>
        <v>105.46</v>
      </c>
      <c r="H27" s="25"/>
      <c r="I27" s="25"/>
      <c r="J27" s="25">
        <f t="shared" si="8"/>
        <v>90.24</v>
      </c>
      <c r="K27" s="25"/>
      <c r="L27" s="25">
        <f t="shared" si="8"/>
        <v>77.25</v>
      </c>
      <c r="M27" s="25">
        <f t="shared" si="8"/>
        <v>66.16</v>
      </c>
      <c r="N27" s="25">
        <f t="shared" si="8"/>
        <v>56.68</v>
      </c>
      <c r="O27" s="25">
        <f t="shared" si="8"/>
        <v>48.57</v>
      </c>
    </row>
    <row r="28" spans="1:15" hidden="1" x14ac:dyDescent="0.25">
      <c r="A28" s="26" t="s">
        <v>179</v>
      </c>
      <c r="B28" s="25">
        <f>B63</f>
        <v>12.283333333333333</v>
      </c>
      <c r="C28" s="25"/>
      <c r="D28" s="25">
        <f t="shared" ref="D28:O28" si="9">D63</f>
        <v>73.7</v>
      </c>
      <c r="E28" s="25"/>
      <c r="F28" s="25"/>
      <c r="G28" s="25">
        <f t="shared" si="9"/>
        <v>79.84</v>
      </c>
      <c r="H28" s="25"/>
      <c r="I28" s="25"/>
      <c r="J28" s="25">
        <f t="shared" si="9"/>
        <v>85.99</v>
      </c>
      <c r="K28" s="25"/>
      <c r="L28" s="25">
        <f t="shared" si="9"/>
        <v>92.13</v>
      </c>
      <c r="M28" s="25">
        <f t="shared" si="9"/>
        <v>98.27</v>
      </c>
      <c r="N28" s="25">
        <f t="shared" si="9"/>
        <v>98.27</v>
      </c>
      <c r="O28" s="25">
        <f t="shared" si="9"/>
        <v>98.27</v>
      </c>
    </row>
    <row r="29" spans="1:15" ht="15.75" hidden="1" thickBot="1" x14ac:dyDescent="0.3">
      <c r="A29" s="27" t="s">
        <v>191</v>
      </c>
      <c r="B29" s="25">
        <f>B65</f>
        <v>0</v>
      </c>
      <c r="C29" s="25"/>
      <c r="D29" s="25">
        <f t="shared" ref="D29:O29" si="10">D65</f>
        <v>110.62</v>
      </c>
      <c r="E29" s="25"/>
      <c r="F29" s="25"/>
      <c r="G29" s="25">
        <f t="shared" si="10"/>
        <v>93.72</v>
      </c>
      <c r="H29" s="25"/>
      <c r="I29" s="25"/>
      <c r="J29" s="25">
        <f t="shared" si="10"/>
        <v>76.8</v>
      </c>
      <c r="K29" s="25"/>
      <c r="L29" s="25">
        <f t="shared" si="10"/>
        <v>59.89</v>
      </c>
      <c r="M29" s="25">
        <f t="shared" si="10"/>
        <v>42.99</v>
      </c>
      <c r="N29" s="25">
        <f t="shared" si="10"/>
        <v>26.07</v>
      </c>
      <c r="O29" s="25">
        <f t="shared" si="10"/>
        <v>9.15</v>
      </c>
    </row>
    <row r="30" spans="1:15" hidden="1" x14ac:dyDescent="0.25">
      <c r="A30" s="20"/>
      <c r="B30" s="21"/>
      <c r="C30" s="21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 x14ac:dyDescent="0.25">
      <c r="A31" s="20" t="s">
        <v>215</v>
      </c>
      <c r="B31" s="25">
        <f>SUM(B24:B30)</f>
        <v>15.928333333333333</v>
      </c>
      <c r="C31" s="25">
        <f>D31</f>
        <v>356.84000000000003</v>
      </c>
      <c r="D31" s="25">
        <f>SUM(D24:D30)</f>
        <v>356.84000000000003</v>
      </c>
      <c r="E31" s="25">
        <f>D31</f>
        <v>356.84000000000003</v>
      </c>
      <c r="F31" s="25">
        <f>G31</f>
        <v>322.22199999999998</v>
      </c>
      <c r="G31" s="25">
        <f t="shared" ref="G31:O31" si="11">SUM(G24:G30)</f>
        <v>322.22199999999998</v>
      </c>
      <c r="H31" s="25">
        <f>G31</f>
        <v>322.22199999999998</v>
      </c>
      <c r="I31" s="25">
        <f>J31</f>
        <v>298.25510000000003</v>
      </c>
      <c r="J31" s="25">
        <f t="shared" si="11"/>
        <v>298.25510000000003</v>
      </c>
      <c r="K31" s="25">
        <f>J31</f>
        <v>298.25510000000003</v>
      </c>
      <c r="L31" s="25">
        <f t="shared" si="11"/>
        <v>276.63435500000003</v>
      </c>
      <c r="M31" s="25">
        <f t="shared" si="11"/>
        <v>257.04507275000003</v>
      </c>
      <c r="N31" s="25">
        <f t="shared" si="11"/>
        <v>233.03282638749999</v>
      </c>
      <c r="O31" s="25">
        <f t="shared" si="11"/>
        <v>210.53346770687503</v>
      </c>
    </row>
    <row r="32" spans="1:15" x14ac:dyDescent="0.25">
      <c r="A32" s="20" t="s">
        <v>195</v>
      </c>
      <c r="B32" s="25">
        <f>B20-B31</f>
        <v>-1.9539925233402755E-14</v>
      </c>
      <c r="C32" s="25">
        <f t="shared" ref="C32:O32" si="12">C20-C31</f>
        <v>379.45999999999992</v>
      </c>
      <c r="D32" s="25">
        <f t="shared" si="12"/>
        <v>340.62999999999988</v>
      </c>
      <c r="E32" s="25">
        <f t="shared" si="12"/>
        <v>301.79999999999995</v>
      </c>
      <c r="F32" s="25">
        <f t="shared" si="12"/>
        <v>475.43799999999987</v>
      </c>
      <c r="G32" s="25">
        <f t="shared" si="12"/>
        <v>433.37799999999993</v>
      </c>
      <c r="H32" s="25">
        <f t="shared" si="12"/>
        <v>391.31799999999987</v>
      </c>
      <c r="I32" s="25">
        <f t="shared" si="12"/>
        <v>560.77490000000012</v>
      </c>
      <c r="J32" s="25">
        <f t="shared" si="12"/>
        <v>515.47489999999993</v>
      </c>
      <c r="K32" s="25">
        <f t="shared" si="12"/>
        <v>470.17490000000004</v>
      </c>
      <c r="L32" s="25">
        <f t="shared" si="12"/>
        <v>595.22564499999987</v>
      </c>
      <c r="M32" s="25">
        <f t="shared" si="12"/>
        <v>672.94492724999998</v>
      </c>
      <c r="N32" s="25">
        <f t="shared" si="12"/>
        <v>696.94717361250002</v>
      </c>
      <c r="O32" s="25">
        <f t="shared" si="12"/>
        <v>719.42653229312498</v>
      </c>
    </row>
    <row r="33" spans="1:15" x14ac:dyDescent="0.25">
      <c r="A33" s="20" t="s">
        <v>218</v>
      </c>
      <c r="B33" s="29">
        <f t="shared" ref="B33:O33" si="13">B20/B8</f>
        <v>0.10846422734701276</v>
      </c>
      <c r="C33" s="29">
        <f t="shared" si="13"/>
        <v>0.49951493524555129</v>
      </c>
      <c r="D33" s="29">
        <f t="shared" si="13"/>
        <v>0.47317218781164555</v>
      </c>
      <c r="E33" s="29">
        <f t="shared" si="13"/>
        <v>0.44682944037773992</v>
      </c>
      <c r="F33" s="29">
        <f t="shared" si="13"/>
        <v>0.49951467558411133</v>
      </c>
      <c r="G33" s="29">
        <f t="shared" si="13"/>
        <v>0.47317564986504845</v>
      </c>
      <c r="H33" s="29">
        <f t="shared" si="13"/>
        <v>0.44683662414598552</v>
      </c>
      <c r="I33" s="29">
        <f t="shared" si="13"/>
        <v>0.49952026795215476</v>
      </c>
      <c r="J33" s="29">
        <f t="shared" si="13"/>
        <v>0.47317861732501409</v>
      </c>
      <c r="K33" s="29">
        <f t="shared" si="13"/>
        <v>0.44683696669787348</v>
      </c>
      <c r="L33" s="29">
        <f t="shared" si="13"/>
        <v>0.47318118911291412</v>
      </c>
      <c r="M33" s="29">
        <f t="shared" si="13"/>
        <v>0.47318343941914837</v>
      </c>
      <c r="N33" s="29">
        <f t="shared" si="13"/>
        <v>0.47317835137046588</v>
      </c>
      <c r="O33" s="29">
        <f t="shared" si="13"/>
        <v>0.47316817527310101</v>
      </c>
    </row>
    <row r="34" spans="1:15" x14ac:dyDescent="0.25">
      <c r="A34" s="20" t="s">
        <v>216</v>
      </c>
      <c r="B34" s="30">
        <f>B31/B33</f>
        <v>146.8533333333335</v>
      </c>
      <c r="C34" s="30">
        <f>C31/C33</f>
        <v>714.37303436099421</v>
      </c>
      <c r="D34" s="30">
        <f>D31/D33</f>
        <v>754.1440709994697</v>
      </c>
      <c r="E34" s="30">
        <f>E31/E33</f>
        <v>798.60449593100941</v>
      </c>
      <c r="F34" s="30">
        <f t="shared" ref="F34:O34" si="14">F31/F33</f>
        <v>645.07013657448044</v>
      </c>
      <c r="G34" s="30">
        <f t="shared" si="14"/>
        <v>680.97756106405507</v>
      </c>
      <c r="H34" s="30">
        <f t="shared" si="14"/>
        <v>721.11815054516921</v>
      </c>
      <c r="I34" s="30">
        <f t="shared" si="14"/>
        <v>597.08307977719051</v>
      </c>
      <c r="J34" s="30">
        <f t="shared" si="14"/>
        <v>630.32243867253271</v>
      </c>
      <c r="K34" s="30">
        <f t="shared" si="14"/>
        <v>667.48080894941643</v>
      </c>
      <c r="L34" s="30">
        <f t="shared" si="14"/>
        <v>584.62669557641141</v>
      </c>
      <c r="M34" s="30">
        <f t="shared" si="14"/>
        <v>543.22499761515985</v>
      </c>
      <c r="N34" s="30">
        <f t="shared" si="14"/>
        <v>492.48412509272094</v>
      </c>
      <c r="O34" s="30">
        <f t="shared" si="14"/>
        <v>444.94426867436783</v>
      </c>
    </row>
    <row r="35" spans="1:15" x14ac:dyDescent="0.25">
      <c r="A35" s="20" t="s">
        <v>217</v>
      </c>
      <c r="B35" s="30">
        <f>B8-B34</f>
        <v>0</v>
      </c>
      <c r="C35" s="30">
        <f>C8-C34</f>
        <v>759.65696563900576</v>
      </c>
      <c r="D35" s="30">
        <f>D8-D34</f>
        <v>719.88592900053027</v>
      </c>
      <c r="E35" s="30">
        <f>E8-E34</f>
        <v>675.42550406899056</v>
      </c>
      <c r="F35" s="30">
        <f t="shared" ref="F35:O35" si="15">F8-F34</f>
        <v>951.79986342551945</v>
      </c>
      <c r="G35" s="30">
        <f t="shared" si="15"/>
        <v>915.89243893594482</v>
      </c>
      <c r="H35" s="30">
        <f t="shared" si="15"/>
        <v>875.75184945483068</v>
      </c>
      <c r="I35" s="30">
        <f t="shared" si="15"/>
        <v>1122.6269202228095</v>
      </c>
      <c r="J35" s="30">
        <f t="shared" si="15"/>
        <v>1089.3875613274672</v>
      </c>
      <c r="K35" s="30">
        <f t="shared" si="15"/>
        <v>1052.2291910505837</v>
      </c>
      <c r="L35" s="30">
        <f t="shared" si="15"/>
        <v>1257.9233044235884</v>
      </c>
      <c r="M35" s="30">
        <f t="shared" si="15"/>
        <v>1422.1650023848401</v>
      </c>
      <c r="N35" s="30">
        <f t="shared" si="15"/>
        <v>1472.9058749072792</v>
      </c>
      <c r="O35" s="30">
        <f t="shared" si="15"/>
        <v>1520.4457313256323</v>
      </c>
    </row>
    <row r="36" spans="1:15" x14ac:dyDescent="0.25">
      <c r="A36" s="20"/>
      <c r="B36" s="21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1:15" x14ac:dyDescent="0.25">
      <c r="A37" s="20"/>
      <c r="B37" s="21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  <row r="38" spans="1:15" x14ac:dyDescent="0.25">
      <c r="A38" s="20"/>
      <c r="B38" s="21"/>
      <c r="C38" s="21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15" x14ac:dyDescent="0.25">
      <c r="A39" s="20"/>
      <c r="B39" s="21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1:15" x14ac:dyDescent="0.25">
      <c r="A40" s="20"/>
      <c r="B40" s="21"/>
      <c r="C40" s="2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</row>
    <row r="41" spans="1:15" x14ac:dyDescent="0.25">
      <c r="A41" s="20"/>
      <c r="B41" s="21"/>
      <c r="C41" s="2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</row>
    <row r="42" spans="1:15" x14ac:dyDescent="0.25">
      <c r="A42" s="20"/>
      <c r="B42" s="21"/>
      <c r="C42" s="21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</row>
    <row r="43" spans="1:15" x14ac:dyDescent="0.25">
      <c r="A43" s="20"/>
      <c r="B43" s="21"/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</row>
    <row r="44" spans="1:15" x14ac:dyDescent="0.25">
      <c r="A44" s="20"/>
      <c r="B44" s="21"/>
      <c r="C44" s="21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</row>
    <row r="45" spans="1:15" x14ac:dyDescent="0.25">
      <c r="A45" s="20"/>
      <c r="B45" s="21"/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</row>
    <row r="46" spans="1:15" x14ac:dyDescent="0.25">
      <c r="A46" s="20"/>
      <c r="B46" s="21"/>
      <c r="C46" s="21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</row>
    <row r="47" spans="1:15" x14ac:dyDescent="0.25">
      <c r="A47" s="20"/>
      <c r="B47" s="21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</row>
    <row r="48" spans="1:15" hidden="1" x14ac:dyDescent="0.25">
      <c r="A48" s="15" t="s">
        <v>246</v>
      </c>
      <c r="B48" s="22">
        <f>cs!B9</f>
        <v>251.45</v>
      </c>
      <c r="C48" s="22"/>
      <c r="D48" s="22">
        <f>D49-D8</f>
        <v>-719.68</v>
      </c>
      <c r="E48" s="22"/>
      <c r="F48" s="22"/>
      <c r="G48" s="22">
        <f t="shared" ref="G48:O48" si="16">G49-G8</f>
        <v>-779.65749999999991</v>
      </c>
      <c r="H48" s="22"/>
      <c r="I48" s="22"/>
      <c r="J48" s="22">
        <f t="shared" si="16"/>
        <v>-839.6350000000001</v>
      </c>
      <c r="K48" s="22"/>
      <c r="L48" s="22">
        <f t="shared" si="16"/>
        <v>-899.61249999999995</v>
      </c>
      <c r="M48" s="22">
        <f t="shared" si="16"/>
        <v>-959.59000000000015</v>
      </c>
      <c r="N48" s="22">
        <f t="shared" si="16"/>
        <v>-959.59000000000015</v>
      </c>
      <c r="O48" s="22">
        <f t="shared" si="16"/>
        <v>-959.59000000000015</v>
      </c>
    </row>
    <row r="49" spans="1:21" hidden="1" x14ac:dyDescent="0.25">
      <c r="A49" s="15"/>
      <c r="B49" s="31">
        <f>cs!B10</f>
        <v>251.45</v>
      </c>
      <c r="C49" s="31"/>
      <c r="D49" s="31">
        <f>D50+D51</f>
        <v>754.35</v>
      </c>
      <c r="E49" s="31"/>
      <c r="F49" s="31"/>
      <c r="G49" s="31">
        <f t="shared" ref="G49:O49" si="17">G50+G51</f>
        <v>817.21249999999998</v>
      </c>
      <c r="H49" s="31"/>
      <c r="I49" s="31"/>
      <c r="J49" s="31">
        <f t="shared" si="17"/>
        <v>880.07499999999993</v>
      </c>
      <c r="K49" s="31"/>
      <c r="L49" s="31">
        <f t="shared" si="17"/>
        <v>942.9375</v>
      </c>
      <c r="M49" s="31">
        <f t="shared" si="17"/>
        <v>1005.8</v>
      </c>
      <c r="N49" s="31">
        <f t="shared" si="17"/>
        <v>1005.8</v>
      </c>
      <c r="O49" s="31">
        <f t="shared" si="17"/>
        <v>1005.8</v>
      </c>
    </row>
    <row r="50" spans="1:21" hidden="1" x14ac:dyDescent="0.25">
      <c r="A50" s="15" t="s">
        <v>247</v>
      </c>
      <c r="B50" s="32">
        <f>cs!B11</f>
        <v>150.87</v>
      </c>
      <c r="C50" s="32"/>
      <c r="D50" s="32">
        <f>wc!D9</f>
        <v>150.87</v>
      </c>
      <c r="E50" s="32"/>
      <c r="F50" s="32"/>
      <c r="G50" s="32">
        <f>wc!E9</f>
        <v>163.4425</v>
      </c>
      <c r="H50" s="32"/>
      <c r="I50" s="32"/>
      <c r="J50" s="32">
        <f>wc!F9</f>
        <v>176.01499999999999</v>
      </c>
      <c r="K50" s="32"/>
      <c r="L50" s="32">
        <f>wc!G9</f>
        <v>188.58750000000001</v>
      </c>
      <c r="M50" s="32">
        <f>wc!H9</f>
        <v>201.16</v>
      </c>
      <c r="N50" s="32">
        <f>wc!I9</f>
        <v>201.16</v>
      </c>
      <c r="O50" s="32">
        <f>wc!J9</f>
        <v>201.16</v>
      </c>
    </row>
    <row r="51" spans="1:21" hidden="1" x14ac:dyDescent="0.25">
      <c r="A51" s="20" t="s">
        <v>80</v>
      </c>
      <c r="B51" s="22">
        <f>cs!B12</f>
        <v>100.58</v>
      </c>
      <c r="C51" s="22"/>
      <c r="D51" s="22">
        <f>process!C16</f>
        <v>603.48</v>
      </c>
      <c r="E51" s="22"/>
      <c r="F51" s="22"/>
      <c r="G51" s="22">
        <f>process!D16</f>
        <v>653.77</v>
      </c>
      <c r="H51" s="22"/>
      <c r="I51" s="22"/>
      <c r="J51" s="22">
        <f>process!E16</f>
        <v>704.06</v>
      </c>
      <c r="K51" s="22"/>
      <c r="L51" s="22">
        <f>process!F16</f>
        <v>754.35</v>
      </c>
      <c r="M51" s="22">
        <f>process!G16</f>
        <v>804.64</v>
      </c>
      <c r="N51" s="22">
        <f>M51</f>
        <v>804.64</v>
      </c>
      <c r="O51" s="22">
        <f>N51</f>
        <v>804.64</v>
      </c>
    </row>
    <row r="52" spans="1:21" hidden="1" x14ac:dyDescent="0.25">
      <c r="A52" s="20" t="s">
        <v>81</v>
      </c>
      <c r="B52" s="22">
        <f>cs!B13</f>
        <v>0</v>
      </c>
      <c r="C52" s="22"/>
      <c r="D52" s="22">
        <f>wc!D10*12</f>
        <v>19.440000000000001</v>
      </c>
      <c r="E52" s="22"/>
      <c r="F52" s="22"/>
      <c r="G52" s="22">
        <f>wc!E10*12</f>
        <v>20.412000000000003</v>
      </c>
      <c r="H52" s="22"/>
      <c r="I52" s="22"/>
      <c r="J52" s="22">
        <f>wc!F10*12</f>
        <v>21.432600000000004</v>
      </c>
      <c r="K52" s="22"/>
      <c r="L52" s="22">
        <f>wc!G10*12</f>
        <v>22.504230000000007</v>
      </c>
      <c r="M52" s="22">
        <f>wc!H10*12</f>
        <v>23.629441500000006</v>
      </c>
      <c r="N52" s="22">
        <f>wc!I10*12</f>
        <v>24.810913575000008</v>
      </c>
      <c r="O52" s="22">
        <f>wc!J10*12</f>
        <v>26.051459253750007</v>
      </c>
    </row>
    <row r="53" spans="1:21" ht="18.75" hidden="1" x14ac:dyDescent="0.25">
      <c r="A53" s="33" t="s">
        <v>82</v>
      </c>
      <c r="B53" s="34">
        <f>cs!B14</f>
        <v>100.58</v>
      </c>
      <c r="C53" s="34"/>
      <c r="D53" s="34">
        <f t="shared" ref="D53:O53" si="18">D51+D52</f>
        <v>622.92000000000007</v>
      </c>
      <c r="E53" s="34"/>
      <c r="F53" s="34"/>
      <c r="G53" s="35">
        <f t="shared" si="18"/>
        <v>674.18200000000002</v>
      </c>
      <c r="H53" s="35"/>
      <c r="I53" s="35"/>
      <c r="J53" s="35">
        <f t="shared" si="18"/>
        <v>725.49259999999992</v>
      </c>
      <c r="K53" s="35"/>
      <c r="L53" s="35">
        <f t="shared" si="18"/>
        <v>776.85423000000003</v>
      </c>
      <c r="M53" s="35">
        <f t="shared" si="18"/>
        <v>828.26944149999997</v>
      </c>
      <c r="N53" s="35">
        <f t="shared" si="18"/>
        <v>829.45091357499996</v>
      </c>
      <c r="O53" s="35">
        <f t="shared" si="18"/>
        <v>830.69145925374994</v>
      </c>
    </row>
    <row r="54" spans="1:21" hidden="1" x14ac:dyDescent="0.25">
      <c r="A54" s="36" t="s">
        <v>248</v>
      </c>
      <c r="B54" s="22">
        <f>cs!B15</f>
        <v>0</v>
      </c>
      <c r="C54" s="22"/>
      <c r="D54" s="22"/>
      <c r="E54" s="22"/>
      <c r="F54" s="22"/>
      <c r="G54" s="21"/>
      <c r="H54" s="21"/>
      <c r="I54" s="21"/>
      <c r="J54" s="22"/>
      <c r="K54" s="22"/>
      <c r="L54" s="21"/>
      <c r="M54" s="22"/>
      <c r="N54" s="21"/>
      <c r="O54" s="22"/>
      <c r="U54" s="2">
        <f>380450/0.004</f>
        <v>95112500</v>
      </c>
    </row>
    <row r="55" spans="1:21" hidden="1" x14ac:dyDescent="0.25">
      <c r="A55" s="20" t="s">
        <v>154</v>
      </c>
      <c r="B55" s="22">
        <f>cs!B16</f>
        <v>10.53</v>
      </c>
      <c r="C55" s="22"/>
      <c r="D55" s="22">
        <f>ROUND((process!C24+process!C30)/100000, 2)</f>
        <v>63.18</v>
      </c>
      <c r="E55" s="22"/>
      <c r="F55" s="22"/>
      <c r="G55" s="22">
        <f>ROUND((process!D24+process!D30)/100000, 2)</f>
        <v>68.45</v>
      </c>
      <c r="H55" s="22"/>
      <c r="I55" s="22"/>
      <c r="J55" s="22">
        <f>ROUND((process!E24+process!E30)/100000, 2)</f>
        <v>73.709999999999994</v>
      </c>
      <c r="K55" s="22"/>
      <c r="L55" s="22">
        <f>ROUND((process!F24+process!F30)/100000, 2)</f>
        <v>78.98</v>
      </c>
      <c r="M55" s="22">
        <f>ROUND((process!G24+process!G30)/100000, 2)</f>
        <v>84.24</v>
      </c>
      <c r="N55" s="22">
        <f>M55</f>
        <v>84.24</v>
      </c>
      <c r="O55" s="22">
        <f>N55</f>
        <v>84.24</v>
      </c>
    </row>
    <row r="56" spans="1:21" hidden="1" x14ac:dyDescent="0.25">
      <c r="A56" s="20" t="s">
        <v>175</v>
      </c>
      <c r="B56" s="22">
        <f>cs!B17</f>
        <v>2.16</v>
      </c>
      <c r="C56" s="22"/>
      <c r="D56" s="22">
        <f>ROUND(process!C38/100000, 2)</f>
        <v>12.96</v>
      </c>
      <c r="E56" s="22"/>
      <c r="F56" s="22"/>
      <c r="G56" s="22">
        <f>ROUND(process!D38/100000, 2)</f>
        <v>14.04</v>
      </c>
      <c r="H56" s="22"/>
      <c r="I56" s="22"/>
      <c r="J56" s="22">
        <f>ROUND(process!E38/100000, 2)</f>
        <v>15.12</v>
      </c>
      <c r="K56" s="22"/>
      <c r="L56" s="22">
        <f>ROUND(process!F38/100000, 2)</f>
        <v>16.2</v>
      </c>
      <c r="M56" s="22">
        <f>ROUND(process!G38/100000, 2)</f>
        <v>17.28</v>
      </c>
      <c r="N56" s="22">
        <f>M56</f>
        <v>17.28</v>
      </c>
      <c r="O56" s="22">
        <f>N56</f>
        <v>17.28</v>
      </c>
    </row>
    <row r="57" spans="1:21" hidden="1" x14ac:dyDescent="0.25">
      <c r="A57" s="20" t="s">
        <v>153</v>
      </c>
      <c r="B57" s="22">
        <f>cs!B18</f>
        <v>3.5</v>
      </c>
      <c r="C57" s="22"/>
      <c r="D57" s="22">
        <f>wc!D11*12</f>
        <v>21</v>
      </c>
      <c r="E57" s="22"/>
      <c r="F57" s="22"/>
      <c r="G57" s="22">
        <f>wc!E11*12</f>
        <v>22.05</v>
      </c>
      <c r="H57" s="22"/>
      <c r="I57" s="22"/>
      <c r="J57" s="22">
        <f>wc!F11*12</f>
        <v>23.152500000000003</v>
      </c>
      <c r="K57" s="22"/>
      <c r="L57" s="22">
        <f>wc!G11*12</f>
        <v>24.310125000000006</v>
      </c>
      <c r="M57" s="22">
        <f>wc!H11*12</f>
        <v>25.525631250000004</v>
      </c>
      <c r="N57" s="22">
        <f>wc!I11*12</f>
        <v>26.801912812500007</v>
      </c>
      <c r="O57" s="22">
        <f>wc!J11*12</f>
        <v>28.142008453125005</v>
      </c>
    </row>
    <row r="58" spans="1:21" hidden="1" x14ac:dyDescent="0.25">
      <c r="A58" s="20" t="s">
        <v>177</v>
      </c>
      <c r="B58" s="22">
        <f>cs!B19</f>
        <v>0.14499999999999999</v>
      </c>
      <c r="C58" s="22"/>
      <c r="D58" s="22">
        <f>ROUND(depn!F10*0.001, 2)</f>
        <v>0.87</v>
      </c>
      <c r="E58" s="22"/>
      <c r="F58" s="22"/>
      <c r="G58" s="22">
        <f>ROUND(depn!G10*0.001, 2)</f>
        <v>0.74</v>
      </c>
      <c r="H58" s="22"/>
      <c r="I58" s="22"/>
      <c r="J58" s="22">
        <f>ROUND(depn!H10*0.001, 2)</f>
        <v>0.64</v>
      </c>
      <c r="K58" s="22"/>
      <c r="L58" s="22">
        <f>ROUND(depn!I10*0.001, 2)</f>
        <v>0.55000000000000004</v>
      </c>
      <c r="M58" s="22">
        <f>ROUND(depn!J10*0.001, 2)</f>
        <v>0.47</v>
      </c>
      <c r="N58" s="22">
        <f>ROUND(depn!K10*0.001, 2)</f>
        <v>0.4</v>
      </c>
      <c r="O58" s="22">
        <f>ROUND(depn!L10*0.001, 2)</f>
        <v>0.35</v>
      </c>
    </row>
    <row r="59" spans="1:21" hidden="1" x14ac:dyDescent="0.25">
      <c r="A59" s="20" t="s">
        <v>176</v>
      </c>
      <c r="B59" s="22">
        <f>cs!B20</f>
        <v>0</v>
      </c>
      <c r="C59" s="22"/>
      <c r="D59" s="22">
        <f>depn!G12</f>
        <v>131.21</v>
      </c>
      <c r="E59" s="22"/>
      <c r="F59" s="22"/>
      <c r="G59" s="22">
        <f>depn!H12</f>
        <v>105.46</v>
      </c>
      <c r="H59" s="22"/>
      <c r="I59" s="22"/>
      <c r="J59" s="22">
        <f>depn!I12</f>
        <v>90.24</v>
      </c>
      <c r="K59" s="22"/>
      <c r="L59" s="22">
        <f>depn!J12</f>
        <v>77.25</v>
      </c>
      <c r="M59" s="22">
        <f>depn!K12</f>
        <v>66.16</v>
      </c>
      <c r="N59" s="22">
        <f>depn!L12</f>
        <v>56.68</v>
      </c>
      <c r="O59" s="22">
        <f>depn!M12</f>
        <v>48.57</v>
      </c>
    </row>
    <row r="60" spans="1:21" hidden="1" x14ac:dyDescent="0.25">
      <c r="A60" s="20" t="s">
        <v>178</v>
      </c>
      <c r="B60" s="22">
        <f>cs!B21</f>
        <v>0.8716666666666667</v>
      </c>
      <c r="C60" s="22"/>
      <c r="D60" s="22">
        <f>ROUND(process!C43/100000, 2)</f>
        <v>5.23</v>
      </c>
      <c r="E60" s="22"/>
      <c r="F60" s="22"/>
      <c r="G60" s="22">
        <f>ROUND(process!D43/100000, 2)</f>
        <v>5.67</v>
      </c>
      <c r="H60" s="22"/>
      <c r="I60" s="22"/>
      <c r="J60" s="22">
        <f>ROUND(process!E43/100000, 2)</f>
        <v>6.1</v>
      </c>
      <c r="K60" s="22"/>
      <c r="L60" s="22">
        <f>ROUND(process!F43/100000, 2)</f>
        <v>6.54</v>
      </c>
      <c r="M60" s="22">
        <f>ROUND(process!G43/100000, 2)</f>
        <v>6.98</v>
      </c>
      <c r="N60" s="22">
        <f>M60</f>
        <v>6.98</v>
      </c>
      <c r="O60" s="22">
        <f>N60</f>
        <v>6.98</v>
      </c>
    </row>
    <row r="61" spans="1:21" ht="18.75" hidden="1" x14ac:dyDescent="0.25">
      <c r="A61" s="33" t="s">
        <v>83</v>
      </c>
      <c r="B61" s="35">
        <f>cs!B22</f>
        <v>117.78666666666666</v>
      </c>
      <c r="C61" s="35"/>
      <c r="D61" s="35">
        <f t="shared" ref="D61:O61" si="19">D53+D55+D56+D57+D58+D59+D60</f>
        <v>857.37000000000012</v>
      </c>
      <c r="E61" s="35"/>
      <c r="F61" s="35"/>
      <c r="G61" s="35">
        <f t="shared" si="19"/>
        <v>890.59199999999998</v>
      </c>
      <c r="H61" s="35"/>
      <c r="I61" s="35"/>
      <c r="J61" s="35">
        <f t="shared" si="19"/>
        <v>934.45510000000002</v>
      </c>
      <c r="K61" s="35"/>
      <c r="L61" s="35">
        <f t="shared" si="19"/>
        <v>980.68435499999998</v>
      </c>
      <c r="M61" s="35">
        <f t="shared" si="19"/>
        <v>1028.9250727499998</v>
      </c>
      <c r="N61" s="35">
        <f t="shared" si="19"/>
        <v>1021.8328263874998</v>
      </c>
      <c r="O61" s="35">
        <f t="shared" si="19"/>
        <v>1016.253467706875</v>
      </c>
    </row>
    <row r="62" spans="1:21" hidden="1" x14ac:dyDescent="0.25">
      <c r="A62" s="15" t="s">
        <v>249</v>
      </c>
      <c r="B62" s="22">
        <f>cs!B23</f>
        <v>0</v>
      </c>
      <c r="C62" s="22"/>
      <c r="D62" s="22"/>
      <c r="E62" s="22"/>
      <c r="F62" s="22"/>
      <c r="G62" s="21"/>
      <c r="H62" s="21"/>
      <c r="I62" s="21"/>
      <c r="J62" s="22"/>
      <c r="K62" s="22"/>
      <c r="L62" s="21"/>
      <c r="M62" s="22"/>
      <c r="N62" s="21"/>
      <c r="O62" s="22"/>
    </row>
    <row r="63" spans="1:21" hidden="1" x14ac:dyDescent="0.25">
      <c r="A63" s="20" t="s">
        <v>179</v>
      </c>
      <c r="B63" s="22">
        <f>cs!B24</f>
        <v>12.283333333333333</v>
      </c>
      <c r="C63" s="22"/>
      <c r="D63" s="22">
        <f>ROUND(0.05*process!C17, 2)</f>
        <v>73.7</v>
      </c>
      <c r="E63" s="22"/>
      <c r="F63" s="22"/>
      <c r="G63" s="22">
        <f>ROUND(0.05*process!D17, 2)</f>
        <v>79.84</v>
      </c>
      <c r="H63" s="22"/>
      <c r="I63" s="22"/>
      <c r="J63" s="22">
        <f>ROUND(0.05*process!E17, 2)</f>
        <v>85.99</v>
      </c>
      <c r="K63" s="22"/>
      <c r="L63" s="22">
        <f>ROUND(0.05*process!F17, 2)</f>
        <v>92.13</v>
      </c>
      <c r="M63" s="22">
        <f>ROUND(0.05*process!G17, 2)</f>
        <v>98.27</v>
      </c>
      <c r="N63" s="22">
        <f>M63</f>
        <v>98.27</v>
      </c>
      <c r="O63" s="22">
        <f>N63</f>
        <v>98.27</v>
      </c>
    </row>
    <row r="64" spans="1:21" hidden="1" x14ac:dyDescent="0.25">
      <c r="A64" s="20" t="s">
        <v>180</v>
      </c>
      <c r="B64" s="22">
        <f>cs!B25</f>
        <v>0</v>
      </c>
      <c r="C64" s="22"/>
      <c r="D64" s="22"/>
      <c r="E64" s="22"/>
      <c r="F64" s="22"/>
      <c r="G64" s="21"/>
      <c r="H64" s="21"/>
      <c r="I64" s="21"/>
      <c r="J64" s="22"/>
      <c r="K64" s="22"/>
      <c r="L64" s="21"/>
      <c r="M64" s="22"/>
      <c r="N64" s="21"/>
      <c r="O64" s="22"/>
    </row>
    <row r="65" spans="1:15" hidden="1" x14ac:dyDescent="0.25">
      <c r="A65" s="20" t="s">
        <v>191</v>
      </c>
      <c r="B65" s="22">
        <f>cs!B26</f>
        <v>0</v>
      </c>
      <c r="C65" s="22"/>
      <c r="D65" s="22">
        <f>TL!M8</f>
        <v>110.62</v>
      </c>
      <c r="E65" s="22"/>
      <c r="F65" s="22"/>
      <c r="G65" s="22">
        <f>TL!N8</f>
        <v>93.72</v>
      </c>
      <c r="H65" s="22"/>
      <c r="I65" s="22"/>
      <c r="J65" s="22">
        <f>TL!O8</f>
        <v>76.8</v>
      </c>
      <c r="K65" s="22"/>
      <c r="L65" s="22">
        <f>TL!P8</f>
        <v>59.89</v>
      </c>
      <c r="M65" s="22">
        <f>TL!Q8</f>
        <v>42.99</v>
      </c>
      <c r="N65" s="22">
        <f>TL!R8</f>
        <v>26.07</v>
      </c>
      <c r="O65" s="22">
        <f>TL!S8</f>
        <v>9.15</v>
      </c>
    </row>
    <row r="66" spans="1:15" hidden="1" x14ac:dyDescent="0.25">
      <c r="A66" s="20" t="s">
        <v>192</v>
      </c>
      <c r="B66" s="21">
        <f>cs!B27</f>
        <v>4.5</v>
      </c>
      <c r="C66" s="21"/>
      <c r="D66" s="21">
        <f>wcl!C12</f>
        <v>18.010000000000002</v>
      </c>
      <c r="E66" s="21"/>
      <c r="F66" s="21"/>
      <c r="G66" s="21">
        <f>wcl!D12</f>
        <v>19.5</v>
      </c>
      <c r="H66" s="21"/>
      <c r="I66" s="21"/>
      <c r="J66" s="21">
        <f>wcl!E12</f>
        <v>21</v>
      </c>
      <c r="K66" s="21"/>
      <c r="L66" s="21">
        <f>wcl!F12</f>
        <v>22.49</v>
      </c>
      <c r="M66" s="21">
        <f>wcl!G12</f>
        <v>23.99</v>
      </c>
      <c r="N66" s="21">
        <f>wcl!H12</f>
        <v>24</v>
      </c>
      <c r="O66" s="21">
        <f>wcl!I12</f>
        <v>24.02</v>
      </c>
    </row>
    <row r="67" spans="1:15" ht="18.75" hidden="1" x14ac:dyDescent="0.25">
      <c r="A67" s="33" t="s">
        <v>84</v>
      </c>
      <c r="B67" s="35">
        <f>cs!B28</f>
        <v>134.57</v>
      </c>
      <c r="C67" s="35"/>
      <c r="D67" s="35">
        <f t="shared" ref="D67:O67" si="20">D61+D63+D65+D66</f>
        <v>1059.7</v>
      </c>
      <c r="E67" s="35"/>
      <c r="F67" s="35"/>
      <c r="G67" s="35">
        <f t="shared" si="20"/>
        <v>1083.652</v>
      </c>
      <c r="H67" s="35"/>
      <c r="I67" s="35"/>
      <c r="J67" s="35">
        <f t="shared" si="20"/>
        <v>1118.2451000000001</v>
      </c>
      <c r="K67" s="35"/>
      <c r="L67" s="35">
        <f t="shared" si="20"/>
        <v>1155.1943550000001</v>
      </c>
      <c r="M67" s="35">
        <f t="shared" si="20"/>
        <v>1194.1750727499998</v>
      </c>
      <c r="N67" s="35">
        <f t="shared" si="20"/>
        <v>1170.1728263874998</v>
      </c>
      <c r="O67" s="35">
        <f t="shared" si="20"/>
        <v>1147.693467706875</v>
      </c>
    </row>
    <row r="68" spans="1:15" ht="18.75" hidden="1" x14ac:dyDescent="0.25">
      <c r="A68" s="33" t="s">
        <v>181</v>
      </c>
      <c r="B68" s="22">
        <f>cs!B29</f>
        <v>134.57</v>
      </c>
      <c r="C68" s="22"/>
      <c r="D68" s="22">
        <f t="shared" ref="D68:O68" si="21">D67</f>
        <v>1059.7</v>
      </c>
      <c r="E68" s="22"/>
      <c r="F68" s="22"/>
      <c r="G68" s="22">
        <f t="shared" si="21"/>
        <v>1083.652</v>
      </c>
      <c r="H68" s="22"/>
      <c r="I68" s="22"/>
      <c r="J68" s="22">
        <f t="shared" si="21"/>
        <v>1118.2451000000001</v>
      </c>
      <c r="K68" s="22"/>
      <c r="L68" s="22">
        <f t="shared" si="21"/>
        <v>1155.1943550000001</v>
      </c>
      <c r="M68" s="22">
        <f t="shared" si="21"/>
        <v>1194.1750727499998</v>
      </c>
      <c r="N68" s="22">
        <f t="shared" si="21"/>
        <v>1170.1728263874998</v>
      </c>
      <c r="O68" s="22">
        <f t="shared" si="21"/>
        <v>1147.693467706875</v>
      </c>
    </row>
    <row r="69" spans="1:15" hidden="1" x14ac:dyDescent="0.25">
      <c r="A69" s="15" t="s">
        <v>250</v>
      </c>
      <c r="B69" s="21">
        <f>cs!B30</f>
        <v>12.283333333333333</v>
      </c>
      <c r="C69" s="21"/>
      <c r="D69" s="21">
        <f t="shared" ref="D69:O69" si="22">D63</f>
        <v>73.7</v>
      </c>
      <c r="E69" s="21"/>
      <c r="F69" s="21"/>
      <c r="G69" s="21">
        <f t="shared" si="22"/>
        <v>79.84</v>
      </c>
      <c r="H69" s="21"/>
      <c r="I69" s="21"/>
      <c r="J69" s="21">
        <f t="shared" si="22"/>
        <v>85.99</v>
      </c>
      <c r="K69" s="21"/>
      <c r="L69" s="21">
        <f t="shared" si="22"/>
        <v>92.13</v>
      </c>
      <c r="M69" s="21">
        <f t="shared" si="22"/>
        <v>98.27</v>
      </c>
      <c r="N69" s="21">
        <f t="shared" si="22"/>
        <v>98.27</v>
      </c>
      <c r="O69" s="21">
        <f t="shared" si="22"/>
        <v>98.27</v>
      </c>
    </row>
    <row r="70" spans="1:15" hidden="1" x14ac:dyDescent="0.25">
      <c r="A70" s="20" t="s">
        <v>193</v>
      </c>
      <c r="B70" s="22">
        <f>cs!B31</f>
        <v>0</v>
      </c>
      <c r="C70" s="22"/>
      <c r="D70" s="22"/>
      <c r="E70" s="22"/>
      <c r="F70" s="22"/>
      <c r="G70" s="21"/>
      <c r="H70" s="21"/>
      <c r="I70" s="21"/>
      <c r="J70" s="22"/>
      <c r="K70" s="22"/>
      <c r="L70" s="21"/>
      <c r="M70" s="22"/>
      <c r="N70" s="21"/>
      <c r="O70" s="22"/>
    </row>
    <row r="71" spans="1:15" ht="18.75" hidden="1" x14ac:dyDescent="0.25">
      <c r="A71" s="33" t="s">
        <v>85</v>
      </c>
      <c r="B71" s="35">
        <f>cs!B32</f>
        <v>146.85333333333332</v>
      </c>
      <c r="C71" s="35"/>
      <c r="D71" s="35">
        <f t="shared" ref="D71:O71" si="23">D68+D69</f>
        <v>1133.4000000000001</v>
      </c>
      <c r="E71" s="35"/>
      <c r="F71" s="35"/>
      <c r="G71" s="35">
        <f t="shared" si="23"/>
        <v>1163.492</v>
      </c>
      <c r="H71" s="35"/>
      <c r="I71" s="35"/>
      <c r="J71" s="35">
        <f t="shared" si="23"/>
        <v>1204.2351000000001</v>
      </c>
      <c r="K71" s="35"/>
      <c r="L71" s="35">
        <f t="shared" si="23"/>
        <v>1247.3243550000002</v>
      </c>
      <c r="M71" s="35">
        <f t="shared" si="23"/>
        <v>1292.4450727499998</v>
      </c>
      <c r="N71" s="35">
        <f t="shared" si="23"/>
        <v>1268.4428263874997</v>
      </c>
      <c r="O71" s="35">
        <f t="shared" si="23"/>
        <v>1245.963467706875</v>
      </c>
    </row>
    <row r="72" spans="1:15" hidden="1" x14ac:dyDescent="0.25">
      <c r="A72" s="20" t="s">
        <v>251</v>
      </c>
      <c r="B72" s="35">
        <f>cs!B33</f>
        <v>0</v>
      </c>
      <c r="C72" s="35"/>
      <c r="D72" s="35">
        <f t="shared" ref="D72:O72" si="24">D73-D71</f>
        <v>340.62999999999988</v>
      </c>
      <c r="E72" s="22"/>
      <c r="F72" s="22"/>
      <c r="G72" s="22">
        <f t="shared" si="24"/>
        <v>433.37799999999993</v>
      </c>
      <c r="H72" s="22"/>
      <c r="I72" s="22"/>
      <c r="J72" s="22">
        <f t="shared" si="24"/>
        <v>515.47489999999993</v>
      </c>
      <c r="K72" s="22"/>
      <c r="L72" s="22">
        <f t="shared" si="24"/>
        <v>595.22564499999976</v>
      </c>
      <c r="M72" s="22">
        <f t="shared" si="24"/>
        <v>672.94492725000032</v>
      </c>
      <c r="N72" s="22">
        <f t="shared" si="24"/>
        <v>696.94717361250036</v>
      </c>
      <c r="O72" s="22">
        <f t="shared" si="24"/>
        <v>719.42653229312509</v>
      </c>
    </row>
    <row r="73" spans="1:15" hidden="1" x14ac:dyDescent="0.25">
      <c r="A73" s="20" t="s">
        <v>86</v>
      </c>
      <c r="B73" s="32">
        <f>cs!B34</f>
        <v>146.85333333333332</v>
      </c>
      <c r="C73" s="32"/>
      <c r="D73" s="32">
        <f>process!C17</f>
        <v>1474.03</v>
      </c>
      <c r="E73" s="32"/>
      <c r="F73" s="32"/>
      <c r="G73" s="37">
        <f>process!D17</f>
        <v>1596.87</v>
      </c>
      <c r="H73" s="37"/>
      <c r="I73" s="37"/>
      <c r="J73" s="37">
        <f>process!E17</f>
        <v>1719.71</v>
      </c>
      <c r="K73" s="37"/>
      <c r="L73" s="37">
        <f>process!F17</f>
        <v>1842.55</v>
      </c>
      <c r="M73" s="37">
        <f>process!G17</f>
        <v>1965.39</v>
      </c>
      <c r="N73" s="37">
        <f>M73</f>
        <v>1965.39</v>
      </c>
      <c r="O73" s="37">
        <f>N73</f>
        <v>1965.39</v>
      </c>
    </row>
    <row r="74" spans="1:15" hidden="1" x14ac:dyDescent="0.25">
      <c r="B74" s="2">
        <f>cs!B35</f>
        <v>0</v>
      </c>
    </row>
    <row r="75" spans="1:15" ht="18.75" hidden="1" x14ac:dyDescent="0.25">
      <c r="A75" s="33" t="s">
        <v>194</v>
      </c>
      <c r="B75" s="2">
        <f>cs!B36</f>
        <v>0</v>
      </c>
    </row>
    <row r="76" spans="1:15" hidden="1" x14ac:dyDescent="0.25">
      <c r="A76" s="2" t="s">
        <v>195</v>
      </c>
      <c r="B76" s="38">
        <f>cs!B37</f>
        <v>0</v>
      </c>
      <c r="C76" s="38"/>
      <c r="D76" s="38">
        <f t="shared" ref="D76:O76" si="25">D72</f>
        <v>340.62999999999988</v>
      </c>
      <c r="E76" s="38"/>
      <c r="F76" s="38"/>
      <c r="G76" s="38">
        <f t="shared" si="25"/>
        <v>433.37799999999993</v>
      </c>
      <c r="H76" s="38"/>
      <c r="I76" s="38"/>
      <c r="J76" s="38">
        <f t="shared" si="25"/>
        <v>515.47489999999993</v>
      </c>
      <c r="K76" s="38"/>
      <c r="L76" s="38">
        <f t="shared" si="25"/>
        <v>595.22564499999976</v>
      </c>
      <c r="M76" s="38">
        <f t="shared" si="25"/>
        <v>672.94492725000032</v>
      </c>
      <c r="N76" s="38">
        <f t="shared" si="25"/>
        <v>696.94717361250036</v>
      </c>
      <c r="O76" s="38">
        <f t="shared" si="25"/>
        <v>719.42653229312509</v>
      </c>
    </row>
    <row r="77" spans="1:15" hidden="1" x14ac:dyDescent="0.25">
      <c r="A77" s="2" t="s">
        <v>196</v>
      </c>
      <c r="B77" s="38">
        <f>cs!B38</f>
        <v>0</v>
      </c>
      <c r="C77" s="38"/>
      <c r="D77" s="38">
        <f t="shared" ref="D77:O77" si="26">D59</f>
        <v>131.21</v>
      </c>
      <c r="E77" s="38"/>
      <c r="F77" s="38"/>
      <c r="G77" s="38">
        <f t="shared" si="26"/>
        <v>105.46</v>
      </c>
      <c r="H77" s="38"/>
      <c r="I77" s="38"/>
      <c r="J77" s="38">
        <f t="shared" si="26"/>
        <v>90.24</v>
      </c>
      <c r="K77" s="38"/>
      <c r="L77" s="38">
        <f t="shared" si="26"/>
        <v>77.25</v>
      </c>
      <c r="M77" s="38">
        <f t="shared" si="26"/>
        <v>66.16</v>
      </c>
      <c r="N77" s="38">
        <f t="shared" si="26"/>
        <v>56.68</v>
      </c>
      <c r="O77" s="38">
        <f t="shared" si="26"/>
        <v>48.57</v>
      </c>
    </row>
    <row r="78" spans="1:15" hidden="1" x14ac:dyDescent="0.25">
      <c r="A78" s="2" t="s">
        <v>197</v>
      </c>
      <c r="B78" s="38">
        <f>cs!B39</f>
        <v>0</v>
      </c>
      <c r="C78" s="38"/>
      <c r="D78" s="38">
        <f t="shared" ref="D78:O78" si="27">D76+D77</f>
        <v>471.83999999999992</v>
      </c>
      <c r="E78" s="38"/>
      <c r="F78" s="38"/>
      <c r="G78" s="38">
        <f t="shared" si="27"/>
        <v>538.83799999999997</v>
      </c>
      <c r="H78" s="38"/>
      <c r="I78" s="38"/>
      <c r="J78" s="38">
        <f t="shared" si="27"/>
        <v>605.71489999999994</v>
      </c>
      <c r="K78" s="38"/>
      <c r="L78" s="38">
        <f t="shared" si="27"/>
        <v>672.47564499999976</v>
      </c>
      <c r="M78" s="38">
        <f t="shared" si="27"/>
        <v>739.10492725000029</v>
      </c>
      <c r="N78" s="38">
        <f t="shared" si="27"/>
        <v>753.62717361250031</v>
      </c>
      <c r="O78" s="38">
        <f t="shared" si="27"/>
        <v>767.99653229312514</v>
      </c>
    </row>
    <row r="79" spans="1:15" ht="18.75" hidden="1" x14ac:dyDescent="0.3">
      <c r="A79" s="39" t="s">
        <v>198</v>
      </c>
      <c r="B79" s="2">
        <f>cs!B40</f>
        <v>0</v>
      </c>
    </row>
    <row r="80" spans="1:15" hidden="1" x14ac:dyDescent="0.25">
      <c r="A80" s="2" t="s">
        <v>199</v>
      </c>
      <c r="B80" s="38">
        <f>cs!B41</f>
        <v>0</v>
      </c>
      <c r="C80" s="38"/>
      <c r="D80" s="38">
        <f>TL!M7</f>
        <v>140.91999999999999</v>
      </c>
      <c r="E80" s="38"/>
      <c r="F80" s="38"/>
      <c r="G80" s="38">
        <f>TL!N7</f>
        <v>140.91999999999999</v>
      </c>
      <c r="H80" s="38"/>
      <c r="I80" s="38"/>
      <c r="J80" s="38">
        <f>TL!O7</f>
        <v>140.91999999999999</v>
      </c>
      <c r="K80" s="38"/>
      <c r="L80" s="38">
        <f>TL!P7</f>
        <v>140.91999999999999</v>
      </c>
      <c r="M80" s="38">
        <f>TL!Q7</f>
        <v>140.91999999999999</v>
      </c>
      <c r="N80" s="38">
        <f>TL!R7</f>
        <v>140.91999999999999</v>
      </c>
      <c r="O80" s="38">
        <f>TL!S7</f>
        <v>140.91999999999999</v>
      </c>
    </row>
    <row r="81" spans="1:15" hidden="1" x14ac:dyDescent="0.25">
      <c r="A81" s="2" t="s">
        <v>200</v>
      </c>
      <c r="B81" s="38">
        <f>cs!B42</f>
        <v>4.5</v>
      </c>
      <c r="C81" s="38"/>
      <c r="D81" s="38">
        <f t="shared" ref="D81:O81" si="28">D65+D66</f>
        <v>128.63</v>
      </c>
      <c r="E81" s="38"/>
      <c r="F81" s="38"/>
      <c r="G81" s="38">
        <f t="shared" si="28"/>
        <v>113.22</v>
      </c>
      <c r="H81" s="38"/>
      <c r="I81" s="38"/>
      <c r="J81" s="38">
        <f t="shared" si="28"/>
        <v>97.8</v>
      </c>
      <c r="K81" s="38"/>
      <c r="L81" s="38">
        <f t="shared" si="28"/>
        <v>82.38</v>
      </c>
      <c r="M81" s="38">
        <f t="shared" si="28"/>
        <v>66.98</v>
      </c>
      <c r="N81" s="38">
        <f t="shared" si="28"/>
        <v>50.07</v>
      </c>
      <c r="O81" s="38">
        <f t="shared" si="28"/>
        <v>33.17</v>
      </c>
    </row>
    <row r="82" spans="1:15" hidden="1" x14ac:dyDescent="0.25">
      <c r="A82" s="2" t="s">
        <v>50</v>
      </c>
      <c r="B82" s="38">
        <f>cs!B43</f>
        <v>4.5</v>
      </c>
      <c r="C82" s="38"/>
      <c r="D82" s="38">
        <f t="shared" ref="D82:O82" si="29">D80+D81</f>
        <v>269.54999999999995</v>
      </c>
      <c r="E82" s="38"/>
      <c r="F82" s="38"/>
      <c r="G82" s="38">
        <f t="shared" si="29"/>
        <v>254.14</v>
      </c>
      <c r="H82" s="38"/>
      <c r="I82" s="38"/>
      <c r="J82" s="38">
        <f t="shared" si="29"/>
        <v>238.71999999999997</v>
      </c>
      <c r="K82" s="38"/>
      <c r="L82" s="38">
        <f t="shared" si="29"/>
        <v>223.29999999999998</v>
      </c>
      <c r="M82" s="38">
        <f t="shared" si="29"/>
        <v>207.89999999999998</v>
      </c>
      <c r="N82" s="38">
        <f t="shared" si="29"/>
        <v>190.98999999999998</v>
      </c>
      <c r="O82" s="38">
        <f t="shared" si="29"/>
        <v>174.08999999999997</v>
      </c>
    </row>
    <row r="83" spans="1:15" hidden="1" x14ac:dyDescent="0.25">
      <c r="B83" s="2">
        <f>cs!B44</f>
        <v>0</v>
      </c>
    </row>
    <row r="84" spans="1:15" hidden="1" x14ac:dyDescent="0.25">
      <c r="A84" s="2" t="s">
        <v>201</v>
      </c>
      <c r="B84" s="40">
        <f>cs!B45</f>
        <v>0</v>
      </c>
      <c r="C84" s="40"/>
      <c r="D84" s="40">
        <f>(D78+D81)/D82</f>
        <v>2.2276757558894453</v>
      </c>
      <c r="E84" s="40"/>
      <c r="F84" s="40"/>
      <c r="G84" s="40">
        <f t="shared" ref="G84:O84" si="30">(G78+G81)/G82</f>
        <v>2.5657432910993943</v>
      </c>
      <c r="H84" s="40"/>
      <c r="I84" s="40"/>
      <c r="J84" s="40">
        <f t="shared" si="30"/>
        <v>2.9470295743967827</v>
      </c>
      <c r="K84" s="40"/>
      <c r="L84" s="40">
        <f t="shared" si="30"/>
        <v>3.3804551948051937</v>
      </c>
      <c r="M84" s="40">
        <f t="shared" si="30"/>
        <v>3.8772723773448794</v>
      </c>
      <c r="N84" s="40">
        <f t="shared" si="30"/>
        <v>4.2080589225221239</v>
      </c>
      <c r="O84" s="40">
        <f t="shared" si="30"/>
        <v>4.6020250002477177</v>
      </c>
    </row>
    <row r="85" spans="1:15" hidden="1" x14ac:dyDescent="0.25"/>
    <row r="86" spans="1:15" hidden="1" x14ac:dyDescent="0.25"/>
    <row r="87" spans="1:15" hidden="1" x14ac:dyDescent="0.25"/>
    <row r="88" spans="1:15" hidden="1" x14ac:dyDescent="0.25"/>
    <row r="89" spans="1:15" hidden="1" x14ac:dyDescent="0.25"/>
    <row r="90" spans="1:15" hidden="1" x14ac:dyDescent="0.25"/>
    <row r="91" spans="1:15" hidden="1" x14ac:dyDescent="0.25"/>
  </sheetData>
  <mergeCells count="3">
    <mergeCell ref="A1:O1"/>
    <mergeCell ref="A2:O2"/>
    <mergeCell ref="A3:O3"/>
  </mergeCells>
  <pageMargins left="0.7" right="0.7" top="0.75" bottom="0.75" header="0.3" footer="0.3"/>
  <pageSetup scale="83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zoomScaleSheetLayoutView="95" workbookViewId="0">
      <selection activeCell="J7" sqref="J7"/>
    </sheetView>
  </sheetViews>
  <sheetFormatPr defaultRowHeight="15" x14ac:dyDescent="0.25"/>
  <cols>
    <col min="1" max="1" width="50.5703125" style="2" bestFit="1" customWidth="1"/>
    <col min="2" max="2" width="10.85546875" style="2" hidden="1" customWidth="1"/>
    <col min="3" max="3" width="10.85546875" style="2" customWidth="1"/>
    <col min="4" max="4" width="10.5703125" style="2" customWidth="1"/>
    <col min="5" max="5" width="10.85546875" style="2" customWidth="1"/>
    <col min="6" max="6" width="11.28515625" style="2" customWidth="1"/>
    <col min="7" max="7" width="10.28515625" style="2" customWidth="1"/>
    <col min="8" max="9" width="11.28515625" style="2" customWidth="1"/>
    <col min="10" max="10" width="10.28515625" style="2" customWidth="1"/>
    <col min="11" max="11" width="10.85546875" style="2" bestFit="1" customWidth="1"/>
    <col min="12" max="12" width="13" style="2" hidden="1" customWidth="1"/>
    <col min="13" max="14" width="12.5703125" style="2" hidden="1" customWidth="1"/>
    <col min="15" max="15" width="13" style="2" hidden="1" customWidth="1"/>
    <col min="16" max="20" width="9.140625" style="2"/>
    <col min="21" max="21" width="9.28515625" style="2" bestFit="1" customWidth="1"/>
    <col min="22" max="16384" width="9.140625" style="2"/>
  </cols>
  <sheetData>
    <row r="1" spans="1:15" ht="21" x14ac:dyDescent="0.35">
      <c r="A1" s="183" t="s">
        <v>257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 ht="21" x14ac:dyDescent="0.35">
      <c r="A2" s="183" t="s">
        <v>258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 ht="21" x14ac:dyDescent="0.35">
      <c r="A3" s="183" t="s">
        <v>254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5" spans="1:15" ht="15.75" x14ac:dyDescent="0.25">
      <c r="A5" s="10" t="s">
        <v>26</v>
      </c>
      <c r="B5" s="11" t="s">
        <v>119</v>
      </c>
      <c r="C5" s="11"/>
      <c r="D5" s="11" t="s">
        <v>120</v>
      </c>
      <c r="E5" s="11"/>
      <c r="F5" s="11"/>
      <c r="G5" s="11" t="s">
        <v>121</v>
      </c>
      <c r="H5" s="11"/>
      <c r="I5" s="11"/>
      <c r="J5" s="11" t="s">
        <v>122</v>
      </c>
      <c r="K5" s="11"/>
      <c r="L5" s="11" t="s">
        <v>123</v>
      </c>
      <c r="M5" s="11" t="s">
        <v>124</v>
      </c>
      <c r="N5" s="11" t="s">
        <v>125</v>
      </c>
      <c r="O5" s="11" t="s">
        <v>126</v>
      </c>
    </row>
    <row r="6" spans="1:15" ht="15.75" x14ac:dyDescent="0.25">
      <c r="A6" s="12" t="s">
        <v>49</v>
      </c>
      <c r="B6" s="13">
        <v>0.6</v>
      </c>
      <c r="C6" s="13"/>
      <c r="D6" s="13">
        <f>process!C15</f>
        <v>0.6</v>
      </c>
      <c r="E6" s="13"/>
      <c r="F6" s="13"/>
      <c r="G6" s="13">
        <f>process!D15</f>
        <v>0.65</v>
      </c>
      <c r="H6" s="13"/>
      <c r="I6" s="13"/>
      <c r="J6" s="13">
        <f>process!E15</f>
        <v>0.7</v>
      </c>
      <c r="K6" s="13"/>
      <c r="L6" s="13">
        <f>process!F15</f>
        <v>0.75</v>
      </c>
      <c r="M6" s="13">
        <f>process!G15</f>
        <v>0.8</v>
      </c>
      <c r="N6" s="13">
        <f>M6</f>
        <v>0.8</v>
      </c>
      <c r="O6" s="13">
        <f>N6</f>
        <v>0.8</v>
      </c>
    </row>
    <row r="7" spans="1:15" ht="15.75" thickBot="1" x14ac:dyDescent="0.3">
      <c r="A7" s="14"/>
      <c r="B7" s="15"/>
      <c r="C7" s="15" t="s">
        <v>255</v>
      </c>
      <c r="D7" s="15" t="s">
        <v>261</v>
      </c>
      <c r="E7" s="15" t="s">
        <v>256</v>
      </c>
      <c r="F7" s="15" t="s">
        <v>255</v>
      </c>
      <c r="G7" s="15" t="s">
        <v>261</v>
      </c>
      <c r="H7" s="15" t="s">
        <v>256</v>
      </c>
      <c r="I7" s="15" t="s">
        <v>255</v>
      </c>
      <c r="J7" s="15" t="s">
        <v>261</v>
      </c>
      <c r="K7" s="15" t="s">
        <v>256</v>
      </c>
      <c r="L7" s="15"/>
      <c r="M7" s="15"/>
      <c r="N7" s="15"/>
      <c r="O7" s="15"/>
    </row>
    <row r="8" spans="1:15" ht="15.75" thickBot="1" x14ac:dyDescent="0.3">
      <c r="A8" s="16" t="s">
        <v>86</v>
      </c>
      <c r="B8" s="17">
        <f>B73</f>
        <v>146.85333333333332</v>
      </c>
      <c r="C8" s="17">
        <f>D8</f>
        <v>1474.03</v>
      </c>
      <c r="D8" s="18">
        <f>process!C17</f>
        <v>1474.03</v>
      </c>
      <c r="E8" s="18">
        <f>D8</f>
        <v>1474.03</v>
      </c>
      <c r="F8" s="17">
        <f>G8</f>
        <v>1596.87</v>
      </c>
      <c r="G8" s="18">
        <f>process!D17</f>
        <v>1596.87</v>
      </c>
      <c r="H8" s="18">
        <f>G8</f>
        <v>1596.87</v>
      </c>
      <c r="I8" s="17">
        <f>J8</f>
        <v>1719.71</v>
      </c>
      <c r="J8" s="18">
        <f>process!E17</f>
        <v>1719.71</v>
      </c>
      <c r="K8" s="18">
        <f>J8</f>
        <v>1719.71</v>
      </c>
      <c r="L8" s="18">
        <f>process!F17</f>
        <v>1842.55</v>
      </c>
      <c r="M8" s="18">
        <f>process!G17</f>
        <v>1965.39</v>
      </c>
      <c r="N8" s="18">
        <f>M8</f>
        <v>1965.39</v>
      </c>
      <c r="O8" s="19">
        <f>N8</f>
        <v>1965.39</v>
      </c>
    </row>
    <row r="9" spans="1:15" x14ac:dyDescent="0.25">
      <c r="A9" s="20"/>
      <c r="B9" s="21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15" ht="16.5" thickBot="1" x14ac:dyDescent="0.3">
      <c r="A10" s="23" t="s">
        <v>205</v>
      </c>
      <c r="B10" s="21"/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5" ht="15.75" hidden="1" thickBot="1" x14ac:dyDescent="0.3">
      <c r="A11" s="20"/>
      <c r="B11" s="21"/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</row>
    <row r="12" spans="1:15" ht="15.75" hidden="1" thickBot="1" x14ac:dyDescent="0.3">
      <c r="A12" s="24" t="s">
        <v>206</v>
      </c>
      <c r="B12" s="25">
        <f>B51</f>
        <v>100.58</v>
      </c>
      <c r="C12" s="25"/>
      <c r="D12" s="25">
        <f t="shared" ref="D12:O12" si="0">D51</f>
        <v>603.48</v>
      </c>
      <c r="E12" s="25"/>
      <c r="F12" s="25"/>
      <c r="G12" s="25">
        <f t="shared" si="0"/>
        <v>653.77</v>
      </c>
      <c r="H12" s="25"/>
      <c r="I12" s="25"/>
      <c r="J12" s="25">
        <f t="shared" si="0"/>
        <v>704.06</v>
      </c>
      <c r="K12" s="25"/>
      <c r="L12" s="25">
        <f t="shared" si="0"/>
        <v>754.35</v>
      </c>
      <c r="M12" s="25">
        <f t="shared" si="0"/>
        <v>804.64</v>
      </c>
      <c r="N12" s="25">
        <f t="shared" si="0"/>
        <v>804.64</v>
      </c>
      <c r="O12" s="25">
        <f t="shared" si="0"/>
        <v>804.64</v>
      </c>
    </row>
    <row r="13" spans="1:15" ht="15.75" hidden="1" thickBot="1" x14ac:dyDescent="0.3">
      <c r="A13" s="26" t="s">
        <v>207</v>
      </c>
      <c r="B13" s="25">
        <f>B55</f>
        <v>10.53</v>
      </c>
      <c r="C13" s="25"/>
      <c r="D13" s="25">
        <f t="shared" ref="D13:O14" si="1">D55</f>
        <v>63.18</v>
      </c>
      <c r="E13" s="25"/>
      <c r="F13" s="25"/>
      <c r="G13" s="25">
        <f t="shared" si="1"/>
        <v>68.45</v>
      </c>
      <c r="H13" s="25"/>
      <c r="I13" s="25"/>
      <c r="J13" s="25">
        <f t="shared" si="1"/>
        <v>73.709999999999994</v>
      </c>
      <c r="K13" s="25"/>
      <c r="L13" s="25">
        <f t="shared" si="1"/>
        <v>78.98</v>
      </c>
      <c r="M13" s="25">
        <f t="shared" si="1"/>
        <v>84.24</v>
      </c>
      <c r="N13" s="25">
        <f t="shared" si="1"/>
        <v>84.24</v>
      </c>
      <c r="O13" s="25">
        <f t="shared" si="1"/>
        <v>84.24</v>
      </c>
    </row>
    <row r="14" spans="1:15" ht="15.75" hidden="1" thickBot="1" x14ac:dyDescent="0.3">
      <c r="A14" s="26" t="s">
        <v>208</v>
      </c>
      <c r="B14" s="25">
        <f>B56</f>
        <v>2.16</v>
      </c>
      <c r="C14" s="25"/>
      <c r="D14" s="25">
        <f t="shared" si="1"/>
        <v>12.96</v>
      </c>
      <c r="E14" s="25"/>
      <c r="F14" s="25"/>
      <c r="G14" s="25">
        <f t="shared" si="1"/>
        <v>14.04</v>
      </c>
      <c r="H14" s="25"/>
      <c r="I14" s="25"/>
      <c r="J14" s="25">
        <f t="shared" si="1"/>
        <v>15.12</v>
      </c>
      <c r="K14" s="25"/>
      <c r="L14" s="25">
        <f t="shared" si="1"/>
        <v>16.2</v>
      </c>
      <c r="M14" s="25">
        <f t="shared" si="1"/>
        <v>17.28</v>
      </c>
      <c r="N14" s="25">
        <f t="shared" si="1"/>
        <v>17.28</v>
      </c>
      <c r="O14" s="25">
        <f t="shared" si="1"/>
        <v>17.28</v>
      </c>
    </row>
    <row r="15" spans="1:15" ht="15.75" hidden="1" thickBot="1" x14ac:dyDescent="0.3">
      <c r="A15" s="26" t="s">
        <v>178</v>
      </c>
      <c r="B15" s="25">
        <f>B60</f>
        <v>0.8716666666666667</v>
      </c>
      <c r="C15" s="25"/>
      <c r="D15" s="25">
        <f t="shared" ref="D15:O15" si="2">D60</f>
        <v>5.23</v>
      </c>
      <c r="E15" s="25"/>
      <c r="F15" s="25"/>
      <c r="G15" s="25">
        <f t="shared" si="2"/>
        <v>5.67</v>
      </c>
      <c r="H15" s="25"/>
      <c r="I15" s="25"/>
      <c r="J15" s="25">
        <f t="shared" si="2"/>
        <v>6.1</v>
      </c>
      <c r="K15" s="25"/>
      <c r="L15" s="25">
        <f t="shared" si="2"/>
        <v>6.54</v>
      </c>
      <c r="M15" s="25">
        <f t="shared" si="2"/>
        <v>6.98</v>
      </c>
      <c r="N15" s="25">
        <f t="shared" si="2"/>
        <v>6.98</v>
      </c>
      <c r="O15" s="25">
        <f t="shared" si="2"/>
        <v>6.98</v>
      </c>
    </row>
    <row r="16" spans="1:15" ht="15.75" hidden="1" thickBot="1" x14ac:dyDescent="0.3">
      <c r="A16" s="26" t="s">
        <v>192</v>
      </c>
      <c r="B16" s="25">
        <f>B66</f>
        <v>4.5</v>
      </c>
      <c r="C16" s="25"/>
      <c r="D16" s="25">
        <f>D66</f>
        <v>18.010000000000002</v>
      </c>
      <c r="E16" s="25"/>
      <c r="F16" s="25"/>
      <c r="G16" s="25">
        <f t="shared" ref="G16:O16" si="3">G66</f>
        <v>19.5</v>
      </c>
      <c r="H16" s="25"/>
      <c r="I16" s="25"/>
      <c r="J16" s="25">
        <f t="shared" si="3"/>
        <v>21</v>
      </c>
      <c r="K16" s="25"/>
      <c r="L16" s="25">
        <f t="shared" si="3"/>
        <v>22.49</v>
      </c>
      <c r="M16" s="25">
        <f t="shared" si="3"/>
        <v>23.99</v>
      </c>
      <c r="N16" s="25">
        <f t="shared" si="3"/>
        <v>24</v>
      </c>
      <c r="O16" s="25">
        <f t="shared" si="3"/>
        <v>24.02</v>
      </c>
    </row>
    <row r="17" spans="1:15" ht="15.75" hidden="1" thickBot="1" x14ac:dyDescent="0.3">
      <c r="A17" s="27" t="s">
        <v>209</v>
      </c>
      <c r="B17" s="25">
        <f>B69</f>
        <v>12.283333333333333</v>
      </c>
      <c r="C17" s="25"/>
      <c r="D17" s="25">
        <f t="shared" ref="D17:O17" si="4">D69</f>
        <v>73.7</v>
      </c>
      <c r="E17" s="25"/>
      <c r="F17" s="25"/>
      <c r="G17" s="25">
        <f t="shared" si="4"/>
        <v>79.84</v>
      </c>
      <c r="H17" s="25"/>
      <c r="I17" s="25"/>
      <c r="J17" s="25">
        <f t="shared" si="4"/>
        <v>85.99</v>
      </c>
      <c r="K17" s="25"/>
      <c r="L17" s="25">
        <f t="shared" si="4"/>
        <v>92.13</v>
      </c>
      <c r="M17" s="25">
        <f t="shared" si="4"/>
        <v>98.27</v>
      </c>
      <c r="N17" s="25">
        <f t="shared" si="4"/>
        <v>98.27</v>
      </c>
      <c r="O17" s="25">
        <f t="shared" si="4"/>
        <v>98.27</v>
      </c>
    </row>
    <row r="18" spans="1:15" ht="15.75" hidden="1" thickBot="1" x14ac:dyDescent="0.3">
      <c r="A18" s="20"/>
      <c r="B18" s="21"/>
      <c r="C18" s="21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x14ac:dyDescent="0.25">
      <c r="A19" s="24" t="s">
        <v>210</v>
      </c>
      <c r="B19" s="25">
        <f>SUM(B12:B18)</f>
        <v>130.92500000000001</v>
      </c>
      <c r="C19" s="25">
        <f>D19</f>
        <v>776.56000000000006</v>
      </c>
      <c r="D19" s="25">
        <f t="shared" ref="D19:O19" si="5">SUM(D12:D18)</f>
        <v>776.56000000000006</v>
      </c>
      <c r="E19" s="25">
        <f>D19</f>
        <v>776.56000000000006</v>
      </c>
      <c r="F19" s="25">
        <f>G19</f>
        <v>841.27</v>
      </c>
      <c r="G19" s="25">
        <f t="shared" si="5"/>
        <v>841.27</v>
      </c>
      <c r="H19" s="25">
        <f>G19</f>
        <v>841.27</v>
      </c>
      <c r="I19" s="25">
        <f>J19</f>
        <v>905.98</v>
      </c>
      <c r="J19" s="25">
        <f t="shared" si="5"/>
        <v>905.98</v>
      </c>
      <c r="K19" s="25">
        <f>J19</f>
        <v>905.98</v>
      </c>
      <c r="L19" s="25">
        <f t="shared" si="5"/>
        <v>970.69</v>
      </c>
      <c r="M19" s="25">
        <f t="shared" si="5"/>
        <v>1035.4000000000001</v>
      </c>
      <c r="N19" s="25">
        <f t="shared" si="5"/>
        <v>1035.4100000000001</v>
      </c>
      <c r="O19" s="25">
        <f t="shared" si="5"/>
        <v>1035.43</v>
      </c>
    </row>
    <row r="20" spans="1:15" ht="16.5" thickBot="1" x14ac:dyDescent="0.3">
      <c r="A20" s="28" t="s">
        <v>211</v>
      </c>
      <c r="B20" s="25">
        <f>B8-B19</f>
        <v>15.928333333333313</v>
      </c>
      <c r="C20" s="29">
        <f t="shared" ref="C20:O20" si="6">C8-C19</f>
        <v>697.46999999999991</v>
      </c>
      <c r="D20" s="29">
        <f t="shared" si="6"/>
        <v>697.46999999999991</v>
      </c>
      <c r="E20" s="29">
        <f t="shared" si="6"/>
        <v>697.46999999999991</v>
      </c>
      <c r="F20" s="29">
        <f t="shared" si="6"/>
        <v>755.59999999999991</v>
      </c>
      <c r="G20" s="29">
        <f t="shared" si="6"/>
        <v>755.59999999999991</v>
      </c>
      <c r="H20" s="29">
        <f t="shared" si="6"/>
        <v>755.59999999999991</v>
      </c>
      <c r="I20" s="29">
        <f t="shared" si="6"/>
        <v>813.73</v>
      </c>
      <c r="J20" s="29">
        <f t="shared" si="6"/>
        <v>813.73</v>
      </c>
      <c r="K20" s="29">
        <f t="shared" si="6"/>
        <v>813.73</v>
      </c>
      <c r="L20" s="29">
        <f t="shared" si="6"/>
        <v>871.8599999999999</v>
      </c>
      <c r="M20" s="29">
        <f t="shared" si="6"/>
        <v>929.99</v>
      </c>
      <c r="N20" s="29">
        <f t="shared" si="6"/>
        <v>929.98</v>
      </c>
      <c r="O20" s="29">
        <f t="shared" si="6"/>
        <v>929.96</v>
      </c>
    </row>
    <row r="21" spans="1:15" x14ac:dyDescent="0.25">
      <c r="A21" s="20"/>
      <c r="B21" s="21"/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 spans="1:15" ht="15.75" x14ac:dyDescent="0.25">
      <c r="A22" s="23" t="s">
        <v>212</v>
      </c>
      <c r="B22" s="21"/>
      <c r="C22" s="21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1:15" hidden="1" x14ac:dyDescent="0.25">
      <c r="A23" s="20"/>
      <c r="B23" s="21"/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 hidden="1" x14ac:dyDescent="0.25">
      <c r="A24" s="24" t="s">
        <v>213</v>
      </c>
      <c r="B24" s="25">
        <f>B52</f>
        <v>0</v>
      </c>
      <c r="C24" s="25"/>
      <c r="D24" s="25">
        <f t="shared" ref="D24:O24" si="7">D52</f>
        <v>19.440000000000001</v>
      </c>
      <c r="E24" s="25"/>
      <c r="F24" s="25"/>
      <c r="G24" s="25">
        <f t="shared" si="7"/>
        <v>20.412000000000003</v>
      </c>
      <c r="H24" s="25"/>
      <c r="I24" s="25"/>
      <c r="J24" s="25">
        <f t="shared" si="7"/>
        <v>21.432600000000004</v>
      </c>
      <c r="K24" s="25"/>
      <c r="L24" s="25">
        <f t="shared" si="7"/>
        <v>22.504230000000007</v>
      </c>
      <c r="M24" s="25">
        <f t="shared" si="7"/>
        <v>23.629441500000006</v>
      </c>
      <c r="N24" s="25">
        <f t="shared" si="7"/>
        <v>24.810913575000008</v>
      </c>
      <c r="O24" s="25">
        <f t="shared" si="7"/>
        <v>26.051459253750007</v>
      </c>
    </row>
    <row r="25" spans="1:15" hidden="1" x14ac:dyDescent="0.25">
      <c r="A25" s="26" t="s">
        <v>153</v>
      </c>
      <c r="B25" s="25">
        <f>B57</f>
        <v>3.5</v>
      </c>
      <c r="C25" s="25"/>
      <c r="D25" s="25">
        <f t="shared" ref="D25:O27" si="8">D57</f>
        <v>21</v>
      </c>
      <c r="E25" s="25"/>
      <c r="F25" s="25"/>
      <c r="G25" s="25">
        <f t="shared" si="8"/>
        <v>22.05</v>
      </c>
      <c r="H25" s="25"/>
      <c r="I25" s="25"/>
      <c r="J25" s="25">
        <f t="shared" si="8"/>
        <v>23.152500000000003</v>
      </c>
      <c r="K25" s="25"/>
      <c r="L25" s="25">
        <f t="shared" si="8"/>
        <v>24.310125000000006</v>
      </c>
      <c r="M25" s="25">
        <f t="shared" si="8"/>
        <v>25.525631250000004</v>
      </c>
      <c r="N25" s="25">
        <f t="shared" si="8"/>
        <v>26.801912812500007</v>
      </c>
      <c r="O25" s="25">
        <f t="shared" si="8"/>
        <v>28.142008453125005</v>
      </c>
    </row>
    <row r="26" spans="1:15" hidden="1" x14ac:dyDescent="0.25">
      <c r="A26" s="26" t="s">
        <v>214</v>
      </c>
      <c r="B26" s="25">
        <f>B58</f>
        <v>0.14499999999999999</v>
      </c>
      <c r="C26" s="25"/>
      <c r="D26" s="25">
        <f t="shared" si="8"/>
        <v>0.87</v>
      </c>
      <c r="E26" s="25"/>
      <c r="F26" s="25"/>
      <c r="G26" s="25">
        <f t="shared" si="8"/>
        <v>0.74</v>
      </c>
      <c r="H26" s="25"/>
      <c r="I26" s="25"/>
      <c r="J26" s="25">
        <f t="shared" si="8"/>
        <v>0.64</v>
      </c>
      <c r="K26" s="25"/>
      <c r="L26" s="25">
        <f t="shared" si="8"/>
        <v>0.55000000000000004</v>
      </c>
      <c r="M26" s="25">
        <f t="shared" si="8"/>
        <v>0.47</v>
      </c>
      <c r="N26" s="25">
        <f t="shared" si="8"/>
        <v>0.4</v>
      </c>
      <c r="O26" s="25">
        <f t="shared" si="8"/>
        <v>0.35</v>
      </c>
    </row>
    <row r="27" spans="1:15" hidden="1" x14ac:dyDescent="0.25">
      <c r="A27" s="26" t="s">
        <v>176</v>
      </c>
      <c r="B27" s="25">
        <f>B59</f>
        <v>0</v>
      </c>
      <c r="C27" s="25"/>
      <c r="D27" s="25">
        <f t="shared" si="8"/>
        <v>131.21</v>
      </c>
      <c r="E27" s="25"/>
      <c r="F27" s="25"/>
      <c r="G27" s="25">
        <f t="shared" si="8"/>
        <v>105.46</v>
      </c>
      <c r="H27" s="25"/>
      <c r="I27" s="25"/>
      <c r="J27" s="25">
        <f t="shared" si="8"/>
        <v>90.24</v>
      </c>
      <c r="K27" s="25"/>
      <c r="L27" s="25">
        <f t="shared" si="8"/>
        <v>77.25</v>
      </c>
      <c r="M27" s="25">
        <f t="shared" si="8"/>
        <v>66.16</v>
      </c>
      <c r="N27" s="25">
        <f t="shared" si="8"/>
        <v>56.68</v>
      </c>
      <c r="O27" s="25">
        <f t="shared" si="8"/>
        <v>48.57</v>
      </c>
    </row>
    <row r="28" spans="1:15" hidden="1" x14ac:dyDescent="0.25">
      <c r="A28" s="26" t="s">
        <v>179</v>
      </c>
      <c r="B28" s="25">
        <f>B63</f>
        <v>12.283333333333333</v>
      </c>
      <c r="C28" s="25"/>
      <c r="D28" s="25">
        <f t="shared" ref="D28:O28" si="9">D63</f>
        <v>73.7</v>
      </c>
      <c r="E28" s="25"/>
      <c r="F28" s="25"/>
      <c r="G28" s="25">
        <f t="shared" si="9"/>
        <v>79.84</v>
      </c>
      <c r="H28" s="25"/>
      <c r="I28" s="25"/>
      <c r="J28" s="25">
        <f t="shared" si="9"/>
        <v>85.99</v>
      </c>
      <c r="K28" s="25"/>
      <c r="L28" s="25">
        <f t="shared" si="9"/>
        <v>92.13</v>
      </c>
      <c r="M28" s="25">
        <f t="shared" si="9"/>
        <v>98.27</v>
      </c>
      <c r="N28" s="25">
        <f t="shared" si="9"/>
        <v>98.27</v>
      </c>
      <c r="O28" s="25">
        <f t="shared" si="9"/>
        <v>98.27</v>
      </c>
    </row>
    <row r="29" spans="1:15" ht="15.75" hidden="1" thickBot="1" x14ac:dyDescent="0.3">
      <c r="A29" s="27" t="s">
        <v>191</v>
      </c>
      <c r="B29" s="25">
        <f>B65</f>
        <v>0</v>
      </c>
      <c r="C29" s="25"/>
      <c r="D29" s="25">
        <f t="shared" ref="D29:O29" si="10">D65</f>
        <v>110.62</v>
      </c>
      <c r="E29" s="25"/>
      <c r="F29" s="25"/>
      <c r="G29" s="25">
        <f t="shared" si="10"/>
        <v>93.72</v>
      </c>
      <c r="H29" s="25"/>
      <c r="I29" s="25"/>
      <c r="J29" s="25">
        <f t="shared" si="10"/>
        <v>76.8</v>
      </c>
      <c r="K29" s="25"/>
      <c r="L29" s="25">
        <f t="shared" si="10"/>
        <v>59.89</v>
      </c>
      <c r="M29" s="25">
        <f t="shared" si="10"/>
        <v>42.99</v>
      </c>
      <c r="N29" s="25">
        <f t="shared" si="10"/>
        <v>26.07</v>
      </c>
      <c r="O29" s="25">
        <f t="shared" si="10"/>
        <v>9.15</v>
      </c>
    </row>
    <row r="30" spans="1:15" hidden="1" x14ac:dyDescent="0.25">
      <c r="A30" s="20"/>
      <c r="B30" s="21"/>
      <c r="C30" s="21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 x14ac:dyDescent="0.25">
      <c r="A31" s="20" t="s">
        <v>215</v>
      </c>
      <c r="B31" s="25">
        <f>SUM(B24:B30)</f>
        <v>15.928333333333333</v>
      </c>
      <c r="C31" s="25">
        <f>ROUND(D31*0.95, 2)</f>
        <v>339</v>
      </c>
      <c r="D31" s="25">
        <f>SUM(D24:D30)</f>
        <v>356.84000000000003</v>
      </c>
      <c r="E31" s="25">
        <f>ROUND(D31*1.05, 2)</f>
        <v>374.68</v>
      </c>
      <c r="F31" s="25">
        <f>ROUND(G31*0.95, 2)</f>
        <v>306.11</v>
      </c>
      <c r="G31" s="25">
        <f t="shared" ref="G31:O31" si="11">SUM(G24:G30)</f>
        <v>322.22199999999998</v>
      </c>
      <c r="H31" s="25">
        <f>ROUND(G31*1.05, 2)</f>
        <v>338.33</v>
      </c>
      <c r="I31" s="25">
        <f>ROUND(J31*0.95, 2)</f>
        <v>283.33999999999997</v>
      </c>
      <c r="J31" s="25">
        <f t="shared" si="11"/>
        <v>298.25510000000003</v>
      </c>
      <c r="K31" s="25">
        <f>ROUND(J31*1.05, 2)</f>
        <v>313.17</v>
      </c>
      <c r="L31" s="25">
        <f t="shared" si="11"/>
        <v>276.63435500000003</v>
      </c>
      <c r="M31" s="25">
        <f t="shared" si="11"/>
        <v>257.04507275000003</v>
      </c>
      <c r="N31" s="25">
        <f t="shared" si="11"/>
        <v>233.03282638749999</v>
      </c>
      <c r="O31" s="25">
        <f t="shared" si="11"/>
        <v>210.53346770687503</v>
      </c>
    </row>
    <row r="32" spans="1:15" x14ac:dyDescent="0.25">
      <c r="A32" s="20" t="s">
        <v>195</v>
      </c>
      <c r="B32" s="25">
        <f>B20-B31</f>
        <v>-1.9539925233402755E-14</v>
      </c>
      <c r="C32" s="25">
        <f t="shared" ref="C32:O32" si="12">C20-C31</f>
        <v>358.46999999999991</v>
      </c>
      <c r="D32" s="25">
        <f t="shared" si="12"/>
        <v>340.62999999999988</v>
      </c>
      <c r="E32" s="25">
        <f t="shared" si="12"/>
        <v>322.78999999999991</v>
      </c>
      <c r="F32" s="25">
        <f t="shared" si="12"/>
        <v>449.4899999999999</v>
      </c>
      <c r="G32" s="25">
        <f t="shared" si="12"/>
        <v>433.37799999999993</v>
      </c>
      <c r="H32" s="25">
        <f t="shared" si="12"/>
        <v>417.26999999999992</v>
      </c>
      <c r="I32" s="25">
        <f t="shared" si="12"/>
        <v>530.3900000000001</v>
      </c>
      <c r="J32" s="25">
        <f t="shared" si="12"/>
        <v>515.47489999999993</v>
      </c>
      <c r="K32" s="25">
        <f t="shared" si="12"/>
        <v>500.56</v>
      </c>
      <c r="L32" s="25">
        <f t="shared" si="12"/>
        <v>595.22564499999987</v>
      </c>
      <c r="M32" s="25">
        <f t="shared" si="12"/>
        <v>672.94492724999998</v>
      </c>
      <c r="N32" s="25">
        <f t="shared" si="12"/>
        <v>696.94717361250002</v>
      </c>
      <c r="O32" s="25">
        <f t="shared" si="12"/>
        <v>719.42653229312498</v>
      </c>
    </row>
    <row r="33" spans="1:15" x14ac:dyDescent="0.25">
      <c r="A33" s="20" t="s">
        <v>218</v>
      </c>
      <c r="B33" s="29">
        <f t="shared" ref="B33:O33" si="13">B20/B8</f>
        <v>0.10846422734701276</v>
      </c>
      <c r="C33" s="29">
        <f t="shared" si="13"/>
        <v>0.47317218781164555</v>
      </c>
      <c r="D33" s="29">
        <f t="shared" si="13"/>
        <v>0.47317218781164555</v>
      </c>
      <c r="E33" s="29">
        <f t="shared" si="13"/>
        <v>0.47317218781164555</v>
      </c>
      <c r="F33" s="29">
        <f t="shared" si="13"/>
        <v>0.47317564986504845</v>
      </c>
      <c r="G33" s="29">
        <f t="shared" si="13"/>
        <v>0.47317564986504845</v>
      </c>
      <c r="H33" s="29">
        <f t="shared" si="13"/>
        <v>0.47317564986504845</v>
      </c>
      <c r="I33" s="29">
        <f t="shared" si="13"/>
        <v>0.47317861732501409</v>
      </c>
      <c r="J33" s="29">
        <f t="shared" si="13"/>
        <v>0.47317861732501409</v>
      </c>
      <c r="K33" s="29">
        <f t="shared" si="13"/>
        <v>0.47317861732501409</v>
      </c>
      <c r="L33" s="29">
        <f t="shared" si="13"/>
        <v>0.47318118911291412</v>
      </c>
      <c r="M33" s="29">
        <f t="shared" si="13"/>
        <v>0.47318343941914837</v>
      </c>
      <c r="N33" s="29">
        <f t="shared" si="13"/>
        <v>0.47317835137046588</v>
      </c>
      <c r="O33" s="29">
        <f t="shared" si="13"/>
        <v>0.47316817527310101</v>
      </c>
    </row>
    <row r="34" spans="1:15" x14ac:dyDescent="0.25">
      <c r="A34" s="20" t="s">
        <v>216</v>
      </c>
      <c r="B34" s="30">
        <f>B31/B33</f>
        <v>146.8533333333335</v>
      </c>
      <c r="C34" s="30">
        <f>C31/C33</f>
        <v>716.44109424061264</v>
      </c>
      <c r="D34" s="30">
        <f>D31/D33</f>
        <v>754.1440709994697</v>
      </c>
      <c r="E34" s="30">
        <f>E31/E33</f>
        <v>791.84704775832665</v>
      </c>
      <c r="F34" s="30">
        <f t="shared" ref="F34:O34" si="14">F31/F33</f>
        <v>646.92678096876659</v>
      </c>
      <c r="G34" s="30">
        <f t="shared" si="14"/>
        <v>680.97756106405507</v>
      </c>
      <c r="H34" s="30">
        <f t="shared" si="14"/>
        <v>715.01988763896247</v>
      </c>
      <c r="I34" s="30">
        <f t="shared" si="14"/>
        <v>598.80136089366249</v>
      </c>
      <c r="J34" s="30">
        <f t="shared" si="14"/>
        <v>630.32243867253271</v>
      </c>
      <c r="K34" s="30">
        <f t="shared" si="14"/>
        <v>661.84309377803447</v>
      </c>
      <c r="L34" s="30">
        <f t="shared" si="14"/>
        <v>584.62669557641141</v>
      </c>
      <c r="M34" s="30">
        <f t="shared" si="14"/>
        <v>543.22499761515985</v>
      </c>
      <c r="N34" s="30">
        <f t="shared" si="14"/>
        <v>492.48412509272094</v>
      </c>
      <c r="O34" s="30">
        <f t="shared" si="14"/>
        <v>444.94426867436783</v>
      </c>
    </row>
    <row r="35" spans="1:15" x14ac:dyDescent="0.25">
      <c r="A35" s="20" t="s">
        <v>217</v>
      </c>
      <c r="B35" s="30">
        <f>B8-B34</f>
        <v>0</v>
      </c>
      <c r="C35" s="30">
        <f>C8-C34</f>
        <v>757.58890575938733</v>
      </c>
      <c r="D35" s="30">
        <f>D8-D34</f>
        <v>719.88592900053027</v>
      </c>
      <c r="E35" s="30">
        <f>E8-E34</f>
        <v>682.18295224167332</v>
      </c>
      <c r="F35" s="30">
        <f t="shared" ref="F35:O35" si="15">F8-F34</f>
        <v>949.9432190312333</v>
      </c>
      <c r="G35" s="30">
        <f t="shared" si="15"/>
        <v>915.89243893594482</v>
      </c>
      <c r="H35" s="30">
        <f t="shared" si="15"/>
        <v>881.85011236103742</v>
      </c>
      <c r="I35" s="30">
        <f t="shared" si="15"/>
        <v>1120.9086391063374</v>
      </c>
      <c r="J35" s="30">
        <f t="shared" si="15"/>
        <v>1089.3875613274672</v>
      </c>
      <c r="K35" s="30">
        <f t="shared" si="15"/>
        <v>1057.8669062219656</v>
      </c>
      <c r="L35" s="30">
        <f t="shared" si="15"/>
        <v>1257.9233044235884</v>
      </c>
      <c r="M35" s="30">
        <f t="shared" si="15"/>
        <v>1422.1650023848401</v>
      </c>
      <c r="N35" s="30">
        <f t="shared" si="15"/>
        <v>1472.9058749072792</v>
      </c>
      <c r="O35" s="30">
        <f t="shared" si="15"/>
        <v>1520.4457313256323</v>
      </c>
    </row>
    <row r="36" spans="1:15" x14ac:dyDescent="0.25">
      <c r="A36" s="20"/>
      <c r="B36" s="21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1:15" x14ac:dyDescent="0.25">
      <c r="A37" s="20"/>
      <c r="B37" s="21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  <row r="38" spans="1:15" x14ac:dyDescent="0.25">
      <c r="A38" s="20"/>
      <c r="B38" s="21"/>
      <c r="C38" s="21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15" x14ac:dyDescent="0.25">
      <c r="A39" s="20"/>
      <c r="B39" s="21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1:15" x14ac:dyDescent="0.25">
      <c r="A40" s="20"/>
      <c r="B40" s="21"/>
      <c r="C40" s="2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</row>
    <row r="41" spans="1:15" x14ac:dyDescent="0.25">
      <c r="A41" s="20"/>
      <c r="B41" s="21"/>
      <c r="C41" s="2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</row>
    <row r="42" spans="1:15" x14ac:dyDescent="0.25">
      <c r="A42" s="20"/>
      <c r="B42" s="21"/>
      <c r="C42" s="21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</row>
    <row r="43" spans="1:15" x14ac:dyDescent="0.25">
      <c r="A43" s="20"/>
      <c r="B43" s="21"/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</row>
    <row r="44" spans="1:15" x14ac:dyDescent="0.25">
      <c r="A44" s="20"/>
      <c r="B44" s="21"/>
      <c r="C44" s="21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</row>
    <row r="45" spans="1:15" x14ac:dyDescent="0.25">
      <c r="A45" s="20"/>
      <c r="B45" s="21"/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</row>
    <row r="46" spans="1:15" x14ac:dyDescent="0.25">
      <c r="A46" s="20"/>
      <c r="B46" s="21"/>
      <c r="C46" s="21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</row>
    <row r="47" spans="1:15" x14ac:dyDescent="0.25">
      <c r="A47" s="20"/>
      <c r="B47" s="21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</row>
    <row r="48" spans="1:15" hidden="1" x14ac:dyDescent="0.25">
      <c r="A48" s="15" t="s">
        <v>246</v>
      </c>
      <c r="B48" s="22">
        <f>cs!B9</f>
        <v>251.45</v>
      </c>
      <c r="C48" s="22"/>
      <c r="D48" s="22">
        <f>D49-D8</f>
        <v>-719.68</v>
      </c>
      <c r="E48" s="22"/>
      <c r="F48" s="22"/>
      <c r="G48" s="22">
        <f t="shared" ref="G48:O48" si="16">G49-G8</f>
        <v>-779.65749999999991</v>
      </c>
      <c r="H48" s="22"/>
      <c r="I48" s="22"/>
      <c r="J48" s="22">
        <f t="shared" si="16"/>
        <v>-839.6350000000001</v>
      </c>
      <c r="K48" s="22"/>
      <c r="L48" s="22">
        <f t="shared" si="16"/>
        <v>-899.61249999999995</v>
      </c>
      <c r="M48" s="22">
        <f t="shared" si="16"/>
        <v>-959.59000000000015</v>
      </c>
      <c r="N48" s="22">
        <f t="shared" si="16"/>
        <v>-959.59000000000015</v>
      </c>
      <c r="O48" s="22">
        <f t="shared" si="16"/>
        <v>-959.59000000000015</v>
      </c>
    </row>
    <row r="49" spans="1:21" hidden="1" x14ac:dyDescent="0.25">
      <c r="A49" s="15"/>
      <c r="B49" s="31">
        <f>cs!B10</f>
        <v>251.45</v>
      </c>
      <c r="C49" s="31"/>
      <c r="D49" s="31">
        <f>D50+D51</f>
        <v>754.35</v>
      </c>
      <c r="E49" s="31"/>
      <c r="F49" s="31"/>
      <c r="G49" s="31">
        <f t="shared" ref="G49:O49" si="17">G50+G51</f>
        <v>817.21249999999998</v>
      </c>
      <c r="H49" s="31"/>
      <c r="I49" s="31"/>
      <c r="J49" s="31">
        <f t="shared" si="17"/>
        <v>880.07499999999993</v>
      </c>
      <c r="K49" s="31"/>
      <c r="L49" s="31">
        <f t="shared" si="17"/>
        <v>942.9375</v>
      </c>
      <c r="M49" s="31">
        <f t="shared" si="17"/>
        <v>1005.8</v>
      </c>
      <c r="N49" s="31">
        <f t="shared" si="17"/>
        <v>1005.8</v>
      </c>
      <c r="O49" s="31">
        <f t="shared" si="17"/>
        <v>1005.8</v>
      </c>
    </row>
    <row r="50" spans="1:21" hidden="1" x14ac:dyDescent="0.25">
      <c r="A50" s="15" t="s">
        <v>247</v>
      </c>
      <c r="B50" s="32">
        <f>cs!B11</f>
        <v>150.87</v>
      </c>
      <c r="C50" s="32"/>
      <c r="D50" s="32">
        <f>wc!D9</f>
        <v>150.87</v>
      </c>
      <c r="E50" s="32"/>
      <c r="F50" s="32"/>
      <c r="G50" s="32">
        <f>wc!E9</f>
        <v>163.4425</v>
      </c>
      <c r="H50" s="32"/>
      <c r="I50" s="32"/>
      <c r="J50" s="32">
        <f>wc!F9</f>
        <v>176.01499999999999</v>
      </c>
      <c r="K50" s="32"/>
      <c r="L50" s="32">
        <f>wc!G9</f>
        <v>188.58750000000001</v>
      </c>
      <c r="M50" s="32">
        <f>wc!H9</f>
        <v>201.16</v>
      </c>
      <c r="N50" s="32">
        <f>wc!I9</f>
        <v>201.16</v>
      </c>
      <c r="O50" s="32">
        <f>wc!J9</f>
        <v>201.16</v>
      </c>
    </row>
    <row r="51" spans="1:21" hidden="1" x14ac:dyDescent="0.25">
      <c r="A51" s="20" t="s">
        <v>80</v>
      </c>
      <c r="B51" s="22">
        <f>cs!B12</f>
        <v>100.58</v>
      </c>
      <c r="C51" s="22"/>
      <c r="D51" s="22">
        <f>process!C16</f>
        <v>603.48</v>
      </c>
      <c r="E51" s="22"/>
      <c r="F51" s="22"/>
      <c r="G51" s="22">
        <f>process!D16</f>
        <v>653.77</v>
      </c>
      <c r="H51" s="22"/>
      <c r="I51" s="22"/>
      <c r="J51" s="22">
        <f>process!E16</f>
        <v>704.06</v>
      </c>
      <c r="K51" s="22"/>
      <c r="L51" s="22">
        <f>process!F16</f>
        <v>754.35</v>
      </c>
      <c r="M51" s="22">
        <f>process!G16</f>
        <v>804.64</v>
      </c>
      <c r="N51" s="22">
        <f>M51</f>
        <v>804.64</v>
      </c>
      <c r="O51" s="22">
        <f>N51</f>
        <v>804.64</v>
      </c>
    </row>
    <row r="52" spans="1:21" hidden="1" x14ac:dyDescent="0.25">
      <c r="A52" s="20" t="s">
        <v>81</v>
      </c>
      <c r="B52" s="22">
        <f>cs!B13</f>
        <v>0</v>
      </c>
      <c r="C52" s="22"/>
      <c r="D52" s="22">
        <f>wc!D10*12</f>
        <v>19.440000000000001</v>
      </c>
      <c r="E52" s="22"/>
      <c r="F52" s="22"/>
      <c r="G52" s="22">
        <f>wc!E10*12</f>
        <v>20.412000000000003</v>
      </c>
      <c r="H52" s="22"/>
      <c r="I52" s="22"/>
      <c r="J52" s="22">
        <f>wc!F10*12</f>
        <v>21.432600000000004</v>
      </c>
      <c r="K52" s="22"/>
      <c r="L52" s="22">
        <f>wc!G10*12</f>
        <v>22.504230000000007</v>
      </c>
      <c r="M52" s="22">
        <f>wc!H10*12</f>
        <v>23.629441500000006</v>
      </c>
      <c r="N52" s="22">
        <f>wc!I10*12</f>
        <v>24.810913575000008</v>
      </c>
      <c r="O52" s="22">
        <f>wc!J10*12</f>
        <v>26.051459253750007</v>
      </c>
    </row>
    <row r="53" spans="1:21" ht="18.75" hidden="1" x14ac:dyDescent="0.25">
      <c r="A53" s="33" t="s">
        <v>82</v>
      </c>
      <c r="B53" s="34">
        <f>cs!B14</f>
        <v>100.58</v>
      </c>
      <c r="C53" s="34"/>
      <c r="D53" s="34">
        <f t="shared" ref="D53:O53" si="18">D51+D52</f>
        <v>622.92000000000007</v>
      </c>
      <c r="E53" s="34"/>
      <c r="F53" s="34"/>
      <c r="G53" s="35">
        <f t="shared" si="18"/>
        <v>674.18200000000002</v>
      </c>
      <c r="H53" s="35"/>
      <c r="I53" s="35"/>
      <c r="J53" s="35">
        <f t="shared" si="18"/>
        <v>725.49259999999992</v>
      </c>
      <c r="K53" s="35"/>
      <c r="L53" s="35">
        <f t="shared" si="18"/>
        <v>776.85423000000003</v>
      </c>
      <c r="M53" s="35">
        <f t="shared" si="18"/>
        <v>828.26944149999997</v>
      </c>
      <c r="N53" s="35">
        <f t="shared" si="18"/>
        <v>829.45091357499996</v>
      </c>
      <c r="O53" s="35">
        <f t="shared" si="18"/>
        <v>830.69145925374994</v>
      </c>
    </row>
    <row r="54" spans="1:21" hidden="1" x14ac:dyDescent="0.25">
      <c r="A54" s="36" t="s">
        <v>248</v>
      </c>
      <c r="B54" s="22">
        <f>cs!B15</f>
        <v>0</v>
      </c>
      <c r="C54" s="22"/>
      <c r="D54" s="22"/>
      <c r="E54" s="22"/>
      <c r="F54" s="22"/>
      <c r="G54" s="21"/>
      <c r="H54" s="21"/>
      <c r="I54" s="21"/>
      <c r="J54" s="22"/>
      <c r="K54" s="22"/>
      <c r="L54" s="21"/>
      <c r="M54" s="22"/>
      <c r="N54" s="21"/>
      <c r="O54" s="22"/>
      <c r="U54" s="2">
        <f>380450/0.004</f>
        <v>95112500</v>
      </c>
    </row>
    <row r="55" spans="1:21" hidden="1" x14ac:dyDescent="0.25">
      <c r="A55" s="20" t="s">
        <v>154</v>
      </c>
      <c r="B55" s="22">
        <f>cs!B16</f>
        <v>10.53</v>
      </c>
      <c r="C55" s="22"/>
      <c r="D55" s="22">
        <f>ROUND((process!C24+process!C30)/100000, 2)</f>
        <v>63.18</v>
      </c>
      <c r="E55" s="22"/>
      <c r="F55" s="22"/>
      <c r="G55" s="22">
        <f>ROUND((process!D24+process!D30)/100000, 2)</f>
        <v>68.45</v>
      </c>
      <c r="H55" s="22"/>
      <c r="I55" s="22"/>
      <c r="J55" s="22">
        <f>ROUND((process!E24+process!E30)/100000, 2)</f>
        <v>73.709999999999994</v>
      </c>
      <c r="K55" s="22"/>
      <c r="L55" s="22">
        <f>ROUND((process!F24+process!F30)/100000, 2)</f>
        <v>78.98</v>
      </c>
      <c r="M55" s="22">
        <f>ROUND((process!G24+process!G30)/100000, 2)</f>
        <v>84.24</v>
      </c>
      <c r="N55" s="22">
        <f>M55</f>
        <v>84.24</v>
      </c>
      <c r="O55" s="22">
        <f>N55</f>
        <v>84.24</v>
      </c>
    </row>
    <row r="56" spans="1:21" hidden="1" x14ac:dyDescent="0.25">
      <c r="A56" s="20" t="s">
        <v>175</v>
      </c>
      <c r="B56" s="22">
        <f>cs!B17</f>
        <v>2.16</v>
      </c>
      <c r="C56" s="22"/>
      <c r="D56" s="22">
        <f>ROUND(process!C38/100000, 2)</f>
        <v>12.96</v>
      </c>
      <c r="E56" s="22"/>
      <c r="F56" s="22"/>
      <c r="G56" s="22">
        <f>ROUND(process!D38/100000, 2)</f>
        <v>14.04</v>
      </c>
      <c r="H56" s="22"/>
      <c r="I56" s="22"/>
      <c r="J56" s="22">
        <f>ROUND(process!E38/100000, 2)</f>
        <v>15.12</v>
      </c>
      <c r="K56" s="22"/>
      <c r="L56" s="22">
        <f>ROUND(process!F38/100000, 2)</f>
        <v>16.2</v>
      </c>
      <c r="M56" s="22">
        <f>ROUND(process!G38/100000, 2)</f>
        <v>17.28</v>
      </c>
      <c r="N56" s="22">
        <f>M56</f>
        <v>17.28</v>
      </c>
      <c r="O56" s="22">
        <f>N56</f>
        <v>17.28</v>
      </c>
    </row>
    <row r="57" spans="1:21" hidden="1" x14ac:dyDescent="0.25">
      <c r="A57" s="20" t="s">
        <v>153</v>
      </c>
      <c r="B57" s="22">
        <f>cs!B18</f>
        <v>3.5</v>
      </c>
      <c r="C57" s="22"/>
      <c r="D57" s="22">
        <f>wc!D11*12</f>
        <v>21</v>
      </c>
      <c r="E57" s="22"/>
      <c r="F57" s="22"/>
      <c r="G57" s="22">
        <f>wc!E11*12</f>
        <v>22.05</v>
      </c>
      <c r="H57" s="22"/>
      <c r="I57" s="22"/>
      <c r="J57" s="22">
        <f>wc!F11*12</f>
        <v>23.152500000000003</v>
      </c>
      <c r="K57" s="22"/>
      <c r="L57" s="22">
        <f>wc!G11*12</f>
        <v>24.310125000000006</v>
      </c>
      <c r="M57" s="22">
        <f>wc!H11*12</f>
        <v>25.525631250000004</v>
      </c>
      <c r="N57" s="22">
        <f>wc!I11*12</f>
        <v>26.801912812500007</v>
      </c>
      <c r="O57" s="22">
        <f>wc!J11*12</f>
        <v>28.142008453125005</v>
      </c>
    </row>
    <row r="58" spans="1:21" hidden="1" x14ac:dyDescent="0.25">
      <c r="A58" s="20" t="s">
        <v>177</v>
      </c>
      <c r="B58" s="22">
        <f>cs!B19</f>
        <v>0.14499999999999999</v>
      </c>
      <c r="C58" s="22"/>
      <c r="D58" s="22">
        <f>ROUND(depn!F10*0.001, 2)</f>
        <v>0.87</v>
      </c>
      <c r="E58" s="22"/>
      <c r="F58" s="22"/>
      <c r="G58" s="22">
        <f>ROUND(depn!G10*0.001, 2)</f>
        <v>0.74</v>
      </c>
      <c r="H58" s="22"/>
      <c r="I58" s="22"/>
      <c r="J58" s="22">
        <f>ROUND(depn!H10*0.001, 2)</f>
        <v>0.64</v>
      </c>
      <c r="K58" s="22"/>
      <c r="L58" s="22">
        <f>ROUND(depn!I10*0.001, 2)</f>
        <v>0.55000000000000004</v>
      </c>
      <c r="M58" s="22">
        <f>ROUND(depn!J10*0.001, 2)</f>
        <v>0.47</v>
      </c>
      <c r="N58" s="22">
        <f>ROUND(depn!K10*0.001, 2)</f>
        <v>0.4</v>
      </c>
      <c r="O58" s="22">
        <f>ROUND(depn!L10*0.001, 2)</f>
        <v>0.35</v>
      </c>
    </row>
    <row r="59" spans="1:21" hidden="1" x14ac:dyDescent="0.25">
      <c r="A59" s="20" t="s">
        <v>176</v>
      </c>
      <c r="B59" s="22">
        <f>cs!B20</f>
        <v>0</v>
      </c>
      <c r="C59" s="22"/>
      <c r="D59" s="22">
        <f>depn!G12</f>
        <v>131.21</v>
      </c>
      <c r="E59" s="22"/>
      <c r="F59" s="22"/>
      <c r="G59" s="22">
        <f>depn!H12</f>
        <v>105.46</v>
      </c>
      <c r="H59" s="22"/>
      <c r="I59" s="22"/>
      <c r="J59" s="22">
        <f>depn!I12</f>
        <v>90.24</v>
      </c>
      <c r="K59" s="22"/>
      <c r="L59" s="22">
        <f>depn!J12</f>
        <v>77.25</v>
      </c>
      <c r="M59" s="22">
        <f>depn!K12</f>
        <v>66.16</v>
      </c>
      <c r="N59" s="22">
        <f>depn!L12</f>
        <v>56.68</v>
      </c>
      <c r="O59" s="22">
        <f>depn!M12</f>
        <v>48.57</v>
      </c>
    </row>
    <row r="60" spans="1:21" hidden="1" x14ac:dyDescent="0.25">
      <c r="A60" s="20" t="s">
        <v>178</v>
      </c>
      <c r="B60" s="22">
        <f>cs!B21</f>
        <v>0.8716666666666667</v>
      </c>
      <c r="C60" s="22"/>
      <c r="D60" s="22">
        <f>ROUND(process!C43/100000, 2)</f>
        <v>5.23</v>
      </c>
      <c r="E60" s="22"/>
      <c r="F60" s="22"/>
      <c r="G60" s="22">
        <f>ROUND(process!D43/100000, 2)</f>
        <v>5.67</v>
      </c>
      <c r="H60" s="22"/>
      <c r="I60" s="22"/>
      <c r="J60" s="22">
        <f>ROUND(process!E43/100000, 2)</f>
        <v>6.1</v>
      </c>
      <c r="K60" s="22"/>
      <c r="L60" s="22">
        <f>ROUND(process!F43/100000, 2)</f>
        <v>6.54</v>
      </c>
      <c r="M60" s="22">
        <f>ROUND(process!G43/100000, 2)</f>
        <v>6.98</v>
      </c>
      <c r="N60" s="22">
        <f>M60</f>
        <v>6.98</v>
      </c>
      <c r="O60" s="22">
        <f>N60</f>
        <v>6.98</v>
      </c>
    </row>
    <row r="61" spans="1:21" ht="18.75" hidden="1" x14ac:dyDescent="0.25">
      <c r="A61" s="33" t="s">
        <v>83</v>
      </c>
      <c r="B61" s="35">
        <f>cs!B22</f>
        <v>117.78666666666666</v>
      </c>
      <c r="C61" s="35"/>
      <c r="D61" s="35">
        <f t="shared" ref="D61:O61" si="19">D53+D55+D56+D57+D58+D59+D60</f>
        <v>857.37000000000012</v>
      </c>
      <c r="E61" s="35"/>
      <c r="F61" s="35"/>
      <c r="G61" s="35">
        <f t="shared" si="19"/>
        <v>890.59199999999998</v>
      </c>
      <c r="H61" s="35"/>
      <c r="I61" s="35"/>
      <c r="J61" s="35">
        <f t="shared" si="19"/>
        <v>934.45510000000002</v>
      </c>
      <c r="K61" s="35"/>
      <c r="L61" s="35">
        <f t="shared" si="19"/>
        <v>980.68435499999998</v>
      </c>
      <c r="M61" s="35">
        <f t="shared" si="19"/>
        <v>1028.9250727499998</v>
      </c>
      <c r="N61" s="35">
        <f t="shared" si="19"/>
        <v>1021.8328263874998</v>
      </c>
      <c r="O61" s="35">
        <f t="shared" si="19"/>
        <v>1016.253467706875</v>
      </c>
    </row>
    <row r="62" spans="1:21" hidden="1" x14ac:dyDescent="0.25">
      <c r="A62" s="15" t="s">
        <v>249</v>
      </c>
      <c r="B62" s="22">
        <f>cs!B23</f>
        <v>0</v>
      </c>
      <c r="C62" s="22"/>
      <c r="D62" s="22"/>
      <c r="E62" s="22"/>
      <c r="F62" s="22"/>
      <c r="G62" s="21"/>
      <c r="H62" s="21"/>
      <c r="I62" s="21"/>
      <c r="J62" s="22"/>
      <c r="K62" s="22"/>
      <c r="L62" s="21"/>
      <c r="M62" s="22"/>
      <c r="N62" s="21"/>
      <c r="O62" s="22"/>
    </row>
    <row r="63" spans="1:21" hidden="1" x14ac:dyDescent="0.25">
      <c r="A63" s="20" t="s">
        <v>179</v>
      </c>
      <c r="B63" s="22">
        <f>cs!B24</f>
        <v>12.283333333333333</v>
      </c>
      <c r="C63" s="22"/>
      <c r="D63" s="22">
        <f>ROUND(0.05*process!C17, 2)</f>
        <v>73.7</v>
      </c>
      <c r="E63" s="22"/>
      <c r="F63" s="22"/>
      <c r="G63" s="22">
        <f>ROUND(0.05*process!D17, 2)</f>
        <v>79.84</v>
      </c>
      <c r="H63" s="22"/>
      <c r="I63" s="22"/>
      <c r="J63" s="22">
        <f>ROUND(0.05*process!E17, 2)</f>
        <v>85.99</v>
      </c>
      <c r="K63" s="22"/>
      <c r="L63" s="22">
        <f>ROUND(0.05*process!F17, 2)</f>
        <v>92.13</v>
      </c>
      <c r="M63" s="22">
        <f>ROUND(0.05*process!G17, 2)</f>
        <v>98.27</v>
      </c>
      <c r="N63" s="22">
        <f>M63</f>
        <v>98.27</v>
      </c>
      <c r="O63" s="22">
        <f>N63</f>
        <v>98.27</v>
      </c>
    </row>
    <row r="64" spans="1:21" hidden="1" x14ac:dyDescent="0.25">
      <c r="A64" s="20" t="s">
        <v>180</v>
      </c>
      <c r="B64" s="22">
        <f>cs!B25</f>
        <v>0</v>
      </c>
      <c r="C64" s="22"/>
      <c r="D64" s="22"/>
      <c r="E64" s="22"/>
      <c r="F64" s="22"/>
      <c r="G64" s="21"/>
      <c r="H64" s="21"/>
      <c r="I64" s="21"/>
      <c r="J64" s="22"/>
      <c r="K64" s="22"/>
      <c r="L64" s="21"/>
      <c r="M64" s="22"/>
      <c r="N64" s="21"/>
      <c r="O64" s="22"/>
    </row>
    <row r="65" spans="1:15" hidden="1" x14ac:dyDescent="0.25">
      <c r="A65" s="20" t="s">
        <v>191</v>
      </c>
      <c r="B65" s="22">
        <f>cs!B26</f>
        <v>0</v>
      </c>
      <c r="C65" s="22"/>
      <c r="D65" s="22">
        <f>TL!M8</f>
        <v>110.62</v>
      </c>
      <c r="E65" s="22"/>
      <c r="F65" s="22"/>
      <c r="G65" s="22">
        <f>TL!N8</f>
        <v>93.72</v>
      </c>
      <c r="H65" s="22"/>
      <c r="I65" s="22"/>
      <c r="J65" s="22">
        <f>TL!O8</f>
        <v>76.8</v>
      </c>
      <c r="K65" s="22"/>
      <c r="L65" s="22">
        <f>TL!P8</f>
        <v>59.89</v>
      </c>
      <c r="M65" s="22">
        <f>TL!Q8</f>
        <v>42.99</v>
      </c>
      <c r="N65" s="22">
        <f>TL!R8</f>
        <v>26.07</v>
      </c>
      <c r="O65" s="22">
        <f>TL!S8</f>
        <v>9.15</v>
      </c>
    </row>
    <row r="66" spans="1:15" hidden="1" x14ac:dyDescent="0.25">
      <c r="A66" s="20" t="s">
        <v>192</v>
      </c>
      <c r="B66" s="21">
        <f>cs!B27</f>
        <v>4.5</v>
      </c>
      <c r="C66" s="21"/>
      <c r="D66" s="21">
        <f>wcl!C12</f>
        <v>18.010000000000002</v>
      </c>
      <c r="E66" s="21"/>
      <c r="F66" s="21"/>
      <c r="G66" s="21">
        <f>wcl!D12</f>
        <v>19.5</v>
      </c>
      <c r="H66" s="21"/>
      <c r="I66" s="21"/>
      <c r="J66" s="21">
        <f>wcl!E12</f>
        <v>21</v>
      </c>
      <c r="K66" s="21"/>
      <c r="L66" s="21">
        <f>wcl!F12</f>
        <v>22.49</v>
      </c>
      <c r="M66" s="21">
        <f>wcl!G12</f>
        <v>23.99</v>
      </c>
      <c r="N66" s="21">
        <f>wcl!H12</f>
        <v>24</v>
      </c>
      <c r="O66" s="21">
        <f>wcl!I12</f>
        <v>24.02</v>
      </c>
    </row>
    <row r="67" spans="1:15" ht="18.75" hidden="1" x14ac:dyDescent="0.25">
      <c r="A67" s="33" t="s">
        <v>84</v>
      </c>
      <c r="B67" s="35">
        <f>cs!B28</f>
        <v>134.57</v>
      </c>
      <c r="C67" s="35"/>
      <c r="D67" s="35">
        <f t="shared" ref="D67:O67" si="20">D61+D63+D65+D66</f>
        <v>1059.7</v>
      </c>
      <c r="E67" s="35"/>
      <c r="F67" s="35"/>
      <c r="G67" s="35">
        <f t="shared" si="20"/>
        <v>1083.652</v>
      </c>
      <c r="H67" s="35"/>
      <c r="I67" s="35"/>
      <c r="J67" s="35">
        <f t="shared" si="20"/>
        <v>1118.2451000000001</v>
      </c>
      <c r="K67" s="35"/>
      <c r="L67" s="35">
        <f t="shared" si="20"/>
        <v>1155.1943550000001</v>
      </c>
      <c r="M67" s="35">
        <f t="shared" si="20"/>
        <v>1194.1750727499998</v>
      </c>
      <c r="N67" s="35">
        <f t="shared" si="20"/>
        <v>1170.1728263874998</v>
      </c>
      <c r="O67" s="35">
        <f t="shared" si="20"/>
        <v>1147.693467706875</v>
      </c>
    </row>
    <row r="68" spans="1:15" ht="18.75" hidden="1" x14ac:dyDescent="0.25">
      <c r="A68" s="33" t="s">
        <v>181</v>
      </c>
      <c r="B68" s="22">
        <f>cs!B29</f>
        <v>134.57</v>
      </c>
      <c r="C68" s="22"/>
      <c r="D68" s="22">
        <f t="shared" ref="D68:O68" si="21">D67</f>
        <v>1059.7</v>
      </c>
      <c r="E68" s="22"/>
      <c r="F68" s="22"/>
      <c r="G68" s="22">
        <f t="shared" si="21"/>
        <v>1083.652</v>
      </c>
      <c r="H68" s="22"/>
      <c r="I68" s="22"/>
      <c r="J68" s="22">
        <f t="shared" si="21"/>
        <v>1118.2451000000001</v>
      </c>
      <c r="K68" s="22"/>
      <c r="L68" s="22">
        <f t="shared" si="21"/>
        <v>1155.1943550000001</v>
      </c>
      <c r="M68" s="22">
        <f t="shared" si="21"/>
        <v>1194.1750727499998</v>
      </c>
      <c r="N68" s="22">
        <f t="shared" si="21"/>
        <v>1170.1728263874998</v>
      </c>
      <c r="O68" s="22">
        <f t="shared" si="21"/>
        <v>1147.693467706875</v>
      </c>
    </row>
    <row r="69" spans="1:15" hidden="1" x14ac:dyDescent="0.25">
      <c r="A69" s="15" t="s">
        <v>250</v>
      </c>
      <c r="B69" s="21">
        <f>cs!B30</f>
        <v>12.283333333333333</v>
      </c>
      <c r="C69" s="21"/>
      <c r="D69" s="21">
        <f t="shared" ref="D69:O69" si="22">D63</f>
        <v>73.7</v>
      </c>
      <c r="E69" s="21"/>
      <c r="F69" s="21"/>
      <c r="G69" s="21">
        <f t="shared" si="22"/>
        <v>79.84</v>
      </c>
      <c r="H69" s="21"/>
      <c r="I69" s="21"/>
      <c r="J69" s="21">
        <f t="shared" si="22"/>
        <v>85.99</v>
      </c>
      <c r="K69" s="21"/>
      <c r="L69" s="21">
        <f t="shared" si="22"/>
        <v>92.13</v>
      </c>
      <c r="M69" s="21">
        <f t="shared" si="22"/>
        <v>98.27</v>
      </c>
      <c r="N69" s="21">
        <f t="shared" si="22"/>
        <v>98.27</v>
      </c>
      <c r="O69" s="21">
        <f t="shared" si="22"/>
        <v>98.27</v>
      </c>
    </row>
    <row r="70" spans="1:15" hidden="1" x14ac:dyDescent="0.25">
      <c r="A70" s="20" t="s">
        <v>193</v>
      </c>
      <c r="B70" s="22">
        <f>cs!B31</f>
        <v>0</v>
      </c>
      <c r="C70" s="22"/>
      <c r="D70" s="22"/>
      <c r="E70" s="22"/>
      <c r="F70" s="22"/>
      <c r="G70" s="21"/>
      <c r="H70" s="21"/>
      <c r="I70" s="21"/>
      <c r="J70" s="22"/>
      <c r="K70" s="22"/>
      <c r="L70" s="21"/>
      <c r="M70" s="22"/>
      <c r="N70" s="21"/>
      <c r="O70" s="22"/>
    </row>
    <row r="71" spans="1:15" ht="18.75" hidden="1" x14ac:dyDescent="0.25">
      <c r="A71" s="33" t="s">
        <v>85</v>
      </c>
      <c r="B71" s="35">
        <f>cs!B32</f>
        <v>146.85333333333332</v>
      </c>
      <c r="C71" s="35"/>
      <c r="D71" s="35">
        <f t="shared" ref="D71:O71" si="23">D68+D69</f>
        <v>1133.4000000000001</v>
      </c>
      <c r="E71" s="35"/>
      <c r="F71" s="35"/>
      <c r="G71" s="35">
        <f t="shared" si="23"/>
        <v>1163.492</v>
      </c>
      <c r="H71" s="35"/>
      <c r="I71" s="35"/>
      <c r="J71" s="35">
        <f t="shared" si="23"/>
        <v>1204.2351000000001</v>
      </c>
      <c r="K71" s="35"/>
      <c r="L71" s="35">
        <f t="shared" si="23"/>
        <v>1247.3243550000002</v>
      </c>
      <c r="M71" s="35">
        <f t="shared" si="23"/>
        <v>1292.4450727499998</v>
      </c>
      <c r="N71" s="35">
        <f t="shared" si="23"/>
        <v>1268.4428263874997</v>
      </c>
      <c r="O71" s="35">
        <f t="shared" si="23"/>
        <v>1245.963467706875</v>
      </c>
    </row>
    <row r="72" spans="1:15" hidden="1" x14ac:dyDescent="0.25">
      <c r="A72" s="20" t="s">
        <v>251</v>
      </c>
      <c r="B72" s="35">
        <f>cs!B33</f>
        <v>0</v>
      </c>
      <c r="C72" s="35"/>
      <c r="D72" s="35">
        <f t="shared" ref="D72:O72" si="24">D73-D71</f>
        <v>340.62999999999988</v>
      </c>
      <c r="E72" s="22"/>
      <c r="F72" s="22"/>
      <c r="G72" s="22">
        <f t="shared" si="24"/>
        <v>433.37799999999993</v>
      </c>
      <c r="H72" s="22"/>
      <c r="I72" s="22"/>
      <c r="J72" s="22">
        <f t="shared" si="24"/>
        <v>515.47489999999993</v>
      </c>
      <c r="K72" s="22"/>
      <c r="L72" s="22">
        <f t="shared" si="24"/>
        <v>595.22564499999976</v>
      </c>
      <c r="M72" s="22">
        <f t="shared" si="24"/>
        <v>672.94492725000032</v>
      </c>
      <c r="N72" s="22">
        <f t="shared" si="24"/>
        <v>696.94717361250036</v>
      </c>
      <c r="O72" s="22">
        <f t="shared" si="24"/>
        <v>719.42653229312509</v>
      </c>
    </row>
    <row r="73" spans="1:15" hidden="1" x14ac:dyDescent="0.25">
      <c r="A73" s="20" t="s">
        <v>86</v>
      </c>
      <c r="B73" s="32">
        <f>cs!B34</f>
        <v>146.85333333333332</v>
      </c>
      <c r="C73" s="32"/>
      <c r="D73" s="32">
        <f>process!C17</f>
        <v>1474.03</v>
      </c>
      <c r="E73" s="32"/>
      <c r="F73" s="32"/>
      <c r="G73" s="37">
        <f>process!D17</f>
        <v>1596.87</v>
      </c>
      <c r="H73" s="37"/>
      <c r="I73" s="37"/>
      <c r="J73" s="37">
        <f>process!E17</f>
        <v>1719.71</v>
      </c>
      <c r="K73" s="37"/>
      <c r="L73" s="37">
        <f>process!F17</f>
        <v>1842.55</v>
      </c>
      <c r="M73" s="37">
        <f>process!G17</f>
        <v>1965.39</v>
      </c>
      <c r="N73" s="37">
        <f>M73</f>
        <v>1965.39</v>
      </c>
      <c r="O73" s="37">
        <f>N73</f>
        <v>1965.39</v>
      </c>
    </row>
    <row r="74" spans="1:15" hidden="1" x14ac:dyDescent="0.25">
      <c r="B74" s="2">
        <f>cs!B35</f>
        <v>0</v>
      </c>
    </row>
    <row r="75" spans="1:15" ht="18.75" hidden="1" x14ac:dyDescent="0.25">
      <c r="A75" s="33" t="s">
        <v>194</v>
      </c>
      <c r="B75" s="2">
        <f>cs!B36</f>
        <v>0</v>
      </c>
    </row>
    <row r="76" spans="1:15" hidden="1" x14ac:dyDescent="0.25">
      <c r="A76" s="2" t="s">
        <v>195</v>
      </c>
      <c r="B76" s="38">
        <f>cs!B37</f>
        <v>0</v>
      </c>
      <c r="C76" s="38"/>
      <c r="D76" s="38">
        <f t="shared" ref="D76:O76" si="25">D72</f>
        <v>340.62999999999988</v>
      </c>
      <c r="E76" s="38"/>
      <c r="F76" s="38"/>
      <c r="G76" s="38">
        <f t="shared" si="25"/>
        <v>433.37799999999993</v>
      </c>
      <c r="H76" s="38"/>
      <c r="I76" s="38"/>
      <c r="J76" s="38">
        <f t="shared" si="25"/>
        <v>515.47489999999993</v>
      </c>
      <c r="K76" s="38"/>
      <c r="L76" s="38">
        <f t="shared" si="25"/>
        <v>595.22564499999976</v>
      </c>
      <c r="M76" s="38">
        <f t="shared" si="25"/>
        <v>672.94492725000032</v>
      </c>
      <c r="N76" s="38">
        <f t="shared" si="25"/>
        <v>696.94717361250036</v>
      </c>
      <c r="O76" s="38">
        <f t="shared" si="25"/>
        <v>719.42653229312509</v>
      </c>
    </row>
    <row r="77" spans="1:15" hidden="1" x14ac:dyDescent="0.25">
      <c r="A77" s="2" t="s">
        <v>196</v>
      </c>
      <c r="B77" s="38">
        <f>cs!B38</f>
        <v>0</v>
      </c>
      <c r="C77" s="38"/>
      <c r="D77" s="38">
        <f t="shared" ref="D77:O77" si="26">D59</f>
        <v>131.21</v>
      </c>
      <c r="E77" s="38"/>
      <c r="F77" s="38"/>
      <c r="G77" s="38">
        <f t="shared" si="26"/>
        <v>105.46</v>
      </c>
      <c r="H77" s="38"/>
      <c r="I77" s="38"/>
      <c r="J77" s="38">
        <f t="shared" si="26"/>
        <v>90.24</v>
      </c>
      <c r="K77" s="38"/>
      <c r="L77" s="38">
        <f t="shared" si="26"/>
        <v>77.25</v>
      </c>
      <c r="M77" s="38">
        <f t="shared" si="26"/>
        <v>66.16</v>
      </c>
      <c r="N77" s="38">
        <f t="shared" si="26"/>
        <v>56.68</v>
      </c>
      <c r="O77" s="38">
        <f t="shared" si="26"/>
        <v>48.57</v>
      </c>
    </row>
    <row r="78" spans="1:15" hidden="1" x14ac:dyDescent="0.25">
      <c r="A78" s="2" t="s">
        <v>197</v>
      </c>
      <c r="B78" s="38">
        <f>cs!B39</f>
        <v>0</v>
      </c>
      <c r="C78" s="38"/>
      <c r="D78" s="38">
        <f t="shared" ref="D78:O78" si="27">D76+D77</f>
        <v>471.83999999999992</v>
      </c>
      <c r="E78" s="38"/>
      <c r="F78" s="38"/>
      <c r="G78" s="38">
        <f t="shared" si="27"/>
        <v>538.83799999999997</v>
      </c>
      <c r="H78" s="38"/>
      <c r="I78" s="38"/>
      <c r="J78" s="38">
        <f t="shared" si="27"/>
        <v>605.71489999999994</v>
      </c>
      <c r="K78" s="38"/>
      <c r="L78" s="38">
        <f t="shared" si="27"/>
        <v>672.47564499999976</v>
      </c>
      <c r="M78" s="38">
        <f t="shared" si="27"/>
        <v>739.10492725000029</v>
      </c>
      <c r="N78" s="38">
        <f t="shared" si="27"/>
        <v>753.62717361250031</v>
      </c>
      <c r="O78" s="38">
        <f t="shared" si="27"/>
        <v>767.99653229312514</v>
      </c>
    </row>
    <row r="79" spans="1:15" ht="18.75" hidden="1" x14ac:dyDescent="0.3">
      <c r="A79" s="39" t="s">
        <v>198</v>
      </c>
      <c r="B79" s="2">
        <f>cs!B40</f>
        <v>0</v>
      </c>
    </row>
    <row r="80" spans="1:15" hidden="1" x14ac:dyDescent="0.25">
      <c r="A80" s="2" t="s">
        <v>199</v>
      </c>
      <c r="B80" s="38">
        <f>cs!B41</f>
        <v>0</v>
      </c>
      <c r="C80" s="38"/>
      <c r="D80" s="38">
        <f>TL!M7</f>
        <v>140.91999999999999</v>
      </c>
      <c r="E80" s="38"/>
      <c r="F80" s="38"/>
      <c r="G80" s="38">
        <f>TL!N7</f>
        <v>140.91999999999999</v>
      </c>
      <c r="H80" s="38"/>
      <c r="I80" s="38"/>
      <c r="J80" s="38">
        <f>TL!O7</f>
        <v>140.91999999999999</v>
      </c>
      <c r="K80" s="38"/>
      <c r="L80" s="38">
        <f>TL!P7</f>
        <v>140.91999999999999</v>
      </c>
      <c r="M80" s="38">
        <f>TL!Q7</f>
        <v>140.91999999999999</v>
      </c>
      <c r="N80" s="38">
        <f>TL!R7</f>
        <v>140.91999999999999</v>
      </c>
      <c r="O80" s="38">
        <f>TL!S7</f>
        <v>140.91999999999999</v>
      </c>
    </row>
    <row r="81" spans="1:15" hidden="1" x14ac:dyDescent="0.25">
      <c r="A81" s="2" t="s">
        <v>200</v>
      </c>
      <c r="B81" s="38">
        <f>cs!B42</f>
        <v>4.5</v>
      </c>
      <c r="C81" s="38"/>
      <c r="D81" s="38">
        <f t="shared" ref="D81:O81" si="28">D65+D66</f>
        <v>128.63</v>
      </c>
      <c r="E81" s="38"/>
      <c r="F81" s="38"/>
      <c r="G81" s="38">
        <f t="shared" si="28"/>
        <v>113.22</v>
      </c>
      <c r="H81" s="38"/>
      <c r="I81" s="38"/>
      <c r="J81" s="38">
        <f t="shared" si="28"/>
        <v>97.8</v>
      </c>
      <c r="K81" s="38"/>
      <c r="L81" s="38">
        <f t="shared" si="28"/>
        <v>82.38</v>
      </c>
      <c r="M81" s="38">
        <f t="shared" si="28"/>
        <v>66.98</v>
      </c>
      <c r="N81" s="38">
        <f t="shared" si="28"/>
        <v>50.07</v>
      </c>
      <c r="O81" s="38">
        <f t="shared" si="28"/>
        <v>33.17</v>
      </c>
    </row>
    <row r="82" spans="1:15" hidden="1" x14ac:dyDescent="0.25">
      <c r="A82" s="2" t="s">
        <v>50</v>
      </c>
      <c r="B82" s="38">
        <f>cs!B43</f>
        <v>4.5</v>
      </c>
      <c r="C82" s="38"/>
      <c r="D82" s="38">
        <f t="shared" ref="D82:O82" si="29">D80+D81</f>
        <v>269.54999999999995</v>
      </c>
      <c r="E82" s="38"/>
      <c r="F82" s="38"/>
      <c r="G82" s="38">
        <f t="shared" si="29"/>
        <v>254.14</v>
      </c>
      <c r="H82" s="38"/>
      <c r="I82" s="38"/>
      <c r="J82" s="38">
        <f t="shared" si="29"/>
        <v>238.71999999999997</v>
      </c>
      <c r="K82" s="38"/>
      <c r="L82" s="38">
        <f t="shared" si="29"/>
        <v>223.29999999999998</v>
      </c>
      <c r="M82" s="38">
        <f t="shared" si="29"/>
        <v>207.89999999999998</v>
      </c>
      <c r="N82" s="38">
        <f t="shared" si="29"/>
        <v>190.98999999999998</v>
      </c>
      <c r="O82" s="38">
        <f t="shared" si="29"/>
        <v>174.08999999999997</v>
      </c>
    </row>
    <row r="83" spans="1:15" hidden="1" x14ac:dyDescent="0.25">
      <c r="B83" s="2">
        <f>cs!B44</f>
        <v>0</v>
      </c>
    </row>
    <row r="84" spans="1:15" hidden="1" x14ac:dyDescent="0.25">
      <c r="A84" s="2" t="s">
        <v>201</v>
      </c>
      <c r="B84" s="40">
        <f>cs!B45</f>
        <v>0</v>
      </c>
      <c r="C84" s="40"/>
      <c r="D84" s="40">
        <f>(D78+D81)/D82</f>
        <v>2.2276757558894453</v>
      </c>
      <c r="E84" s="40"/>
      <c r="F84" s="40"/>
      <c r="G84" s="40">
        <f t="shared" ref="G84:O84" si="30">(G78+G81)/G82</f>
        <v>2.5657432910993943</v>
      </c>
      <c r="H84" s="40"/>
      <c r="I84" s="40"/>
      <c r="J84" s="40">
        <f t="shared" si="30"/>
        <v>2.9470295743967827</v>
      </c>
      <c r="K84" s="40"/>
      <c r="L84" s="40">
        <f t="shared" si="30"/>
        <v>3.3804551948051937</v>
      </c>
      <c r="M84" s="40">
        <f t="shared" si="30"/>
        <v>3.8772723773448794</v>
      </c>
      <c r="N84" s="40">
        <f t="shared" si="30"/>
        <v>4.2080589225221239</v>
      </c>
      <c r="O84" s="40">
        <f t="shared" si="30"/>
        <v>4.6020250002477177</v>
      </c>
    </row>
    <row r="85" spans="1:15" hidden="1" x14ac:dyDescent="0.25"/>
  </sheetData>
  <mergeCells count="3">
    <mergeCell ref="A1:O1"/>
    <mergeCell ref="A2:O2"/>
    <mergeCell ref="A3:O3"/>
  </mergeCells>
  <pageMargins left="0.7" right="0.7" top="0.75" bottom="0.75" header="0.3" footer="0.3"/>
  <pageSetup scale="83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zoomScaleSheetLayoutView="95" workbookViewId="0">
      <selection activeCell="F6" sqref="F6"/>
    </sheetView>
  </sheetViews>
  <sheetFormatPr defaultRowHeight="15" x14ac:dyDescent="0.25"/>
  <cols>
    <col min="1" max="1" width="50.5703125" style="2" bestFit="1" customWidth="1"/>
    <col min="2" max="2" width="10.85546875" style="2" hidden="1" customWidth="1"/>
    <col min="3" max="3" width="10.85546875" style="2" customWidth="1"/>
    <col min="4" max="4" width="10.140625" style="2" customWidth="1"/>
    <col min="5" max="5" width="10.85546875" style="2" customWidth="1"/>
    <col min="6" max="6" width="11.28515625" style="2" customWidth="1"/>
    <col min="7" max="7" width="10.85546875" style="2" customWidth="1"/>
    <col min="8" max="9" width="11.28515625" style="2" customWidth="1"/>
    <col min="10" max="10" width="10.28515625" style="2" customWidth="1"/>
    <col min="11" max="11" width="10.85546875" style="2" bestFit="1" customWidth="1"/>
    <col min="12" max="12" width="13" style="2" hidden="1" customWidth="1"/>
    <col min="13" max="14" width="12.5703125" style="2" hidden="1" customWidth="1"/>
    <col min="15" max="15" width="13" style="2" hidden="1" customWidth="1"/>
    <col min="16" max="20" width="9.140625" style="2"/>
    <col min="21" max="21" width="9.28515625" style="2" bestFit="1" customWidth="1"/>
    <col min="22" max="16384" width="9.140625" style="2"/>
  </cols>
  <sheetData>
    <row r="1" spans="1:15" ht="21" x14ac:dyDescent="0.35">
      <c r="A1" s="183" t="s">
        <v>259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 ht="21" x14ac:dyDescent="0.35">
      <c r="A2" s="183" t="s">
        <v>260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 ht="21" x14ac:dyDescent="0.35">
      <c r="A3" s="183" t="s">
        <v>254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5" spans="1:15" ht="15.75" x14ac:dyDescent="0.25">
      <c r="A5" s="10" t="s">
        <v>26</v>
      </c>
      <c r="B5" s="11" t="s">
        <v>119</v>
      </c>
      <c r="C5" s="11"/>
      <c r="D5" s="11" t="s">
        <v>120</v>
      </c>
      <c r="E5" s="11"/>
      <c r="F5" s="11"/>
      <c r="G5" s="11" t="s">
        <v>121</v>
      </c>
      <c r="H5" s="11"/>
      <c r="I5" s="11"/>
      <c r="J5" s="11" t="s">
        <v>122</v>
      </c>
      <c r="K5" s="11"/>
      <c r="L5" s="11" t="s">
        <v>123</v>
      </c>
      <c r="M5" s="11" t="s">
        <v>124</v>
      </c>
      <c r="N5" s="11" t="s">
        <v>125</v>
      </c>
      <c r="O5" s="11" t="s">
        <v>126</v>
      </c>
    </row>
    <row r="6" spans="1:15" ht="15.75" x14ac:dyDescent="0.25">
      <c r="A6" s="12" t="s">
        <v>49</v>
      </c>
      <c r="B6" s="13">
        <v>0.6</v>
      </c>
      <c r="C6" s="13"/>
      <c r="D6" s="13">
        <f>process!C15</f>
        <v>0.6</v>
      </c>
      <c r="E6" s="13"/>
      <c r="F6" s="13"/>
      <c r="G6" s="13">
        <f>process!D15</f>
        <v>0.65</v>
      </c>
      <c r="H6" s="13"/>
      <c r="I6" s="13"/>
      <c r="J6" s="13">
        <f>process!E15</f>
        <v>0.7</v>
      </c>
      <c r="K6" s="13"/>
      <c r="L6" s="13">
        <f>process!F15</f>
        <v>0.75</v>
      </c>
      <c r="M6" s="13">
        <f>process!G15</f>
        <v>0.8</v>
      </c>
      <c r="N6" s="13">
        <f>M6</f>
        <v>0.8</v>
      </c>
      <c r="O6" s="13">
        <f>N6</f>
        <v>0.8</v>
      </c>
    </row>
    <row r="7" spans="1:15" ht="15.75" thickBot="1" x14ac:dyDescent="0.3">
      <c r="A7" s="14"/>
      <c r="B7" s="15"/>
      <c r="C7" s="15" t="s">
        <v>255</v>
      </c>
      <c r="D7" s="15" t="s">
        <v>261</v>
      </c>
      <c r="E7" s="15" t="s">
        <v>256</v>
      </c>
      <c r="F7" s="15" t="s">
        <v>255</v>
      </c>
      <c r="G7" s="15" t="s">
        <v>261</v>
      </c>
      <c r="H7" s="15" t="s">
        <v>256</v>
      </c>
      <c r="I7" s="15" t="s">
        <v>255</v>
      </c>
      <c r="J7" s="15" t="s">
        <v>261</v>
      </c>
      <c r="K7" s="15" t="s">
        <v>256</v>
      </c>
      <c r="L7" s="15"/>
      <c r="M7" s="15"/>
      <c r="N7" s="15"/>
      <c r="O7" s="15"/>
    </row>
    <row r="8" spans="1:15" ht="15.75" thickBot="1" x14ac:dyDescent="0.3">
      <c r="A8" s="16" t="s">
        <v>86</v>
      </c>
      <c r="B8" s="17">
        <f>B73</f>
        <v>146.85333333333332</v>
      </c>
      <c r="C8" s="25">
        <f>ROUND(D8*1.05, 2)</f>
        <v>1547.73</v>
      </c>
      <c r="D8" s="18">
        <f>process!C17</f>
        <v>1474.03</v>
      </c>
      <c r="E8" s="25">
        <f>ROUND(D8*0.95, 2)</f>
        <v>1400.33</v>
      </c>
      <c r="F8" s="25">
        <f>ROUND(G8*1.05, 2)</f>
        <v>1676.71</v>
      </c>
      <c r="G8" s="18">
        <f>process!D17</f>
        <v>1596.87</v>
      </c>
      <c r="H8" s="25">
        <f>ROUND(G8*0.95, 2)</f>
        <v>1517.03</v>
      </c>
      <c r="I8" s="25">
        <f>ROUND(J8*1.05, 2)</f>
        <v>1805.7</v>
      </c>
      <c r="J8" s="18">
        <f>process!E17</f>
        <v>1719.71</v>
      </c>
      <c r="K8" s="25">
        <f>ROUND(J8*0.95, 2)</f>
        <v>1633.72</v>
      </c>
      <c r="L8" s="18">
        <f>process!F17</f>
        <v>1842.55</v>
      </c>
      <c r="M8" s="18">
        <f>process!G17</f>
        <v>1965.39</v>
      </c>
      <c r="N8" s="18">
        <f>M8</f>
        <v>1965.39</v>
      </c>
      <c r="O8" s="19">
        <f>N8</f>
        <v>1965.39</v>
      </c>
    </row>
    <row r="9" spans="1:15" x14ac:dyDescent="0.25">
      <c r="A9" s="20"/>
      <c r="B9" s="21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15" ht="16.5" thickBot="1" x14ac:dyDescent="0.3">
      <c r="A10" s="23" t="s">
        <v>205</v>
      </c>
      <c r="B10" s="21"/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5" ht="15.75" hidden="1" thickBot="1" x14ac:dyDescent="0.3">
      <c r="A11" s="20"/>
      <c r="B11" s="21"/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</row>
    <row r="12" spans="1:15" ht="15.75" hidden="1" thickBot="1" x14ac:dyDescent="0.3">
      <c r="A12" s="24" t="s">
        <v>206</v>
      </c>
      <c r="B12" s="25">
        <f>B51</f>
        <v>100.58</v>
      </c>
      <c r="C12" s="25"/>
      <c r="D12" s="25">
        <f t="shared" ref="D12:O12" si="0">D51</f>
        <v>603.48</v>
      </c>
      <c r="E12" s="25"/>
      <c r="F12" s="25"/>
      <c r="G12" s="25">
        <f t="shared" si="0"/>
        <v>653.77</v>
      </c>
      <c r="H12" s="25"/>
      <c r="I12" s="25"/>
      <c r="J12" s="25">
        <f t="shared" si="0"/>
        <v>704.06</v>
      </c>
      <c r="K12" s="25"/>
      <c r="L12" s="25">
        <f t="shared" si="0"/>
        <v>754.35</v>
      </c>
      <c r="M12" s="25">
        <f t="shared" si="0"/>
        <v>804.64</v>
      </c>
      <c r="N12" s="25">
        <f t="shared" si="0"/>
        <v>804.64</v>
      </c>
      <c r="O12" s="25">
        <f t="shared" si="0"/>
        <v>804.64</v>
      </c>
    </row>
    <row r="13" spans="1:15" ht="15.75" hidden="1" thickBot="1" x14ac:dyDescent="0.3">
      <c r="A13" s="26" t="s">
        <v>207</v>
      </c>
      <c r="B13" s="25">
        <f>B55</f>
        <v>10.53</v>
      </c>
      <c r="C13" s="25"/>
      <c r="D13" s="25">
        <f t="shared" ref="D13:O14" si="1">D55</f>
        <v>63.18</v>
      </c>
      <c r="E13" s="25"/>
      <c r="F13" s="25"/>
      <c r="G13" s="25">
        <f t="shared" si="1"/>
        <v>68.45</v>
      </c>
      <c r="H13" s="25"/>
      <c r="I13" s="25"/>
      <c r="J13" s="25">
        <f t="shared" si="1"/>
        <v>73.709999999999994</v>
      </c>
      <c r="K13" s="25"/>
      <c r="L13" s="25">
        <f t="shared" si="1"/>
        <v>78.98</v>
      </c>
      <c r="M13" s="25">
        <f t="shared" si="1"/>
        <v>84.24</v>
      </c>
      <c r="N13" s="25">
        <f t="shared" si="1"/>
        <v>84.24</v>
      </c>
      <c r="O13" s="25">
        <f t="shared" si="1"/>
        <v>84.24</v>
      </c>
    </row>
    <row r="14" spans="1:15" ht="15.75" hidden="1" thickBot="1" x14ac:dyDescent="0.3">
      <c r="A14" s="26" t="s">
        <v>208</v>
      </c>
      <c r="B14" s="25">
        <f>B56</f>
        <v>2.16</v>
      </c>
      <c r="C14" s="25"/>
      <c r="D14" s="25">
        <f t="shared" si="1"/>
        <v>12.96</v>
      </c>
      <c r="E14" s="25"/>
      <c r="F14" s="25"/>
      <c r="G14" s="25">
        <f t="shared" si="1"/>
        <v>14.04</v>
      </c>
      <c r="H14" s="25"/>
      <c r="I14" s="25"/>
      <c r="J14" s="25">
        <f t="shared" si="1"/>
        <v>15.12</v>
      </c>
      <c r="K14" s="25"/>
      <c r="L14" s="25">
        <f t="shared" si="1"/>
        <v>16.2</v>
      </c>
      <c r="M14" s="25">
        <f t="shared" si="1"/>
        <v>17.28</v>
      </c>
      <c r="N14" s="25">
        <f t="shared" si="1"/>
        <v>17.28</v>
      </c>
      <c r="O14" s="25">
        <f t="shared" si="1"/>
        <v>17.28</v>
      </c>
    </row>
    <row r="15" spans="1:15" ht="15.75" hidden="1" thickBot="1" x14ac:dyDescent="0.3">
      <c r="A15" s="26" t="s">
        <v>178</v>
      </c>
      <c r="B15" s="25">
        <f>B60</f>
        <v>0.8716666666666667</v>
      </c>
      <c r="C15" s="25"/>
      <c r="D15" s="25">
        <f t="shared" ref="D15:O15" si="2">D60</f>
        <v>5.23</v>
      </c>
      <c r="E15" s="25"/>
      <c r="F15" s="25"/>
      <c r="G15" s="25">
        <f t="shared" si="2"/>
        <v>5.67</v>
      </c>
      <c r="H15" s="25"/>
      <c r="I15" s="25"/>
      <c r="J15" s="25">
        <f t="shared" si="2"/>
        <v>6.1</v>
      </c>
      <c r="K15" s="25"/>
      <c r="L15" s="25">
        <f t="shared" si="2"/>
        <v>6.54</v>
      </c>
      <c r="M15" s="25">
        <f t="shared" si="2"/>
        <v>6.98</v>
      </c>
      <c r="N15" s="25">
        <f t="shared" si="2"/>
        <v>6.98</v>
      </c>
      <c r="O15" s="25">
        <f t="shared" si="2"/>
        <v>6.98</v>
      </c>
    </row>
    <row r="16" spans="1:15" ht="15.75" hidden="1" thickBot="1" x14ac:dyDescent="0.3">
      <c r="A16" s="26" t="s">
        <v>192</v>
      </c>
      <c r="B16" s="25">
        <f>B66</f>
        <v>4.5</v>
      </c>
      <c r="C16" s="25"/>
      <c r="D16" s="25">
        <f>D66</f>
        <v>18.010000000000002</v>
      </c>
      <c r="E16" s="25"/>
      <c r="F16" s="25"/>
      <c r="G16" s="25">
        <f t="shared" ref="G16:O16" si="3">G66</f>
        <v>19.5</v>
      </c>
      <c r="H16" s="25"/>
      <c r="I16" s="25"/>
      <c r="J16" s="25">
        <f t="shared" si="3"/>
        <v>21</v>
      </c>
      <c r="K16" s="25"/>
      <c r="L16" s="25">
        <f t="shared" si="3"/>
        <v>22.49</v>
      </c>
      <c r="M16" s="25">
        <f t="shared" si="3"/>
        <v>23.99</v>
      </c>
      <c r="N16" s="25">
        <f t="shared" si="3"/>
        <v>24</v>
      </c>
      <c r="O16" s="25">
        <f t="shared" si="3"/>
        <v>24.02</v>
      </c>
    </row>
    <row r="17" spans="1:15" ht="15.75" hidden="1" thickBot="1" x14ac:dyDescent="0.3">
      <c r="A17" s="27" t="s">
        <v>209</v>
      </c>
      <c r="B17" s="25">
        <f>B69</f>
        <v>12.283333333333333</v>
      </c>
      <c r="C17" s="25"/>
      <c r="D17" s="25">
        <f t="shared" ref="D17:O17" si="4">D69</f>
        <v>73.7</v>
      </c>
      <c r="E17" s="25"/>
      <c r="F17" s="25"/>
      <c r="G17" s="25">
        <f t="shared" si="4"/>
        <v>79.84</v>
      </c>
      <c r="H17" s="25"/>
      <c r="I17" s="25"/>
      <c r="J17" s="25">
        <f t="shared" si="4"/>
        <v>85.99</v>
      </c>
      <c r="K17" s="25"/>
      <c r="L17" s="25">
        <f t="shared" si="4"/>
        <v>92.13</v>
      </c>
      <c r="M17" s="25">
        <f t="shared" si="4"/>
        <v>98.27</v>
      </c>
      <c r="N17" s="25">
        <f t="shared" si="4"/>
        <v>98.27</v>
      </c>
      <c r="O17" s="25">
        <f t="shared" si="4"/>
        <v>98.27</v>
      </c>
    </row>
    <row r="18" spans="1:15" ht="15.75" hidden="1" thickBot="1" x14ac:dyDescent="0.3">
      <c r="A18" s="20"/>
      <c r="B18" s="21"/>
      <c r="C18" s="21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x14ac:dyDescent="0.25">
      <c r="A19" s="24" t="s">
        <v>210</v>
      </c>
      <c r="B19" s="25">
        <f>SUM(B12:B18)</f>
        <v>130.92500000000001</v>
      </c>
      <c r="C19" s="25">
        <f>D19</f>
        <v>776.56000000000006</v>
      </c>
      <c r="D19" s="25">
        <f t="shared" ref="D19:O19" si="5">SUM(D12:D18)</f>
        <v>776.56000000000006</v>
      </c>
      <c r="E19" s="25">
        <f>D19</f>
        <v>776.56000000000006</v>
      </c>
      <c r="F19" s="25">
        <f>G19</f>
        <v>841.27</v>
      </c>
      <c r="G19" s="25">
        <f t="shared" si="5"/>
        <v>841.27</v>
      </c>
      <c r="H19" s="25">
        <f>G19</f>
        <v>841.27</v>
      </c>
      <c r="I19" s="25">
        <f>J19</f>
        <v>905.98</v>
      </c>
      <c r="J19" s="25">
        <f t="shared" si="5"/>
        <v>905.98</v>
      </c>
      <c r="K19" s="25">
        <f>J19</f>
        <v>905.98</v>
      </c>
      <c r="L19" s="25">
        <f t="shared" si="5"/>
        <v>970.69</v>
      </c>
      <c r="M19" s="25">
        <f t="shared" si="5"/>
        <v>1035.4000000000001</v>
      </c>
      <c r="N19" s="25">
        <f t="shared" si="5"/>
        <v>1035.4100000000001</v>
      </c>
      <c r="O19" s="25">
        <f t="shared" si="5"/>
        <v>1035.43</v>
      </c>
    </row>
    <row r="20" spans="1:15" ht="16.5" thickBot="1" x14ac:dyDescent="0.3">
      <c r="A20" s="28" t="s">
        <v>211</v>
      </c>
      <c r="B20" s="25">
        <f>B8-B19</f>
        <v>15.928333333333313</v>
      </c>
      <c r="C20" s="29">
        <f t="shared" ref="C20:O20" si="6">C8-C19</f>
        <v>771.17</v>
      </c>
      <c r="D20" s="29">
        <f t="shared" si="6"/>
        <v>697.46999999999991</v>
      </c>
      <c r="E20" s="29">
        <f t="shared" si="6"/>
        <v>623.76999999999987</v>
      </c>
      <c r="F20" s="29">
        <f t="shared" si="6"/>
        <v>835.44</v>
      </c>
      <c r="G20" s="29">
        <f t="shared" si="6"/>
        <v>755.59999999999991</v>
      </c>
      <c r="H20" s="29">
        <f t="shared" si="6"/>
        <v>675.76</v>
      </c>
      <c r="I20" s="29">
        <f t="shared" si="6"/>
        <v>899.72</v>
      </c>
      <c r="J20" s="29">
        <f t="shared" si="6"/>
        <v>813.73</v>
      </c>
      <c r="K20" s="29">
        <f t="shared" si="6"/>
        <v>727.74</v>
      </c>
      <c r="L20" s="29">
        <f t="shared" si="6"/>
        <v>871.8599999999999</v>
      </c>
      <c r="M20" s="29">
        <f t="shared" si="6"/>
        <v>929.99</v>
      </c>
      <c r="N20" s="29">
        <f t="shared" si="6"/>
        <v>929.98</v>
      </c>
      <c r="O20" s="29">
        <f t="shared" si="6"/>
        <v>929.96</v>
      </c>
    </row>
    <row r="21" spans="1:15" x14ac:dyDescent="0.25">
      <c r="A21" s="20"/>
      <c r="B21" s="21"/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 spans="1:15" ht="15.75" x14ac:dyDescent="0.25">
      <c r="A22" s="23" t="s">
        <v>212</v>
      </c>
      <c r="B22" s="21"/>
      <c r="C22" s="21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1:15" hidden="1" x14ac:dyDescent="0.25">
      <c r="A23" s="20"/>
      <c r="B23" s="21"/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 hidden="1" x14ac:dyDescent="0.25">
      <c r="A24" s="24" t="s">
        <v>213</v>
      </c>
      <c r="B24" s="25">
        <f>B52</f>
        <v>0</v>
      </c>
      <c r="C24" s="25"/>
      <c r="D24" s="25">
        <f t="shared" ref="D24:O24" si="7">D52</f>
        <v>19.440000000000001</v>
      </c>
      <c r="E24" s="25"/>
      <c r="F24" s="25"/>
      <c r="G24" s="25">
        <f t="shared" si="7"/>
        <v>20.412000000000003</v>
      </c>
      <c r="H24" s="25"/>
      <c r="I24" s="25"/>
      <c r="J24" s="25">
        <f t="shared" si="7"/>
        <v>21.432600000000004</v>
      </c>
      <c r="K24" s="25"/>
      <c r="L24" s="25">
        <f t="shared" si="7"/>
        <v>22.504230000000007</v>
      </c>
      <c r="M24" s="25">
        <f t="shared" si="7"/>
        <v>23.629441500000006</v>
      </c>
      <c r="N24" s="25">
        <f t="shared" si="7"/>
        <v>24.810913575000008</v>
      </c>
      <c r="O24" s="25">
        <f t="shared" si="7"/>
        <v>26.051459253750007</v>
      </c>
    </row>
    <row r="25" spans="1:15" hidden="1" x14ac:dyDescent="0.25">
      <c r="A25" s="26" t="s">
        <v>153</v>
      </c>
      <c r="B25" s="25">
        <f>B57</f>
        <v>3.5</v>
      </c>
      <c r="C25" s="25"/>
      <c r="D25" s="25">
        <f t="shared" ref="D25:O27" si="8">D57</f>
        <v>21</v>
      </c>
      <c r="E25" s="25"/>
      <c r="F25" s="25"/>
      <c r="G25" s="25">
        <f t="shared" si="8"/>
        <v>22.05</v>
      </c>
      <c r="H25" s="25"/>
      <c r="I25" s="25"/>
      <c r="J25" s="25">
        <f t="shared" si="8"/>
        <v>23.152500000000003</v>
      </c>
      <c r="K25" s="25"/>
      <c r="L25" s="25">
        <f t="shared" si="8"/>
        <v>24.310125000000006</v>
      </c>
      <c r="M25" s="25">
        <f t="shared" si="8"/>
        <v>25.525631250000004</v>
      </c>
      <c r="N25" s="25">
        <f t="shared" si="8"/>
        <v>26.801912812500007</v>
      </c>
      <c r="O25" s="25">
        <f t="shared" si="8"/>
        <v>28.142008453125005</v>
      </c>
    </row>
    <row r="26" spans="1:15" hidden="1" x14ac:dyDescent="0.25">
      <c r="A26" s="26" t="s">
        <v>214</v>
      </c>
      <c r="B26" s="25">
        <f>B58</f>
        <v>0.14499999999999999</v>
      </c>
      <c r="C26" s="25"/>
      <c r="D26" s="25">
        <f t="shared" si="8"/>
        <v>0.87</v>
      </c>
      <c r="E26" s="25"/>
      <c r="F26" s="25"/>
      <c r="G26" s="25">
        <f t="shared" si="8"/>
        <v>0.74</v>
      </c>
      <c r="H26" s="25"/>
      <c r="I26" s="25"/>
      <c r="J26" s="25">
        <f t="shared" si="8"/>
        <v>0.64</v>
      </c>
      <c r="K26" s="25"/>
      <c r="L26" s="25">
        <f t="shared" si="8"/>
        <v>0.55000000000000004</v>
      </c>
      <c r="M26" s="25">
        <f t="shared" si="8"/>
        <v>0.47</v>
      </c>
      <c r="N26" s="25">
        <f t="shared" si="8"/>
        <v>0.4</v>
      </c>
      <c r="O26" s="25">
        <f t="shared" si="8"/>
        <v>0.35</v>
      </c>
    </row>
    <row r="27" spans="1:15" hidden="1" x14ac:dyDescent="0.25">
      <c r="A27" s="26" t="s">
        <v>176</v>
      </c>
      <c r="B27" s="25">
        <f>B59</f>
        <v>0</v>
      </c>
      <c r="C27" s="25"/>
      <c r="D27" s="25">
        <f t="shared" si="8"/>
        <v>131.21</v>
      </c>
      <c r="E27" s="25"/>
      <c r="F27" s="25"/>
      <c r="G27" s="25">
        <f t="shared" si="8"/>
        <v>105.46</v>
      </c>
      <c r="H27" s="25"/>
      <c r="I27" s="25"/>
      <c r="J27" s="25">
        <f t="shared" si="8"/>
        <v>90.24</v>
      </c>
      <c r="K27" s="25"/>
      <c r="L27" s="25">
        <f t="shared" si="8"/>
        <v>77.25</v>
      </c>
      <c r="M27" s="25">
        <f t="shared" si="8"/>
        <v>66.16</v>
      </c>
      <c r="N27" s="25">
        <f t="shared" si="8"/>
        <v>56.68</v>
      </c>
      <c r="O27" s="25">
        <f t="shared" si="8"/>
        <v>48.57</v>
      </c>
    </row>
    <row r="28" spans="1:15" hidden="1" x14ac:dyDescent="0.25">
      <c r="A28" s="26" t="s">
        <v>179</v>
      </c>
      <c r="B28" s="25">
        <f>B63</f>
        <v>12.283333333333333</v>
      </c>
      <c r="C28" s="25"/>
      <c r="D28" s="25">
        <f t="shared" ref="D28:O28" si="9">D63</f>
        <v>73.7</v>
      </c>
      <c r="E28" s="25"/>
      <c r="F28" s="25"/>
      <c r="G28" s="25">
        <f t="shared" si="9"/>
        <v>79.84</v>
      </c>
      <c r="H28" s="25"/>
      <c r="I28" s="25"/>
      <c r="J28" s="25">
        <f t="shared" si="9"/>
        <v>85.99</v>
      </c>
      <c r="K28" s="25"/>
      <c r="L28" s="25">
        <f t="shared" si="9"/>
        <v>92.13</v>
      </c>
      <c r="M28" s="25">
        <f t="shared" si="9"/>
        <v>98.27</v>
      </c>
      <c r="N28" s="25">
        <f t="shared" si="9"/>
        <v>98.27</v>
      </c>
      <c r="O28" s="25">
        <f t="shared" si="9"/>
        <v>98.27</v>
      </c>
    </row>
    <row r="29" spans="1:15" ht="15.75" hidden="1" thickBot="1" x14ac:dyDescent="0.3">
      <c r="A29" s="27" t="s">
        <v>191</v>
      </c>
      <c r="B29" s="25">
        <f>B65</f>
        <v>0</v>
      </c>
      <c r="C29" s="25"/>
      <c r="D29" s="25">
        <f t="shared" ref="D29:O29" si="10">D65</f>
        <v>110.62</v>
      </c>
      <c r="E29" s="25"/>
      <c r="F29" s="25"/>
      <c r="G29" s="25">
        <f t="shared" si="10"/>
        <v>93.72</v>
      </c>
      <c r="H29" s="25"/>
      <c r="I29" s="25"/>
      <c r="J29" s="25">
        <f t="shared" si="10"/>
        <v>76.8</v>
      </c>
      <c r="K29" s="25"/>
      <c r="L29" s="25">
        <f t="shared" si="10"/>
        <v>59.89</v>
      </c>
      <c r="M29" s="25">
        <f t="shared" si="10"/>
        <v>42.99</v>
      </c>
      <c r="N29" s="25">
        <f t="shared" si="10"/>
        <v>26.07</v>
      </c>
      <c r="O29" s="25">
        <f t="shared" si="10"/>
        <v>9.15</v>
      </c>
    </row>
    <row r="30" spans="1:15" hidden="1" x14ac:dyDescent="0.25">
      <c r="A30" s="20"/>
      <c r="B30" s="21"/>
      <c r="C30" s="21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 x14ac:dyDescent="0.25">
      <c r="A31" s="20" t="s">
        <v>215</v>
      </c>
      <c r="B31" s="25">
        <f>SUM(B24:B30)</f>
        <v>15.928333333333333</v>
      </c>
      <c r="C31" s="25">
        <f>D31</f>
        <v>356.84000000000003</v>
      </c>
      <c r="D31" s="25">
        <f>SUM(D24:D30)</f>
        <v>356.84000000000003</v>
      </c>
      <c r="E31" s="25">
        <f>D31</f>
        <v>356.84000000000003</v>
      </c>
      <c r="F31" s="25">
        <f>G31</f>
        <v>322.22199999999998</v>
      </c>
      <c r="G31" s="25">
        <f t="shared" ref="G31:O31" si="11">SUM(G24:G30)</f>
        <v>322.22199999999998</v>
      </c>
      <c r="H31" s="25">
        <f>G31</f>
        <v>322.22199999999998</v>
      </c>
      <c r="I31" s="25">
        <f>J31</f>
        <v>298.25510000000003</v>
      </c>
      <c r="J31" s="25">
        <f t="shared" si="11"/>
        <v>298.25510000000003</v>
      </c>
      <c r="K31" s="25">
        <f>J31</f>
        <v>298.25510000000003</v>
      </c>
      <c r="L31" s="25">
        <f t="shared" si="11"/>
        <v>276.63435500000003</v>
      </c>
      <c r="M31" s="25">
        <f t="shared" si="11"/>
        <v>257.04507275000003</v>
      </c>
      <c r="N31" s="25">
        <f t="shared" si="11"/>
        <v>233.03282638749999</v>
      </c>
      <c r="O31" s="25">
        <f t="shared" si="11"/>
        <v>210.53346770687503</v>
      </c>
    </row>
    <row r="32" spans="1:15" x14ac:dyDescent="0.25">
      <c r="A32" s="20" t="s">
        <v>195</v>
      </c>
      <c r="B32" s="25">
        <f>B20-B31</f>
        <v>-1.9539925233402755E-14</v>
      </c>
      <c r="C32" s="25">
        <f t="shared" ref="C32:O32" si="12">C20-C31</f>
        <v>414.32999999999993</v>
      </c>
      <c r="D32" s="25">
        <f t="shared" si="12"/>
        <v>340.62999999999988</v>
      </c>
      <c r="E32" s="25">
        <f t="shared" si="12"/>
        <v>266.92999999999984</v>
      </c>
      <c r="F32" s="25">
        <f t="shared" si="12"/>
        <v>513.21800000000007</v>
      </c>
      <c r="G32" s="25">
        <f t="shared" si="12"/>
        <v>433.37799999999993</v>
      </c>
      <c r="H32" s="25">
        <f t="shared" si="12"/>
        <v>353.53800000000001</v>
      </c>
      <c r="I32" s="25">
        <f t="shared" si="12"/>
        <v>601.46489999999994</v>
      </c>
      <c r="J32" s="25">
        <f t="shared" si="12"/>
        <v>515.47489999999993</v>
      </c>
      <c r="K32" s="25">
        <f t="shared" si="12"/>
        <v>429.48489999999998</v>
      </c>
      <c r="L32" s="25">
        <f t="shared" si="12"/>
        <v>595.22564499999987</v>
      </c>
      <c r="M32" s="25">
        <f t="shared" si="12"/>
        <v>672.94492724999998</v>
      </c>
      <c r="N32" s="25">
        <f t="shared" si="12"/>
        <v>696.94717361250002</v>
      </c>
      <c r="O32" s="25">
        <f t="shared" si="12"/>
        <v>719.42653229312498</v>
      </c>
    </row>
    <row r="33" spans="1:15" x14ac:dyDescent="0.25">
      <c r="A33" s="20" t="s">
        <v>218</v>
      </c>
      <c r="B33" s="29">
        <f t="shared" ref="B33:O33" si="13">B20/B8</f>
        <v>0.10846422734701276</v>
      </c>
      <c r="C33" s="29">
        <f>C20/C8</f>
        <v>0.4982587402195473</v>
      </c>
      <c r="D33" s="29">
        <f t="shared" si="13"/>
        <v>0.47317218781164555</v>
      </c>
      <c r="E33" s="29">
        <f>E20/E8</f>
        <v>0.4454450022494697</v>
      </c>
      <c r="F33" s="29">
        <f>F20/F8</f>
        <v>0.49826147634355378</v>
      </c>
      <c r="G33" s="29">
        <f t="shared" ref="G33:K33" si="14">G20/G8</f>
        <v>0.47317564986504845</v>
      </c>
      <c r="H33" s="29">
        <f t="shared" si="14"/>
        <v>0.44544933191828773</v>
      </c>
      <c r="I33" s="29">
        <f t="shared" si="14"/>
        <v>0.49826660021044472</v>
      </c>
      <c r="J33" s="29">
        <f t="shared" si="14"/>
        <v>0.47317861732501409</v>
      </c>
      <c r="K33" s="29">
        <f t="shared" si="14"/>
        <v>0.44544964865460424</v>
      </c>
      <c r="L33" s="29">
        <f t="shared" si="13"/>
        <v>0.47318118911291412</v>
      </c>
      <c r="M33" s="29">
        <f t="shared" si="13"/>
        <v>0.47318343941914837</v>
      </c>
      <c r="N33" s="29">
        <f t="shared" si="13"/>
        <v>0.47317835137046588</v>
      </c>
      <c r="O33" s="29">
        <f t="shared" si="13"/>
        <v>0.47316817527310101</v>
      </c>
    </row>
    <row r="34" spans="1:15" x14ac:dyDescent="0.25">
      <c r="A34" s="20" t="s">
        <v>216</v>
      </c>
      <c r="B34" s="30">
        <f>B31/B33</f>
        <v>146.8533333333335</v>
      </c>
      <c r="C34" s="30">
        <f>C31/C33</f>
        <v>716.17409027840824</v>
      </c>
      <c r="D34" s="30">
        <f>D31/D33</f>
        <v>754.1440709994697</v>
      </c>
      <c r="E34" s="30">
        <f>E31/E33</f>
        <v>801.08654985010514</v>
      </c>
      <c r="F34" s="30">
        <f t="shared" ref="F34:O34" si="15">F31/F33</f>
        <v>646.69258069999034</v>
      </c>
      <c r="G34" s="30">
        <f t="shared" si="15"/>
        <v>680.97756106405507</v>
      </c>
      <c r="H34" s="30">
        <f t="shared" si="15"/>
        <v>723.36397635255116</v>
      </c>
      <c r="I34" s="30">
        <f t="shared" si="15"/>
        <v>598.58537552794201</v>
      </c>
      <c r="J34" s="30">
        <f t="shared" si="15"/>
        <v>630.32243867253271</v>
      </c>
      <c r="K34" s="30">
        <f t="shared" si="15"/>
        <v>669.55962565201855</v>
      </c>
      <c r="L34" s="30">
        <f t="shared" si="15"/>
        <v>584.62669557641141</v>
      </c>
      <c r="M34" s="30">
        <f t="shared" si="15"/>
        <v>543.22499761515985</v>
      </c>
      <c r="N34" s="30">
        <f t="shared" si="15"/>
        <v>492.48412509272094</v>
      </c>
      <c r="O34" s="30">
        <f t="shared" si="15"/>
        <v>444.94426867436783</v>
      </c>
    </row>
    <row r="35" spans="1:15" x14ac:dyDescent="0.25">
      <c r="A35" s="20" t="s">
        <v>217</v>
      </c>
      <c r="B35" s="30">
        <f>B8-B34</f>
        <v>0</v>
      </c>
      <c r="C35" s="30">
        <f>C8-C34</f>
        <v>831.55590972159177</v>
      </c>
      <c r="D35" s="30">
        <f>D8-D34</f>
        <v>719.88592900053027</v>
      </c>
      <c r="E35" s="30">
        <f>E8-E34</f>
        <v>599.24345014989478</v>
      </c>
      <c r="F35" s="30">
        <f t="shared" ref="F35:O35" si="16">F8-F34</f>
        <v>1030.0174193000098</v>
      </c>
      <c r="G35" s="30">
        <f t="shared" si="16"/>
        <v>915.89243893594482</v>
      </c>
      <c r="H35" s="30">
        <f t="shared" si="16"/>
        <v>793.66602364744881</v>
      </c>
      <c r="I35" s="30">
        <f t="shared" si="16"/>
        <v>1207.114624472058</v>
      </c>
      <c r="J35" s="30">
        <f t="shared" si="16"/>
        <v>1089.3875613274672</v>
      </c>
      <c r="K35" s="30">
        <f t="shared" si="16"/>
        <v>964.16037434798147</v>
      </c>
      <c r="L35" s="30">
        <f t="shared" si="16"/>
        <v>1257.9233044235884</v>
      </c>
      <c r="M35" s="30">
        <f t="shared" si="16"/>
        <v>1422.1650023848401</v>
      </c>
      <c r="N35" s="30">
        <f t="shared" si="16"/>
        <v>1472.9058749072792</v>
      </c>
      <c r="O35" s="30">
        <f t="shared" si="16"/>
        <v>1520.4457313256323</v>
      </c>
    </row>
    <row r="36" spans="1:15" x14ac:dyDescent="0.25">
      <c r="A36" s="20"/>
      <c r="B36" s="21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1:15" x14ac:dyDescent="0.25">
      <c r="A37" s="20"/>
      <c r="B37" s="21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  <row r="38" spans="1:15" x14ac:dyDescent="0.25">
      <c r="A38" s="20"/>
      <c r="B38" s="21"/>
      <c r="C38" s="21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15" x14ac:dyDescent="0.25">
      <c r="A39" s="20"/>
      <c r="B39" s="21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1:15" x14ac:dyDescent="0.25">
      <c r="A40" s="20"/>
      <c r="B40" s="21"/>
      <c r="C40" s="2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</row>
    <row r="41" spans="1:15" x14ac:dyDescent="0.25">
      <c r="A41" s="20"/>
      <c r="B41" s="21"/>
      <c r="C41" s="2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</row>
    <row r="42" spans="1:15" x14ac:dyDescent="0.25">
      <c r="A42" s="20"/>
      <c r="B42" s="21"/>
      <c r="C42" s="21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</row>
    <row r="43" spans="1:15" x14ac:dyDescent="0.25">
      <c r="A43" s="20"/>
      <c r="B43" s="21"/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</row>
    <row r="44" spans="1:15" x14ac:dyDescent="0.25">
      <c r="A44" s="20"/>
      <c r="B44" s="21"/>
      <c r="C44" s="21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</row>
    <row r="45" spans="1:15" x14ac:dyDescent="0.25">
      <c r="A45" s="20"/>
      <c r="B45" s="21"/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</row>
    <row r="46" spans="1:15" x14ac:dyDescent="0.25">
      <c r="A46" s="20"/>
      <c r="B46" s="21"/>
      <c r="C46" s="21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</row>
    <row r="47" spans="1:15" hidden="1" x14ac:dyDescent="0.25">
      <c r="A47" s="20"/>
      <c r="B47" s="21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</row>
    <row r="48" spans="1:15" hidden="1" x14ac:dyDescent="0.25">
      <c r="A48" s="15" t="s">
        <v>246</v>
      </c>
      <c r="B48" s="22">
        <f>cs!B9</f>
        <v>251.45</v>
      </c>
      <c r="C48" s="22"/>
      <c r="D48" s="22">
        <f>D49-D8</f>
        <v>-719.68</v>
      </c>
      <c r="E48" s="22"/>
      <c r="F48" s="22"/>
      <c r="G48" s="22">
        <f t="shared" ref="G48:O48" si="17">G49-G8</f>
        <v>-779.65749999999991</v>
      </c>
      <c r="H48" s="22"/>
      <c r="I48" s="22"/>
      <c r="J48" s="22">
        <f t="shared" si="17"/>
        <v>-839.6350000000001</v>
      </c>
      <c r="K48" s="22"/>
      <c r="L48" s="22">
        <f t="shared" si="17"/>
        <v>-899.61249999999995</v>
      </c>
      <c r="M48" s="22">
        <f t="shared" si="17"/>
        <v>-959.59000000000015</v>
      </c>
      <c r="N48" s="22">
        <f t="shared" si="17"/>
        <v>-959.59000000000015</v>
      </c>
      <c r="O48" s="22">
        <f t="shared" si="17"/>
        <v>-959.59000000000015</v>
      </c>
    </row>
    <row r="49" spans="1:21" hidden="1" x14ac:dyDescent="0.25">
      <c r="A49" s="15"/>
      <c r="B49" s="31">
        <f>cs!B10</f>
        <v>251.45</v>
      </c>
      <c r="C49" s="31"/>
      <c r="D49" s="31">
        <f>D50+D51</f>
        <v>754.35</v>
      </c>
      <c r="E49" s="31"/>
      <c r="F49" s="31"/>
      <c r="G49" s="31">
        <f t="shared" ref="G49:O49" si="18">G50+G51</f>
        <v>817.21249999999998</v>
      </c>
      <c r="H49" s="31"/>
      <c r="I49" s="31"/>
      <c r="J49" s="31">
        <f t="shared" si="18"/>
        <v>880.07499999999993</v>
      </c>
      <c r="K49" s="31"/>
      <c r="L49" s="31">
        <f t="shared" si="18"/>
        <v>942.9375</v>
      </c>
      <c r="M49" s="31">
        <f t="shared" si="18"/>
        <v>1005.8</v>
      </c>
      <c r="N49" s="31">
        <f t="shared" si="18"/>
        <v>1005.8</v>
      </c>
      <c r="O49" s="31">
        <f t="shared" si="18"/>
        <v>1005.8</v>
      </c>
    </row>
    <row r="50" spans="1:21" hidden="1" x14ac:dyDescent="0.25">
      <c r="A50" s="15" t="s">
        <v>247</v>
      </c>
      <c r="B50" s="32">
        <f>cs!B11</f>
        <v>150.87</v>
      </c>
      <c r="C50" s="32"/>
      <c r="D50" s="32">
        <f>wc!D9</f>
        <v>150.87</v>
      </c>
      <c r="E50" s="32"/>
      <c r="F50" s="32"/>
      <c r="G50" s="32">
        <f>wc!E9</f>
        <v>163.4425</v>
      </c>
      <c r="H50" s="32"/>
      <c r="I50" s="32"/>
      <c r="J50" s="32">
        <f>wc!F9</f>
        <v>176.01499999999999</v>
      </c>
      <c r="K50" s="32"/>
      <c r="L50" s="32">
        <f>wc!G9</f>
        <v>188.58750000000001</v>
      </c>
      <c r="M50" s="32">
        <f>wc!H9</f>
        <v>201.16</v>
      </c>
      <c r="N50" s="32">
        <f>wc!I9</f>
        <v>201.16</v>
      </c>
      <c r="O50" s="32">
        <f>wc!J9</f>
        <v>201.16</v>
      </c>
    </row>
    <row r="51" spans="1:21" hidden="1" x14ac:dyDescent="0.25">
      <c r="A51" s="20" t="s">
        <v>80</v>
      </c>
      <c r="B51" s="22">
        <f>cs!B12</f>
        <v>100.58</v>
      </c>
      <c r="C51" s="22"/>
      <c r="D51" s="22">
        <f>process!C16</f>
        <v>603.48</v>
      </c>
      <c r="E51" s="22"/>
      <c r="F51" s="22"/>
      <c r="G51" s="22">
        <f>process!D16</f>
        <v>653.77</v>
      </c>
      <c r="H51" s="22"/>
      <c r="I51" s="22"/>
      <c r="J51" s="22">
        <f>process!E16</f>
        <v>704.06</v>
      </c>
      <c r="K51" s="22"/>
      <c r="L51" s="22">
        <f>process!F16</f>
        <v>754.35</v>
      </c>
      <c r="M51" s="22">
        <f>process!G16</f>
        <v>804.64</v>
      </c>
      <c r="N51" s="22">
        <f>M51</f>
        <v>804.64</v>
      </c>
      <c r="O51" s="22">
        <f>N51</f>
        <v>804.64</v>
      </c>
    </row>
    <row r="52" spans="1:21" hidden="1" x14ac:dyDescent="0.25">
      <c r="A52" s="20" t="s">
        <v>81</v>
      </c>
      <c r="B52" s="22">
        <f>cs!B13</f>
        <v>0</v>
      </c>
      <c r="C52" s="22"/>
      <c r="D52" s="22">
        <f>wc!D10*12</f>
        <v>19.440000000000001</v>
      </c>
      <c r="E52" s="22"/>
      <c r="F52" s="22"/>
      <c r="G52" s="22">
        <f>wc!E10*12</f>
        <v>20.412000000000003</v>
      </c>
      <c r="H52" s="22"/>
      <c r="I52" s="22"/>
      <c r="J52" s="22">
        <f>wc!F10*12</f>
        <v>21.432600000000004</v>
      </c>
      <c r="K52" s="22"/>
      <c r="L52" s="22">
        <f>wc!G10*12</f>
        <v>22.504230000000007</v>
      </c>
      <c r="M52" s="22">
        <f>wc!H10*12</f>
        <v>23.629441500000006</v>
      </c>
      <c r="N52" s="22">
        <f>wc!I10*12</f>
        <v>24.810913575000008</v>
      </c>
      <c r="O52" s="22">
        <f>wc!J10*12</f>
        <v>26.051459253750007</v>
      </c>
    </row>
    <row r="53" spans="1:21" ht="18.75" hidden="1" x14ac:dyDescent="0.25">
      <c r="A53" s="33" t="s">
        <v>82</v>
      </c>
      <c r="B53" s="34">
        <f>cs!B14</f>
        <v>100.58</v>
      </c>
      <c r="C53" s="34"/>
      <c r="D53" s="34">
        <f t="shared" ref="D53:O53" si="19">D51+D52</f>
        <v>622.92000000000007</v>
      </c>
      <c r="E53" s="34"/>
      <c r="F53" s="34"/>
      <c r="G53" s="35">
        <f t="shared" si="19"/>
        <v>674.18200000000002</v>
      </c>
      <c r="H53" s="35"/>
      <c r="I53" s="35"/>
      <c r="J53" s="35">
        <f t="shared" si="19"/>
        <v>725.49259999999992</v>
      </c>
      <c r="K53" s="35"/>
      <c r="L53" s="35">
        <f t="shared" si="19"/>
        <v>776.85423000000003</v>
      </c>
      <c r="M53" s="35">
        <f t="shared" si="19"/>
        <v>828.26944149999997</v>
      </c>
      <c r="N53" s="35">
        <f t="shared" si="19"/>
        <v>829.45091357499996</v>
      </c>
      <c r="O53" s="35">
        <f t="shared" si="19"/>
        <v>830.69145925374994</v>
      </c>
    </row>
    <row r="54" spans="1:21" hidden="1" x14ac:dyDescent="0.25">
      <c r="A54" s="36" t="s">
        <v>248</v>
      </c>
      <c r="B54" s="22">
        <f>cs!B15</f>
        <v>0</v>
      </c>
      <c r="C54" s="22"/>
      <c r="D54" s="22"/>
      <c r="E54" s="22"/>
      <c r="F54" s="22"/>
      <c r="G54" s="21"/>
      <c r="H54" s="21"/>
      <c r="I54" s="21"/>
      <c r="J54" s="22"/>
      <c r="K54" s="22"/>
      <c r="L54" s="21"/>
      <c r="M54" s="22"/>
      <c r="N54" s="21"/>
      <c r="O54" s="22"/>
      <c r="U54" s="2">
        <f>380450/0.004</f>
        <v>95112500</v>
      </c>
    </row>
    <row r="55" spans="1:21" hidden="1" x14ac:dyDescent="0.25">
      <c r="A55" s="20" t="s">
        <v>154</v>
      </c>
      <c r="B55" s="22">
        <f>cs!B16</f>
        <v>10.53</v>
      </c>
      <c r="C55" s="22"/>
      <c r="D55" s="22">
        <f>ROUND((process!C24+process!C30)/100000, 2)</f>
        <v>63.18</v>
      </c>
      <c r="E55" s="22"/>
      <c r="F55" s="22"/>
      <c r="G55" s="22">
        <f>ROUND((process!D24+process!D30)/100000, 2)</f>
        <v>68.45</v>
      </c>
      <c r="H55" s="22"/>
      <c r="I55" s="22"/>
      <c r="J55" s="22">
        <f>ROUND((process!E24+process!E30)/100000, 2)</f>
        <v>73.709999999999994</v>
      </c>
      <c r="K55" s="22"/>
      <c r="L55" s="22">
        <f>ROUND((process!F24+process!F30)/100000, 2)</f>
        <v>78.98</v>
      </c>
      <c r="M55" s="22">
        <f>ROUND((process!G24+process!G30)/100000, 2)</f>
        <v>84.24</v>
      </c>
      <c r="N55" s="22">
        <f>M55</f>
        <v>84.24</v>
      </c>
      <c r="O55" s="22">
        <f>N55</f>
        <v>84.24</v>
      </c>
    </row>
    <row r="56" spans="1:21" hidden="1" x14ac:dyDescent="0.25">
      <c r="A56" s="20" t="s">
        <v>175</v>
      </c>
      <c r="B56" s="22">
        <f>cs!B17</f>
        <v>2.16</v>
      </c>
      <c r="C56" s="22"/>
      <c r="D56" s="22">
        <f>ROUND(process!C38/100000, 2)</f>
        <v>12.96</v>
      </c>
      <c r="E56" s="22"/>
      <c r="F56" s="22"/>
      <c r="G56" s="22">
        <f>ROUND(process!D38/100000, 2)</f>
        <v>14.04</v>
      </c>
      <c r="H56" s="22"/>
      <c r="I56" s="22"/>
      <c r="J56" s="22">
        <f>ROUND(process!E38/100000, 2)</f>
        <v>15.12</v>
      </c>
      <c r="K56" s="22"/>
      <c r="L56" s="22">
        <f>ROUND(process!F38/100000, 2)</f>
        <v>16.2</v>
      </c>
      <c r="M56" s="22">
        <f>ROUND(process!G38/100000, 2)</f>
        <v>17.28</v>
      </c>
      <c r="N56" s="22">
        <f>M56</f>
        <v>17.28</v>
      </c>
      <c r="O56" s="22">
        <f>N56</f>
        <v>17.28</v>
      </c>
    </row>
    <row r="57" spans="1:21" hidden="1" x14ac:dyDescent="0.25">
      <c r="A57" s="20" t="s">
        <v>153</v>
      </c>
      <c r="B57" s="22">
        <f>cs!B18</f>
        <v>3.5</v>
      </c>
      <c r="C57" s="22"/>
      <c r="D57" s="22">
        <f>wc!D11*12</f>
        <v>21</v>
      </c>
      <c r="E57" s="22"/>
      <c r="F57" s="22"/>
      <c r="G57" s="22">
        <f>wc!E11*12</f>
        <v>22.05</v>
      </c>
      <c r="H57" s="22"/>
      <c r="I57" s="22"/>
      <c r="J57" s="22">
        <f>wc!F11*12</f>
        <v>23.152500000000003</v>
      </c>
      <c r="K57" s="22"/>
      <c r="L57" s="22">
        <f>wc!G11*12</f>
        <v>24.310125000000006</v>
      </c>
      <c r="M57" s="22">
        <f>wc!H11*12</f>
        <v>25.525631250000004</v>
      </c>
      <c r="N57" s="22">
        <f>wc!I11*12</f>
        <v>26.801912812500007</v>
      </c>
      <c r="O57" s="22">
        <f>wc!J11*12</f>
        <v>28.142008453125005</v>
      </c>
    </row>
    <row r="58" spans="1:21" hidden="1" x14ac:dyDescent="0.25">
      <c r="A58" s="20" t="s">
        <v>177</v>
      </c>
      <c r="B58" s="22">
        <f>cs!B19</f>
        <v>0.14499999999999999</v>
      </c>
      <c r="C58" s="22"/>
      <c r="D58" s="22">
        <f>ROUND(depn!F10*0.001, 2)</f>
        <v>0.87</v>
      </c>
      <c r="E58" s="22"/>
      <c r="F58" s="22"/>
      <c r="G58" s="22">
        <f>ROUND(depn!G10*0.001, 2)</f>
        <v>0.74</v>
      </c>
      <c r="H58" s="22"/>
      <c r="I58" s="22"/>
      <c r="J58" s="22">
        <f>ROUND(depn!H10*0.001, 2)</f>
        <v>0.64</v>
      </c>
      <c r="K58" s="22"/>
      <c r="L58" s="22">
        <f>ROUND(depn!I10*0.001, 2)</f>
        <v>0.55000000000000004</v>
      </c>
      <c r="M58" s="22">
        <f>ROUND(depn!J10*0.001, 2)</f>
        <v>0.47</v>
      </c>
      <c r="N58" s="22">
        <f>ROUND(depn!K10*0.001, 2)</f>
        <v>0.4</v>
      </c>
      <c r="O58" s="22">
        <f>ROUND(depn!L10*0.001, 2)</f>
        <v>0.35</v>
      </c>
    </row>
    <row r="59" spans="1:21" hidden="1" x14ac:dyDescent="0.25">
      <c r="A59" s="20" t="s">
        <v>176</v>
      </c>
      <c r="B59" s="22">
        <f>cs!B20</f>
        <v>0</v>
      </c>
      <c r="C59" s="22"/>
      <c r="D59" s="22">
        <f>depn!G12</f>
        <v>131.21</v>
      </c>
      <c r="E59" s="22"/>
      <c r="F59" s="22"/>
      <c r="G59" s="22">
        <f>depn!H12</f>
        <v>105.46</v>
      </c>
      <c r="H59" s="22"/>
      <c r="I59" s="22"/>
      <c r="J59" s="22">
        <f>depn!I12</f>
        <v>90.24</v>
      </c>
      <c r="K59" s="22"/>
      <c r="L59" s="22">
        <f>depn!J12</f>
        <v>77.25</v>
      </c>
      <c r="M59" s="22">
        <f>depn!K12</f>
        <v>66.16</v>
      </c>
      <c r="N59" s="22">
        <f>depn!L12</f>
        <v>56.68</v>
      </c>
      <c r="O59" s="22">
        <f>depn!M12</f>
        <v>48.57</v>
      </c>
    </row>
    <row r="60" spans="1:21" hidden="1" x14ac:dyDescent="0.25">
      <c r="A60" s="20" t="s">
        <v>178</v>
      </c>
      <c r="B60" s="22">
        <f>cs!B21</f>
        <v>0.8716666666666667</v>
      </c>
      <c r="C60" s="22"/>
      <c r="D60" s="22">
        <f>ROUND(process!C43/100000, 2)</f>
        <v>5.23</v>
      </c>
      <c r="E60" s="22"/>
      <c r="F60" s="22"/>
      <c r="G60" s="22">
        <f>ROUND(process!D43/100000, 2)</f>
        <v>5.67</v>
      </c>
      <c r="H60" s="22"/>
      <c r="I60" s="22"/>
      <c r="J60" s="22">
        <f>ROUND(process!E43/100000, 2)</f>
        <v>6.1</v>
      </c>
      <c r="K60" s="22"/>
      <c r="L60" s="22">
        <f>ROUND(process!F43/100000, 2)</f>
        <v>6.54</v>
      </c>
      <c r="M60" s="22">
        <f>ROUND(process!G43/100000, 2)</f>
        <v>6.98</v>
      </c>
      <c r="N60" s="22">
        <f>M60</f>
        <v>6.98</v>
      </c>
      <c r="O60" s="22">
        <f>N60</f>
        <v>6.98</v>
      </c>
    </row>
    <row r="61" spans="1:21" ht="18.75" hidden="1" x14ac:dyDescent="0.25">
      <c r="A61" s="33" t="s">
        <v>83</v>
      </c>
      <c r="B61" s="35">
        <f>cs!B22</f>
        <v>117.78666666666666</v>
      </c>
      <c r="C61" s="35"/>
      <c r="D61" s="35">
        <f t="shared" ref="D61:O61" si="20">D53+D55+D56+D57+D58+D59+D60</f>
        <v>857.37000000000012</v>
      </c>
      <c r="E61" s="35"/>
      <c r="F61" s="35"/>
      <c r="G61" s="35">
        <f t="shared" si="20"/>
        <v>890.59199999999998</v>
      </c>
      <c r="H61" s="35"/>
      <c r="I61" s="35"/>
      <c r="J61" s="35">
        <f t="shared" si="20"/>
        <v>934.45510000000002</v>
      </c>
      <c r="K61" s="35"/>
      <c r="L61" s="35">
        <f t="shared" si="20"/>
        <v>980.68435499999998</v>
      </c>
      <c r="M61" s="35">
        <f t="shared" si="20"/>
        <v>1028.9250727499998</v>
      </c>
      <c r="N61" s="35">
        <f t="shared" si="20"/>
        <v>1021.8328263874998</v>
      </c>
      <c r="O61" s="35">
        <f t="shared" si="20"/>
        <v>1016.253467706875</v>
      </c>
    </row>
    <row r="62" spans="1:21" hidden="1" x14ac:dyDescent="0.25">
      <c r="A62" s="15" t="s">
        <v>249</v>
      </c>
      <c r="B62" s="22">
        <f>cs!B23</f>
        <v>0</v>
      </c>
      <c r="C62" s="22"/>
      <c r="D62" s="22"/>
      <c r="E62" s="22"/>
      <c r="F62" s="22"/>
      <c r="G62" s="21"/>
      <c r="H62" s="21"/>
      <c r="I62" s="21"/>
      <c r="J62" s="22"/>
      <c r="K62" s="22"/>
      <c r="L62" s="21"/>
      <c r="M62" s="22"/>
      <c r="N62" s="21"/>
      <c r="O62" s="22"/>
    </row>
    <row r="63" spans="1:21" hidden="1" x14ac:dyDescent="0.25">
      <c r="A63" s="20" t="s">
        <v>179</v>
      </c>
      <c r="B63" s="22">
        <f>cs!B24</f>
        <v>12.283333333333333</v>
      </c>
      <c r="C63" s="22"/>
      <c r="D63" s="22">
        <f>ROUND(0.05*process!C17, 2)</f>
        <v>73.7</v>
      </c>
      <c r="E63" s="22"/>
      <c r="F63" s="22"/>
      <c r="G63" s="22">
        <f>ROUND(0.05*process!D17, 2)</f>
        <v>79.84</v>
      </c>
      <c r="H63" s="22"/>
      <c r="I63" s="22"/>
      <c r="J63" s="22">
        <f>ROUND(0.05*process!E17, 2)</f>
        <v>85.99</v>
      </c>
      <c r="K63" s="22"/>
      <c r="L63" s="22">
        <f>ROUND(0.05*process!F17, 2)</f>
        <v>92.13</v>
      </c>
      <c r="M63" s="22">
        <f>ROUND(0.05*process!G17, 2)</f>
        <v>98.27</v>
      </c>
      <c r="N63" s="22">
        <f>M63</f>
        <v>98.27</v>
      </c>
      <c r="O63" s="22">
        <f>N63</f>
        <v>98.27</v>
      </c>
    </row>
    <row r="64" spans="1:21" hidden="1" x14ac:dyDescent="0.25">
      <c r="A64" s="20" t="s">
        <v>180</v>
      </c>
      <c r="B64" s="22">
        <f>cs!B25</f>
        <v>0</v>
      </c>
      <c r="C64" s="22"/>
      <c r="D64" s="22"/>
      <c r="E64" s="22"/>
      <c r="F64" s="22"/>
      <c r="G64" s="21"/>
      <c r="H64" s="21"/>
      <c r="I64" s="21"/>
      <c r="J64" s="22"/>
      <c r="K64" s="22"/>
      <c r="L64" s="21"/>
      <c r="M64" s="22"/>
      <c r="N64" s="21"/>
      <c r="O64" s="22"/>
    </row>
    <row r="65" spans="1:15" hidden="1" x14ac:dyDescent="0.25">
      <c r="A65" s="20" t="s">
        <v>191</v>
      </c>
      <c r="B65" s="22">
        <f>cs!B26</f>
        <v>0</v>
      </c>
      <c r="C65" s="22"/>
      <c r="D65" s="22">
        <f>TL!M8</f>
        <v>110.62</v>
      </c>
      <c r="E65" s="22"/>
      <c r="F65" s="22"/>
      <c r="G65" s="22">
        <f>TL!N8</f>
        <v>93.72</v>
      </c>
      <c r="H65" s="22"/>
      <c r="I65" s="22"/>
      <c r="J65" s="22">
        <f>TL!O8</f>
        <v>76.8</v>
      </c>
      <c r="K65" s="22"/>
      <c r="L65" s="22">
        <f>TL!P8</f>
        <v>59.89</v>
      </c>
      <c r="M65" s="22">
        <f>TL!Q8</f>
        <v>42.99</v>
      </c>
      <c r="N65" s="22">
        <f>TL!R8</f>
        <v>26.07</v>
      </c>
      <c r="O65" s="22">
        <f>TL!S8</f>
        <v>9.15</v>
      </c>
    </row>
    <row r="66" spans="1:15" hidden="1" x14ac:dyDescent="0.25">
      <c r="A66" s="20" t="s">
        <v>192</v>
      </c>
      <c r="B66" s="21">
        <f>cs!B27</f>
        <v>4.5</v>
      </c>
      <c r="C66" s="21"/>
      <c r="D66" s="21">
        <f>wcl!C12</f>
        <v>18.010000000000002</v>
      </c>
      <c r="E66" s="21"/>
      <c r="F66" s="21"/>
      <c r="G66" s="21">
        <f>wcl!D12</f>
        <v>19.5</v>
      </c>
      <c r="H66" s="21"/>
      <c r="I66" s="21"/>
      <c r="J66" s="21">
        <f>wcl!E12</f>
        <v>21</v>
      </c>
      <c r="K66" s="21"/>
      <c r="L66" s="21">
        <f>wcl!F12</f>
        <v>22.49</v>
      </c>
      <c r="M66" s="21">
        <f>wcl!G12</f>
        <v>23.99</v>
      </c>
      <c r="N66" s="21">
        <f>wcl!H12</f>
        <v>24</v>
      </c>
      <c r="O66" s="21">
        <f>wcl!I12</f>
        <v>24.02</v>
      </c>
    </row>
    <row r="67" spans="1:15" ht="18.75" hidden="1" x14ac:dyDescent="0.25">
      <c r="A67" s="33" t="s">
        <v>84</v>
      </c>
      <c r="B67" s="35">
        <f>cs!B28</f>
        <v>134.57</v>
      </c>
      <c r="C67" s="35"/>
      <c r="D67" s="35">
        <f t="shared" ref="D67:O67" si="21">D61+D63+D65+D66</f>
        <v>1059.7</v>
      </c>
      <c r="E67" s="35"/>
      <c r="F67" s="35"/>
      <c r="G67" s="35">
        <f t="shared" si="21"/>
        <v>1083.652</v>
      </c>
      <c r="H67" s="35"/>
      <c r="I67" s="35"/>
      <c r="J67" s="35">
        <f t="shared" si="21"/>
        <v>1118.2451000000001</v>
      </c>
      <c r="K67" s="35"/>
      <c r="L67" s="35">
        <f t="shared" si="21"/>
        <v>1155.1943550000001</v>
      </c>
      <c r="M67" s="35">
        <f t="shared" si="21"/>
        <v>1194.1750727499998</v>
      </c>
      <c r="N67" s="35">
        <f t="shared" si="21"/>
        <v>1170.1728263874998</v>
      </c>
      <c r="O67" s="35">
        <f t="shared" si="21"/>
        <v>1147.693467706875</v>
      </c>
    </row>
    <row r="68" spans="1:15" ht="18.75" hidden="1" x14ac:dyDescent="0.25">
      <c r="A68" s="33" t="s">
        <v>181</v>
      </c>
      <c r="B68" s="22">
        <f>cs!B29</f>
        <v>134.57</v>
      </c>
      <c r="C68" s="22"/>
      <c r="D68" s="22">
        <f t="shared" ref="D68:O68" si="22">D67</f>
        <v>1059.7</v>
      </c>
      <c r="E68" s="22"/>
      <c r="F68" s="22"/>
      <c r="G68" s="22">
        <f t="shared" si="22"/>
        <v>1083.652</v>
      </c>
      <c r="H68" s="22"/>
      <c r="I68" s="22"/>
      <c r="J68" s="22">
        <f t="shared" si="22"/>
        <v>1118.2451000000001</v>
      </c>
      <c r="K68" s="22"/>
      <c r="L68" s="22">
        <f t="shared" si="22"/>
        <v>1155.1943550000001</v>
      </c>
      <c r="M68" s="22">
        <f t="shared" si="22"/>
        <v>1194.1750727499998</v>
      </c>
      <c r="N68" s="22">
        <f t="shared" si="22"/>
        <v>1170.1728263874998</v>
      </c>
      <c r="O68" s="22">
        <f t="shared" si="22"/>
        <v>1147.693467706875</v>
      </c>
    </row>
    <row r="69" spans="1:15" hidden="1" x14ac:dyDescent="0.25">
      <c r="A69" s="15" t="s">
        <v>250</v>
      </c>
      <c r="B69" s="21">
        <f>cs!B30</f>
        <v>12.283333333333333</v>
      </c>
      <c r="C69" s="21"/>
      <c r="D69" s="21">
        <f t="shared" ref="D69:O69" si="23">D63</f>
        <v>73.7</v>
      </c>
      <c r="E69" s="21"/>
      <c r="F69" s="21"/>
      <c r="G69" s="21">
        <f t="shared" si="23"/>
        <v>79.84</v>
      </c>
      <c r="H69" s="21"/>
      <c r="I69" s="21"/>
      <c r="J69" s="21">
        <f t="shared" si="23"/>
        <v>85.99</v>
      </c>
      <c r="K69" s="21"/>
      <c r="L69" s="21">
        <f t="shared" si="23"/>
        <v>92.13</v>
      </c>
      <c r="M69" s="21">
        <f t="shared" si="23"/>
        <v>98.27</v>
      </c>
      <c r="N69" s="21">
        <f t="shared" si="23"/>
        <v>98.27</v>
      </c>
      <c r="O69" s="21">
        <f t="shared" si="23"/>
        <v>98.27</v>
      </c>
    </row>
    <row r="70" spans="1:15" hidden="1" x14ac:dyDescent="0.25">
      <c r="A70" s="20" t="s">
        <v>193</v>
      </c>
      <c r="B70" s="22">
        <f>cs!B31</f>
        <v>0</v>
      </c>
      <c r="C70" s="22"/>
      <c r="D70" s="22"/>
      <c r="E70" s="22"/>
      <c r="F70" s="22"/>
      <c r="G70" s="21"/>
      <c r="H70" s="21"/>
      <c r="I70" s="21"/>
      <c r="J70" s="22"/>
      <c r="K70" s="22"/>
      <c r="L70" s="21"/>
      <c r="M70" s="22"/>
      <c r="N70" s="21"/>
      <c r="O70" s="22"/>
    </row>
    <row r="71" spans="1:15" ht="18.75" hidden="1" x14ac:dyDescent="0.25">
      <c r="A71" s="33" t="s">
        <v>85</v>
      </c>
      <c r="B71" s="35">
        <f>cs!B32</f>
        <v>146.85333333333332</v>
      </c>
      <c r="C71" s="35"/>
      <c r="D71" s="35">
        <f t="shared" ref="D71:O71" si="24">D68+D69</f>
        <v>1133.4000000000001</v>
      </c>
      <c r="E71" s="35"/>
      <c r="F71" s="35"/>
      <c r="G71" s="35">
        <f t="shared" si="24"/>
        <v>1163.492</v>
      </c>
      <c r="H71" s="35"/>
      <c r="I71" s="35"/>
      <c r="J71" s="35">
        <f t="shared" si="24"/>
        <v>1204.2351000000001</v>
      </c>
      <c r="K71" s="35"/>
      <c r="L71" s="35">
        <f t="shared" si="24"/>
        <v>1247.3243550000002</v>
      </c>
      <c r="M71" s="35">
        <f t="shared" si="24"/>
        <v>1292.4450727499998</v>
      </c>
      <c r="N71" s="35">
        <f t="shared" si="24"/>
        <v>1268.4428263874997</v>
      </c>
      <c r="O71" s="35">
        <f t="shared" si="24"/>
        <v>1245.963467706875</v>
      </c>
    </row>
    <row r="72" spans="1:15" hidden="1" x14ac:dyDescent="0.25">
      <c r="A72" s="20" t="s">
        <v>251</v>
      </c>
      <c r="B72" s="35">
        <f>cs!B33</f>
        <v>0</v>
      </c>
      <c r="C72" s="35"/>
      <c r="D72" s="35">
        <f t="shared" ref="D72:O72" si="25">D73-D71</f>
        <v>340.62999999999988</v>
      </c>
      <c r="E72" s="22"/>
      <c r="F72" s="22"/>
      <c r="G72" s="22">
        <f t="shared" si="25"/>
        <v>433.37799999999993</v>
      </c>
      <c r="H72" s="22"/>
      <c r="I72" s="22"/>
      <c r="J72" s="22">
        <f t="shared" si="25"/>
        <v>515.47489999999993</v>
      </c>
      <c r="K72" s="22"/>
      <c r="L72" s="22">
        <f t="shared" si="25"/>
        <v>595.22564499999976</v>
      </c>
      <c r="M72" s="22">
        <f t="shared" si="25"/>
        <v>672.94492725000032</v>
      </c>
      <c r="N72" s="22">
        <f t="shared" si="25"/>
        <v>696.94717361250036</v>
      </c>
      <c r="O72" s="22">
        <f t="shared" si="25"/>
        <v>719.42653229312509</v>
      </c>
    </row>
    <row r="73" spans="1:15" hidden="1" x14ac:dyDescent="0.25">
      <c r="A73" s="20" t="s">
        <v>86</v>
      </c>
      <c r="B73" s="32">
        <f>cs!B34</f>
        <v>146.85333333333332</v>
      </c>
      <c r="C73" s="32"/>
      <c r="D73" s="32">
        <f>process!C17</f>
        <v>1474.03</v>
      </c>
      <c r="E73" s="32"/>
      <c r="F73" s="32"/>
      <c r="G73" s="37">
        <f>process!D17</f>
        <v>1596.87</v>
      </c>
      <c r="H73" s="37"/>
      <c r="I73" s="37"/>
      <c r="J73" s="37">
        <f>process!E17</f>
        <v>1719.71</v>
      </c>
      <c r="K73" s="37"/>
      <c r="L73" s="37">
        <f>process!F17</f>
        <v>1842.55</v>
      </c>
      <c r="M73" s="37">
        <f>process!G17</f>
        <v>1965.39</v>
      </c>
      <c r="N73" s="37">
        <f>M73</f>
        <v>1965.39</v>
      </c>
      <c r="O73" s="37">
        <f>N73</f>
        <v>1965.39</v>
      </c>
    </row>
    <row r="74" spans="1:15" hidden="1" x14ac:dyDescent="0.25">
      <c r="B74" s="2">
        <f>cs!B35</f>
        <v>0</v>
      </c>
    </row>
    <row r="75" spans="1:15" ht="18.75" hidden="1" x14ac:dyDescent="0.25">
      <c r="A75" s="33" t="s">
        <v>194</v>
      </c>
      <c r="B75" s="2">
        <f>cs!B36</f>
        <v>0</v>
      </c>
    </row>
    <row r="76" spans="1:15" hidden="1" x14ac:dyDescent="0.25">
      <c r="A76" s="2" t="s">
        <v>195</v>
      </c>
      <c r="B76" s="38">
        <f>cs!B37</f>
        <v>0</v>
      </c>
      <c r="C76" s="38"/>
      <c r="D76" s="38">
        <f t="shared" ref="D76:O76" si="26">D72</f>
        <v>340.62999999999988</v>
      </c>
      <c r="E76" s="38"/>
      <c r="F76" s="38"/>
      <c r="G76" s="38">
        <f t="shared" si="26"/>
        <v>433.37799999999993</v>
      </c>
      <c r="H76" s="38"/>
      <c r="I76" s="38"/>
      <c r="J76" s="38">
        <f t="shared" si="26"/>
        <v>515.47489999999993</v>
      </c>
      <c r="K76" s="38"/>
      <c r="L76" s="38">
        <f t="shared" si="26"/>
        <v>595.22564499999976</v>
      </c>
      <c r="M76" s="38">
        <f t="shared" si="26"/>
        <v>672.94492725000032</v>
      </c>
      <c r="N76" s="38">
        <f t="shared" si="26"/>
        <v>696.94717361250036</v>
      </c>
      <c r="O76" s="38">
        <f t="shared" si="26"/>
        <v>719.42653229312509</v>
      </c>
    </row>
    <row r="77" spans="1:15" hidden="1" x14ac:dyDescent="0.25">
      <c r="A77" s="2" t="s">
        <v>196</v>
      </c>
      <c r="B77" s="38">
        <f>cs!B38</f>
        <v>0</v>
      </c>
      <c r="C77" s="38"/>
      <c r="D77" s="38">
        <f t="shared" ref="D77:O77" si="27">D59</f>
        <v>131.21</v>
      </c>
      <c r="E77" s="38"/>
      <c r="F77" s="38"/>
      <c r="G77" s="38">
        <f t="shared" si="27"/>
        <v>105.46</v>
      </c>
      <c r="H77" s="38"/>
      <c r="I77" s="38"/>
      <c r="J77" s="38">
        <f t="shared" si="27"/>
        <v>90.24</v>
      </c>
      <c r="K77" s="38"/>
      <c r="L77" s="38">
        <f t="shared" si="27"/>
        <v>77.25</v>
      </c>
      <c r="M77" s="38">
        <f t="shared" si="27"/>
        <v>66.16</v>
      </c>
      <c r="N77" s="38">
        <f t="shared" si="27"/>
        <v>56.68</v>
      </c>
      <c r="O77" s="38">
        <f t="shared" si="27"/>
        <v>48.57</v>
      </c>
    </row>
    <row r="78" spans="1:15" hidden="1" x14ac:dyDescent="0.25">
      <c r="A78" s="2" t="s">
        <v>197</v>
      </c>
      <c r="B78" s="38">
        <f>cs!B39</f>
        <v>0</v>
      </c>
      <c r="C78" s="38"/>
      <c r="D78" s="38">
        <f t="shared" ref="D78:O78" si="28">D76+D77</f>
        <v>471.83999999999992</v>
      </c>
      <c r="E78" s="38"/>
      <c r="F78" s="38"/>
      <c r="G78" s="38">
        <f t="shared" si="28"/>
        <v>538.83799999999997</v>
      </c>
      <c r="H78" s="38"/>
      <c r="I78" s="38"/>
      <c r="J78" s="38">
        <f t="shared" si="28"/>
        <v>605.71489999999994</v>
      </c>
      <c r="K78" s="38"/>
      <c r="L78" s="38">
        <f t="shared" si="28"/>
        <v>672.47564499999976</v>
      </c>
      <c r="M78" s="38">
        <f t="shared" si="28"/>
        <v>739.10492725000029</v>
      </c>
      <c r="N78" s="38">
        <f t="shared" si="28"/>
        <v>753.62717361250031</v>
      </c>
      <c r="O78" s="38">
        <f t="shared" si="28"/>
        <v>767.99653229312514</v>
      </c>
    </row>
    <row r="79" spans="1:15" ht="18.75" hidden="1" x14ac:dyDescent="0.3">
      <c r="A79" s="39" t="s">
        <v>198</v>
      </c>
      <c r="B79" s="2">
        <f>cs!B40</f>
        <v>0</v>
      </c>
    </row>
    <row r="80" spans="1:15" hidden="1" x14ac:dyDescent="0.25">
      <c r="A80" s="2" t="s">
        <v>199</v>
      </c>
      <c r="B80" s="38">
        <f>cs!B41</f>
        <v>0</v>
      </c>
      <c r="C80" s="38"/>
      <c r="D80" s="38">
        <f>TL!M7</f>
        <v>140.91999999999999</v>
      </c>
      <c r="E80" s="38"/>
      <c r="F80" s="38"/>
      <c r="G80" s="38">
        <f>TL!N7</f>
        <v>140.91999999999999</v>
      </c>
      <c r="H80" s="38"/>
      <c r="I80" s="38"/>
      <c r="J80" s="38">
        <f>TL!O7</f>
        <v>140.91999999999999</v>
      </c>
      <c r="K80" s="38"/>
      <c r="L80" s="38">
        <f>TL!P7</f>
        <v>140.91999999999999</v>
      </c>
      <c r="M80" s="38">
        <f>TL!Q7</f>
        <v>140.91999999999999</v>
      </c>
      <c r="N80" s="38">
        <f>TL!R7</f>
        <v>140.91999999999999</v>
      </c>
      <c r="O80" s="38">
        <f>TL!S7</f>
        <v>140.91999999999999</v>
      </c>
    </row>
    <row r="81" spans="1:15" hidden="1" x14ac:dyDescent="0.25">
      <c r="A81" s="2" t="s">
        <v>200</v>
      </c>
      <c r="B81" s="38">
        <f>cs!B42</f>
        <v>4.5</v>
      </c>
      <c r="C81" s="38"/>
      <c r="D81" s="38">
        <f t="shared" ref="D81:O81" si="29">D65+D66</f>
        <v>128.63</v>
      </c>
      <c r="E81" s="38"/>
      <c r="F81" s="38"/>
      <c r="G81" s="38">
        <f t="shared" si="29"/>
        <v>113.22</v>
      </c>
      <c r="H81" s="38"/>
      <c r="I81" s="38"/>
      <c r="J81" s="38">
        <f t="shared" si="29"/>
        <v>97.8</v>
      </c>
      <c r="K81" s="38"/>
      <c r="L81" s="38">
        <f t="shared" si="29"/>
        <v>82.38</v>
      </c>
      <c r="M81" s="38">
        <f t="shared" si="29"/>
        <v>66.98</v>
      </c>
      <c r="N81" s="38">
        <f t="shared" si="29"/>
        <v>50.07</v>
      </c>
      <c r="O81" s="38">
        <f t="shared" si="29"/>
        <v>33.17</v>
      </c>
    </row>
    <row r="82" spans="1:15" hidden="1" x14ac:dyDescent="0.25">
      <c r="A82" s="2" t="s">
        <v>50</v>
      </c>
      <c r="B82" s="38">
        <f>cs!B43</f>
        <v>4.5</v>
      </c>
      <c r="C82" s="38"/>
      <c r="D82" s="38">
        <f t="shared" ref="D82:O82" si="30">D80+D81</f>
        <v>269.54999999999995</v>
      </c>
      <c r="E82" s="38"/>
      <c r="F82" s="38"/>
      <c r="G82" s="38">
        <f t="shared" si="30"/>
        <v>254.14</v>
      </c>
      <c r="H82" s="38"/>
      <c r="I82" s="38"/>
      <c r="J82" s="38">
        <f t="shared" si="30"/>
        <v>238.71999999999997</v>
      </c>
      <c r="K82" s="38"/>
      <c r="L82" s="38">
        <f t="shared" si="30"/>
        <v>223.29999999999998</v>
      </c>
      <c r="M82" s="38">
        <f t="shared" si="30"/>
        <v>207.89999999999998</v>
      </c>
      <c r="N82" s="38">
        <f t="shared" si="30"/>
        <v>190.98999999999998</v>
      </c>
      <c r="O82" s="38">
        <f t="shared" si="30"/>
        <v>174.08999999999997</v>
      </c>
    </row>
    <row r="83" spans="1:15" hidden="1" x14ac:dyDescent="0.25">
      <c r="B83" s="2">
        <f>cs!B44</f>
        <v>0</v>
      </c>
    </row>
    <row r="84" spans="1:15" hidden="1" x14ac:dyDescent="0.25">
      <c r="A84" s="2" t="s">
        <v>201</v>
      </c>
      <c r="B84" s="40">
        <f>cs!B45</f>
        <v>0</v>
      </c>
      <c r="C84" s="40"/>
      <c r="D84" s="40">
        <f>(D78+D81)/D82</f>
        <v>2.2276757558894453</v>
      </c>
      <c r="E84" s="40"/>
      <c r="F84" s="40"/>
      <c r="G84" s="40">
        <f t="shared" ref="G84:O84" si="31">(G78+G81)/G82</f>
        <v>2.5657432910993943</v>
      </c>
      <c r="H84" s="40"/>
      <c r="I84" s="40"/>
      <c r="J84" s="40">
        <f t="shared" si="31"/>
        <v>2.9470295743967827</v>
      </c>
      <c r="K84" s="40"/>
      <c r="L84" s="40">
        <f t="shared" si="31"/>
        <v>3.3804551948051937</v>
      </c>
      <c r="M84" s="40">
        <f t="shared" si="31"/>
        <v>3.8772723773448794</v>
      </c>
      <c r="N84" s="40">
        <f t="shared" si="31"/>
        <v>4.2080589225221239</v>
      </c>
      <c r="O84" s="40">
        <f t="shared" si="31"/>
        <v>4.6020250002477177</v>
      </c>
    </row>
    <row r="85" spans="1:15" hidden="1" x14ac:dyDescent="0.25"/>
  </sheetData>
  <mergeCells count="3">
    <mergeCell ref="A1:O1"/>
    <mergeCell ref="A2:O2"/>
    <mergeCell ref="A3:O3"/>
  </mergeCells>
  <pageMargins left="0.7" right="0.7" top="0.75" bottom="0.75" header="0.3" footer="0.3"/>
  <pageSetup scale="8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sqref="A1:XFD1048576"/>
    </sheetView>
  </sheetViews>
  <sheetFormatPr defaultRowHeight="15" x14ac:dyDescent="0.25"/>
  <cols>
    <col min="1" max="1" width="32.28515625" style="150" customWidth="1"/>
    <col min="2" max="8" width="9.140625" style="150"/>
    <col min="9" max="9" width="14.7109375" style="150" bestFit="1" customWidth="1"/>
    <col min="10" max="16384" width="9.140625" style="150"/>
  </cols>
  <sheetData>
    <row r="1" spans="1:9" ht="21" x14ac:dyDescent="0.35">
      <c r="A1" s="160" t="s">
        <v>11</v>
      </c>
      <c r="B1" s="160"/>
      <c r="C1" s="160"/>
    </row>
    <row r="2" spans="1:9" ht="21" x14ac:dyDescent="0.35">
      <c r="A2" s="151"/>
      <c r="B2" s="151"/>
      <c r="C2" s="151"/>
    </row>
    <row r="3" spans="1:9" x14ac:dyDescent="0.25">
      <c r="A3" s="152"/>
      <c r="B3" s="152"/>
      <c r="C3" s="153" t="s">
        <v>2</v>
      </c>
    </row>
    <row r="5" spans="1:9" x14ac:dyDescent="0.25">
      <c r="A5" s="154" t="s">
        <v>12</v>
      </c>
      <c r="C5" s="150">
        <f>C11-C7</f>
        <v>227.51999999999998</v>
      </c>
    </row>
    <row r="6" spans="1:9" x14ac:dyDescent="0.25">
      <c r="A6" s="154"/>
    </row>
    <row r="7" spans="1:9" x14ac:dyDescent="0.25">
      <c r="A7" s="154" t="s">
        <v>13</v>
      </c>
      <c r="C7" s="150">
        <f>B8+B9</f>
        <v>1104.56</v>
      </c>
      <c r="I7" s="155"/>
    </row>
    <row r="8" spans="1:9" x14ac:dyDescent="0.25">
      <c r="A8" s="150" t="s">
        <v>14</v>
      </c>
      <c r="B8" s="150">
        <f>0.85*SUM(cost!C4:C14)</f>
        <v>896.75</v>
      </c>
    </row>
    <row r="9" spans="1:9" x14ac:dyDescent="0.25">
      <c r="A9" s="150" t="s">
        <v>15</v>
      </c>
      <c r="B9" s="150">
        <f>0.75*SUM(cost!C15)</f>
        <v>207.81</v>
      </c>
    </row>
    <row r="11" spans="1:9" ht="15.75" thickBot="1" x14ac:dyDescent="0.3">
      <c r="A11" s="156" t="s">
        <v>50</v>
      </c>
      <c r="B11" s="157"/>
      <c r="C11" s="158">
        <f>cost!C17</f>
        <v>1332.08</v>
      </c>
    </row>
    <row r="12" spans="1:9" ht="15.75" thickTop="1" x14ac:dyDescent="0.25"/>
  </sheetData>
  <mergeCells count="1">
    <mergeCell ref="A1:C1"/>
  </mergeCells>
  <pageMargins left="1.42" right="0.70866141732283472" top="2.0866141732283467" bottom="0.74803149606299213" header="0.31496062992125984" footer="0.31496062992125984"/>
  <pageSetup scale="15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12"/>
  <sheetViews>
    <sheetView view="pageBreakPreview" zoomScaleSheetLayoutView="100" workbookViewId="0">
      <selection sqref="A1:XFD1048576"/>
    </sheetView>
  </sheetViews>
  <sheetFormatPr defaultRowHeight="15" x14ac:dyDescent="0.25"/>
  <cols>
    <col min="1" max="2" width="9.140625" style="1"/>
    <col min="3" max="10" width="9.5703125" style="1" bestFit="1" customWidth="1"/>
    <col min="11" max="11" width="12" style="1" bestFit="1" customWidth="1"/>
    <col min="12" max="12" width="10.5703125" style="1" bestFit="1" customWidth="1"/>
    <col min="13" max="16384" width="9.140625" style="1"/>
  </cols>
  <sheetData>
    <row r="1" spans="3:12" ht="18.75" x14ac:dyDescent="0.3">
      <c r="C1" s="162" t="s">
        <v>21</v>
      </c>
      <c r="D1" s="162"/>
      <c r="E1" s="162"/>
      <c r="F1" s="162"/>
      <c r="G1" s="162"/>
      <c r="H1" s="162"/>
      <c r="I1" s="162"/>
      <c r="J1" s="162"/>
      <c r="K1" s="162"/>
      <c r="L1" s="162"/>
    </row>
    <row r="3" spans="3:12" ht="18.75" x14ac:dyDescent="0.3">
      <c r="C3" s="163" t="s">
        <v>16</v>
      </c>
      <c r="D3" s="163"/>
      <c r="E3" s="163"/>
      <c r="F3" s="163"/>
      <c r="G3" s="163"/>
      <c r="H3" s="163"/>
      <c r="I3" s="163"/>
      <c r="J3" s="163"/>
      <c r="K3" s="163"/>
      <c r="L3" s="163"/>
    </row>
    <row r="4" spans="3:12" x14ac:dyDescent="0.25"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</row>
    <row r="5" spans="3:12" x14ac:dyDescent="0.25"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3:12" x14ac:dyDescent="0.25">
      <c r="C6" s="164" t="s">
        <v>22</v>
      </c>
      <c r="D6" s="164"/>
      <c r="E6" s="164"/>
      <c r="F6" s="164"/>
      <c r="G6" s="164"/>
      <c r="H6" s="164"/>
      <c r="I6" s="164"/>
      <c r="J6" s="41"/>
      <c r="K6" s="41"/>
      <c r="L6" s="41"/>
    </row>
    <row r="7" spans="3:12" x14ac:dyDescent="0.25">
      <c r="C7" s="41"/>
      <c r="D7" s="41"/>
      <c r="E7" s="41"/>
      <c r="F7" s="41"/>
      <c r="G7" s="41"/>
      <c r="H7" s="41"/>
      <c r="I7" s="41"/>
      <c r="J7" s="164" t="s">
        <v>18</v>
      </c>
      <c r="K7" s="164"/>
      <c r="L7" s="41"/>
    </row>
    <row r="8" spans="3:12" x14ac:dyDescent="0.25">
      <c r="C8" s="164" t="s">
        <v>19</v>
      </c>
      <c r="D8" s="164"/>
      <c r="E8" s="164"/>
      <c r="F8" s="164"/>
      <c r="G8" s="164"/>
      <c r="H8" s="41"/>
      <c r="I8" s="41"/>
      <c r="J8" s="41"/>
      <c r="K8" s="41"/>
      <c r="L8" s="41"/>
    </row>
    <row r="9" spans="3:12" x14ac:dyDescent="0.25">
      <c r="C9" s="161" t="s">
        <v>235</v>
      </c>
      <c r="D9" s="161"/>
      <c r="E9" s="161"/>
      <c r="F9" s="161"/>
      <c r="G9" s="161"/>
      <c r="H9" s="161"/>
      <c r="I9" s="161"/>
      <c r="J9" s="161"/>
      <c r="K9" s="161"/>
      <c r="L9" s="41"/>
    </row>
    <row r="10" spans="3:12" x14ac:dyDescent="0.25">
      <c r="C10" s="161"/>
      <c r="D10" s="161"/>
      <c r="E10" s="161"/>
      <c r="F10" s="161"/>
      <c r="G10" s="161"/>
      <c r="H10" s="161"/>
      <c r="I10" s="161"/>
      <c r="J10" s="161"/>
      <c r="K10" s="161"/>
      <c r="L10" s="41"/>
    </row>
    <row r="11" spans="3:12" x14ac:dyDescent="0.25">
      <c r="C11" s="5" t="s">
        <v>7</v>
      </c>
      <c r="D11" s="149"/>
      <c r="E11" s="149"/>
      <c r="F11" s="149"/>
      <c r="G11" s="149"/>
      <c r="H11" s="149"/>
      <c r="I11" s="149"/>
      <c r="J11" s="149"/>
      <c r="K11" s="149"/>
      <c r="L11" s="41"/>
    </row>
    <row r="12" spans="3:12" x14ac:dyDescent="0.25">
      <c r="C12" s="41"/>
      <c r="D12" s="41"/>
      <c r="E12" s="41"/>
      <c r="F12" s="41"/>
      <c r="G12" s="41"/>
      <c r="H12" s="41"/>
      <c r="I12" s="41"/>
      <c r="J12" s="41"/>
      <c r="K12" s="41"/>
      <c r="L12" s="5" t="s">
        <v>20</v>
      </c>
    </row>
  </sheetData>
  <mergeCells count="6">
    <mergeCell ref="C9:K10"/>
    <mergeCell ref="C1:L1"/>
    <mergeCell ref="C3:L3"/>
    <mergeCell ref="C6:I6"/>
    <mergeCell ref="J7:K7"/>
    <mergeCell ref="C8:G8"/>
  </mergeCells>
  <pageMargins left="1.57" right="0.70866141732283472" top="1.68" bottom="0.74803149606299213" header="0.31496062992125984" footer="0.31496062992125984"/>
  <pageSetup scale="113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sqref="A1:XFD1048576"/>
    </sheetView>
  </sheetViews>
  <sheetFormatPr defaultRowHeight="15" x14ac:dyDescent="0.25"/>
  <cols>
    <col min="1" max="1" width="34.140625" style="1" bestFit="1" customWidth="1"/>
    <col min="2" max="2" width="11.85546875" style="1" bestFit="1" customWidth="1"/>
    <col min="3" max="4" width="10.42578125" style="1" bestFit="1" customWidth="1"/>
    <col min="5" max="6" width="9.85546875" style="1" bestFit="1" customWidth="1"/>
    <col min="7" max="7" width="9.28515625" style="1" bestFit="1" customWidth="1"/>
    <col min="8" max="8" width="11.85546875" style="1" bestFit="1" customWidth="1"/>
    <col min="9" max="9" width="9.85546875" style="1" bestFit="1" customWidth="1"/>
    <col min="10" max="10" width="12.140625" style="1" bestFit="1" customWidth="1"/>
    <col min="11" max="11" width="11.85546875" style="1" bestFit="1" customWidth="1"/>
    <col min="12" max="12" width="9.28515625" style="1" bestFit="1" customWidth="1"/>
    <col min="13" max="13" width="13" style="1" bestFit="1" customWidth="1"/>
    <col min="14" max="16384" width="9.140625" style="1"/>
  </cols>
  <sheetData>
    <row r="1" spans="1:13" ht="23.25" x14ac:dyDescent="0.35">
      <c r="A1" s="124" t="s">
        <v>23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3" ht="15.75" thickBot="1" x14ac:dyDescent="0.3">
      <c r="M2" s="3" t="s">
        <v>2</v>
      </c>
    </row>
    <row r="3" spans="1:13" ht="24.95" customHeight="1" thickBot="1" x14ac:dyDescent="0.35">
      <c r="A3" s="167" t="s">
        <v>26</v>
      </c>
      <c r="B3" s="165" t="s">
        <v>16</v>
      </c>
      <c r="C3" s="166"/>
      <c r="D3" s="166"/>
      <c r="E3" s="166"/>
      <c r="F3" s="166"/>
      <c r="G3" s="166"/>
      <c r="H3" s="166"/>
      <c r="I3" s="166"/>
      <c r="J3" s="166"/>
      <c r="K3" s="166"/>
      <c r="L3" s="126"/>
      <c r="M3" s="167" t="s">
        <v>24</v>
      </c>
    </row>
    <row r="4" spans="1:13" ht="24.95" customHeight="1" thickBot="1" x14ac:dyDescent="0.3">
      <c r="A4" s="168"/>
      <c r="B4" s="127">
        <v>1</v>
      </c>
      <c r="C4" s="128">
        <v>2</v>
      </c>
      <c r="D4" s="128">
        <v>3</v>
      </c>
      <c r="E4" s="128">
        <v>4</v>
      </c>
      <c r="F4" s="128">
        <v>5</v>
      </c>
      <c r="G4" s="128">
        <v>6</v>
      </c>
      <c r="H4" s="128">
        <v>7</v>
      </c>
      <c r="I4" s="128">
        <v>8</v>
      </c>
      <c r="J4" s="128">
        <v>9</v>
      </c>
      <c r="K4" s="128">
        <v>10</v>
      </c>
      <c r="L4" s="128">
        <v>11</v>
      </c>
      <c r="M4" s="168"/>
    </row>
    <row r="5" spans="1:13" ht="24.95" customHeight="1" x14ac:dyDescent="0.25">
      <c r="A5" s="129"/>
      <c r="B5" s="130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2"/>
    </row>
    <row r="6" spans="1:13" ht="24.95" customHeight="1" x14ac:dyDescent="0.25">
      <c r="A6" s="133" t="s">
        <v>17</v>
      </c>
      <c r="B6" s="134">
        <f>0.4*M6</f>
        <v>236</v>
      </c>
      <c r="C6" s="135"/>
      <c r="D6" s="135"/>
      <c r="E6" s="135"/>
      <c r="F6" s="135"/>
      <c r="G6" s="135"/>
      <c r="H6" s="135">
        <f>0.6*M6</f>
        <v>354</v>
      </c>
      <c r="I6" s="38"/>
      <c r="J6" s="38"/>
      <c r="K6" s="38"/>
      <c r="L6" s="38"/>
      <c r="M6" s="136">
        <f>cost!C4+cost!C5+cost!C6+cost!C7</f>
        <v>590</v>
      </c>
    </row>
    <row r="7" spans="1:13" ht="24.95" customHeight="1" x14ac:dyDescent="0.25">
      <c r="A7" s="133" t="s">
        <v>18</v>
      </c>
      <c r="B7" s="137"/>
      <c r="C7" s="38"/>
      <c r="D7" s="38"/>
      <c r="E7" s="38"/>
      <c r="F7" s="38"/>
      <c r="G7" s="38"/>
      <c r="H7" s="38"/>
      <c r="I7" s="135">
        <f>cost!$C$8/2</f>
        <v>12.5</v>
      </c>
      <c r="J7" s="135">
        <f>cost!$C$8/2</f>
        <v>12.5</v>
      </c>
      <c r="K7" s="38"/>
      <c r="L7" s="38"/>
      <c r="M7" s="136">
        <f>cost!C8</f>
        <v>25</v>
      </c>
    </row>
    <row r="8" spans="1:13" ht="24.95" customHeight="1" x14ac:dyDescent="0.25">
      <c r="A8" s="133" t="s">
        <v>232</v>
      </c>
      <c r="B8" s="134">
        <v>35</v>
      </c>
      <c r="C8" s="135">
        <f>B8</f>
        <v>35</v>
      </c>
      <c r="D8" s="135">
        <f>ROUND((M8-B8-C8)/3, 0)</f>
        <v>17</v>
      </c>
      <c r="E8" s="135">
        <f>ROUND((M8-B8-C8)/3, 0)</f>
        <v>17</v>
      </c>
      <c r="F8" s="135">
        <f>M8-SUM(B8:E8)</f>
        <v>16</v>
      </c>
      <c r="G8" s="38"/>
      <c r="H8" s="38"/>
      <c r="I8" s="38"/>
      <c r="J8" s="38"/>
      <c r="K8" s="38"/>
      <c r="L8" s="38"/>
      <c r="M8" s="136">
        <f>cost!C10+cost!C11+cost!C12+cost!C13</f>
        <v>120</v>
      </c>
    </row>
    <row r="9" spans="1:13" ht="24.95" customHeight="1" x14ac:dyDescent="0.25">
      <c r="A9" s="133" t="s">
        <v>31</v>
      </c>
      <c r="B9" s="169">
        <f>cost!$C$14/10</f>
        <v>5</v>
      </c>
      <c r="C9" s="169">
        <f>cost!$C$14/10</f>
        <v>5</v>
      </c>
      <c r="D9" s="169">
        <f>cost!$C$14/10</f>
        <v>5</v>
      </c>
      <c r="E9" s="169">
        <f>cost!$C$14/10</f>
        <v>5</v>
      </c>
      <c r="F9" s="169">
        <f>cost!$C$14/10</f>
        <v>5</v>
      </c>
      <c r="G9" s="169">
        <f>cost!$C$14/10</f>
        <v>5</v>
      </c>
      <c r="H9" s="169">
        <f>cost!$C$14/10</f>
        <v>5</v>
      </c>
      <c r="I9" s="169">
        <f>cost!$C$14/10</f>
        <v>5</v>
      </c>
      <c r="J9" s="169">
        <f>M9-SUM(B9:I10)</f>
        <v>10</v>
      </c>
      <c r="K9" s="38"/>
      <c r="L9" s="38"/>
      <c r="M9" s="136">
        <f>cost!C14</f>
        <v>50</v>
      </c>
    </row>
    <row r="10" spans="1:13" ht="24.95" customHeight="1" x14ac:dyDescent="0.25">
      <c r="A10" s="133" t="s">
        <v>25</v>
      </c>
      <c r="B10" s="169"/>
      <c r="C10" s="169"/>
      <c r="D10" s="169"/>
      <c r="E10" s="169"/>
      <c r="F10" s="169"/>
      <c r="G10" s="169"/>
      <c r="H10" s="169"/>
      <c r="I10" s="169"/>
      <c r="J10" s="169"/>
      <c r="K10" s="38"/>
      <c r="L10" s="38"/>
      <c r="M10" s="136">
        <f t="shared" ref="M10:M12" si="0">SUM(B10:K10)</f>
        <v>0</v>
      </c>
    </row>
    <row r="11" spans="1:13" ht="24.95" customHeight="1" x14ac:dyDescent="0.25">
      <c r="A11" s="133" t="s">
        <v>7</v>
      </c>
      <c r="B11" s="138">
        <f>M11</f>
        <v>270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136">
        <v>270</v>
      </c>
    </row>
    <row r="12" spans="1:13" ht="24.95" customHeight="1" x14ac:dyDescent="0.25">
      <c r="A12" s="133" t="s">
        <v>20</v>
      </c>
      <c r="B12" s="137"/>
      <c r="C12" s="38"/>
      <c r="D12" s="38"/>
      <c r="E12" s="38"/>
      <c r="F12" s="38"/>
      <c r="G12" s="38"/>
      <c r="H12" s="38"/>
      <c r="I12" s="38"/>
      <c r="J12" s="38"/>
      <c r="K12" s="139">
        <f>cost!C15</f>
        <v>277.08</v>
      </c>
      <c r="L12" s="139"/>
      <c r="M12" s="140">
        <f t="shared" si="0"/>
        <v>277.08</v>
      </c>
    </row>
    <row r="13" spans="1:13" ht="24.95" customHeight="1" thickBot="1" x14ac:dyDescent="0.3">
      <c r="A13" s="141" t="s">
        <v>30</v>
      </c>
      <c r="B13" s="142"/>
      <c r="C13" s="143"/>
      <c r="D13" s="143"/>
      <c r="E13" s="143"/>
      <c r="F13" s="143"/>
      <c r="G13" s="143"/>
      <c r="H13" s="143"/>
      <c r="I13" s="38"/>
      <c r="J13" s="38"/>
      <c r="K13" s="139"/>
      <c r="L13" s="139"/>
      <c r="M13" s="144"/>
    </row>
    <row r="14" spans="1:13" ht="24.95" customHeight="1" thickBot="1" x14ac:dyDescent="0.3">
      <c r="A14" s="145" t="s">
        <v>50</v>
      </c>
      <c r="B14" s="146">
        <f>SUM(B6:B12)</f>
        <v>546</v>
      </c>
      <c r="C14" s="146">
        <f t="shared" ref="C14:K14" si="1">SUM(C6:C12)</f>
        <v>40</v>
      </c>
      <c r="D14" s="146">
        <f t="shared" si="1"/>
        <v>22</v>
      </c>
      <c r="E14" s="146">
        <f t="shared" si="1"/>
        <v>22</v>
      </c>
      <c r="F14" s="146">
        <f t="shared" si="1"/>
        <v>21</v>
      </c>
      <c r="G14" s="146">
        <f t="shared" si="1"/>
        <v>5</v>
      </c>
      <c r="H14" s="146">
        <f t="shared" si="1"/>
        <v>359</v>
      </c>
      <c r="I14" s="147">
        <f t="shared" si="1"/>
        <v>17.5</v>
      </c>
      <c r="J14" s="147">
        <f t="shared" si="1"/>
        <v>22.5</v>
      </c>
      <c r="K14" s="146">
        <f t="shared" si="1"/>
        <v>277.08</v>
      </c>
      <c r="L14" s="148"/>
      <c r="M14" s="147">
        <f>SUM(M6:M12)</f>
        <v>1332.08</v>
      </c>
    </row>
    <row r="15" spans="1:13" ht="24.95" customHeight="1" x14ac:dyDescent="0.25">
      <c r="K15" s="76"/>
      <c r="L15" s="76"/>
    </row>
    <row r="16" spans="1:13" ht="24.95" customHeight="1" x14ac:dyDescent="0.25">
      <c r="A16" s="5" t="s">
        <v>28</v>
      </c>
      <c r="B16" s="75">
        <f>B14-B17</f>
        <v>464.1</v>
      </c>
      <c r="C16" s="75">
        <f t="shared" ref="C16:J16" si="2">C14-C17</f>
        <v>34</v>
      </c>
      <c r="D16" s="75">
        <f t="shared" si="2"/>
        <v>18.7</v>
      </c>
      <c r="E16" s="75">
        <f t="shared" si="2"/>
        <v>18.7</v>
      </c>
      <c r="F16" s="75">
        <f t="shared" si="2"/>
        <v>17.850000000000001</v>
      </c>
      <c r="G16" s="75">
        <f>G14-G17</f>
        <v>4.25</v>
      </c>
      <c r="H16" s="75">
        <f t="shared" si="2"/>
        <v>305.14999999999998</v>
      </c>
      <c r="I16" s="75">
        <f t="shared" si="2"/>
        <v>14.875</v>
      </c>
      <c r="J16" s="75">
        <f t="shared" si="2"/>
        <v>19.125</v>
      </c>
      <c r="K16" s="75">
        <f>K14-K17</f>
        <v>207.81</v>
      </c>
      <c r="L16" s="75"/>
      <c r="M16" s="75">
        <f>SUM(B16:K16)</f>
        <v>1104.5600000000002</v>
      </c>
    </row>
    <row r="17" spans="1:13" ht="24.95" customHeight="1" x14ac:dyDescent="0.25">
      <c r="A17" s="5" t="s">
        <v>12</v>
      </c>
      <c r="B17" s="75">
        <f>B14*0.15</f>
        <v>81.899999999999991</v>
      </c>
      <c r="C17" s="75">
        <f t="shared" ref="C17:J17" si="3">C14*0.15</f>
        <v>6</v>
      </c>
      <c r="D17" s="75">
        <f t="shared" si="3"/>
        <v>3.3</v>
      </c>
      <c r="E17" s="75">
        <f t="shared" si="3"/>
        <v>3.3</v>
      </c>
      <c r="F17" s="75">
        <f t="shared" si="3"/>
        <v>3.15</v>
      </c>
      <c r="G17" s="75">
        <f t="shared" si="3"/>
        <v>0.75</v>
      </c>
      <c r="H17" s="75">
        <f t="shared" si="3"/>
        <v>53.85</v>
      </c>
      <c r="I17" s="75">
        <f t="shared" si="3"/>
        <v>2.625</v>
      </c>
      <c r="J17" s="75">
        <f t="shared" si="3"/>
        <v>3.375</v>
      </c>
      <c r="K17" s="75">
        <f>K14*0.25</f>
        <v>69.27</v>
      </c>
      <c r="L17" s="75"/>
      <c r="M17" s="75">
        <f>SUM(B17:K17)</f>
        <v>227.51999999999998</v>
      </c>
    </row>
    <row r="22" spans="1:13" x14ac:dyDescent="0.25">
      <c r="C22" s="1" t="s">
        <v>29</v>
      </c>
      <c r="I22" s="82">
        <f>896.75-SUM(B16:J16)</f>
        <v>0</v>
      </c>
    </row>
  </sheetData>
  <mergeCells count="12">
    <mergeCell ref="B3:K3"/>
    <mergeCell ref="A3:A4"/>
    <mergeCell ref="M3:M4"/>
    <mergeCell ref="J9:J10"/>
    <mergeCell ref="B9:B10"/>
    <mergeCell ref="C9:C10"/>
    <mergeCell ref="D9:D10"/>
    <mergeCell ref="E9:E10"/>
    <mergeCell ref="F9:F10"/>
    <mergeCell ref="G9:G10"/>
    <mergeCell ref="H9:H10"/>
    <mergeCell ref="I9:I10"/>
  </mergeCells>
  <pageMargins left="0.70866141732283472" right="0.70866141732283472" top="0.74803149606299213" bottom="0.74803149606299213" header="0.31496062992125984" footer="0.31496062992125984"/>
  <pageSetup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0"/>
  <sheetViews>
    <sheetView zoomScaleSheetLayoutView="100" workbookViewId="0">
      <selection activeCell="D21" sqref="D21"/>
    </sheetView>
  </sheetViews>
  <sheetFormatPr defaultRowHeight="15" x14ac:dyDescent="0.25"/>
  <cols>
    <col min="1" max="1" width="44.42578125" style="1" bestFit="1" customWidth="1"/>
    <col min="2" max="2" width="5.28515625" style="1" bestFit="1" customWidth="1"/>
    <col min="3" max="3" width="9.42578125" style="1" bestFit="1" customWidth="1"/>
    <col min="4" max="4" width="9.42578125" style="1" customWidth="1"/>
    <col min="5" max="10" width="9.42578125" style="1" bestFit="1" customWidth="1"/>
    <col min="11" max="16384" width="9.140625" style="1"/>
  </cols>
  <sheetData>
    <row r="1" spans="1:10" ht="21" x14ac:dyDescent="0.35">
      <c r="A1" s="170" t="s">
        <v>236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ht="21" x14ac:dyDescent="0.35">
      <c r="A2" s="120"/>
      <c r="B2" s="120"/>
      <c r="C2" s="120"/>
      <c r="D2" s="120"/>
      <c r="E2" s="120"/>
      <c r="F2" s="120"/>
      <c r="G2" s="120"/>
      <c r="H2" s="120"/>
      <c r="I2" s="120"/>
      <c r="J2" s="120"/>
    </row>
    <row r="3" spans="1:10" x14ac:dyDescent="0.25">
      <c r="I3" s="171" t="s">
        <v>2</v>
      </c>
      <c r="J3" s="171"/>
    </row>
    <row r="4" spans="1:10" x14ac:dyDescent="0.25">
      <c r="A4" s="121" t="s">
        <v>142</v>
      </c>
      <c r="B4" s="121"/>
      <c r="C4" s="121"/>
      <c r="D4" s="121" t="s">
        <v>120</v>
      </c>
      <c r="E4" s="121" t="s">
        <v>121</v>
      </c>
      <c r="F4" s="121" t="s">
        <v>122</v>
      </c>
      <c r="G4" s="121" t="s">
        <v>123</v>
      </c>
      <c r="H4" s="121" t="s">
        <v>124</v>
      </c>
      <c r="I4" s="121" t="s">
        <v>125</v>
      </c>
      <c r="J4" s="121" t="s">
        <v>126</v>
      </c>
    </row>
    <row r="5" spans="1:10" x14ac:dyDescent="0.25">
      <c r="A5" s="121" t="s">
        <v>52</v>
      </c>
      <c r="B5" s="121"/>
      <c r="C5" s="122">
        <v>1</v>
      </c>
      <c r="D5" s="122">
        <f>process!C15</f>
        <v>0.6</v>
      </c>
      <c r="E5" s="122">
        <f>process!D15</f>
        <v>0.65</v>
      </c>
      <c r="F5" s="122">
        <f>process!E15</f>
        <v>0.7</v>
      </c>
      <c r="G5" s="122">
        <f>process!F15</f>
        <v>0.75</v>
      </c>
      <c r="H5" s="122">
        <f>process!G15</f>
        <v>0.8</v>
      </c>
      <c r="I5" s="122">
        <v>0.8</v>
      </c>
      <c r="J5" s="122">
        <v>0.8</v>
      </c>
    </row>
    <row r="6" spans="1:10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</row>
    <row r="7" spans="1:10" x14ac:dyDescent="0.25">
      <c r="A7" s="121"/>
      <c r="B7" s="121" t="s">
        <v>53</v>
      </c>
      <c r="C7" s="121" t="s">
        <v>54</v>
      </c>
      <c r="D7" s="121"/>
      <c r="E7" s="121"/>
      <c r="F7" s="121"/>
      <c r="G7" s="121"/>
      <c r="H7" s="121"/>
      <c r="I7" s="121"/>
      <c r="J7" s="121"/>
    </row>
    <row r="8" spans="1:10" x14ac:dyDescent="0.25">
      <c r="A8" s="121"/>
      <c r="B8" s="121"/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21" t="s">
        <v>55</v>
      </c>
      <c r="B9" s="121">
        <v>90</v>
      </c>
      <c r="C9" s="123">
        <f>process!B16/4</f>
        <v>251.45</v>
      </c>
      <c r="D9" s="123">
        <f>ROUND(process!C16/4, 2)</f>
        <v>150.87</v>
      </c>
      <c r="E9" s="123">
        <f>process!D16/4</f>
        <v>163.4425</v>
      </c>
      <c r="F9" s="123">
        <f>process!E16/4</f>
        <v>176.01499999999999</v>
      </c>
      <c r="G9" s="123">
        <f>process!F16/4</f>
        <v>188.58750000000001</v>
      </c>
      <c r="H9" s="123">
        <f>process!G16/4</f>
        <v>201.16</v>
      </c>
      <c r="I9" s="123">
        <f>H9</f>
        <v>201.16</v>
      </c>
      <c r="J9" s="123">
        <f>I9</f>
        <v>201.16</v>
      </c>
    </row>
    <row r="10" spans="1:10" x14ac:dyDescent="0.25">
      <c r="A10" s="121" t="s">
        <v>150</v>
      </c>
      <c r="B10" s="121">
        <v>30</v>
      </c>
      <c r="C10" s="123">
        <f>ROUND(cu!D30/100000, 2)</f>
        <v>1.54</v>
      </c>
      <c r="D10" s="123">
        <f>ROUND(C10*1.05, 2)</f>
        <v>1.62</v>
      </c>
      <c r="E10" s="123">
        <f t="shared" ref="E10:J10" si="0">D10*1.05</f>
        <v>1.7010000000000003</v>
      </c>
      <c r="F10" s="123">
        <f t="shared" si="0"/>
        <v>1.7860500000000004</v>
      </c>
      <c r="G10" s="123">
        <f t="shared" si="0"/>
        <v>1.8753525000000004</v>
      </c>
      <c r="H10" s="123">
        <f t="shared" si="0"/>
        <v>1.9691201250000006</v>
      </c>
      <c r="I10" s="123">
        <f t="shared" si="0"/>
        <v>2.0675761312500005</v>
      </c>
      <c r="J10" s="123">
        <f t="shared" si="0"/>
        <v>2.1709549378125006</v>
      </c>
    </row>
    <row r="11" spans="1:10" x14ac:dyDescent="0.25">
      <c r="A11" s="121" t="s">
        <v>151</v>
      </c>
      <c r="B11" s="121">
        <v>30</v>
      </c>
      <c r="C11" s="123">
        <f>ROUND(cu!E30/100000, 2)</f>
        <v>1.67</v>
      </c>
      <c r="D11" s="123">
        <f>ROUND(C11*1.05, 2)</f>
        <v>1.75</v>
      </c>
      <c r="E11" s="123">
        <f t="shared" ref="E11:J11" si="1">D11*1.05</f>
        <v>1.8375000000000001</v>
      </c>
      <c r="F11" s="123">
        <f t="shared" si="1"/>
        <v>1.9293750000000003</v>
      </c>
      <c r="G11" s="123">
        <f t="shared" si="1"/>
        <v>2.0258437500000004</v>
      </c>
      <c r="H11" s="123">
        <f t="shared" si="1"/>
        <v>2.1271359375000003</v>
      </c>
      <c r="I11" s="123">
        <f t="shared" si="1"/>
        <v>2.2334927343750004</v>
      </c>
      <c r="J11" s="123">
        <f t="shared" si="1"/>
        <v>2.3451673710937504</v>
      </c>
    </row>
    <row r="12" spans="1:10" x14ac:dyDescent="0.25">
      <c r="A12" s="121" t="s">
        <v>152</v>
      </c>
      <c r="B12" s="121">
        <v>30</v>
      </c>
      <c r="C12" s="123">
        <f>process!B17/12</f>
        <v>204.72666666666669</v>
      </c>
      <c r="D12" s="123">
        <f>ROUND(process!C17/12, 2)</f>
        <v>122.84</v>
      </c>
      <c r="E12" s="123">
        <f>process!D17/12</f>
        <v>133.07249999999999</v>
      </c>
      <c r="F12" s="123">
        <f>process!E17/12</f>
        <v>143.30916666666667</v>
      </c>
      <c r="G12" s="123">
        <f>process!F17/12</f>
        <v>153.54583333333332</v>
      </c>
      <c r="H12" s="123">
        <f>process!G17/12</f>
        <v>163.7825</v>
      </c>
      <c r="I12" s="123">
        <f>H12</f>
        <v>163.7825</v>
      </c>
      <c r="J12" s="123">
        <f>I12</f>
        <v>163.7825</v>
      </c>
    </row>
    <row r="13" spans="1:10" x14ac:dyDescent="0.25">
      <c r="A13" s="121"/>
      <c r="B13" s="121"/>
      <c r="C13" s="123"/>
      <c r="D13" s="123"/>
      <c r="E13" s="123"/>
      <c r="F13" s="123"/>
      <c r="G13" s="123"/>
      <c r="H13" s="123"/>
      <c r="I13" s="123"/>
      <c r="J13" s="123"/>
    </row>
    <row r="14" spans="1:10" x14ac:dyDescent="0.25">
      <c r="A14" s="121" t="s">
        <v>10</v>
      </c>
      <c r="B14" s="121"/>
      <c r="C14" s="123">
        <f>SUM(C9:C13)</f>
        <v>459.38666666666666</v>
      </c>
      <c r="D14" s="123">
        <f>ROUND(SUM(D9:D13), 2)</f>
        <v>277.08</v>
      </c>
      <c r="E14" s="123">
        <f t="shared" ref="E14:J14" si="2">SUM(E9:E13)</f>
        <v>300.05349999999999</v>
      </c>
      <c r="F14" s="123">
        <f t="shared" si="2"/>
        <v>323.03959166666664</v>
      </c>
      <c r="G14" s="123">
        <f t="shared" si="2"/>
        <v>346.03452958333332</v>
      </c>
      <c r="H14" s="123">
        <f t="shared" si="2"/>
        <v>369.03875606249994</v>
      </c>
      <c r="I14" s="123">
        <f t="shared" si="2"/>
        <v>369.24356886562498</v>
      </c>
      <c r="J14" s="123">
        <f t="shared" si="2"/>
        <v>369.45862230890623</v>
      </c>
    </row>
    <row r="15" spans="1:10" x14ac:dyDescent="0.25">
      <c r="A15" s="121" t="s">
        <v>229</v>
      </c>
      <c r="B15" s="121"/>
      <c r="C15" s="123">
        <f>ROUND(C14*0.25, 2)</f>
        <v>114.85</v>
      </c>
      <c r="D15" s="123">
        <f t="shared" ref="D15:J15" si="3">ROUND(D14*0.25, 2)</f>
        <v>69.27</v>
      </c>
      <c r="E15" s="123">
        <f t="shared" si="3"/>
        <v>75.010000000000005</v>
      </c>
      <c r="F15" s="123">
        <f t="shared" si="3"/>
        <v>80.760000000000005</v>
      </c>
      <c r="G15" s="123">
        <f t="shared" si="3"/>
        <v>86.51</v>
      </c>
      <c r="H15" s="123">
        <f t="shared" si="3"/>
        <v>92.26</v>
      </c>
      <c r="I15" s="123">
        <f t="shared" si="3"/>
        <v>92.31</v>
      </c>
      <c r="J15" s="123">
        <f t="shared" si="3"/>
        <v>92.36</v>
      </c>
    </row>
    <row r="16" spans="1:10" x14ac:dyDescent="0.25">
      <c r="A16" s="121"/>
      <c r="B16" s="121"/>
      <c r="C16" s="123"/>
      <c r="D16" s="123"/>
      <c r="E16" s="123"/>
      <c r="F16" s="123"/>
      <c r="G16" s="123"/>
      <c r="H16" s="123"/>
      <c r="I16" s="123"/>
      <c r="J16" s="123"/>
    </row>
    <row r="17" spans="1:10" x14ac:dyDescent="0.25">
      <c r="A17" s="121" t="s">
        <v>141</v>
      </c>
      <c r="B17" s="121"/>
      <c r="C17" s="123">
        <f>C14-C15</f>
        <v>344.53666666666663</v>
      </c>
      <c r="D17" s="123">
        <f>ROUND(D14-D15, 2)</f>
        <v>207.81</v>
      </c>
      <c r="E17" s="123">
        <f t="shared" ref="E17:J17" si="4">ROUND(E14-E15, 2)</f>
        <v>225.04</v>
      </c>
      <c r="F17" s="123">
        <f t="shared" si="4"/>
        <v>242.28</v>
      </c>
      <c r="G17" s="123">
        <f t="shared" si="4"/>
        <v>259.52</v>
      </c>
      <c r="H17" s="123">
        <f t="shared" si="4"/>
        <v>276.77999999999997</v>
      </c>
      <c r="I17" s="123">
        <f t="shared" si="4"/>
        <v>276.93</v>
      </c>
      <c r="J17" s="123">
        <f t="shared" si="4"/>
        <v>277.10000000000002</v>
      </c>
    </row>
    <row r="18" spans="1:10" x14ac:dyDescent="0.25">
      <c r="A18" s="1" t="s">
        <v>222</v>
      </c>
    </row>
    <row r="20" spans="1:10" x14ac:dyDescent="0.25">
      <c r="D20" s="82">
        <f>D9+D12</f>
        <v>273.71000000000004</v>
      </c>
      <c r="E20" s="82">
        <f t="shared" ref="E20:J20" si="5">E9+E12</f>
        <v>296.51499999999999</v>
      </c>
      <c r="F20" s="82">
        <f t="shared" si="5"/>
        <v>319.32416666666666</v>
      </c>
      <c r="G20" s="82">
        <f t="shared" si="5"/>
        <v>342.13333333333333</v>
      </c>
      <c r="H20" s="82">
        <f t="shared" si="5"/>
        <v>364.9425</v>
      </c>
      <c r="I20" s="82">
        <f t="shared" si="5"/>
        <v>364.9425</v>
      </c>
      <c r="J20" s="82">
        <f t="shared" si="5"/>
        <v>364.9425</v>
      </c>
    </row>
  </sheetData>
  <mergeCells count="2">
    <mergeCell ref="A1:J1"/>
    <mergeCell ref="I3:J3"/>
  </mergeCells>
  <pageMargins left="0.76" right="0.70866141732283472" top="1.41" bottom="0.74803149606299213" header="0.31496062992125984" footer="0.31496062992125984"/>
  <pageSetup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2"/>
  <sheetViews>
    <sheetView view="pageBreakPreview" topLeftCell="A85" zoomScale="96" zoomScaleSheetLayoutView="96" workbookViewId="0">
      <selection sqref="A1:XFD1048576"/>
    </sheetView>
  </sheetViews>
  <sheetFormatPr defaultRowHeight="15" x14ac:dyDescent="0.25"/>
  <cols>
    <col min="1" max="1" width="18" style="1" bestFit="1" customWidth="1"/>
    <col min="2" max="2" width="11.42578125" style="1" customWidth="1"/>
    <col min="3" max="3" width="9.140625" style="1"/>
    <col min="4" max="4" width="12.140625" style="1" bestFit="1" customWidth="1"/>
    <col min="5" max="5" width="11.7109375" style="1" customWidth="1"/>
    <col min="6" max="6" width="11.5703125" style="1" customWidth="1"/>
    <col min="7" max="7" width="9.5703125" style="1" bestFit="1" customWidth="1"/>
    <col min="8" max="16384" width="9.140625" style="1"/>
  </cols>
  <sheetData>
    <row r="1" spans="1:19" ht="21.75" thickBot="1" x14ac:dyDescent="0.4">
      <c r="A1" s="172" t="s">
        <v>35</v>
      </c>
      <c r="B1" s="173"/>
      <c r="C1" s="173"/>
      <c r="D1" s="173"/>
      <c r="E1" s="173"/>
      <c r="F1" s="173"/>
      <c r="G1" s="174"/>
    </row>
    <row r="2" spans="1:19" x14ac:dyDescent="0.25">
      <c r="A2" s="103"/>
      <c r="B2" s="103"/>
      <c r="C2" s="103"/>
      <c r="D2" s="103"/>
      <c r="E2" s="103"/>
      <c r="F2" s="103"/>
      <c r="G2" s="103"/>
    </row>
    <row r="3" spans="1:19" x14ac:dyDescent="0.25">
      <c r="A3" s="104" t="s">
        <v>36</v>
      </c>
      <c r="B3" s="105">
        <v>0.12</v>
      </c>
      <c r="C3" s="104"/>
      <c r="D3" s="104"/>
      <c r="E3" s="104"/>
      <c r="F3" s="104"/>
      <c r="G3" s="104"/>
    </row>
    <row r="4" spans="1:19" ht="15.75" thickBot="1" x14ac:dyDescent="0.3">
      <c r="A4" s="104"/>
      <c r="B4" s="104"/>
      <c r="C4" s="104"/>
      <c r="D4" s="104"/>
      <c r="E4" s="104"/>
      <c r="F4" s="104"/>
      <c r="G4" s="104"/>
    </row>
    <row r="5" spans="1:19" s="58" customFormat="1" ht="37.5" customHeight="1" thickBot="1" x14ac:dyDescent="0.3">
      <c r="A5" s="106" t="s">
        <v>16</v>
      </c>
      <c r="B5" s="107" t="s">
        <v>32</v>
      </c>
      <c r="C5" s="107" t="s">
        <v>33</v>
      </c>
      <c r="D5" s="107" t="s">
        <v>37</v>
      </c>
      <c r="E5" s="107" t="s">
        <v>38</v>
      </c>
      <c r="F5" s="107" t="s">
        <v>39</v>
      </c>
      <c r="G5" s="108" t="s">
        <v>34</v>
      </c>
    </row>
    <row r="6" spans="1:19" ht="15.75" thickBot="1" x14ac:dyDescent="0.3">
      <c r="A6" s="104"/>
      <c r="B6" s="104"/>
      <c r="C6" s="104"/>
      <c r="D6" s="104"/>
      <c r="E6" s="104"/>
      <c r="F6" s="104"/>
      <c r="G6" s="104"/>
      <c r="L6" s="1" t="s">
        <v>183</v>
      </c>
      <c r="M6" s="1" t="s">
        <v>184</v>
      </c>
      <c r="N6" s="1" t="s">
        <v>185</v>
      </c>
      <c r="O6" s="1" t="s">
        <v>186</v>
      </c>
      <c r="P6" s="1" t="s">
        <v>187</v>
      </c>
      <c r="Q6" s="1" t="s">
        <v>188</v>
      </c>
      <c r="R6" s="1" t="s">
        <v>189</v>
      </c>
      <c r="S6" s="1" t="s">
        <v>190</v>
      </c>
    </row>
    <row r="7" spans="1:19" x14ac:dyDescent="0.25">
      <c r="A7" s="109">
        <v>1</v>
      </c>
      <c r="B7" s="110">
        <v>0</v>
      </c>
      <c r="C7" s="110">
        <f>'cash budget'!B16</f>
        <v>464.1</v>
      </c>
      <c r="D7" s="111">
        <f>ROUND((C7*B3/12)+1, 2)</f>
        <v>5.64</v>
      </c>
      <c r="E7" s="112"/>
      <c r="F7" s="113"/>
      <c r="G7" s="114">
        <f>B7+C7+D7</f>
        <v>469.74</v>
      </c>
      <c r="K7" s="1" t="s">
        <v>182</v>
      </c>
      <c r="L7" s="1">
        <v>0</v>
      </c>
      <c r="M7" s="82">
        <f>ROUND(SUM(E19:E30), 2)</f>
        <v>140.91999999999999</v>
      </c>
      <c r="N7" s="82">
        <f>ROUND(SUM(E31:E42), 2)</f>
        <v>140.91999999999999</v>
      </c>
      <c r="O7" s="82">
        <f>ROUND(SUM(E43:E54), 2)</f>
        <v>140.91999999999999</v>
      </c>
      <c r="P7" s="82">
        <f>ROUND(SUM(E55:E66), 2)</f>
        <v>140.91999999999999</v>
      </c>
      <c r="Q7" s="82">
        <f>ROUND(SUM(E67:E78), 2)</f>
        <v>140.91999999999999</v>
      </c>
      <c r="R7" s="82">
        <f>ROUND(SUM(E79:E90), 2)</f>
        <v>140.91999999999999</v>
      </c>
      <c r="S7" s="82">
        <f>ROUND(SUM(E91:E102), 2)</f>
        <v>140.91999999999999</v>
      </c>
    </row>
    <row r="8" spans="1:19" x14ac:dyDescent="0.25">
      <c r="A8" s="109">
        <v>2</v>
      </c>
      <c r="B8" s="110">
        <f>G7</f>
        <v>469.74</v>
      </c>
      <c r="C8" s="110">
        <f>'cash budget'!C16</f>
        <v>34</v>
      </c>
      <c r="D8" s="111">
        <f>ROUND((B8+C8)*$B$3/12, 2)</f>
        <v>5.04</v>
      </c>
      <c r="E8" s="115"/>
      <c r="F8" s="116"/>
      <c r="G8" s="114">
        <f t="shared" ref="G8:G17" si="0">B8+C8+D8</f>
        <v>508.78000000000003</v>
      </c>
      <c r="K8" s="1" t="s">
        <v>145</v>
      </c>
      <c r="L8" s="1">
        <v>0</v>
      </c>
      <c r="M8" s="82">
        <f>ROUND(SUM(D19:D30), 2)</f>
        <v>110.62</v>
      </c>
      <c r="N8" s="82">
        <f>ROUND(SUM(D31:D42), 2)</f>
        <v>93.72</v>
      </c>
      <c r="O8" s="82">
        <f>ROUND(SUM(D43:D54), 2)</f>
        <v>76.8</v>
      </c>
      <c r="P8" s="82">
        <f>ROUND(SUM(D55:D66), 2)</f>
        <v>59.89</v>
      </c>
      <c r="Q8" s="82">
        <f>ROUND(SUM(D67:D78), 2)</f>
        <v>42.99</v>
      </c>
      <c r="R8" s="82">
        <f>ROUND(SUM(D79:D90), 2)</f>
        <v>26.07</v>
      </c>
      <c r="S8" s="82">
        <f>ROUND(SUM(D91:D102), 2)</f>
        <v>9.15</v>
      </c>
    </row>
    <row r="9" spans="1:19" x14ac:dyDescent="0.25">
      <c r="A9" s="109">
        <v>3</v>
      </c>
      <c r="B9" s="110">
        <f t="shared" ref="B9:B72" si="1">G8</f>
        <v>508.78000000000003</v>
      </c>
      <c r="C9" s="110">
        <f>'cash budget'!D16</f>
        <v>18.7</v>
      </c>
      <c r="D9" s="111">
        <f t="shared" ref="D9:D72" si="2">ROUND((B9+C9)*$B$3/12, 2)</f>
        <v>5.27</v>
      </c>
      <c r="E9" s="115"/>
      <c r="F9" s="116"/>
      <c r="G9" s="114">
        <f t="shared" si="0"/>
        <v>532.75</v>
      </c>
    </row>
    <row r="10" spans="1:19" x14ac:dyDescent="0.25">
      <c r="A10" s="109">
        <v>4</v>
      </c>
      <c r="B10" s="110">
        <f t="shared" si="1"/>
        <v>532.75</v>
      </c>
      <c r="C10" s="110">
        <f>'cash budget'!E16</f>
        <v>18.7</v>
      </c>
      <c r="D10" s="111">
        <f t="shared" si="2"/>
        <v>5.51</v>
      </c>
      <c r="E10" s="115"/>
      <c r="F10" s="116"/>
      <c r="G10" s="114">
        <f t="shared" si="0"/>
        <v>556.96</v>
      </c>
    </row>
    <row r="11" spans="1:19" x14ac:dyDescent="0.25">
      <c r="A11" s="109">
        <v>5</v>
      </c>
      <c r="B11" s="110">
        <f t="shared" si="1"/>
        <v>556.96</v>
      </c>
      <c r="C11" s="110">
        <f>'cash budget'!F16</f>
        <v>17.850000000000001</v>
      </c>
      <c r="D11" s="111">
        <f t="shared" si="2"/>
        <v>5.75</v>
      </c>
      <c r="E11" s="115"/>
      <c r="F11" s="116"/>
      <c r="G11" s="114">
        <f t="shared" si="0"/>
        <v>580.56000000000006</v>
      </c>
    </row>
    <row r="12" spans="1:19" x14ac:dyDescent="0.25">
      <c r="A12" s="109">
        <v>6</v>
      </c>
      <c r="B12" s="110">
        <f t="shared" si="1"/>
        <v>580.56000000000006</v>
      </c>
      <c r="C12" s="110">
        <f>'cash budget'!G16</f>
        <v>4.25</v>
      </c>
      <c r="D12" s="111">
        <f t="shared" si="2"/>
        <v>5.85</v>
      </c>
      <c r="E12" s="115" t="s">
        <v>40</v>
      </c>
      <c r="F12" s="116" t="s">
        <v>41</v>
      </c>
      <c r="G12" s="114">
        <f t="shared" si="0"/>
        <v>590.66000000000008</v>
      </c>
    </row>
    <row r="13" spans="1:19" x14ac:dyDescent="0.25">
      <c r="A13" s="109">
        <v>7</v>
      </c>
      <c r="B13" s="110">
        <f t="shared" si="1"/>
        <v>590.66000000000008</v>
      </c>
      <c r="C13" s="110">
        <f>'cash budget'!H16</f>
        <v>305.14999999999998</v>
      </c>
      <c r="D13" s="111">
        <f t="shared" si="2"/>
        <v>8.9600000000000009</v>
      </c>
      <c r="E13" s="115"/>
      <c r="F13" s="116"/>
      <c r="G13" s="114">
        <f t="shared" si="0"/>
        <v>904.7700000000001</v>
      </c>
    </row>
    <row r="14" spans="1:19" x14ac:dyDescent="0.25">
      <c r="A14" s="109">
        <v>8</v>
      </c>
      <c r="B14" s="110">
        <f t="shared" si="1"/>
        <v>904.7700000000001</v>
      </c>
      <c r="C14" s="110">
        <f>'cash budget'!I16</f>
        <v>14.875</v>
      </c>
      <c r="D14" s="111">
        <f>ROUND((B14+C14)*$B$3/12, 2)</f>
        <v>9.1999999999999993</v>
      </c>
      <c r="E14" s="115"/>
      <c r="F14" s="116"/>
      <c r="G14" s="114">
        <f t="shared" si="0"/>
        <v>928.84500000000014</v>
      </c>
    </row>
    <row r="15" spans="1:19" x14ac:dyDescent="0.25">
      <c r="A15" s="109">
        <v>9</v>
      </c>
      <c r="B15" s="110">
        <f t="shared" si="1"/>
        <v>928.84500000000014</v>
      </c>
      <c r="C15" s="110">
        <f>'cash budget'!J16</f>
        <v>19.125</v>
      </c>
      <c r="D15" s="111">
        <f t="shared" si="2"/>
        <v>9.48</v>
      </c>
      <c r="E15" s="115"/>
      <c r="F15" s="116"/>
      <c r="G15" s="114">
        <f t="shared" si="0"/>
        <v>957.45000000000016</v>
      </c>
    </row>
    <row r="16" spans="1:19" x14ac:dyDescent="0.25">
      <c r="A16" s="109">
        <v>10</v>
      </c>
      <c r="B16" s="110">
        <f t="shared" si="1"/>
        <v>957.45000000000016</v>
      </c>
      <c r="C16" s="110">
        <v>0</v>
      </c>
      <c r="D16" s="111">
        <f t="shared" si="2"/>
        <v>9.57</v>
      </c>
      <c r="E16" s="115"/>
      <c r="F16" s="116"/>
      <c r="G16" s="114">
        <f t="shared" si="0"/>
        <v>967.02000000000021</v>
      </c>
    </row>
    <row r="17" spans="1:14" x14ac:dyDescent="0.25">
      <c r="A17" s="109">
        <v>11</v>
      </c>
      <c r="B17" s="110">
        <f t="shared" si="1"/>
        <v>967.02000000000021</v>
      </c>
      <c r="C17" s="110">
        <f>'cash budget'!L16</f>
        <v>0</v>
      </c>
      <c r="D17" s="111">
        <f t="shared" si="2"/>
        <v>9.67</v>
      </c>
      <c r="E17" s="115"/>
      <c r="F17" s="116"/>
      <c r="G17" s="114">
        <f t="shared" si="0"/>
        <v>976.69000000000017</v>
      </c>
    </row>
    <row r="18" spans="1:14" ht="15.75" thickBot="1" x14ac:dyDescent="0.3">
      <c r="A18" s="109">
        <v>12</v>
      </c>
      <c r="B18" s="110">
        <f t="shared" si="1"/>
        <v>976.69000000000017</v>
      </c>
      <c r="C18" s="110"/>
      <c r="D18" s="111">
        <f t="shared" si="2"/>
        <v>9.77</v>
      </c>
      <c r="E18" s="117"/>
      <c r="F18" s="118"/>
      <c r="G18" s="114">
        <f>B18+C18+D18</f>
        <v>986.46000000000015</v>
      </c>
      <c r="J18" s="1">
        <f>ABS(G18)</f>
        <v>986.46000000000015</v>
      </c>
    </row>
    <row r="19" spans="1:14" x14ac:dyDescent="0.25">
      <c r="A19" s="109">
        <v>13</v>
      </c>
      <c r="B19" s="110">
        <f t="shared" si="1"/>
        <v>986.46000000000015</v>
      </c>
      <c r="C19" s="110"/>
      <c r="D19" s="111">
        <f t="shared" si="2"/>
        <v>9.86</v>
      </c>
      <c r="E19" s="119">
        <f>J18/84</f>
        <v>11.74357142857143</v>
      </c>
      <c r="F19" s="119">
        <f t="shared" ref="F19:F71" si="3">D19+E19</f>
        <v>21.603571428571428</v>
      </c>
      <c r="G19" s="110">
        <f>B19+C19+D19-F19</f>
        <v>974.71642857142876</v>
      </c>
      <c r="K19" s="1" t="s">
        <v>224</v>
      </c>
      <c r="N19" s="82">
        <f>SUM(D7:D18)</f>
        <v>89.710000000000008</v>
      </c>
    </row>
    <row r="20" spans="1:14" x14ac:dyDescent="0.25">
      <c r="A20" s="109">
        <v>14</v>
      </c>
      <c r="B20" s="110">
        <f t="shared" si="1"/>
        <v>974.71642857142876</v>
      </c>
      <c r="C20" s="110"/>
      <c r="D20" s="111">
        <f t="shared" si="2"/>
        <v>9.75</v>
      </c>
      <c r="E20" s="110">
        <f>E19</f>
        <v>11.74357142857143</v>
      </c>
      <c r="F20" s="110">
        <f t="shared" si="3"/>
        <v>21.493571428571428</v>
      </c>
      <c r="G20" s="110">
        <f t="shared" ref="G20:G83" si="4">B20+C20+D20-F20</f>
        <v>962.97285714285738</v>
      </c>
    </row>
    <row r="21" spans="1:14" x14ac:dyDescent="0.25">
      <c r="A21" s="109">
        <v>15</v>
      </c>
      <c r="B21" s="110">
        <f t="shared" si="1"/>
        <v>962.97285714285738</v>
      </c>
      <c r="C21" s="110"/>
      <c r="D21" s="111">
        <f t="shared" si="2"/>
        <v>9.6300000000000008</v>
      </c>
      <c r="E21" s="110">
        <f t="shared" ref="E21:E84" si="5">E20</f>
        <v>11.74357142857143</v>
      </c>
      <c r="F21" s="110">
        <f t="shared" si="3"/>
        <v>21.373571428571431</v>
      </c>
      <c r="G21" s="110">
        <f t="shared" si="4"/>
        <v>951.22928571428599</v>
      </c>
    </row>
    <row r="22" spans="1:14" x14ac:dyDescent="0.25">
      <c r="A22" s="109">
        <v>16</v>
      </c>
      <c r="B22" s="110">
        <f t="shared" si="1"/>
        <v>951.22928571428599</v>
      </c>
      <c r="C22" s="110"/>
      <c r="D22" s="111">
        <f t="shared" si="2"/>
        <v>9.51</v>
      </c>
      <c r="E22" s="110">
        <f t="shared" si="5"/>
        <v>11.74357142857143</v>
      </c>
      <c r="F22" s="110">
        <f t="shared" si="3"/>
        <v>21.25357142857143</v>
      </c>
      <c r="G22" s="110">
        <f t="shared" si="4"/>
        <v>939.48571428571461</v>
      </c>
    </row>
    <row r="23" spans="1:14" x14ac:dyDescent="0.25">
      <c r="A23" s="109">
        <v>17</v>
      </c>
      <c r="B23" s="110">
        <f t="shared" si="1"/>
        <v>939.48571428571461</v>
      </c>
      <c r="C23" s="110"/>
      <c r="D23" s="111">
        <f t="shared" si="2"/>
        <v>9.39</v>
      </c>
      <c r="E23" s="110">
        <f t="shared" si="5"/>
        <v>11.74357142857143</v>
      </c>
      <c r="F23" s="110">
        <f t="shared" si="3"/>
        <v>21.133571428571429</v>
      </c>
      <c r="G23" s="110">
        <f t="shared" si="4"/>
        <v>927.74214285714311</v>
      </c>
    </row>
    <row r="24" spans="1:14" x14ac:dyDescent="0.25">
      <c r="A24" s="109">
        <v>18</v>
      </c>
      <c r="B24" s="110">
        <f t="shared" si="1"/>
        <v>927.74214285714311</v>
      </c>
      <c r="C24" s="110"/>
      <c r="D24" s="111">
        <f t="shared" si="2"/>
        <v>9.2799999999999994</v>
      </c>
      <c r="E24" s="110">
        <f t="shared" si="5"/>
        <v>11.74357142857143</v>
      </c>
      <c r="F24" s="110">
        <f t="shared" si="3"/>
        <v>21.023571428571429</v>
      </c>
      <c r="G24" s="110">
        <f t="shared" si="4"/>
        <v>915.99857142857161</v>
      </c>
    </row>
    <row r="25" spans="1:14" x14ac:dyDescent="0.25">
      <c r="A25" s="109">
        <v>19</v>
      </c>
      <c r="B25" s="110">
        <f t="shared" si="1"/>
        <v>915.99857142857161</v>
      </c>
      <c r="C25" s="110"/>
      <c r="D25" s="111">
        <f t="shared" si="2"/>
        <v>9.16</v>
      </c>
      <c r="E25" s="110">
        <f t="shared" si="5"/>
        <v>11.74357142857143</v>
      </c>
      <c r="F25" s="110">
        <f t="shared" si="3"/>
        <v>20.903571428571432</v>
      </c>
      <c r="G25" s="110">
        <f t="shared" si="4"/>
        <v>904.25500000000011</v>
      </c>
    </row>
    <row r="26" spans="1:14" x14ac:dyDescent="0.25">
      <c r="A26" s="109">
        <v>20</v>
      </c>
      <c r="B26" s="110">
        <f t="shared" si="1"/>
        <v>904.25500000000011</v>
      </c>
      <c r="C26" s="110"/>
      <c r="D26" s="111">
        <f t="shared" si="2"/>
        <v>9.0399999999999991</v>
      </c>
      <c r="E26" s="110">
        <f t="shared" si="5"/>
        <v>11.74357142857143</v>
      </c>
      <c r="F26" s="110">
        <f t="shared" si="3"/>
        <v>20.783571428571427</v>
      </c>
      <c r="G26" s="110">
        <f t="shared" si="4"/>
        <v>892.51142857142861</v>
      </c>
    </row>
    <row r="27" spans="1:14" x14ac:dyDescent="0.25">
      <c r="A27" s="109">
        <v>21</v>
      </c>
      <c r="B27" s="110">
        <f t="shared" si="1"/>
        <v>892.51142857142861</v>
      </c>
      <c r="C27" s="110"/>
      <c r="D27" s="111">
        <f t="shared" si="2"/>
        <v>8.93</v>
      </c>
      <c r="E27" s="110">
        <f t="shared" si="5"/>
        <v>11.74357142857143</v>
      </c>
      <c r="F27" s="110">
        <f t="shared" si="3"/>
        <v>20.673571428571428</v>
      </c>
      <c r="G27" s="110">
        <f t="shared" si="4"/>
        <v>880.76785714285711</v>
      </c>
    </row>
    <row r="28" spans="1:14" x14ac:dyDescent="0.25">
      <c r="A28" s="109">
        <v>22</v>
      </c>
      <c r="B28" s="110">
        <f t="shared" si="1"/>
        <v>880.76785714285711</v>
      </c>
      <c r="C28" s="110"/>
      <c r="D28" s="111">
        <f t="shared" si="2"/>
        <v>8.81</v>
      </c>
      <c r="E28" s="110">
        <f t="shared" si="5"/>
        <v>11.74357142857143</v>
      </c>
      <c r="F28" s="110">
        <f t="shared" si="3"/>
        <v>20.553571428571431</v>
      </c>
      <c r="G28" s="110">
        <f t="shared" si="4"/>
        <v>869.02428571428561</v>
      </c>
    </row>
    <row r="29" spans="1:14" x14ac:dyDescent="0.25">
      <c r="A29" s="109">
        <v>23</v>
      </c>
      <c r="B29" s="110">
        <f t="shared" si="1"/>
        <v>869.02428571428561</v>
      </c>
      <c r="C29" s="110"/>
      <c r="D29" s="111">
        <f t="shared" si="2"/>
        <v>8.69</v>
      </c>
      <c r="E29" s="110">
        <f t="shared" si="5"/>
        <v>11.74357142857143</v>
      </c>
      <c r="F29" s="110">
        <f t="shared" si="3"/>
        <v>20.43357142857143</v>
      </c>
      <c r="G29" s="110">
        <f t="shared" si="4"/>
        <v>857.28071428571423</v>
      </c>
    </row>
    <row r="30" spans="1:14" x14ac:dyDescent="0.25">
      <c r="A30" s="109">
        <v>24</v>
      </c>
      <c r="B30" s="110">
        <f t="shared" si="1"/>
        <v>857.28071428571423</v>
      </c>
      <c r="C30" s="110"/>
      <c r="D30" s="111">
        <f t="shared" si="2"/>
        <v>8.57</v>
      </c>
      <c r="E30" s="110">
        <f t="shared" si="5"/>
        <v>11.74357142857143</v>
      </c>
      <c r="F30" s="110">
        <f t="shared" si="3"/>
        <v>20.313571428571429</v>
      </c>
      <c r="G30" s="110">
        <f>B30+C30+D30-F30</f>
        <v>845.53714285714284</v>
      </c>
    </row>
    <row r="31" spans="1:14" x14ac:dyDescent="0.25">
      <c r="A31" s="109">
        <v>25</v>
      </c>
      <c r="B31" s="110">
        <f t="shared" si="1"/>
        <v>845.53714285714284</v>
      </c>
      <c r="C31" s="110"/>
      <c r="D31" s="111">
        <f t="shared" si="2"/>
        <v>8.4600000000000009</v>
      </c>
      <c r="E31" s="110">
        <f t="shared" si="5"/>
        <v>11.74357142857143</v>
      </c>
      <c r="F31" s="110">
        <f t="shared" si="3"/>
        <v>20.203571428571429</v>
      </c>
      <c r="G31" s="110">
        <f t="shared" si="4"/>
        <v>833.79357142857145</v>
      </c>
    </row>
    <row r="32" spans="1:14" x14ac:dyDescent="0.25">
      <c r="A32" s="109">
        <v>26</v>
      </c>
      <c r="B32" s="110">
        <f t="shared" si="1"/>
        <v>833.79357142857145</v>
      </c>
      <c r="C32" s="110"/>
      <c r="D32" s="111">
        <f t="shared" si="2"/>
        <v>8.34</v>
      </c>
      <c r="E32" s="110">
        <f t="shared" si="5"/>
        <v>11.74357142857143</v>
      </c>
      <c r="F32" s="110">
        <f t="shared" si="3"/>
        <v>20.083571428571432</v>
      </c>
      <c r="G32" s="110">
        <f t="shared" si="4"/>
        <v>822.05000000000007</v>
      </c>
    </row>
    <row r="33" spans="1:7" x14ac:dyDescent="0.25">
      <c r="A33" s="109">
        <v>27</v>
      </c>
      <c r="B33" s="110">
        <f t="shared" si="1"/>
        <v>822.05000000000007</v>
      </c>
      <c r="C33" s="110"/>
      <c r="D33" s="111">
        <f t="shared" si="2"/>
        <v>8.2200000000000006</v>
      </c>
      <c r="E33" s="110">
        <f t="shared" si="5"/>
        <v>11.74357142857143</v>
      </c>
      <c r="F33" s="110">
        <f t="shared" si="3"/>
        <v>19.963571428571431</v>
      </c>
      <c r="G33" s="110">
        <f t="shared" si="4"/>
        <v>810.30642857142868</v>
      </c>
    </row>
    <row r="34" spans="1:7" x14ac:dyDescent="0.25">
      <c r="A34" s="109">
        <v>28</v>
      </c>
      <c r="B34" s="110">
        <f t="shared" si="1"/>
        <v>810.30642857142868</v>
      </c>
      <c r="C34" s="110"/>
      <c r="D34" s="111">
        <f t="shared" si="2"/>
        <v>8.1</v>
      </c>
      <c r="E34" s="110">
        <f t="shared" si="5"/>
        <v>11.74357142857143</v>
      </c>
      <c r="F34" s="110">
        <f t="shared" si="3"/>
        <v>19.84357142857143</v>
      </c>
      <c r="G34" s="110">
        <f t="shared" si="4"/>
        <v>798.5628571428573</v>
      </c>
    </row>
    <row r="35" spans="1:7" x14ac:dyDescent="0.25">
      <c r="A35" s="109">
        <v>29</v>
      </c>
      <c r="B35" s="110">
        <f t="shared" si="1"/>
        <v>798.5628571428573</v>
      </c>
      <c r="C35" s="110"/>
      <c r="D35" s="111">
        <f t="shared" si="2"/>
        <v>7.99</v>
      </c>
      <c r="E35" s="110">
        <f t="shared" si="5"/>
        <v>11.74357142857143</v>
      </c>
      <c r="F35" s="110">
        <f t="shared" si="3"/>
        <v>19.73357142857143</v>
      </c>
      <c r="G35" s="110">
        <f t="shared" si="4"/>
        <v>786.81928571428591</v>
      </c>
    </row>
    <row r="36" spans="1:7" x14ac:dyDescent="0.25">
      <c r="A36" s="109">
        <v>30</v>
      </c>
      <c r="B36" s="110">
        <f t="shared" si="1"/>
        <v>786.81928571428591</v>
      </c>
      <c r="C36" s="110"/>
      <c r="D36" s="111">
        <f t="shared" si="2"/>
        <v>7.87</v>
      </c>
      <c r="E36" s="110">
        <f t="shared" si="5"/>
        <v>11.74357142857143</v>
      </c>
      <c r="F36" s="110">
        <f t="shared" si="3"/>
        <v>19.613571428571429</v>
      </c>
      <c r="G36" s="110">
        <f t="shared" si="4"/>
        <v>775.07571428571453</v>
      </c>
    </row>
    <row r="37" spans="1:7" x14ac:dyDescent="0.25">
      <c r="A37" s="109">
        <v>31</v>
      </c>
      <c r="B37" s="110">
        <f t="shared" si="1"/>
        <v>775.07571428571453</v>
      </c>
      <c r="C37" s="110"/>
      <c r="D37" s="111">
        <f t="shared" si="2"/>
        <v>7.75</v>
      </c>
      <c r="E37" s="110">
        <f t="shared" si="5"/>
        <v>11.74357142857143</v>
      </c>
      <c r="F37" s="110">
        <f t="shared" si="3"/>
        <v>19.493571428571428</v>
      </c>
      <c r="G37" s="110">
        <f t="shared" si="4"/>
        <v>763.33214285714314</v>
      </c>
    </row>
    <row r="38" spans="1:7" x14ac:dyDescent="0.25">
      <c r="A38" s="109">
        <v>32</v>
      </c>
      <c r="B38" s="110">
        <f t="shared" si="1"/>
        <v>763.33214285714314</v>
      </c>
      <c r="C38" s="110"/>
      <c r="D38" s="111">
        <f t="shared" si="2"/>
        <v>7.63</v>
      </c>
      <c r="E38" s="110">
        <f t="shared" si="5"/>
        <v>11.74357142857143</v>
      </c>
      <c r="F38" s="110">
        <f t="shared" si="3"/>
        <v>19.373571428571431</v>
      </c>
      <c r="G38" s="110">
        <f t="shared" si="4"/>
        <v>751.58857142857175</v>
      </c>
    </row>
    <row r="39" spans="1:7" x14ac:dyDescent="0.25">
      <c r="A39" s="109">
        <v>33</v>
      </c>
      <c r="B39" s="110">
        <f t="shared" si="1"/>
        <v>751.58857142857175</v>
      </c>
      <c r="C39" s="110"/>
      <c r="D39" s="111">
        <f t="shared" si="2"/>
        <v>7.52</v>
      </c>
      <c r="E39" s="110">
        <f t="shared" si="5"/>
        <v>11.74357142857143</v>
      </c>
      <c r="F39" s="110">
        <f t="shared" si="3"/>
        <v>19.263571428571431</v>
      </c>
      <c r="G39" s="110">
        <f t="shared" si="4"/>
        <v>739.84500000000025</v>
      </c>
    </row>
    <row r="40" spans="1:7" x14ac:dyDescent="0.25">
      <c r="A40" s="109">
        <v>34</v>
      </c>
      <c r="B40" s="110">
        <f t="shared" si="1"/>
        <v>739.84500000000025</v>
      </c>
      <c r="C40" s="110"/>
      <c r="D40" s="111">
        <f t="shared" si="2"/>
        <v>7.4</v>
      </c>
      <c r="E40" s="110">
        <f t="shared" si="5"/>
        <v>11.74357142857143</v>
      </c>
      <c r="F40" s="110">
        <f t="shared" si="3"/>
        <v>19.14357142857143</v>
      </c>
      <c r="G40" s="110">
        <f t="shared" si="4"/>
        <v>728.10142857142876</v>
      </c>
    </row>
    <row r="41" spans="1:7" x14ac:dyDescent="0.25">
      <c r="A41" s="109">
        <v>35</v>
      </c>
      <c r="B41" s="110">
        <f t="shared" si="1"/>
        <v>728.10142857142876</v>
      </c>
      <c r="C41" s="110"/>
      <c r="D41" s="111">
        <f t="shared" si="2"/>
        <v>7.28</v>
      </c>
      <c r="E41" s="110">
        <f t="shared" si="5"/>
        <v>11.74357142857143</v>
      </c>
      <c r="F41" s="110">
        <f t="shared" si="3"/>
        <v>19.023571428571429</v>
      </c>
      <c r="G41" s="110">
        <f t="shared" si="4"/>
        <v>716.35785714285726</v>
      </c>
    </row>
    <row r="42" spans="1:7" x14ac:dyDescent="0.25">
      <c r="A42" s="109">
        <v>36</v>
      </c>
      <c r="B42" s="110">
        <f t="shared" si="1"/>
        <v>716.35785714285726</v>
      </c>
      <c r="C42" s="110"/>
      <c r="D42" s="111">
        <f t="shared" si="2"/>
        <v>7.16</v>
      </c>
      <c r="E42" s="110">
        <f t="shared" si="5"/>
        <v>11.74357142857143</v>
      </c>
      <c r="F42" s="110">
        <f t="shared" si="3"/>
        <v>18.903571428571432</v>
      </c>
      <c r="G42" s="110">
        <f t="shared" si="4"/>
        <v>704.61428571428576</v>
      </c>
    </row>
    <row r="43" spans="1:7" x14ac:dyDescent="0.25">
      <c r="A43" s="109">
        <v>37</v>
      </c>
      <c r="B43" s="110">
        <f t="shared" si="1"/>
        <v>704.61428571428576</v>
      </c>
      <c r="C43" s="110"/>
      <c r="D43" s="111">
        <f t="shared" si="2"/>
        <v>7.05</v>
      </c>
      <c r="E43" s="110">
        <f t="shared" si="5"/>
        <v>11.74357142857143</v>
      </c>
      <c r="F43" s="110">
        <f t="shared" si="3"/>
        <v>18.793571428571429</v>
      </c>
      <c r="G43" s="110">
        <f t="shared" si="4"/>
        <v>692.87071428571426</v>
      </c>
    </row>
    <row r="44" spans="1:7" x14ac:dyDescent="0.25">
      <c r="A44" s="109">
        <v>38</v>
      </c>
      <c r="B44" s="110">
        <f t="shared" si="1"/>
        <v>692.87071428571426</v>
      </c>
      <c r="C44" s="110"/>
      <c r="D44" s="111">
        <f t="shared" si="2"/>
        <v>6.93</v>
      </c>
      <c r="E44" s="110">
        <f t="shared" si="5"/>
        <v>11.74357142857143</v>
      </c>
      <c r="F44" s="110">
        <f t="shared" si="3"/>
        <v>18.673571428571428</v>
      </c>
      <c r="G44" s="110">
        <f t="shared" si="4"/>
        <v>681.12714285714276</v>
      </c>
    </row>
    <row r="45" spans="1:7" x14ac:dyDescent="0.25">
      <c r="A45" s="109">
        <v>39</v>
      </c>
      <c r="B45" s="110">
        <f t="shared" si="1"/>
        <v>681.12714285714276</v>
      </c>
      <c r="C45" s="110"/>
      <c r="D45" s="111">
        <f t="shared" si="2"/>
        <v>6.81</v>
      </c>
      <c r="E45" s="110">
        <f t="shared" si="5"/>
        <v>11.74357142857143</v>
      </c>
      <c r="F45" s="110">
        <f t="shared" si="3"/>
        <v>18.553571428571431</v>
      </c>
      <c r="G45" s="110">
        <f t="shared" si="4"/>
        <v>669.38357142857126</v>
      </c>
    </row>
    <row r="46" spans="1:7" x14ac:dyDescent="0.25">
      <c r="A46" s="109">
        <v>40</v>
      </c>
      <c r="B46" s="110">
        <f t="shared" si="1"/>
        <v>669.38357142857126</v>
      </c>
      <c r="C46" s="110"/>
      <c r="D46" s="111">
        <f t="shared" si="2"/>
        <v>6.69</v>
      </c>
      <c r="E46" s="110">
        <f t="shared" si="5"/>
        <v>11.74357142857143</v>
      </c>
      <c r="F46" s="110">
        <f t="shared" si="3"/>
        <v>18.43357142857143</v>
      </c>
      <c r="G46" s="110">
        <f t="shared" si="4"/>
        <v>657.63999999999987</v>
      </c>
    </row>
    <row r="47" spans="1:7" x14ac:dyDescent="0.25">
      <c r="A47" s="109">
        <v>41</v>
      </c>
      <c r="B47" s="110">
        <f t="shared" si="1"/>
        <v>657.63999999999987</v>
      </c>
      <c r="C47" s="110"/>
      <c r="D47" s="111">
        <f t="shared" si="2"/>
        <v>6.58</v>
      </c>
      <c r="E47" s="110">
        <f t="shared" si="5"/>
        <v>11.74357142857143</v>
      </c>
      <c r="F47" s="110">
        <f t="shared" si="3"/>
        <v>18.32357142857143</v>
      </c>
      <c r="G47" s="110">
        <f t="shared" si="4"/>
        <v>645.89642857142849</v>
      </c>
    </row>
    <row r="48" spans="1:7" x14ac:dyDescent="0.25">
      <c r="A48" s="109">
        <v>42</v>
      </c>
      <c r="B48" s="110">
        <f t="shared" si="1"/>
        <v>645.89642857142849</v>
      </c>
      <c r="C48" s="110"/>
      <c r="D48" s="111">
        <f t="shared" si="2"/>
        <v>6.46</v>
      </c>
      <c r="E48" s="110">
        <f t="shared" si="5"/>
        <v>11.74357142857143</v>
      </c>
      <c r="F48" s="110">
        <f t="shared" si="3"/>
        <v>18.203571428571429</v>
      </c>
      <c r="G48" s="110">
        <f t="shared" si="4"/>
        <v>634.1528571428571</v>
      </c>
    </row>
    <row r="49" spans="1:7" x14ac:dyDescent="0.25">
      <c r="A49" s="109">
        <v>43</v>
      </c>
      <c r="B49" s="110">
        <f t="shared" si="1"/>
        <v>634.1528571428571</v>
      </c>
      <c r="C49" s="110"/>
      <c r="D49" s="111">
        <f t="shared" si="2"/>
        <v>6.34</v>
      </c>
      <c r="E49" s="110">
        <f t="shared" si="5"/>
        <v>11.74357142857143</v>
      </c>
      <c r="F49" s="110">
        <f t="shared" si="3"/>
        <v>18.083571428571432</v>
      </c>
      <c r="G49" s="110">
        <f t="shared" si="4"/>
        <v>622.40928571428572</v>
      </c>
    </row>
    <row r="50" spans="1:7" x14ac:dyDescent="0.25">
      <c r="A50" s="109">
        <v>44</v>
      </c>
      <c r="B50" s="110">
        <f t="shared" si="1"/>
        <v>622.40928571428572</v>
      </c>
      <c r="C50" s="110"/>
      <c r="D50" s="111">
        <f t="shared" si="2"/>
        <v>6.22</v>
      </c>
      <c r="E50" s="110">
        <f t="shared" si="5"/>
        <v>11.74357142857143</v>
      </c>
      <c r="F50" s="110">
        <f t="shared" si="3"/>
        <v>17.963571428571431</v>
      </c>
      <c r="G50" s="110">
        <f t="shared" si="4"/>
        <v>610.66571428571433</v>
      </c>
    </row>
    <row r="51" spans="1:7" x14ac:dyDescent="0.25">
      <c r="A51" s="109">
        <v>45</v>
      </c>
      <c r="B51" s="110">
        <f t="shared" si="1"/>
        <v>610.66571428571433</v>
      </c>
      <c r="C51" s="110"/>
      <c r="D51" s="111">
        <f t="shared" si="2"/>
        <v>6.11</v>
      </c>
      <c r="E51" s="110">
        <f t="shared" si="5"/>
        <v>11.74357142857143</v>
      </c>
      <c r="F51" s="110">
        <f t="shared" si="3"/>
        <v>17.853571428571431</v>
      </c>
      <c r="G51" s="110">
        <f t="shared" si="4"/>
        <v>598.92214285714294</v>
      </c>
    </row>
    <row r="52" spans="1:7" x14ac:dyDescent="0.25">
      <c r="A52" s="109">
        <v>46</v>
      </c>
      <c r="B52" s="110">
        <f t="shared" si="1"/>
        <v>598.92214285714294</v>
      </c>
      <c r="C52" s="110"/>
      <c r="D52" s="111">
        <f t="shared" si="2"/>
        <v>5.99</v>
      </c>
      <c r="E52" s="110">
        <f t="shared" si="5"/>
        <v>11.74357142857143</v>
      </c>
      <c r="F52" s="110">
        <f t="shared" si="3"/>
        <v>17.73357142857143</v>
      </c>
      <c r="G52" s="110">
        <f t="shared" si="4"/>
        <v>587.17857142857156</v>
      </c>
    </row>
    <row r="53" spans="1:7" x14ac:dyDescent="0.25">
      <c r="A53" s="109">
        <v>47</v>
      </c>
      <c r="B53" s="110">
        <f t="shared" si="1"/>
        <v>587.17857142857156</v>
      </c>
      <c r="C53" s="110"/>
      <c r="D53" s="111">
        <f t="shared" si="2"/>
        <v>5.87</v>
      </c>
      <c r="E53" s="110">
        <f t="shared" si="5"/>
        <v>11.74357142857143</v>
      </c>
      <c r="F53" s="110">
        <f t="shared" si="3"/>
        <v>17.613571428571429</v>
      </c>
      <c r="G53" s="110">
        <f t="shared" si="4"/>
        <v>575.43500000000017</v>
      </c>
    </row>
    <row r="54" spans="1:7" x14ac:dyDescent="0.25">
      <c r="A54" s="109">
        <v>48</v>
      </c>
      <c r="B54" s="110">
        <f t="shared" si="1"/>
        <v>575.43500000000017</v>
      </c>
      <c r="C54" s="110"/>
      <c r="D54" s="111">
        <f t="shared" si="2"/>
        <v>5.75</v>
      </c>
      <c r="E54" s="110">
        <f t="shared" si="5"/>
        <v>11.74357142857143</v>
      </c>
      <c r="F54" s="110">
        <f t="shared" si="3"/>
        <v>17.493571428571428</v>
      </c>
      <c r="G54" s="110">
        <f t="shared" si="4"/>
        <v>563.69142857142879</v>
      </c>
    </row>
    <row r="55" spans="1:7" x14ac:dyDescent="0.25">
      <c r="A55" s="109">
        <v>49</v>
      </c>
      <c r="B55" s="110">
        <f t="shared" si="1"/>
        <v>563.69142857142879</v>
      </c>
      <c r="C55" s="110"/>
      <c r="D55" s="111">
        <f t="shared" si="2"/>
        <v>5.64</v>
      </c>
      <c r="E55" s="110">
        <f t="shared" si="5"/>
        <v>11.74357142857143</v>
      </c>
      <c r="F55" s="110">
        <f t="shared" si="3"/>
        <v>17.383571428571429</v>
      </c>
      <c r="G55" s="110">
        <f t="shared" si="4"/>
        <v>551.9478571428574</v>
      </c>
    </row>
    <row r="56" spans="1:7" x14ac:dyDescent="0.25">
      <c r="A56" s="109">
        <v>50</v>
      </c>
      <c r="B56" s="110">
        <f t="shared" si="1"/>
        <v>551.9478571428574</v>
      </c>
      <c r="C56" s="110"/>
      <c r="D56" s="111">
        <f t="shared" si="2"/>
        <v>5.52</v>
      </c>
      <c r="E56" s="110">
        <f t="shared" si="5"/>
        <v>11.74357142857143</v>
      </c>
      <c r="F56" s="110">
        <f t="shared" si="3"/>
        <v>17.263571428571431</v>
      </c>
      <c r="G56" s="110">
        <f t="shared" si="4"/>
        <v>540.2042857142859</v>
      </c>
    </row>
    <row r="57" spans="1:7" x14ac:dyDescent="0.25">
      <c r="A57" s="109">
        <v>51</v>
      </c>
      <c r="B57" s="110">
        <f t="shared" si="1"/>
        <v>540.2042857142859</v>
      </c>
      <c r="C57" s="110"/>
      <c r="D57" s="111">
        <f t="shared" si="2"/>
        <v>5.4</v>
      </c>
      <c r="E57" s="110">
        <f t="shared" si="5"/>
        <v>11.74357142857143</v>
      </c>
      <c r="F57" s="110">
        <f t="shared" si="3"/>
        <v>17.14357142857143</v>
      </c>
      <c r="G57" s="110">
        <f t="shared" si="4"/>
        <v>528.4607142857144</v>
      </c>
    </row>
    <row r="58" spans="1:7" x14ac:dyDescent="0.25">
      <c r="A58" s="109">
        <v>52</v>
      </c>
      <c r="B58" s="110">
        <f t="shared" si="1"/>
        <v>528.4607142857144</v>
      </c>
      <c r="C58" s="110"/>
      <c r="D58" s="111">
        <f t="shared" si="2"/>
        <v>5.28</v>
      </c>
      <c r="E58" s="110">
        <f t="shared" si="5"/>
        <v>11.74357142857143</v>
      </c>
      <c r="F58" s="110">
        <f t="shared" si="3"/>
        <v>17.023571428571429</v>
      </c>
      <c r="G58" s="110">
        <f t="shared" si="4"/>
        <v>516.7171428571429</v>
      </c>
    </row>
    <row r="59" spans="1:7" x14ac:dyDescent="0.25">
      <c r="A59" s="109">
        <v>53</v>
      </c>
      <c r="B59" s="110">
        <f t="shared" si="1"/>
        <v>516.7171428571429</v>
      </c>
      <c r="C59" s="110"/>
      <c r="D59" s="111">
        <f t="shared" si="2"/>
        <v>5.17</v>
      </c>
      <c r="E59" s="110">
        <f t="shared" si="5"/>
        <v>11.74357142857143</v>
      </c>
      <c r="F59" s="110">
        <f t="shared" si="3"/>
        <v>16.91357142857143</v>
      </c>
      <c r="G59" s="110">
        <f t="shared" si="4"/>
        <v>504.9735714285714</v>
      </c>
    </row>
    <row r="60" spans="1:7" x14ac:dyDescent="0.25">
      <c r="A60" s="109">
        <v>54</v>
      </c>
      <c r="B60" s="110">
        <f t="shared" si="1"/>
        <v>504.9735714285714</v>
      </c>
      <c r="C60" s="110"/>
      <c r="D60" s="111">
        <f t="shared" si="2"/>
        <v>5.05</v>
      </c>
      <c r="E60" s="110">
        <f t="shared" si="5"/>
        <v>11.74357142857143</v>
      </c>
      <c r="F60" s="110">
        <f t="shared" si="3"/>
        <v>16.793571428571429</v>
      </c>
      <c r="G60" s="110">
        <f t="shared" si="4"/>
        <v>493.22999999999996</v>
      </c>
    </row>
    <row r="61" spans="1:7" x14ac:dyDescent="0.25">
      <c r="A61" s="109">
        <v>55</v>
      </c>
      <c r="B61" s="110">
        <f t="shared" si="1"/>
        <v>493.22999999999996</v>
      </c>
      <c r="C61" s="110"/>
      <c r="D61" s="111">
        <f t="shared" si="2"/>
        <v>4.93</v>
      </c>
      <c r="E61" s="110">
        <f t="shared" si="5"/>
        <v>11.74357142857143</v>
      </c>
      <c r="F61" s="110">
        <f t="shared" si="3"/>
        <v>16.673571428571428</v>
      </c>
      <c r="G61" s="110">
        <f t="shared" si="4"/>
        <v>481.48642857142852</v>
      </c>
    </row>
    <row r="62" spans="1:7" x14ac:dyDescent="0.25">
      <c r="A62" s="109">
        <v>56</v>
      </c>
      <c r="B62" s="110">
        <f t="shared" si="1"/>
        <v>481.48642857142852</v>
      </c>
      <c r="C62" s="110"/>
      <c r="D62" s="111">
        <f t="shared" si="2"/>
        <v>4.8099999999999996</v>
      </c>
      <c r="E62" s="110">
        <f t="shared" si="5"/>
        <v>11.74357142857143</v>
      </c>
      <c r="F62" s="110">
        <f t="shared" si="3"/>
        <v>16.553571428571431</v>
      </c>
      <c r="G62" s="110">
        <f t="shared" si="4"/>
        <v>469.74285714285708</v>
      </c>
    </row>
    <row r="63" spans="1:7" x14ac:dyDescent="0.25">
      <c r="A63" s="109">
        <v>57</v>
      </c>
      <c r="B63" s="110">
        <f t="shared" si="1"/>
        <v>469.74285714285708</v>
      </c>
      <c r="C63" s="110"/>
      <c r="D63" s="111">
        <f t="shared" si="2"/>
        <v>4.7</v>
      </c>
      <c r="E63" s="110">
        <f t="shared" si="5"/>
        <v>11.74357142857143</v>
      </c>
      <c r="F63" s="110">
        <f t="shared" si="3"/>
        <v>16.443571428571431</v>
      </c>
      <c r="G63" s="110">
        <f t="shared" si="4"/>
        <v>457.99928571428563</v>
      </c>
    </row>
    <row r="64" spans="1:7" x14ac:dyDescent="0.25">
      <c r="A64" s="109">
        <v>58</v>
      </c>
      <c r="B64" s="110">
        <f t="shared" si="1"/>
        <v>457.99928571428563</v>
      </c>
      <c r="C64" s="110"/>
      <c r="D64" s="111">
        <f t="shared" si="2"/>
        <v>4.58</v>
      </c>
      <c r="E64" s="110">
        <f t="shared" si="5"/>
        <v>11.74357142857143</v>
      </c>
      <c r="F64" s="110">
        <f t="shared" si="3"/>
        <v>16.32357142857143</v>
      </c>
      <c r="G64" s="110">
        <f t="shared" si="4"/>
        <v>446.25571428571419</v>
      </c>
    </row>
    <row r="65" spans="1:7" x14ac:dyDescent="0.25">
      <c r="A65" s="109">
        <v>59</v>
      </c>
      <c r="B65" s="110">
        <f t="shared" si="1"/>
        <v>446.25571428571419</v>
      </c>
      <c r="C65" s="110"/>
      <c r="D65" s="111">
        <f t="shared" si="2"/>
        <v>4.46</v>
      </c>
      <c r="E65" s="110">
        <f t="shared" si="5"/>
        <v>11.74357142857143</v>
      </c>
      <c r="F65" s="110">
        <f t="shared" si="3"/>
        <v>16.203571428571429</v>
      </c>
      <c r="G65" s="110">
        <f t="shared" si="4"/>
        <v>434.51214285714275</v>
      </c>
    </row>
    <row r="66" spans="1:7" x14ac:dyDescent="0.25">
      <c r="A66" s="109">
        <v>60</v>
      </c>
      <c r="B66" s="110">
        <f t="shared" si="1"/>
        <v>434.51214285714275</v>
      </c>
      <c r="C66" s="110"/>
      <c r="D66" s="111">
        <f t="shared" si="2"/>
        <v>4.3499999999999996</v>
      </c>
      <c r="E66" s="110">
        <f t="shared" si="5"/>
        <v>11.74357142857143</v>
      </c>
      <c r="F66" s="110">
        <f t="shared" si="3"/>
        <v>16.09357142857143</v>
      </c>
      <c r="G66" s="110">
        <f t="shared" si="4"/>
        <v>422.76857142857136</v>
      </c>
    </row>
    <row r="67" spans="1:7" x14ac:dyDescent="0.25">
      <c r="A67" s="109">
        <v>61</v>
      </c>
      <c r="B67" s="110">
        <f t="shared" si="1"/>
        <v>422.76857142857136</v>
      </c>
      <c r="C67" s="110"/>
      <c r="D67" s="111">
        <f t="shared" si="2"/>
        <v>4.2300000000000004</v>
      </c>
      <c r="E67" s="110">
        <f t="shared" si="5"/>
        <v>11.74357142857143</v>
      </c>
      <c r="F67" s="110">
        <f t="shared" si="3"/>
        <v>15.973571428571431</v>
      </c>
      <c r="G67" s="110">
        <f t="shared" si="4"/>
        <v>411.02499999999998</v>
      </c>
    </row>
    <row r="68" spans="1:7" x14ac:dyDescent="0.25">
      <c r="A68" s="109">
        <v>62</v>
      </c>
      <c r="B68" s="110">
        <f t="shared" si="1"/>
        <v>411.02499999999998</v>
      </c>
      <c r="C68" s="110"/>
      <c r="D68" s="111">
        <f t="shared" si="2"/>
        <v>4.1100000000000003</v>
      </c>
      <c r="E68" s="110">
        <f t="shared" si="5"/>
        <v>11.74357142857143</v>
      </c>
      <c r="F68" s="110">
        <f t="shared" si="3"/>
        <v>15.853571428571431</v>
      </c>
      <c r="G68" s="110">
        <f t="shared" si="4"/>
        <v>399.28142857142853</v>
      </c>
    </row>
    <row r="69" spans="1:7" x14ac:dyDescent="0.25">
      <c r="A69" s="109">
        <v>63</v>
      </c>
      <c r="B69" s="110">
        <f t="shared" si="1"/>
        <v>399.28142857142853</v>
      </c>
      <c r="C69" s="110"/>
      <c r="D69" s="111">
        <f t="shared" si="2"/>
        <v>3.99</v>
      </c>
      <c r="E69" s="110">
        <f t="shared" si="5"/>
        <v>11.74357142857143</v>
      </c>
      <c r="F69" s="110">
        <f t="shared" si="3"/>
        <v>15.73357142857143</v>
      </c>
      <c r="G69" s="110">
        <f t="shared" si="4"/>
        <v>387.53785714285709</v>
      </c>
    </row>
    <row r="70" spans="1:7" x14ac:dyDescent="0.25">
      <c r="A70" s="109">
        <v>64</v>
      </c>
      <c r="B70" s="110">
        <f t="shared" si="1"/>
        <v>387.53785714285709</v>
      </c>
      <c r="C70" s="110"/>
      <c r="D70" s="111">
        <f t="shared" si="2"/>
        <v>3.88</v>
      </c>
      <c r="E70" s="110">
        <f t="shared" si="5"/>
        <v>11.74357142857143</v>
      </c>
      <c r="F70" s="110">
        <f t="shared" si="3"/>
        <v>15.623571428571431</v>
      </c>
      <c r="G70" s="110">
        <f t="shared" si="4"/>
        <v>375.79428571428565</v>
      </c>
    </row>
    <row r="71" spans="1:7" x14ac:dyDescent="0.25">
      <c r="A71" s="109">
        <v>65</v>
      </c>
      <c r="B71" s="110">
        <f t="shared" si="1"/>
        <v>375.79428571428565</v>
      </c>
      <c r="C71" s="110"/>
      <c r="D71" s="111">
        <f t="shared" si="2"/>
        <v>3.76</v>
      </c>
      <c r="E71" s="110">
        <f t="shared" si="5"/>
        <v>11.74357142857143</v>
      </c>
      <c r="F71" s="110">
        <f t="shared" si="3"/>
        <v>15.50357142857143</v>
      </c>
      <c r="G71" s="110">
        <f t="shared" si="4"/>
        <v>364.05071428571421</v>
      </c>
    </row>
    <row r="72" spans="1:7" x14ac:dyDescent="0.25">
      <c r="A72" s="109">
        <v>66</v>
      </c>
      <c r="B72" s="110">
        <f t="shared" si="1"/>
        <v>364.05071428571421</v>
      </c>
      <c r="C72" s="110"/>
      <c r="D72" s="111">
        <f t="shared" si="2"/>
        <v>3.64</v>
      </c>
      <c r="E72" s="110">
        <f t="shared" si="5"/>
        <v>11.74357142857143</v>
      </c>
      <c r="F72" s="110">
        <f t="shared" ref="F72:F102" si="6">D72+E72</f>
        <v>15.383571428571431</v>
      </c>
      <c r="G72" s="110">
        <f t="shared" si="4"/>
        <v>352.30714285714276</v>
      </c>
    </row>
    <row r="73" spans="1:7" x14ac:dyDescent="0.25">
      <c r="A73" s="109">
        <v>67</v>
      </c>
      <c r="B73" s="110">
        <f t="shared" ref="B73:B102" si="7">G72</f>
        <v>352.30714285714276</v>
      </c>
      <c r="C73" s="110"/>
      <c r="D73" s="111">
        <f t="shared" ref="D73:D102" si="8">ROUND((B73+C73)*$B$3/12, 2)</f>
        <v>3.52</v>
      </c>
      <c r="E73" s="110">
        <f t="shared" si="5"/>
        <v>11.74357142857143</v>
      </c>
      <c r="F73" s="110">
        <f t="shared" si="6"/>
        <v>15.26357142857143</v>
      </c>
      <c r="G73" s="110">
        <f t="shared" si="4"/>
        <v>340.56357142857132</v>
      </c>
    </row>
    <row r="74" spans="1:7" x14ac:dyDescent="0.25">
      <c r="A74" s="109">
        <v>68</v>
      </c>
      <c r="B74" s="110">
        <f t="shared" si="7"/>
        <v>340.56357142857132</v>
      </c>
      <c r="C74" s="110"/>
      <c r="D74" s="111">
        <f t="shared" si="8"/>
        <v>3.41</v>
      </c>
      <c r="E74" s="110">
        <f t="shared" si="5"/>
        <v>11.74357142857143</v>
      </c>
      <c r="F74" s="110">
        <f t="shared" si="6"/>
        <v>15.15357142857143</v>
      </c>
      <c r="G74" s="110">
        <f t="shared" si="4"/>
        <v>328.81999999999994</v>
      </c>
    </row>
    <row r="75" spans="1:7" x14ac:dyDescent="0.25">
      <c r="A75" s="109">
        <v>69</v>
      </c>
      <c r="B75" s="110">
        <f t="shared" si="7"/>
        <v>328.81999999999994</v>
      </c>
      <c r="C75" s="110"/>
      <c r="D75" s="111">
        <f t="shared" si="8"/>
        <v>3.29</v>
      </c>
      <c r="E75" s="110">
        <f t="shared" si="5"/>
        <v>11.74357142857143</v>
      </c>
      <c r="F75" s="110">
        <f t="shared" si="6"/>
        <v>15.033571428571431</v>
      </c>
      <c r="G75" s="110">
        <f t="shared" si="4"/>
        <v>317.07642857142855</v>
      </c>
    </row>
    <row r="76" spans="1:7" x14ac:dyDescent="0.25">
      <c r="A76" s="109">
        <v>70</v>
      </c>
      <c r="B76" s="110">
        <f t="shared" si="7"/>
        <v>317.07642857142855</v>
      </c>
      <c r="C76" s="110"/>
      <c r="D76" s="111">
        <f t="shared" si="8"/>
        <v>3.17</v>
      </c>
      <c r="E76" s="110">
        <f t="shared" si="5"/>
        <v>11.74357142857143</v>
      </c>
      <c r="F76" s="110">
        <f t="shared" si="6"/>
        <v>14.91357142857143</v>
      </c>
      <c r="G76" s="110">
        <f t="shared" si="4"/>
        <v>305.33285714285716</v>
      </c>
    </row>
    <row r="77" spans="1:7" x14ac:dyDescent="0.25">
      <c r="A77" s="109">
        <v>71</v>
      </c>
      <c r="B77" s="110">
        <f t="shared" si="7"/>
        <v>305.33285714285716</v>
      </c>
      <c r="C77" s="110"/>
      <c r="D77" s="111">
        <f t="shared" si="8"/>
        <v>3.05</v>
      </c>
      <c r="E77" s="110">
        <f t="shared" si="5"/>
        <v>11.74357142857143</v>
      </c>
      <c r="F77" s="110">
        <f t="shared" si="6"/>
        <v>14.793571428571429</v>
      </c>
      <c r="G77" s="110">
        <f t="shared" si="4"/>
        <v>293.58928571428572</v>
      </c>
    </row>
    <row r="78" spans="1:7" x14ac:dyDescent="0.25">
      <c r="A78" s="109">
        <v>72</v>
      </c>
      <c r="B78" s="110">
        <f t="shared" si="7"/>
        <v>293.58928571428572</v>
      </c>
      <c r="C78" s="110"/>
      <c r="D78" s="111">
        <f t="shared" si="8"/>
        <v>2.94</v>
      </c>
      <c r="E78" s="110">
        <f t="shared" si="5"/>
        <v>11.74357142857143</v>
      </c>
      <c r="F78" s="110">
        <f t="shared" si="6"/>
        <v>14.68357142857143</v>
      </c>
      <c r="G78" s="110">
        <f t="shared" si="4"/>
        <v>281.84571428571428</v>
      </c>
    </row>
    <row r="79" spans="1:7" x14ac:dyDescent="0.25">
      <c r="A79" s="109">
        <v>73</v>
      </c>
      <c r="B79" s="110">
        <f t="shared" si="7"/>
        <v>281.84571428571428</v>
      </c>
      <c r="C79" s="110"/>
      <c r="D79" s="111">
        <f t="shared" si="8"/>
        <v>2.82</v>
      </c>
      <c r="E79" s="110">
        <f t="shared" si="5"/>
        <v>11.74357142857143</v>
      </c>
      <c r="F79" s="110">
        <f t="shared" si="6"/>
        <v>14.56357142857143</v>
      </c>
      <c r="G79" s="110">
        <f t="shared" si="4"/>
        <v>270.10214285714284</v>
      </c>
    </row>
    <row r="80" spans="1:7" x14ac:dyDescent="0.25">
      <c r="A80" s="109">
        <v>74</v>
      </c>
      <c r="B80" s="110">
        <f t="shared" si="7"/>
        <v>270.10214285714284</v>
      </c>
      <c r="C80" s="110"/>
      <c r="D80" s="111">
        <f t="shared" si="8"/>
        <v>2.7</v>
      </c>
      <c r="E80" s="110">
        <f t="shared" si="5"/>
        <v>11.74357142857143</v>
      </c>
      <c r="F80" s="110">
        <f t="shared" si="6"/>
        <v>14.443571428571431</v>
      </c>
      <c r="G80" s="110">
        <f t="shared" si="4"/>
        <v>258.35857142857139</v>
      </c>
    </row>
    <row r="81" spans="1:7" x14ac:dyDescent="0.25">
      <c r="A81" s="109">
        <v>75</v>
      </c>
      <c r="B81" s="110">
        <f t="shared" si="7"/>
        <v>258.35857142857139</v>
      </c>
      <c r="C81" s="110"/>
      <c r="D81" s="111">
        <f t="shared" si="8"/>
        <v>2.58</v>
      </c>
      <c r="E81" s="110">
        <f t="shared" si="5"/>
        <v>11.74357142857143</v>
      </c>
      <c r="F81" s="110">
        <f t="shared" si="6"/>
        <v>14.32357142857143</v>
      </c>
      <c r="G81" s="110">
        <f t="shared" si="4"/>
        <v>246.61499999999995</v>
      </c>
    </row>
    <row r="82" spans="1:7" x14ac:dyDescent="0.25">
      <c r="A82" s="109">
        <v>76</v>
      </c>
      <c r="B82" s="110">
        <f t="shared" si="7"/>
        <v>246.61499999999995</v>
      </c>
      <c r="C82" s="110"/>
      <c r="D82" s="111">
        <f t="shared" si="8"/>
        <v>2.4700000000000002</v>
      </c>
      <c r="E82" s="110">
        <f t="shared" si="5"/>
        <v>11.74357142857143</v>
      </c>
      <c r="F82" s="110">
        <f t="shared" si="6"/>
        <v>14.213571428571431</v>
      </c>
      <c r="G82" s="110">
        <f t="shared" si="4"/>
        <v>234.87142857142851</v>
      </c>
    </row>
    <row r="83" spans="1:7" x14ac:dyDescent="0.25">
      <c r="A83" s="109">
        <v>77</v>
      </c>
      <c r="B83" s="110">
        <f t="shared" si="7"/>
        <v>234.87142857142851</v>
      </c>
      <c r="C83" s="110"/>
      <c r="D83" s="111">
        <f t="shared" si="8"/>
        <v>2.35</v>
      </c>
      <c r="E83" s="110">
        <f t="shared" si="5"/>
        <v>11.74357142857143</v>
      </c>
      <c r="F83" s="110">
        <f t="shared" si="6"/>
        <v>14.09357142857143</v>
      </c>
      <c r="G83" s="110">
        <f t="shared" si="4"/>
        <v>223.12785714285707</v>
      </c>
    </row>
    <row r="84" spans="1:7" x14ac:dyDescent="0.25">
      <c r="A84" s="109">
        <v>78</v>
      </c>
      <c r="B84" s="110">
        <f t="shared" si="7"/>
        <v>223.12785714285707</v>
      </c>
      <c r="C84" s="110"/>
      <c r="D84" s="111">
        <f t="shared" si="8"/>
        <v>2.23</v>
      </c>
      <c r="E84" s="110">
        <f t="shared" si="5"/>
        <v>11.74357142857143</v>
      </c>
      <c r="F84" s="110">
        <f t="shared" si="6"/>
        <v>13.973571428571431</v>
      </c>
      <c r="G84" s="110">
        <f t="shared" ref="G84:G102" si="9">B84+C84+D84-F84</f>
        <v>211.38428571428562</v>
      </c>
    </row>
    <row r="85" spans="1:7" x14ac:dyDescent="0.25">
      <c r="A85" s="109">
        <v>79</v>
      </c>
      <c r="B85" s="110">
        <f t="shared" si="7"/>
        <v>211.38428571428562</v>
      </c>
      <c r="C85" s="110"/>
      <c r="D85" s="111">
        <f t="shared" si="8"/>
        <v>2.11</v>
      </c>
      <c r="E85" s="110">
        <f t="shared" ref="E85:E102" si="10">E84</f>
        <v>11.74357142857143</v>
      </c>
      <c r="F85" s="110">
        <f t="shared" si="6"/>
        <v>13.85357142857143</v>
      </c>
      <c r="G85" s="110">
        <f t="shared" si="9"/>
        <v>199.64071428571421</v>
      </c>
    </row>
    <row r="86" spans="1:7" x14ac:dyDescent="0.25">
      <c r="A86" s="109">
        <v>80</v>
      </c>
      <c r="B86" s="110">
        <f t="shared" si="7"/>
        <v>199.64071428571421</v>
      </c>
      <c r="C86" s="110"/>
      <c r="D86" s="111">
        <f t="shared" si="8"/>
        <v>2</v>
      </c>
      <c r="E86" s="110">
        <f t="shared" si="10"/>
        <v>11.74357142857143</v>
      </c>
      <c r="F86" s="110">
        <f t="shared" si="6"/>
        <v>13.74357142857143</v>
      </c>
      <c r="G86" s="110">
        <f t="shared" si="9"/>
        <v>187.89714285714277</v>
      </c>
    </row>
    <row r="87" spans="1:7" x14ac:dyDescent="0.25">
      <c r="A87" s="109">
        <v>81</v>
      </c>
      <c r="B87" s="110">
        <f t="shared" si="7"/>
        <v>187.89714285714277</v>
      </c>
      <c r="C87" s="110"/>
      <c r="D87" s="111">
        <f t="shared" si="8"/>
        <v>1.88</v>
      </c>
      <c r="E87" s="110">
        <f t="shared" si="10"/>
        <v>11.74357142857143</v>
      </c>
      <c r="F87" s="110">
        <f t="shared" si="6"/>
        <v>13.623571428571431</v>
      </c>
      <c r="G87" s="110">
        <f t="shared" si="9"/>
        <v>176.15357142857133</v>
      </c>
    </row>
    <row r="88" spans="1:7" x14ac:dyDescent="0.25">
      <c r="A88" s="109">
        <v>82</v>
      </c>
      <c r="B88" s="110">
        <f t="shared" si="7"/>
        <v>176.15357142857133</v>
      </c>
      <c r="C88" s="110"/>
      <c r="D88" s="111">
        <f t="shared" si="8"/>
        <v>1.76</v>
      </c>
      <c r="E88" s="110">
        <f t="shared" si="10"/>
        <v>11.74357142857143</v>
      </c>
      <c r="F88" s="110">
        <f t="shared" si="6"/>
        <v>13.50357142857143</v>
      </c>
      <c r="G88" s="110">
        <f t="shared" si="9"/>
        <v>164.40999999999988</v>
      </c>
    </row>
    <row r="89" spans="1:7" x14ac:dyDescent="0.25">
      <c r="A89" s="109">
        <v>83</v>
      </c>
      <c r="B89" s="110">
        <f t="shared" si="7"/>
        <v>164.40999999999988</v>
      </c>
      <c r="C89" s="110"/>
      <c r="D89" s="111">
        <f t="shared" si="8"/>
        <v>1.64</v>
      </c>
      <c r="E89" s="110">
        <f t="shared" si="10"/>
        <v>11.74357142857143</v>
      </c>
      <c r="F89" s="110">
        <f t="shared" si="6"/>
        <v>13.383571428571431</v>
      </c>
      <c r="G89" s="110">
        <f t="shared" si="9"/>
        <v>152.66642857142844</v>
      </c>
    </row>
    <row r="90" spans="1:7" x14ac:dyDescent="0.25">
      <c r="A90" s="109">
        <v>84</v>
      </c>
      <c r="B90" s="110">
        <f t="shared" si="7"/>
        <v>152.66642857142844</v>
      </c>
      <c r="C90" s="110"/>
      <c r="D90" s="111">
        <f t="shared" si="8"/>
        <v>1.53</v>
      </c>
      <c r="E90" s="110">
        <f t="shared" si="10"/>
        <v>11.74357142857143</v>
      </c>
      <c r="F90" s="110">
        <f t="shared" si="6"/>
        <v>13.273571428571429</v>
      </c>
      <c r="G90" s="110">
        <f t="shared" si="9"/>
        <v>140.92285714285703</v>
      </c>
    </row>
    <row r="91" spans="1:7" x14ac:dyDescent="0.25">
      <c r="A91" s="109">
        <v>85</v>
      </c>
      <c r="B91" s="110">
        <f t="shared" si="7"/>
        <v>140.92285714285703</v>
      </c>
      <c r="C91" s="110"/>
      <c r="D91" s="111">
        <f t="shared" si="8"/>
        <v>1.41</v>
      </c>
      <c r="E91" s="110">
        <f t="shared" si="10"/>
        <v>11.74357142857143</v>
      </c>
      <c r="F91" s="110">
        <f t="shared" si="6"/>
        <v>13.15357142857143</v>
      </c>
      <c r="G91" s="110">
        <f t="shared" si="9"/>
        <v>129.17928571428558</v>
      </c>
    </row>
    <row r="92" spans="1:7" x14ac:dyDescent="0.25">
      <c r="A92" s="109">
        <v>86</v>
      </c>
      <c r="B92" s="110">
        <f t="shared" si="7"/>
        <v>129.17928571428558</v>
      </c>
      <c r="C92" s="110"/>
      <c r="D92" s="111">
        <f t="shared" si="8"/>
        <v>1.29</v>
      </c>
      <c r="E92" s="110">
        <f t="shared" si="10"/>
        <v>11.74357142857143</v>
      </c>
      <c r="F92" s="110">
        <f t="shared" si="6"/>
        <v>13.033571428571431</v>
      </c>
      <c r="G92" s="110">
        <f t="shared" si="9"/>
        <v>117.43571428571414</v>
      </c>
    </row>
    <row r="93" spans="1:7" x14ac:dyDescent="0.25">
      <c r="A93" s="109">
        <v>87</v>
      </c>
      <c r="B93" s="110">
        <f t="shared" si="7"/>
        <v>117.43571428571414</v>
      </c>
      <c r="C93" s="110"/>
      <c r="D93" s="111">
        <f t="shared" si="8"/>
        <v>1.17</v>
      </c>
      <c r="E93" s="110">
        <f t="shared" si="10"/>
        <v>11.74357142857143</v>
      </c>
      <c r="F93" s="110">
        <f t="shared" si="6"/>
        <v>12.91357142857143</v>
      </c>
      <c r="G93" s="110">
        <f t="shared" si="9"/>
        <v>105.69214285714271</v>
      </c>
    </row>
    <row r="94" spans="1:7" x14ac:dyDescent="0.25">
      <c r="A94" s="109">
        <v>88</v>
      </c>
      <c r="B94" s="110">
        <f t="shared" si="7"/>
        <v>105.69214285714271</v>
      </c>
      <c r="C94" s="110"/>
      <c r="D94" s="111">
        <f t="shared" si="8"/>
        <v>1.06</v>
      </c>
      <c r="E94" s="110">
        <f t="shared" si="10"/>
        <v>11.74357142857143</v>
      </c>
      <c r="F94" s="110">
        <f t="shared" si="6"/>
        <v>12.803571428571431</v>
      </c>
      <c r="G94" s="110">
        <f t="shared" si="9"/>
        <v>93.948571428571285</v>
      </c>
    </row>
    <row r="95" spans="1:7" x14ac:dyDescent="0.25">
      <c r="A95" s="109">
        <v>89</v>
      </c>
      <c r="B95" s="110">
        <f t="shared" si="7"/>
        <v>93.948571428571285</v>
      </c>
      <c r="C95" s="110"/>
      <c r="D95" s="111">
        <f t="shared" si="8"/>
        <v>0.94</v>
      </c>
      <c r="E95" s="110">
        <f t="shared" si="10"/>
        <v>11.74357142857143</v>
      </c>
      <c r="F95" s="110">
        <f t="shared" si="6"/>
        <v>12.68357142857143</v>
      </c>
      <c r="G95" s="110">
        <f t="shared" si="9"/>
        <v>82.204999999999856</v>
      </c>
    </row>
    <row r="96" spans="1:7" x14ac:dyDescent="0.25">
      <c r="A96" s="109">
        <v>90</v>
      </c>
      <c r="B96" s="110">
        <f t="shared" si="7"/>
        <v>82.204999999999856</v>
      </c>
      <c r="C96" s="110"/>
      <c r="D96" s="111">
        <f t="shared" si="8"/>
        <v>0.82</v>
      </c>
      <c r="E96" s="110">
        <f t="shared" si="10"/>
        <v>11.74357142857143</v>
      </c>
      <c r="F96" s="110">
        <f t="shared" si="6"/>
        <v>12.56357142857143</v>
      </c>
      <c r="G96" s="110">
        <f t="shared" si="9"/>
        <v>70.461428571428414</v>
      </c>
    </row>
    <row r="97" spans="1:7" x14ac:dyDescent="0.25">
      <c r="A97" s="109">
        <v>91</v>
      </c>
      <c r="B97" s="110">
        <f t="shared" si="7"/>
        <v>70.461428571428414</v>
      </c>
      <c r="C97" s="110"/>
      <c r="D97" s="111">
        <f t="shared" si="8"/>
        <v>0.7</v>
      </c>
      <c r="E97" s="110">
        <f t="shared" si="10"/>
        <v>11.74357142857143</v>
      </c>
      <c r="F97" s="110">
        <f t="shared" si="6"/>
        <v>12.443571428571429</v>
      </c>
      <c r="G97" s="110">
        <f t="shared" si="9"/>
        <v>58.717857142856985</v>
      </c>
    </row>
    <row r="98" spans="1:7" x14ac:dyDescent="0.25">
      <c r="A98" s="109">
        <v>92</v>
      </c>
      <c r="B98" s="110">
        <f t="shared" si="7"/>
        <v>58.717857142856985</v>
      </c>
      <c r="C98" s="110"/>
      <c r="D98" s="111">
        <f t="shared" si="8"/>
        <v>0.59</v>
      </c>
      <c r="E98" s="110">
        <f t="shared" si="10"/>
        <v>11.74357142857143</v>
      </c>
      <c r="F98" s="110">
        <f t="shared" si="6"/>
        <v>12.33357142857143</v>
      </c>
      <c r="G98" s="110">
        <f t="shared" si="9"/>
        <v>46.974285714285557</v>
      </c>
    </row>
    <row r="99" spans="1:7" x14ac:dyDescent="0.25">
      <c r="A99" s="109">
        <v>93</v>
      </c>
      <c r="B99" s="110">
        <f t="shared" si="7"/>
        <v>46.974285714285557</v>
      </c>
      <c r="C99" s="110"/>
      <c r="D99" s="111">
        <f t="shared" si="8"/>
        <v>0.47</v>
      </c>
      <c r="E99" s="110">
        <f t="shared" si="10"/>
        <v>11.74357142857143</v>
      </c>
      <c r="F99" s="110">
        <f t="shared" si="6"/>
        <v>12.213571428571431</v>
      </c>
      <c r="G99" s="110">
        <f t="shared" si="9"/>
        <v>35.230714285714129</v>
      </c>
    </row>
    <row r="100" spans="1:7" x14ac:dyDescent="0.25">
      <c r="A100" s="109">
        <v>94</v>
      </c>
      <c r="B100" s="110">
        <f t="shared" si="7"/>
        <v>35.230714285714129</v>
      </c>
      <c r="C100" s="110"/>
      <c r="D100" s="111">
        <f t="shared" si="8"/>
        <v>0.35</v>
      </c>
      <c r="E100" s="110">
        <f t="shared" si="10"/>
        <v>11.74357142857143</v>
      </c>
      <c r="F100" s="110">
        <f t="shared" si="6"/>
        <v>12.09357142857143</v>
      </c>
      <c r="G100" s="110">
        <f t="shared" si="9"/>
        <v>23.4871428571427</v>
      </c>
    </row>
    <row r="101" spans="1:7" x14ac:dyDescent="0.25">
      <c r="A101" s="109">
        <v>95</v>
      </c>
      <c r="B101" s="110">
        <f t="shared" si="7"/>
        <v>23.4871428571427</v>
      </c>
      <c r="C101" s="110"/>
      <c r="D101" s="111">
        <f t="shared" si="8"/>
        <v>0.23</v>
      </c>
      <c r="E101" s="110">
        <f t="shared" si="10"/>
        <v>11.74357142857143</v>
      </c>
      <c r="F101" s="110">
        <f t="shared" si="6"/>
        <v>11.973571428571431</v>
      </c>
      <c r="G101" s="110">
        <f t="shared" si="9"/>
        <v>11.74357142857127</v>
      </c>
    </row>
    <row r="102" spans="1:7" x14ac:dyDescent="0.25">
      <c r="A102" s="109">
        <v>96</v>
      </c>
      <c r="B102" s="110">
        <f t="shared" si="7"/>
        <v>11.74357142857127</v>
      </c>
      <c r="C102" s="110"/>
      <c r="D102" s="111">
        <f t="shared" si="8"/>
        <v>0.12</v>
      </c>
      <c r="E102" s="110">
        <f t="shared" si="10"/>
        <v>11.74357142857143</v>
      </c>
      <c r="F102" s="110">
        <f t="shared" si="6"/>
        <v>11.863571428571429</v>
      </c>
      <c r="G102" s="110">
        <f t="shared" si="9"/>
        <v>-1.5987211554602254E-13</v>
      </c>
    </row>
  </sheetData>
  <mergeCells count="1">
    <mergeCell ref="A1:G1"/>
  </mergeCells>
  <pageMargins left="0.92" right="0.70866141732283472" top="0.74803149606299213" bottom="0.74803149606299213" header="0.31496062992125984" footer="0.31496062992125984"/>
  <pageSetup scale="90" orientation="portrait" horizontalDpi="300" verticalDpi="300" r:id="rId1"/>
  <rowBreaks count="1" manualBreakCount="1">
    <brk id="5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SheetLayoutView="106" workbookViewId="0">
      <selection sqref="A1:XFD1048576"/>
    </sheetView>
  </sheetViews>
  <sheetFormatPr defaultRowHeight="15" x14ac:dyDescent="0.25"/>
  <cols>
    <col min="1" max="1" width="28" style="1" bestFit="1" customWidth="1"/>
    <col min="2" max="3" width="9" style="1" bestFit="1" customWidth="1"/>
    <col min="4" max="9" width="9.42578125" style="1" bestFit="1" customWidth="1"/>
    <col min="10" max="16384" width="9.140625" style="1"/>
  </cols>
  <sheetData>
    <row r="1" spans="1:9" ht="21" x14ac:dyDescent="0.35">
      <c r="A1" s="175" t="s">
        <v>237</v>
      </c>
      <c r="B1" s="175"/>
      <c r="C1" s="175"/>
      <c r="D1" s="175"/>
      <c r="E1" s="175"/>
      <c r="F1" s="175"/>
      <c r="G1" s="175"/>
      <c r="H1" s="175"/>
      <c r="I1" s="175"/>
    </row>
    <row r="2" spans="1:9" ht="15.75" thickBot="1" x14ac:dyDescent="0.3"/>
    <row r="3" spans="1:9" x14ac:dyDescent="0.25">
      <c r="A3" s="84" t="s">
        <v>36</v>
      </c>
      <c r="B3" s="85">
        <v>0.13</v>
      </c>
      <c r="C3" s="86"/>
      <c r="D3" s="86"/>
      <c r="E3" s="86"/>
      <c r="F3" s="86"/>
      <c r="G3" s="86"/>
      <c r="H3" s="86"/>
      <c r="I3" s="87"/>
    </row>
    <row r="4" spans="1:9" ht="15.75" thickBot="1" x14ac:dyDescent="0.3">
      <c r="A4" s="88"/>
      <c r="B4" s="89"/>
      <c r="C4" s="90"/>
      <c r="D4" s="90"/>
      <c r="E4" s="90"/>
      <c r="F4" s="90"/>
      <c r="G4" s="90"/>
      <c r="H4" s="90"/>
      <c r="I4" s="91"/>
    </row>
    <row r="5" spans="1:9" ht="15.75" thickBot="1" x14ac:dyDescent="0.3">
      <c r="A5" s="92" t="s">
        <v>142</v>
      </c>
      <c r="B5" s="93" t="s">
        <v>119</v>
      </c>
      <c r="C5" s="93" t="s">
        <v>120</v>
      </c>
      <c r="D5" s="93" t="s">
        <v>121</v>
      </c>
      <c r="E5" s="93" t="s">
        <v>122</v>
      </c>
      <c r="F5" s="93" t="s">
        <v>123</v>
      </c>
      <c r="G5" s="93" t="s">
        <v>124</v>
      </c>
      <c r="H5" s="93" t="s">
        <v>125</v>
      </c>
      <c r="I5" s="94" t="s">
        <v>126</v>
      </c>
    </row>
    <row r="6" spans="1:9" ht="15.75" thickBot="1" x14ac:dyDescent="0.3">
      <c r="A6" s="2"/>
    </row>
    <row r="7" spans="1:9" x14ac:dyDescent="0.25">
      <c r="A7" s="95" t="s">
        <v>32</v>
      </c>
      <c r="B7" s="96">
        <v>0</v>
      </c>
      <c r="C7" s="96">
        <f>B9</f>
        <v>207.81</v>
      </c>
      <c r="D7" s="96">
        <f t="shared" ref="D7:I7" si="0">C9</f>
        <v>207.81</v>
      </c>
      <c r="E7" s="96">
        <f t="shared" si="0"/>
        <v>225.04</v>
      </c>
      <c r="F7" s="96">
        <f t="shared" si="0"/>
        <v>242.28</v>
      </c>
      <c r="G7" s="96">
        <f t="shared" si="0"/>
        <v>259.52</v>
      </c>
      <c r="H7" s="96">
        <f t="shared" si="0"/>
        <v>276.77999999999997</v>
      </c>
      <c r="I7" s="97">
        <f t="shared" si="0"/>
        <v>276.93</v>
      </c>
    </row>
    <row r="8" spans="1:9" x14ac:dyDescent="0.25">
      <c r="A8" s="98" t="s">
        <v>146</v>
      </c>
      <c r="B8" s="45">
        <f>B9-B7</f>
        <v>207.81</v>
      </c>
      <c r="C8" s="45">
        <f t="shared" ref="C8:I8" si="1">C9-C7</f>
        <v>0</v>
      </c>
      <c r="D8" s="45">
        <f t="shared" si="1"/>
        <v>17.22999999999999</v>
      </c>
      <c r="E8" s="45">
        <f t="shared" si="1"/>
        <v>17.240000000000009</v>
      </c>
      <c r="F8" s="45">
        <f t="shared" si="1"/>
        <v>17.239999999999981</v>
      </c>
      <c r="G8" s="45">
        <f t="shared" si="1"/>
        <v>17.259999999999991</v>
      </c>
      <c r="H8" s="45">
        <f t="shared" si="1"/>
        <v>0.15000000000003411</v>
      </c>
      <c r="I8" s="99">
        <f t="shared" si="1"/>
        <v>0.17000000000001592</v>
      </c>
    </row>
    <row r="9" spans="1:9" x14ac:dyDescent="0.25">
      <c r="A9" s="98" t="s">
        <v>57</v>
      </c>
      <c r="B9" s="45">
        <f>wc!D17</f>
        <v>207.81</v>
      </c>
      <c r="C9" s="45">
        <f>wc!D17</f>
        <v>207.81</v>
      </c>
      <c r="D9" s="45">
        <f>wc!E17</f>
        <v>225.04</v>
      </c>
      <c r="E9" s="45">
        <f>wc!F17</f>
        <v>242.28</v>
      </c>
      <c r="F9" s="45">
        <f>wc!G17</f>
        <v>259.52</v>
      </c>
      <c r="G9" s="45">
        <f>wc!H17</f>
        <v>276.77999999999997</v>
      </c>
      <c r="H9" s="45">
        <f>wc!I17</f>
        <v>276.93</v>
      </c>
      <c r="I9" s="99">
        <f>wc!J17</f>
        <v>277.10000000000002</v>
      </c>
    </row>
    <row r="10" spans="1:9" x14ac:dyDescent="0.25">
      <c r="A10" s="98" t="s">
        <v>143</v>
      </c>
      <c r="B10" s="45">
        <f>B9</f>
        <v>207.81</v>
      </c>
      <c r="C10" s="45">
        <f>AVERAGE(C7:C9)</f>
        <v>138.54</v>
      </c>
      <c r="D10" s="45">
        <f t="shared" ref="D10:I10" si="2">AVERAGE(D7:D9)</f>
        <v>150.02666666666667</v>
      </c>
      <c r="E10" s="45">
        <f t="shared" si="2"/>
        <v>161.52000000000001</v>
      </c>
      <c r="F10" s="45">
        <f t="shared" si="2"/>
        <v>173.01333333333332</v>
      </c>
      <c r="G10" s="45">
        <f t="shared" si="2"/>
        <v>184.51999999999998</v>
      </c>
      <c r="H10" s="45">
        <f t="shared" si="2"/>
        <v>184.62</v>
      </c>
      <c r="I10" s="99">
        <f t="shared" si="2"/>
        <v>184.73333333333335</v>
      </c>
    </row>
    <row r="11" spans="1:9" x14ac:dyDescent="0.25">
      <c r="A11" s="98" t="s">
        <v>144</v>
      </c>
      <c r="B11" s="45">
        <v>2</v>
      </c>
      <c r="C11" s="45">
        <v>12</v>
      </c>
      <c r="D11" s="45">
        <v>12</v>
      </c>
      <c r="E11" s="45">
        <v>12</v>
      </c>
      <c r="F11" s="45">
        <v>12</v>
      </c>
      <c r="G11" s="45">
        <v>12</v>
      </c>
      <c r="H11" s="45">
        <v>12</v>
      </c>
      <c r="I11" s="99">
        <v>12</v>
      </c>
    </row>
    <row r="12" spans="1:9" ht="15.75" thickBot="1" x14ac:dyDescent="0.3">
      <c r="A12" s="100" t="s">
        <v>145</v>
      </c>
      <c r="B12" s="101">
        <f>ROUND(B10*B3/6, 2)</f>
        <v>4.5</v>
      </c>
      <c r="C12" s="101">
        <f>ROUND(C10*$B$3, 2)</f>
        <v>18.010000000000002</v>
      </c>
      <c r="D12" s="101">
        <f t="shared" ref="D12:I12" si="3">ROUND(D10*$B$3, 2)</f>
        <v>19.5</v>
      </c>
      <c r="E12" s="101">
        <f t="shared" si="3"/>
        <v>21</v>
      </c>
      <c r="F12" s="101">
        <f t="shared" si="3"/>
        <v>22.49</v>
      </c>
      <c r="G12" s="101">
        <f t="shared" si="3"/>
        <v>23.99</v>
      </c>
      <c r="H12" s="101">
        <f t="shared" si="3"/>
        <v>24</v>
      </c>
      <c r="I12" s="102">
        <f t="shared" si="3"/>
        <v>24.02</v>
      </c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B14" s="2"/>
      <c r="C14" s="2"/>
      <c r="D14" s="2"/>
      <c r="E14" s="2"/>
      <c r="F14" s="2"/>
      <c r="G14" s="2"/>
    </row>
    <row r="15" spans="1:9" x14ac:dyDescent="0.25">
      <c r="B15" s="2"/>
      <c r="C15" s="2"/>
      <c r="D15" s="2"/>
      <c r="E15" s="2"/>
      <c r="F15" s="2"/>
      <c r="G15" s="2"/>
    </row>
    <row r="16" spans="1:9" x14ac:dyDescent="0.25">
      <c r="B16" s="2"/>
      <c r="C16" s="2" t="s">
        <v>29</v>
      </c>
      <c r="D16" s="2"/>
      <c r="E16" s="2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</sheetData>
  <mergeCells count="1">
    <mergeCell ref="A1:I1"/>
  </mergeCells>
  <pageMargins left="0.97" right="0.70866141732283472" top="1.04" bottom="0.74803149606299213" header="0.31496062992125984" footer="0.31496062992125984"/>
  <pageSetup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0"/>
  <sheetViews>
    <sheetView workbookViewId="0">
      <selection activeCell="D21" sqref="D21"/>
    </sheetView>
  </sheetViews>
  <sheetFormatPr defaultRowHeight="15" x14ac:dyDescent="0.25"/>
  <cols>
    <col min="1" max="1" width="30.7109375" style="1" bestFit="1" customWidth="1"/>
    <col min="2" max="2" width="8" style="1" customWidth="1"/>
    <col min="3" max="3" width="8.42578125" style="1" customWidth="1"/>
    <col min="4" max="4" width="14.140625" style="1" customWidth="1"/>
    <col min="5" max="5" width="12.140625" style="1" customWidth="1"/>
    <col min="6" max="8" width="9.85546875" style="1" bestFit="1" customWidth="1"/>
    <col min="9" max="9" width="9.28515625" style="1" customWidth="1"/>
    <col min="10" max="10" width="9.85546875" style="1" bestFit="1" customWidth="1"/>
    <col min="11" max="11" width="7.7109375" style="1" customWidth="1"/>
    <col min="12" max="12" width="9.42578125" style="1" bestFit="1" customWidth="1"/>
    <col min="13" max="13" width="9.85546875" style="1" bestFit="1" customWidth="1"/>
    <col min="14" max="14" width="9.140625" style="1"/>
    <col min="15" max="15" width="9.28515625" style="1" bestFit="1" customWidth="1"/>
    <col min="16" max="16" width="9.140625" style="1"/>
    <col min="17" max="17" width="9.28515625" style="1" bestFit="1" customWidth="1"/>
    <col min="18" max="18" width="9.140625" style="1"/>
    <col min="19" max="19" width="9.28515625" style="1" bestFit="1" customWidth="1"/>
    <col min="20" max="16384" width="9.140625" style="1"/>
  </cols>
  <sheetData>
    <row r="1" spans="1:19" ht="21" x14ac:dyDescent="0.35">
      <c r="A1" s="159" t="s">
        <v>42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78"/>
      <c r="L2" s="78"/>
      <c r="M2" s="78"/>
    </row>
    <row r="3" spans="1:19" s="81" customFormat="1" ht="50.25" customHeight="1" x14ac:dyDescent="0.25">
      <c r="A3" s="79" t="s">
        <v>26</v>
      </c>
      <c r="B3" s="79" t="s">
        <v>43</v>
      </c>
      <c r="C3" s="79" t="s">
        <v>44</v>
      </c>
      <c r="D3" s="80" t="s">
        <v>231</v>
      </c>
      <c r="E3" s="80" t="s">
        <v>230</v>
      </c>
      <c r="F3" s="176" t="s">
        <v>140</v>
      </c>
      <c r="G3" s="177"/>
      <c r="H3" s="177"/>
      <c r="I3" s="177"/>
      <c r="J3" s="177"/>
      <c r="K3" s="178"/>
      <c r="L3" s="178"/>
      <c r="M3" s="179"/>
    </row>
    <row r="4" spans="1:19" x14ac:dyDescent="0.25">
      <c r="A4" s="41"/>
      <c r="B4" s="41"/>
      <c r="C4" s="41"/>
      <c r="D4" s="41"/>
      <c r="E4" s="41"/>
      <c r="F4" s="41" t="s">
        <v>119</v>
      </c>
      <c r="G4" s="41" t="s">
        <v>120</v>
      </c>
      <c r="H4" s="41" t="s">
        <v>121</v>
      </c>
      <c r="I4" s="41" t="s">
        <v>122</v>
      </c>
      <c r="J4" s="41" t="s">
        <v>123</v>
      </c>
      <c r="K4" s="41" t="s">
        <v>124</v>
      </c>
      <c r="L4" s="41" t="s">
        <v>125</v>
      </c>
      <c r="M4" s="41" t="s">
        <v>126</v>
      </c>
      <c r="Q4" s="1" t="s">
        <v>226</v>
      </c>
    </row>
    <row r="5" spans="1:19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9" x14ac:dyDescent="0.25">
      <c r="A6" s="41" t="s">
        <v>45</v>
      </c>
      <c r="B6" s="46">
        <v>0.15</v>
      </c>
      <c r="C6" s="45">
        <f>cost!C4+cost!C5+cost!C6+cost!C7+cost!C8</f>
        <v>615</v>
      </c>
      <c r="D6" s="45">
        <f>ROUND(((C6/$C$10)*$D$10), 2)</f>
        <v>41.84</v>
      </c>
      <c r="E6" s="45">
        <f>ROUND(((C6/$C$10)*$E$10), 2)</f>
        <v>75.06</v>
      </c>
      <c r="F6" s="45">
        <f>C6+D6+E6</f>
        <v>731.90000000000009</v>
      </c>
      <c r="G6" s="45">
        <f>F6*(1-$B$6)</f>
        <v>622.11500000000001</v>
      </c>
      <c r="H6" s="45">
        <f>G6*(1-$B$6)</f>
        <v>528.79774999999995</v>
      </c>
      <c r="I6" s="45">
        <f t="shared" ref="I6:K6" si="0">H6*(1-$B$6)</f>
        <v>449.47808749999996</v>
      </c>
      <c r="J6" s="45">
        <f t="shared" si="0"/>
        <v>382.05637437499996</v>
      </c>
      <c r="K6" s="45">
        <f t="shared" si="0"/>
        <v>324.74791821874999</v>
      </c>
      <c r="L6" s="45">
        <f t="shared" ref="L6" si="1">K6*(1-$B$6)</f>
        <v>276.03573048593751</v>
      </c>
      <c r="M6" s="45">
        <f t="shared" ref="M6" si="2">L6*(1-$B$6)</f>
        <v>234.63037091304687</v>
      </c>
      <c r="O6" s="82">
        <f>Q6/$Q$10*$O$15</f>
        <v>74.621162079510711</v>
      </c>
      <c r="Q6" s="45">
        <v>544</v>
      </c>
      <c r="S6" s="1">
        <v>65.586246691427192</v>
      </c>
    </row>
    <row r="7" spans="1:19" x14ac:dyDescent="0.25">
      <c r="A7" s="41" t="s">
        <v>46</v>
      </c>
      <c r="B7" s="46">
        <v>0.1</v>
      </c>
      <c r="C7" s="45">
        <f>cost!C10+cost!C12+cost!C13</f>
        <v>104</v>
      </c>
      <c r="D7" s="45">
        <f t="shared" ref="D7:D8" si="3">ROUND(((C7/$C$10)*$D$10), 2)</f>
        <v>7.07</v>
      </c>
      <c r="E7" s="45">
        <f t="shared" ref="E7:E8" si="4">ROUND(((C7/$C$10)*$E$10), 2)</f>
        <v>12.69</v>
      </c>
      <c r="F7" s="45">
        <f t="shared" ref="F7:F8" si="5">C7+D7+E7</f>
        <v>123.75999999999999</v>
      </c>
      <c r="G7" s="45">
        <f t="shared" ref="G7:G8" si="6">F7*(1-$B$6)</f>
        <v>105.19599999999998</v>
      </c>
      <c r="H7" s="45">
        <f>G7*(1-$B$7)</f>
        <v>94.676399999999987</v>
      </c>
      <c r="I7" s="45">
        <f t="shared" ref="I7:K7" si="7">H7*(1-$B$7)</f>
        <v>85.208759999999984</v>
      </c>
      <c r="J7" s="45">
        <f t="shared" si="7"/>
        <v>76.687883999999983</v>
      </c>
      <c r="K7" s="45">
        <f t="shared" si="7"/>
        <v>69.019095599999986</v>
      </c>
      <c r="L7" s="45">
        <f t="shared" ref="L7" si="8">K7*(1-$B$7)</f>
        <v>62.117186039999986</v>
      </c>
      <c r="M7" s="45">
        <f t="shared" ref="M7" si="9">L7*(1-$B$7)</f>
        <v>55.905467435999988</v>
      </c>
      <c r="O7" s="82">
        <f>Q7/$Q$10*$O$15</f>
        <v>13.717125382262997</v>
      </c>
      <c r="Q7" s="45">
        <v>100</v>
      </c>
      <c r="S7" s="1">
        <v>12.056295347688822</v>
      </c>
    </row>
    <row r="8" spans="1:19" x14ac:dyDescent="0.25">
      <c r="A8" s="41" t="s">
        <v>9</v>
      </c>
      <c r="B8" s="46">
        <v>0.1</v>
      </c>
      <c r="C8" s="45">
        <f>cost!C11</f>
        <v>16</v>
      </c>
      <c r="D8" s="45">
        <f t="shared" si="3"/>
        <v>1.0900000000000001</v>
      </c>
      <c r="E8" s="45">
        <f t="shared" si="4"/>
        <v>1.95</v>
      </c>
      <c r="F8" s="45">
        <f t="shared" si="5"/>
        <v>19.04</v>
      </c>
      <c r="G8" s="45">
        <f t="shared" si="6"/>
        <v>16.183999999999997</v>
      </c>
      <c r="H8" s="45">
        <f>G8*(1-$B$8)</f>
        <v>14.565599999999998</v>
      </c>
      <c r="I8" s="45">
        <f t="shared" ref="I8:M8" si="10">H8*(1-$B$8)</f>
        <v>13.109039999999998</v>
      </c>
      <c r="J8" s="45">
        <f t="shared" si="10"/>
        <v>11.798136</v>
      </c>
      <c r="K8" s="45">
        <f t="shared" si="10"/>
        <v>10.6183224</v>
      </c>
      <c r="L8" s="45">
        <f t="shared" si="10"/>
        <v>9.556490160000001</v>
      </c>
      <c r="M8" s="45">
        <f t="shared" si="10"/>
        <v>8.6008411440000003</v>
      </c>
      <c r="O8" s="82">
        <f>Q8/$Q$10*$O$15</f>
        <v>1.3717125382262998</v>
      </c>
      <c r="Q8" s="45">
        <v>10</v>
      </c>
      <c r="S8" s="1">
        <v>1.2056295347688821</v>
      </c>
    </row>
    <row r="9" spans="1:19" x14ac:dyDescent="0.25">
      <c r="A9" s="41"/>
      <c r="B9" s="4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spans="1:19" x14ac:dyDescent="0.25">
      <c r="A10" s="41" t="s">
        <v>47</v>
      </c>
      <c r="B10" s="41"/>
      <c r="C10" s="45">
        <f>SUM(C6:C8)</f>
        <v>735</v>
      </c>
      <c r="D10" s="45">
        <f>'cash budget'!M9</f>
        <v>50</v>
      </c>
      <c r="E10" s="45">
        <f>SUM(TL!D7:D18)</f>
        <v>89.710000000000008</v>
      </c>
      <c r="F10" s="83">
        <f>SUM(F6:F9)</f>
        <v>874.7</v>
      </c>
      <c r="G10" s="83">
        <f t="shared" ref="G10:M10" si="11">SUM(G6:G9)</f>
        <v>743.495</v>
      </c>
      <c r="H10" s="83">
        <f t="shared" si="11"/>
        <v>638.03974999999991</v>
      </c>
      <c r="I10" s="83">
        <f t="shared" si="11"/>
        <v>547.79588749999994</v>
      </c>
      <c r="J10" s="83">
        <f t="shared" si="11"/>
        <v>470.54239437499996</v>
      </c>
      <c r="K10" s="83">
        <f t="shared" si="11"/>
        <v>404.38533621875001</v>
      </c>
      <c r="L10" s="83">
        <f t="shared" si="11"/>
        <v>347.70940668593749</v>
      </c>
      <c r="M10" s="83">
        <f t="shared" si="11"/>
        <v>299.13667949304687</v>
      </c>
      <c r="Q10" s="7">
        <f>SUM(Q6:Q9)</f>
        <v>654</v>
      </c>
    </row>
    <row r="11" spans="1:19" x14ac:dyDescent="0.25">
      <c r="A11" s="41"/>
      <c r="B11" s="41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</row>
    <row r="12" spans="1:19" x14ac:dyDescent="0.25">
      <c r="A12" s="41" t="s">
        <v>48</v>
      </c>
      <c r="B12" s="41"/>
      <c r="C12" s="45"/>
      <c r="D12" s="45"/>
      <c r="E12" s="45"/>
      <c r="F12" s="45">
        <v>0</v>
      </c>
      <c r="G12" s="45">
        <f>ROUND(F10-G10, 2)</f>
        <v>131.21</v>
      </c>
      <c r="H12" s="45">
        <f t="shared" ref="H12:M12" si="12">ROUND(G10-H10, 2)</f>
        <v>105.46</v>
      </c>
      <c r="I12" s="45">
        <f t="shared" si="12"/>
        <v>90.24</v>
      </c>
      <c r="J12" s="45">
        <f t="shared" si="12"/>
        <v>77.25</v>
      </c>
      <c r="K12" s="45">
        <f t="shared" si="12"/>
        <v>66.16</v>
      </c>
      <c r="L12" s="45">
        <f t="shared" si="12"/>
        <v>56.68</v>
      </c>
      <c r="M12" s="45">
        <f t="shared" si="12"/>
        <v>48.57</v>
      </c>
    </row>
    <row r="15" spans="1:19" x14ac:dyDescent="0.25">
      <c r="A15" s="1" t="s">
        <v>238</v>
      </c>
      <c r="O15" s="82">
        <f>TL!N19</f>
        <v>89.710000000000008</v>
      </c>
      <c r="Q15" s="1">
        <f>SUM(Q6:Q14)</f>
        <v>1308</v>
      </c>
      <c r="S15" s="7">
        <f>cost!C9</f>
        <v>270</v>
      </c>
    </row>
    <row r="16" spans="1:19" x14ac:dyDescent="0.25">
      <c r="A16" s="1" t="s">
        <v>225</v>
      </c>
    </row>
    <row r="20" spans="3:4" x14ac:dyDescent="0.25">
      <c r="C20" s="7">
        <f>SUM(cost!C4:C14)-cost!C9</f>
        <v>785</v>
      </c>
      <c r="D20" s="7"/>
    </row>
  </sheetData>
  <mergeCells count="2">
    <mergeCell ref="F3:M3"/>
    <mergeCell ref="A1:M1"/>
  </mergeCells>
  <pageMargins left="0.70866141732283472" right="0.54" top="1.02" bottom="0.74803149606299213" header="0.31496062992125984" footer="0.31496062992125984"/>
  <pageSetup scale="8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5"/>
  <sheetViews>
    <sheetView workbookViewId="0">
      <selection sqref="A1:XFD1048576"/>
    </sheetView>
  </sheetViews>
  <sheetFormatPr defaultRowHeight="15" x14ac:dyDescent="0.25"/>
  <cols>
    <col min="1" max="1" width="49.28515625" style="1" bestFit="1" customWidth="1"/>
    <col min="2" max="9" width="9.5703125" style="1" bestFit="1" customWidth="1"/>
    <col min="10" max="16384" width="9.140625" style="1"/>
  </cols>
  <sheetData>
    <row r="1" spans="1:9" ht="21" x14ac:dyDescent="0.35">
      <c r="A1" s="180" t="s">
        <v>244</v>
      </c>
      <c r="B1" s="181"/>
      <c r="C1" s="181"/>
      <c r="D1" s="181"/>
      <c r="E1" s="181"/>
      <c r="F1" s="181"/>
      <c r="G1" s="181"/>
      <c r="H1" s="181"/>
      <c r="I1" s="182"/>
    </row>
    <row r="2" spans="1:9" x14ac:dyDescent="0.25">
      <c r="A2" s="41"/>
      <c r="B2" s="41"/>
      <c r="C2" s="41"/>
      <c r="D2" s="41"/>
      <c r="E2" s="41"/>
      <c r="F2" s="41"/>
      <c r="G2" s="41"/>
      <c r="H2" s="41"/>
      <c r="I2" s="41"/>
    </row>
    <row r="3" spans="1:9" x14ac:dyDescent="0.25">
      <c r="B3" s="41"/>
      <c r="C3" s="41"/>
      <c r="D3" s="41"/>
      <c r="E3" s="41"/>
      <c r="F3" s="41"/>
      <c r="G3" s="41"/>
      <c r="H3" s="41"/>
      <c r="I3" s="41"/>
    </row>
    <row r="4" spans="1:9" x14ac:dyDescent="0.25">
      <c r="A4" s="73" t="s">
        <v>56</v>
      </c>
      <c r="B4" s="67" t="s">
        <v>119</v>
      </c>
      <c r="C4" s="67" t="s">
        <v>120</v>
      </c>
      <c r="D4" s="67" t="s">
        <v>121</v>
      </c>
      <c r="E4" s="67" t="s">
        <v>122</v>
      </c>
      <c r="F4" s="67" t="s">
        <v>123</v>
      </c>
      <c r="G4" s="67" t="s">
        <v>124</v>
      </c>
      <c r="H4" s="67" t="s">
        <v>125</v>
      </c>
      <c r="I4" s="67" t="s">
        <v>126</v>
      </c>
    </row>
    <row r="5" spans="1:9" x14ac:dyDescent="0.25">
      <c r="A5" s="73"/>
      <c r="B5" s="67"/>
      <c r="C5" s="67"/>
      <c r="D5" s="67"/>
      <c r="E5" s="67"/>
      <c r="F5" s="67"/>
      <c r="G5" s="67"/>
      <c r="H5" s="67"/>
      <c r="I5" s="67"/>
    </row>
    <row r="6" spans="1:9" x14ac:dyDescent="0.25">
      <c r="A6" s="73" t="s">
        <v>220</v>
      </c>
      <c r="B6" s="41"/>
      <c r="C6" s="41"/>
      <c r="D6" s="41"/>
      <c r="E6" s="41"/>
      <c r="F6" s="41"/>
      <c r="G6" s="41"/>
      <c r="H6" s="41"/>
      <c r="I6" s="41"/>
    </row>
    <row r="7" spans="1:9" x14ac:dyDescent="0.25">
      <c r="A7" s="41" t="s">
        <v>239</v>
      </c>
      <c r="B7" s="74">
        <f>cf!C7</f>
        <v>227.51999999999998</v>
      </c>
      <c r="C7" s="74">
        <f>B12</f>
        <v>227.51999999999998</v>
      </c>
      <c r="D7" s="74">
        <f t="shared" ref="D7:I7" si="0">C12</f>
        <v>544.15</v>
      </c>
      <c r="E7" s="74">
        <f t="shared" si="0"/>
        <v>941.53</v>
      </c>
      <c r="F7" s="74">
        <f t="shared" si="0"/>
        <v>1409</v>
      </c>
      <c r="G7" s="74">
        <f t="shared" si="0"/>
        <v>1944.23</v>
      </c>
      <c r="H7" s="74">
        <f t="shared" si="0"/>
        <v>2545.17</v>
      </c>
      <c r="I7" s="74">
        <f t="shared" si="0"/>
        <v>3158.12</v>
      </c>
    </row>
    <row r="8" spans="1:9" x14ac:dyDescent="0.25">
      <c r="A8" s="41" t="s">
        <v>240</v>
      </c>
      <c r="B8" s="74">
        <f>cs!B37</f>
        <v>0</v>
      </c>
      <c r="C8" s="74">
        <f>cs!C37</f>
        <v>340.63</v>
      </c>
      <c r="D8" s="74">
        <f>cs!D37</f>
        <v>433.38</v>
      </c>
      <c r="E8" s="74">
        <f>cs!E37</f>
        <v>515.47</v>
      </c>
      <c r="F8" s="74">
        <f>cs!F37</f>
        <v>595.23</v>
      </c>
      <c r="G8" s="74">
        <f>cs!G37</f>
        <v>672.94</v>
      </c>
      <c r="H8" s="74">
        <f>cs!H37</f>
        <v>696.95</v>
      </c>
      <c r="I8" s="74">
        <f>cs!I37</f>
        <v>719.43</v>
      </c>
    </row>
    <row r="9" spans="1:9" x14ac:dyDescent="0.25">
      <c r="A9" s="41" t="s">
        <v>241</v>
      </c>
      <c r="B9" s="74">
        <v>0</v>
      </c>
      <c r="C9" s="74">
        <v>0</v>
      </c>
      <c r="D9" s="74">
        <v>0</v>
      </c>
      <c r="E9" s="74">
        <v>0</v>
      </c>
      <c r="F9" s="74"/>
      <c r="G9" s="74">
        <v>0</v>
      </c>
      <c r="H9" s="74">
        <v>0</v>
      </c>
      <c r="I9" s="74">
        <v>0</v>
      </c>
    </row>
    <row r="10" spans="1:9" x14ac:dyDescent="0.25">
      <c r="A10" s="41"/>
      <c r="B10" s="74">
        <f>SUM(B7:B8)</f>
        <v>227.51999999999998</v>
      </c>
      <c r="C10" s="74">
        <f t="shared" ref="C10:I10" si="1">SUM(C7:C8)</f>
        <v>568.15</v>
      </c>
      <c r="D10" s="74">
        <f t="shared" si="1"/>
        <v>977.53</v>
      </c>
      <c r="E10" s="74">
        <f>SUM(E7:E9)</f>
        <v>1457</v>
      </c>
      <c r="F10" s="74">
        <f t="shared" si="1"/>
        <v>2004.23</v>
      </c>
      <c r="G10" s="74">
        <f t="shared" si="1"/>
        <v>2617.17</v>
      </c>
      <c r="H10" s="74">
        <f t="shared" si="1"/>
        <v>3242.12</v>
      </c>
      <c r="I10" s="74">
        <f t="shared" si="1"/>
        <v>3877.5499999999997</v>
      </c>
    </row>
    <row r="11" spans="1:9" x14ac:dyDescent="0.25">
      <c r="A11" s="41" t="s">
        <v>242</v>
      </c>
      <c r="B11" s="74">
        <v>0</v>
      </c>
      <c r="C11" s="74">
        <f>cf!D25</f>
        <v>24</v>
      </c>
      <c r="D11" s="74">
        <f>cf!E25</f>
        <v>36</v>
      </c>
      <c r="E11" s="74">
        <f>cf!F25</f>
        <v>48</v>
      </c>
      <c r="F11" s="74">
        <f>cf!G25</f>
        <v>60</v>
      </c>
      <c r="G11" s="74">
        <f>cf!H25</f>
        <v>72</v>
      </c>
      <c r="H11" s="74">
        <f>cf!I25</f>
        <v>84</v>
      </c>
      <c r="I11" s="74">
        <f>cf!J25</f>
        <v>96</v>
      </c>
    </row>
    <row r="12" spans="1:9" x14ac:dyDescent="0.25">
      <c r="A12" s="41" t="s">
        <v>243</v>
      </c>
      <c r="B12" s="75">
        <f>B10-B11</f>
        <v>227.51999999999998</v>
      </c>
      <c r="C12" s="75">
        <f t="shared" ref="C12:I12" si="2">C10-C11</f>
        <v>544.15</v>
      </c>
      <c r="D12" s="75">
        <f t="shared" si="2"/>
        <v>941.53</v>
      </c>
      <c r="E12" s="75">
        <f t="shared" si="2"/>
        <v>1409</v>
      </c>
      <c r="F12" s="75">
        <f t="shared" si="2"/>
        <v>1944.23</v>
      </c>
      <c r="G12" s="75">
        <f t="shared" si="2"/>
        <v>2545.17</v>
      </c>
      <c r="H12" s="75">
        <f t="shared" si="2"/>
        <v>3158.12</v>
      </c>
      <c r="I12" s="75">
        <f t="shared" si="2"/>
        <v>3781.5499999999997</v>
      </c>
    </row>
    <row r="13" spans="1:9" x14ac:dyDescent="0.25">
      <c r="A13" s="41"/>
      <c r="B13" s="74"/>
      <c r="C13" s="74"/>
      <c r="D13" s="74"/>
      <c r="E13" s="74"/>
      <c r="F13" s="74"/>
      <c r="G13" s="74"/>
      <c r="H13" s="74"/>
      <c r="I13" s="74"/>
    </row>
    <row r="14" spans="1:9" x14ac:dyDescent="0.25">
      <c r="A14" s="5" t="s">
        <v>58</v>
      </c>
      <c r="B14" s="74"/>
      <c r="C14" s="74"/>
      <c r="D14" s="74"/>
      <c r="E14" s="74"/>
      <c r="F14" s="74"/>
      <c r="G14" s="74"/>
      <c r="H14" s="74"/>
      <c r="I14" s="74"/>
    </row>
    <row r="15" spans="1:9" x14ac:dyDescent="0.25">
      <c r="A15" s="41" t="s">
        <v>223</v>
      </c>
      <c r="B15" s="74">
        <f>TL!G18</f>
        <v>986.46000000000015</v>
      </c>
      <c r="C15" s="74">
        <f>B15-cf!D24</f>
        <v>845.54000000000019</v>
      </c>
      <c r="D15" s="74">
        <f>C15-cf!E24</f>
        <v>704.62000000000023</v>
      </c>
      <c r="E15" s="74">
        <f>D15-cf!F24</f>
        <v>563.70000000000027</v>
      </c>
      <c r="F15" s="74">
        <f>E15-cf!G24</f>
        <v>422.78000000000031</v>
      </c>
      <c r="G15" s="74">
        <f>F15-cf!H24</f>
        <v>281.86000000000035</v>
      </c>
      <c r="H15" s="74">
        <f>G15-cf!I24</f>
        <v>140.94000000000037</v>
      </c>
      <c r="I15" s="74">
        <f>H15-cf!J24</f>
        <v>2.0000000000379714E-2</v>
      </c>
    </row>
    <row r="16" spans="1:9" x14ac:dyDescent="0.25">
      <c r="A16" s="41" t="s">
        <v>59</v>
      </c>
      <c r="B16" s="74">
        <f>wcl!B9</f>
        <v>207.81</v>
      </c>
      <c r="C16" s="74">
        <f>wcl!C9</f>
        <v>207.81</v>
      </c>
      <c r="D16" s="74">
        <f>wcl!D9</f>
        <v>225.04</v>
      </c>
      <c r="E16" s="74">
        <f>wcl!E9</f>
        <v>242.28</v>
      </c>
      <c r="F16" s="74">
        <f>wcl!F9</f>
        <v>259.52</v>
      </c>
      <c r="G16" s="74">
        <f>wcl!G9</f>
        <v>276.77999999999997</v>
      </c>
      <c r="H16" s="74">
        <f>wcl!H9</f>
        <v>276.93</v>
      </c>
      <c r="I16" s="74">
        <f>wcl!I9</f>
        <v>277.10000000000002</v>
      </c>
    </row>
    <row r="17" spans="1:9" x14ac:dyDescent="0.25">
      <c r="A17" s="41"/>
      <c r="B17" s="74"/>
      <c r="C17" s="74"/>
      <c r="D17" s="74"/>
      <c r="E17" s="74"/>
      <c r="F17" s="74"/>
      <c r="G17" s="74"/>
      <c r="H17" s="74"/>
      <c r="I17" s="74"/>
    </row>
    <row r="18" spans="1:9" s="76" customFormat="1" x14ac:dyDescent="0.25">
      <c r="A18" s="5" t="s">
        <v>60</v>
      </c>
      <c r="B18" s="75">
        <f>ROUND(SUM(B12:B17), 2)</f>
        <v>1421.79</v>
      </c>
      <c r="C18" s="75">
        <f t="shared" ref="C18:I18" si="3">SUM(C12:C17)</f>
        <v>1597.5</v>
      </c>
      <c r="D18" s="75">
        <f t="shared" si="3"/>
        <v>1871.19</v>
      </c>
      <c r="E18" s="75">
        <f t="shared" si="3"/>
        <v>2214.9800000000005</v>
      </c>
      <c r="F18" s="75">
        <f t="shared" si="3"/>
        <v>2626.53</v>
      </c>
      <c r="G18" s="75">
        <f t="shared" si="3"/>
        <v>3103.8100000000004</v>
      </c>
      <c r="H18" s="75">
        <f t="shared" si="3"/>
        <v>3575.9900000000002</v>
      </c>
      <c r="I18" s="75">
        <f t="shared" si="3"/>
        <v>4058.67</v>
      </c>
    </row>
    <row r="19" spans="1:9" x14ac:dyDescent="0.25">
      <c r="A19" s="41"/>
      <c r="B19" s="75"/>
      <c r="C19" s="75"/>
      <c r="D19" s="75"/>
      <c r="E19" s="75"/>
      <c r="F19" s="75"/>
      <c r="G19" s="75"/>
      <c r="H19" s="75"/>
      <c r="I19" s="75"/>
    </row>
    <row r="20" spans="1:9" x14ac:dyDescent="0.25">
      <c r="A20" s="73" t="s">
        <v>61</v>
      </c>
      <c r="B20" s="74"/>
      <c r="C20" s="74"/>
      <c r="D20" s="74"/>
      <c r="E20" s="74"/>
      <c r="F20" s="74"/>
      <c r="G20" s="74"/>
      <c r="H20" s="74"/>
      <c r="I20" s="74"/>
    </row>
    <row r="21" spans="1:9" x14ac:dyDescent="0.25">
      <c r="A21" s="41"/>
      <c r="B21" s="74"/>
      <c r="C21" s="74"/>
      <c r="D21" s="74"/>
      <c r="E21" s="74"/>
      <c r="F21" s="74"/>
      <c r="G21" s="74"/>
      <c r="H21" s="74"/>
      <c r="I21" s="74"/>
    </row>
    <row r="22" spans="1:9" x14ac:dyDescent="0.25">
      <c r="A22" s="5" t="s">
        <v>62</v>
      </c>
      <c r="B22" s="74">
        <f>depn!F10+cost!$C$9</f>
        <v>1144.7</v>
      </c>
      <c r="C22" s="74">
        <f>depn!G10+cost!$C$9</f>
        <v>1013.495</v>
      </c>
      <c r="D22" s="74">
        <f>depn!H10+cost!$C$9</f>
        <v>908.03974999999991</v>
      </c>
      <c r="E22" s="74">
        <f>depn!I10+cost!$C$9</f>
        <v>817.79588749999994</v>
      </c>
      <c r="F22" s="74">
        <f>depn!J10+cost!$C$9</f>
        <v>740.54239437499996</v>
      </c>
      <c r="G22" s="74">
        <f>depn!K10+cost!$C$9</f>
        <v>674.38533621875001</v>
      </c>
      <c r="H22" s="74">
        <f>depn!L10+cost!$C$9</f>
        <v>617.70940668593744</v>
      </c>
      <c r="I22" s="74">
        <f>depn!M10+cost!$C$9</f>
        <v>569.13667949304681</v>
      </c>
    </row>
    <row r="23" spans="1:9" x14ac:dyDescent="0.25">
      <c r="A23" s="5" t="s">
        <v>63</v>
      </c>
      <c r="B23" s="74"/>
      <c r="C23" s="74"/>
      <c r="D23" s="74"/>
      <c r="E23" s="74"/>
      <c r="F23" s="74"/>
      <c r="G23" s="74"/>
      <c r="H23" s="74"/>
      <c r="I23" s="74"/>
    </row>
    <row r="24" spans="1:9" x14ac:dyDescent="0.25">
      <c r="A24" s="41" t="s">
        <v>221</v>
      </c>
      <c r="B24" s="74">
        <f>ROUND(wc!D9+wc!D12+wc!D10+wc!D11, 2)</f>
        <v>277.08</v>
      </c>
      <c r="C24" s="74">
        <f>B24</f>
        <v>277.08</v>
      </c>
      <c r="D24" s="74">
        <f>ROUND(wc!E9+wc!E12+wc!E10+wc!E11, 2)</f>
        <v>300.05</v>
      </c>
      <c r="E24" s="74">
        <f>ROUND(wc!F9+wc!F12+wc!F10+wc!F11, 2)</f>
        <v>323.04000000000002</v>
      </c>
      <c r="F24" s="74">
        <f>ROUND(wc!G9+wc!G12+wc!G10+wc!G11, 2)</f>
        <v>346.03</v>
      </c>
      <c r="G24" s="74">
        <f>ROUND(wc!H9+wc!H12+wc!H10+wc!H11, 2)</f>
        <v>369.04</v>
      </c>
      <c r="H24" s="74">
        <f>ROUND(wc!I9+wc!I12+wc!I10+wc!I11, 2)</f>
        <v>369.24</v>
      </c>
      <c r="I24" s="74">
        <f>ROUND(wc!J9+wc!J12+wc!J10+wc!J11, 2)</f>
        <v>369.46</v>
      </c>
    </row>
    <row r="25" spans="1:9" x14ac:dyDescent="0.25">
      <c r="A25" s="41" t="s">
        <v>64</v>
      </c>
      <c r="B25" s="74">
        <v>0.01</v>
      </c>
      <c r="C25" s="74">
        <f>ROUND(cf!D27, 2)</f>
        <v>306.92</v>
      </c>
      <c r="D25" s="74">
        <f>ROUND(cf!E27, 2)</f>
        <v>663.1</v>
      </c>
      <c r="E25" s="74">
        <f>ROUND(cf!F27, 2)</f>
        <v>1074.1400000000001</v>
      </c>
      <c r="F25" s="74">
        <f>ROUND(cf!G27, 2)+0.01</f>
        <v>1539.96</v>
      </c>
      <c r="G25" s="74">
        <f>ROUND(cf!H27, 2)</f>
        <v>2060.38</v>
      </c>
      <c r="H25" s="74">
        <f>ROUND(cf!I27, 2)</f>
        <v>2589.04</v>
      </c>
      <c r="I25" s="74">
        <f>ROUND(cf!J27, 2)</f>
        <v>3120.07</v>
      </c>
    </row>
    <row r="26" spans="1:9" x14ac:dyDescent="0.25">
      <c r="A26" s="41"/>
      <c r="B26" s="74"/>
      <c r="C26" s="74"/>
      <c r="D26" s="74"/>
      <c r="E26" s="74"/>
      <c r="F26" s="74"/>
      <c r="G26" s="74"/>
      <c r="H26" s="74"/>
      <c r="I26" s="74"/>
    </row>
    <row r="27" spans="1:9" s="76" customFormat="1" x14ac:dyDescent="0.25">
      <c r="A27" s="5" t="s">
        <v>65</v>
      </c>
      <c r="B27" s="75">
        <f>ROUND(SUM(B22:B26), 2)</f>
        <v>1421.79</v>
      </c>
      <c r="C27" s="75">
        <f t="shared" ref="C27:I27" si="4">SUM(C22:C26)</f>
        <v>1597.4950000000001</v>
      </c>
      <c r="D27" s="75">
        <f t="shared" si="4"/>
        <v>1871.18975</v>
      </c>
      <c r="E27" s="75">
        <f t="shared" si="4"/>
        <v>2214.9758874999998</v>
      </c>
      <c r="F27" s="75">
        <f t="shared" si="4"/>
        <v>2626.532394375</v>
      </c>
      <c r="G27" s="75">
        <f t="shared" si="4"/>
        <v>3103.8053362187502</v>
      </c>
      <c r="H27" s="75">
        <f t="shared" si="4"/>
        <v>3575.9894066859374</v>
      </c>
      <c r="I27" s="75">
        <f t="shared" si="4"/>
        <v>4058.666679493047</v>
      </c>
    </row>
    <row r="30" spans="1:9" hidden="1" x14ac:dyDescent="0.25">
      <c r="B30" s="7">
        <f t="shared" ref="B30:I30" si="5">B18-B27</f>
        <v>0</v>
      </c>
      <c r="C30" s="7">
        <f t="shared" si="5"/>
        <v>4.9999999998817657E-3</v>
      </c>
      <c r="D30" s="7">
        <f t="shared" si="5"/>
        <v>2.500000000509317E-4</v>
      </c>
      <c r="E30" s="7">
        <f t="shared" si="5"/>
        <v>4.1125000007014023E-3</v>
      </c>
      <c r="F30" s="7">
        <f t="shared" si="5"/>
        <v>-2.3943749997670238E-3</v>
      </c>
      <c r="G30" s="7">
        <f t="shared" si="5"/>
        <v>4.6637812502012821E-3</v>
      </c>
      <c r="H30" s="77">
        <f t="shared" si="5"/>
        <v>5.9331406282581156E-4</v>
      </c>
      <c r="I30" s="77">
        <f t="shared" si="5"/>
        <v>3.320506953059521E-3</v>
      </c>
    </row>
    <row r="31" spans="1:9" hidden="1" x14ac:dyDescent="0.25"/>
    <row r="32" spans="1:9" hidden="1" x14ac:dyDescent="0.25">
      <c r="C32" s="7">
        <f>C30-B30</f>
        <v>4.9999999998817657E-3</v>
      </c>
      <c r="D32" s="7">
        <f t="shared" ref="D32:I32" si="6">D30-C30</f>
        <v>-4.749999999830834E-3</v>
      </c>
      <c r="E32" s="7">
        <f t="shared" si="6"/>
        <v>3.8625000006504706E-3</v>
      </c>
      <c r="F32" s="7">
        <f t="shared" si="6"/>
        <v>-6.5068750004684262E-3</v>
      </c>
      <c r="G32" s="7">
        <f t="shared" si="6"/>
        <v>7.0581562499683059E-3</v>
      </c>
      <c r="H32" s="7">
        <f t="shared" si="6"/>
        <v>-4.0704671873754705E-3</v>
      </c>
      <c r="I32" s="7">
        <f t="shared" si="6"/>
        <v>2.7271928902337095E-3</v>
      </c>
    </row>
    <row r="33" spans="2:2" hidden="1" x14ac:dyDescent="0.25"/>
    <row r="34" spans="2:2" hidden="1" x14ac:dyDescent="0.25">
      <c r="B34" s="7">
        <f>78.85-B30</f>
        <v>78.849999999999994</v>
      </c>
    </row>
    <row r="35" spans="2:2" hidden="1" x14ac:dyDescent="0.25"/>
  </sheetData>
  <mergeCells count="1">
    <mergeCell ref="A1:I1"/>
  </mergeCells>
  <pageMargins left="0.70866141732283472" right="0.35433070866141736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cost</vt:lpstr>
      <vt:lpstr>source</vt:lpstr>
      <vt:lpstr>gantt</vt:lpstr>
      <vt:lpstr>cash budget</vt:lpstr>
      <vt:lpstr>wc</vt:lpstr>
      <vt:lpstr>TL</vt:lpstr>
      <vt:lpstr>wcl</vt:lpstr>
      <vt:lpstr>depn</vt:lpstr>
      <vt:lpstr>bs</vt:lpstr>
      <vt:lpstr>cf</vt:lpstr>
      <vt:lpstr>cs</vt:lpstr>
      <vt:lpstr>cu</vt:lpstr>
      <vt:lpstr>process</vt:lpstr>
      <vt:lpstr>bep</vt:lpstr>
      <vt:lpstr>sense-1</vt:lpstr>
      <vt:lpstr>sense-2</vt:lpstr>
      <vt:lpstr>sense-3</vt:lpstr>
      <vt:lpstr>bep!Print_Area</vt:lpstr>
      <vt:lpstr>'cash budget'!Print_Area</vt:lpstr>
      <vt:lpstr>cf!Print_Area</vt:lpstr>
      <vt:lpstr>cost!Print_Area</vt:lpstr>
      <vt:lpstr>cs!Print_Area</vt:lpstr>
      <vt:lpstr>cu!Print_Area</vt:lpstr>
      <vt:lpstr>depn!Print_Area</vt:lpstr>
      <vt:lpstr>gantt!Print_Area</vt:lpstr>
      <vt:lpstr>process!Print_Area</vt:lpstr>
      <vt:lpstr>'sense-1'!Print_Area</vt:lpstr>
      <vt:lpstr>'sense-2'!Print_Area</vt:lpstr>
      <vt:lpstr>'sense-3'!Print_Area</vt:lpstr>
      <vt:lpstr>source!Print_Area</vt:lpstr>
      <vt:lpstr>TL!Print_Area</vt:lpstr>
      <vt:lpstr>wc!Print_Area</vt:lpstr>
      <vt:lpstr>wcl!Print_Area</vt:lpstr>
      <vt:lpstr>TL!Print_Titles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 # aejose-47b63fbc # aejose</dc:creator>
  <cp:lastModifiedBy>jose</cp:lastModifiedBy>
  <cp:lastPrinted>2011-02-11T09:45:38Z</cp:lastPrinted>
  <dcterms:created xsi:type="dcterms:W3CDTF">2011-02-01T09:04:38Z</dcterms:created>
  <dcterms:modified xsi:type="dcterms:W3CDTF">2012-08-07T12:54:40Z</dcterms:modified>
</cp:coreProperties>
</file>