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Eg of Indas 116" sheetId="1" r:id="rId1"/>
  </sheets>
  <calcPr calcId="152511"/>
</workbook>
</file>

<file path=xl/calcChain.xml><?xml version="1.0" encoding="utf-8"?>
<calcChain xmlns="http://schemas.openxmlformats.org/spreadsheetml/2006/main">
  <c r="E184" i="1" l="1"/>
  <c r="C170" i="1"/>
  <c r="D169" i="1"/>
  <c r="E169" i="1" s="1"/>
  <c r="D168" i="1"/>
  <c r="E168" i="1" s="1"/>
  <c r="D167" i="1"/>
  <c r="E167" i="1" s="1"/>
  <c r="D166" i="1"/>
  <c r="E166" i="1" s="1"/>
  <c r="D165" i="1"/>
  <c r="E165" i="1" s="1"/>
  <c r="D164" i="1"/>
  <c r="E164" i="1" s="1"/>
  <c r="D163" i="1"/>
  <c r="E163" i="1" s="1"/>
  <c r="D162" i="1"/>
  <c r="E162" i="1" s="1"/>
  <c r="D161" i="1"/>
  <c r="E161" i="1" s="1"/>
  <c r="D160" i="1"/>
  <c r="E160" i="1" s="1"/>
  <c r="D159" i="1"/>
  <c r="E159" i="1" s="1"/>
  <c r="D158" i="1"/>
  <c r="E158" i="1" s="1"/>
  <c r="D157" i="1"/>
  <c r="E157" i="1" s="1"/>
  <c r="D156" i="1"/>
  <c r="E156" i="1" s="1"/>
  <c r="D155" i="1"/>
  <c r="E155" i="1" s="1"/>
  <c r="E142" i="1"/>
  <c r="D125" i="1"/>
  <c r="E125" i="1" s="1"/>
  <c r="D124" i="1"/>
  <c r="E124" i="1" s="1"/>
  <c r="D123" i="1"/>
  <c r="D122" i="1"/>
  <c r="E122" i="1" s="1"/>
  <c r="D121" i="1"/>
  <c r="E121" i="1" s="1"/>
  <c r="D120" i="1"/>
  <c r="E120" i="1" s="1"/>
  <c r="D119" i="1"/>
  <c r="D118" i="1"/>
  <c r="E118" i="1" s="1"/>
  <c r="D117" i="1"/>
  <c r="E117" i="1" s="1"/>
  <c r="D116" i="1"/>
  <c r="E116" i="1" s="1"/>
  <c r="D115" i="1"/>
  <c r="E115" i="1" s="1"/>
  <c r="D114" i="1"/>
  <c r="E114" i="1" s="1"/>
  <c r="E123" i="1"/>
  <c r="D113" i="1"/>
  <c r="E113" i="1" s="1"/>
  <c r="D112" i="1"/>
  <c r="E112" i="1" s="1"/>
  <c r="D111" i="1"/>
  <c r="C126" i="1"/>
  <c r="E119" i="1"/>
  <c r="E111" i="1"/>
  <c r="E98" i="1"/>
  <c r="C74" i="1"/>
  <c r="D73" i="1"/>
  <c r="E73" i="1" s="1"/>
  <c r="D72" i="1"/>
  <c r="E72" i="1" s="1"/>
  <c r="D71" i="1"/>
  <c r="E71" i="1" s="1"/>
  <c r="D70" i="1"/>
  <c r="E70" i="1" s="1"/>
  <c r="D69" i="1"/>
  <c r="E69" i="1" s="1"/>
  <c r="D68" i="1"/>
  <c r="E68" i="1" s="1"/>
  <c r="D67" i="1"/>
  <c r="E67" i="1" s="1"/>
  <c r="D66" i="1"/>
  <c r="E66" i="1" s="1"/>
  <c r="D65" i="1"/>
  <c r="E65" i="1" s="1"/>
  <c r="D64" i="1"/>
  <c r="E64" i="1" s="1"/>
  <c r="D63" i="1"/>
  <c r="E63" i="1" s="1"/>
  <c r="D62" i="1"/>
  <c r="E62" i="1" s="1"/>
  <c r="D61" i="1"/>
  <c r="E61" i="1" s="1"/>
  <c r="D60" i="1"/>
  <c r="D59" i="1"/>
  <c r="E59" i="1" s="1"/>
  <c r="E45" i="1"/>
  <c r="E46" i="1" s="1"/>
  <c r="C29" i="1"/>
  <c r="C28" i="1"/>
  <c r="C27" i="1"/>
  <c r="D27" i="1" s="1"/>
  <c r="B28" i="1"/>
  <c r="B11" i="1"/>
  <c r="E170" i="1" l="1"/>
  <c r="E126" i="1"/>
  <c r="E60" i="1"/>
  <c r="E74" i="1" s="1"/>
  <c r="D28" i="1"/>
  <c r="B12" i="1"/>
  <c r="B14" i="1" s="1"/>
  <c r="B15" i="1" s="1"/>
  <c r="B29" i="1"/>
  <c r="D29" i="1" s="1"/>
  <c r="D31" i="1" l="1"/>
  <c r="H168" i="1"/>
  <c r="H166" i="1"/>
  <c r="H164" i="1"/>
  <c r="H162" i="1"/>
  <c r="H160" i="1"/>
  <c r="H158" i="1"/>
  <c r="H156" i="1"/>
  <c r="H115" i="1"/>
  <c r="H119" i="1"/>
  <c r="H123" i="1"/>
  <c r="E137" i="1" s="1"/>
  <c r="E139" i="1" s="1"/>
  <c r="H169" i="1"/>
  <c r="H159" i="1"/>
  <c r="H113" i="1"/>
  <c r="H125" i="1"/>
  <c r="H114" i="1"/>
  <c r="H122" i="1"/>
  <c r="H112" i="1"/>
  <c r="H116" i="1"/>
  <c r="H120" i="1"/>
  <c r="H124" i="1"/>
  <c r="F111" i="1"/>
  <c r="H167" i="1"/>
  <c r="H165" i="1"/>
  <c r="H163" i="1"/>
  <c r="H161" i="1"/>
  <c r="H157" i="1"/>
  <c r="H155" i="1"/>
  <c r="H117" i="1"/>
  <c r="H121" i="1"/>
  <c r="H118" i="1"/>
  <c r="H111" i="1"/>
  <c r="F155" i="1"/>
  <c r="H60" i="1"/>
  <c r="H64" i="1"/>
  <c r="H68" i="1"/>
  <c r="H72" i="1"/>
  <c r="H61" i="1"/>
  <c r="H65" i="1"/>
  <c r="H69" i="1"/>
  <c r="H73" i="1"/>
  <c r="H71" i="1"/>
  <c r="E93" i="1" s="1"/>
  <c r="E95" i="1" s="1"/>
  <c r="H62" i="1"/>
  <c r="H66" i="1"/>
  <c r="H70" i="1"/>
  <c r="E84" i="1" s="1"/>
  <c r="E86" i="1" s="1"/>
  <c r="H59" i="1"/>
  <c r="F59" i="1"/>
  <c r="H63" i="1"/>
  <c r="H67" i="1"/>
  <c r="B31" i="1"/>
  <c r="G29" i="1"/>
  <c r="G28" i="1"/>
  <c r="G27" i="1"/>
  <c r="E27" i="1"/>
  <c r="E36" i="1"/>
  <c r="D12" i="1"/>
  <c r="D11" i="1"/>
  <c r="D10" i="1"/>
  <c r="H126" i="1" l="1"/>
  <c r="H170" i="1"/>
  <c r="G31" i="1"/>
  <c r="I111" i="1"/>
  <c r="I112" i="1" s="1"/>
  <c r="I113" i="1" s="1"/>
  <c r="I114" i="1" s="1"/>
  <c r="I115" i="1" s="1"/>
  <c r="I116" i="1" s="1"/>
  <c r="I117" i="1" s="1"/>
  <c r="I118" i="1" s="1"/>
  <c r="I119" i="1" s="1"/>
  <c r="I120" i="1" s="1"/>
  <c r="I121" i="1" s="1"/>
  <c r="I122" i="1" s="1"/>
  <c r="I155" i="1"/>
  <c r="I156" i="1" s="1"/>
  <c r="I157" i="1" s="1"/>
  <c r="I158" i="1" s="1"/>
  <c r="I159" i="1" s="1"/>
  <c r="I160" i="1" s="1"/>
  <c r="I161" i="1" s="1"/>
  <c r="I162" i="1" s="1"/>
  <c r="I163" i="1" s="1"/>
  <c r="I164" i="1" s="1"/>
  <c r="I165" i="1" s="1"/>
  <c r="I166" i="1" s="1"/>
  <c r="J59" i="1"/>
  <c r="J155" i="1"/>
  <c r="G155" i="1"/>
  <c r="J111" i="1"/>
  <c r="G111" i="1"/>
  <c r="F112" i="1" s="1"/>
  <c r="H74" i="1"/>
  <c r="I59" i="1"/>
  <c r="G59" i="1"/>
  <c r="D14" i="1"/>
  <c r="I27" i="1"/>
  <c r="E42" i="1"/>
  <c r="E43" i="1" s="1"/>
  <c r="E39" i="1"/>
  <c r="E40" i="1" s="1"/>
  <c r="E37" i="1"/>
  <c r="F27" i="1"/>
  <c r="H27" i="1"/>
  <c r="I123" i="1" l="1"/>
  <c r="I124" i="1" s="1"/>
  <c r="I125" i="1" s="1"/>
  <c r="E131" i="1"/>
  <c r="K155" i="1"/>
  <c r="I167" i="1"/>
  <c r="I168" i="1" s="1"/>
  <c r="I169" i="1" s="1"/>
  <c r="F156" i="1"/>
  <c r="K111" i="1"/>
  <c r="G112" i="1"/>
  <c r="F113" i="1" s="1"/>
  <c r="I126" i="1"/>
  <c r="F60" i="1"/>
  <c r="J60" i="1" s="1"/>
  <c r="K60" i="1" s="1"/>
  <c r="K59" i="1"/>
  <c r="I60" i="1"/>
  <c r="I61" i="1" s="1"/>
  <c r="I62" i="1" s="1"/>
  <c r="I63" i="1" s="1"/>
  <c r="I64" i="1" s="1"/>
  <c r="I65" i="1" s="1"/>
  <c r="I66" i="1" s="1"/>
  <c r="I67" i="1" s="1"/>
  <c r="I68" i="1" s="1"/>
  <c r="I69" i="1" s="1"/>
  <c r="H28" i="1"/>
  <c r="H29" i="1" s="1"/>
  <c r="E28" i="1"/>
  <c r="F28" i="1" s="1"/>
  <c r="J27" i="1"/>
  <c r="I170" i="1" l="1"/>
  <c r="I70" i="1"/>
  <c r="I71" i="1" s="1"/>
  <c r="I72" i="1" s="1"/>
  <c r="I73" i="1" s="1"/>
  <c r="E78" i="1"/>
  <c r="H31" i="1"/>
  <c r="G60" i="1"/>
  <c r="F61" i="1" s="1"/>
  <c r="J156" i="1"/>
  <c r="G156" i="1"/>
  <c r="J113" i="1"/>
  <c r="K113" i="1" s="1"/>
  <c r="J112" i="1"/>
  <c r="E29" i="1"/>
  <c r="I29" i="1" s="1"/>
  <c r="J29" i="1" s="1"/>
  <c r="I28" i="1"/>
  <c r="I74" i="1" l="1"/>
  <c r="G61" i="1"/>
  <c r="E31" i="1"/>
  <c r="F157" i="1"/>
  <c r="K156" i="1"/>
  <c r="K112" i="1"/>
  <c r="G113" i="1"/>
  <c r="F114" i="1" s="1"/>
  <c r="F62" i="1"/>
  <c r="J62" i="1" s="1"/>
  <c r="K62" i="1" s="1"/>
  <c r="J61" i="1"/>
  <c r="F29" i="1"/>
  <c r="F31" i="1" s="1"/>
  <c r="J28" i="1"/>
  <c r="J31" i="1" s="1"/>
  <c r="I31" i="1"/>
  <c r="J157" i="1" l="1"/>
  <c r="G157" i="1"/>
  <c r="G114" i="1"/>
  <c r="F115" i="1" s="1"/>
  <c r="G62" i="1"/>
  <c r="K61" i="1"/>
  <c r="F158" i="1" l="1"/>
  <c r="K157" i="1"/>
  <c r="J114" i="1"/>
  <c r="J115" i="1"/>
  <c r="K115" i="1" s="1"/>
  <c r="F63" i="1"/>
  <c r="J63" i="1" s="1"/>
  <c r="J158" i="1" l="1"/>
  <c r="G158" i="1"/>
  <c r="G115" i="1"/>
  <c r="F116" i="1" s="1"/>
  <c r="K114" i="1"/>
  <c r="K63" i="1"/>
  <c r="G63" i="1"/>
  <c r="F159" i="1" l="1"/>
  <c r="K158" i="1"/>
  <c r="F64" i="1"/>
  <c r="J64" i="1" s="1"/>
  <c r="J159" i="1" l="1"/>
  <c r="G159" i="1"/>
  <c r="J116" i="1"/>
  <c r="G116" i="1"/>
  <c r="F117" i="1" s="1"/>
  <c r="K64" i="1"/>
  <c r="G64" i="1"/>
  <c r="F160" i="1" l="1"/>
  <c r="J160" i="1" s="1"/>
  <c r="K160" i="1" s="1"/>
  <c r="K159" i="1"/>
  <c r="J117" i="1"/>
  <c r="K117" i="1" s="1"/>
  <c r="K116" i="1"/>
  <c r="F65" i="1"/>
  <c r="J65" i="1" s="1"/>
  <c r="G160" i="1" l="1"/>
  <c r="G117" i="1"/>
  <c r="F118" i="1" s="1"/>
  <c r="G65" i="1"/>
  <c r="F66" i="1" s="1"/>
  <c r="K65" i="1"/>
  <c r="F161" i="1" l="1"/>
  <c r="J161" i="1" s="1"/>
  <c r="K161" i="1" s="1"/>
  <c r="J118" i="1"/>
  <c r="G66" i="1"/>
  <c r="F67" i="1" s="1"/>
  <c r="J66" i="1"/>
  <c r="G161" i="1" l="1"/>
  <c r="F162" i="1" s="1"/>
  <c r="J162" i="1" s="1"/>
  <c r="K162" i="1" s="1"/>
  <c r="K118" i="1"/>
  <c r="G118" i="1"/>
  <c r="F119" i="1" s="1"/>
  <c r="K66" i="1"/>
  <c r="G67" i="1"/>
  <c r="J67" i="1"/>
  <c r="K67" i="1" s="1"/>
  <c r="G162" i="1" l="1"/>
  <c r="J119" i="1"/>
  <c r="K119" i="1" s="1"/>
  <c r="F68" i="1"/>
  <c r="J68" i="1" s="1"/>
  <c r="K68" i="1" s="1"/>
  <c r="G68" i="1"/>
  <c r="F69" i="1" s="1"/>
  <c r="F163" i="1" l="1"/>
  <c r="J163" i="1" s="1"/>
  <c r="K163" i="1" s="1"/>
  <c r="G119" i="1"/>
  <c r="F120" i="1" s="1"/>
  <c r="G69" i="1"/>
  <c r="E80" i="1" s="1"/>
  <c r="E79" i="1" s="1"/>
  <c r="J69" i="1"/>
  <c r="K69" i="1" s="1"/>
  <c r="L69" i="1" s="1"/>
  <c r="G163" i="1" l="1"/>
  <c r="J120" i="1"/>
  <c r="K120" i="1" s="1"/>
  <c r="F70" i="1"/>
  <c r="J70" i="1" l="1"/>
  <c r="K70" i="1" s="1"/>
  <c r="E83" i="1"/>
  <c r="E85" i="1" s="1"/>
  <c r="F164" i="1"/>
  <c r="J164" i="1" s="1"/>
  <c r="K164" i="1" s="1"/>
  <c r="G120" i="1"/>
  <c r="G70" i="1"/>
  <c r="G164" i="1" l="1"/>
  <c r="F165" i="1" s="1"/>
  <c r="J165" i="1" s="1"/>
  <c r="K165" i="1" s="1"/>
  <c r="F121" i="1"/>
  <c r="J121" i="1" s="1"/>
  <c r="K121" i="1" s="1"/>
  <c r="F71" i="1"/>
  <c r="J71" i="1" l="1"/>
  <c r="K71" i="1" s="1"/>
  <c r="E92" i="1"/>
  <c r="E94" i="1" s="1"/>
  <c r="G165" i="1"/>
  <c r="G121" i="1"/>
  <c r="F122" i="1" s="1"/>
  <c r="J122" i="1" s="1"/>
  <c r="K122" i="1" s="1"/>
  <c r="L122" i="1" s="1"/>
  <c r="G71" i="1"/>
  <c r="F166" i="1" l="1"/>
  <c r="J166" i="1" s="1"/>
  <c r="K166" i="1" s="1"/>
  <c r="G122" i="1"/>
  <c r="F72" i="1"/>
  <c r="J72" i="1" s="1"/>
  <c r="K72" i="1" s="1"/>
  <c r="F123" i="1" l="1"/>
  <c r="E136" i="1" s="1"/>
  <c r="E138" i="1" s="1"/>
  <c r="E133" i="1"/>
  <c r="E132" i="1" s="1"/>
  <c r="G166" i="1"/>
  <c r="G72" i="1"/>
  <c r="G123" i="1" l="1"/>
  <c r="F124" i="1" s="1"/>
  <c r="J123" i="1"/>
  <c r="K123" i="1" s="1"/>
  <c r="E175" i="1"/>
  <c r="F167" i="1"/>
  <c r="J124" i="1"/>
  <c r="K124" i="1" s="1"/>
  <c r="F73" i="1"/>
  <c r="E179" i="1" l="1"/>
  <c r="E181" i="1" s="1"/>
  <c r="E174" i="1"/>
  <c r="E178" i="1"/>
  <c r="E180" i="1" s="1"/>
  <c r="J167" i="1"/>
  <c r="K167" i="1" s="1"/>
  <c r="G167" i="1"/>
  <c r="G124" i="1"/>
  <c r="F74" i="1"/>
  <c r="J73" i="1"/>
  <c r="G73" i="1"/>
  <c r="G74" i="1" s="1"/>
  <c r="F125" i="1" l="1"/>
  <c r="F126" i="1" s="1"/>
  <c r="F168" i="1"/>
  <c r="J168" i="1" s="1"/>
  <c r="K168" i="1" s="1"/>
  <c r="K73" i="1"/>
  <c r="K74" i="1" s="1"/>
  <c r="J74" i="1"/>
  <c r="G125" i="1" l="1"/>
  <c r="G126" i="1" s="1"/>
  <c r="J125" i="1"/>
  <c r="G168" i="1"/>
  <c r="K125" i="1" l="1"/>
  <c r="K126" i="1" s="1"/>
  <c r="J126" i="1"/>
  <c r="F169" i="1"/>
  <c r="G169" i="1" s="1"/>
  <c r="G170" i="1" s="1"/>
  <c r="J169" i="1" l="1"/>
  <c r="F170" i="1"/>
  <c r="K169" i="1" l="1"/>
  <c r="K170" i="1" s="1"/>
  <c r="J170" i="1"/>
</calcChain>
</file>

<file path=xl/sharedStrings.xml><?xml version="1.0" encoding="utf-8"?>
<sst xmlns="http://schemas.openxmlformats.org/spreadsheetml/2006/main" count="216" uniqueCount="84">
  <si>
    <t>Example 1</t>
  </si>
  <si>
    <t>Annual Rental</t>
  </si>
  <si>
    <t>Yr</t>
  </si>
  <si>
    <t>Avg.</t>
  </si>
  <si>
    <t>Indas 17</t>
  </si>
  <si>
    <t>Indas 116</t>
  </si>
  <si>
    <t>A/cing of Op. Lease in the books of lessor.</t>
  </si>
  <si>
    <t>Example 2</t>
  </si>
  <si>
    <t>A/cing in the books of lessee</t>
  </si>
  <si>
    <t xml:space="preserve">Monthly rental </t>
  </si>
  <si>
    <t>Lease Tenure</t>
  </si>
  <si>
    <t>Esclation in rental</t>
  </si>
  <si>
    <t>5% p.a from second year</t>
  </si>
  <si>
    <t>Lessee inc. borrowing rate</t>
  </si>
  <si>
    <t>10% p.a.</t>
  </si>
  <si>
    <t>Dep. :</t>
  </si>
  <si>
    <t>SLM Basis</t>
  </si>
  <si>
    <t>PV of Rent</t>
  </si>
  <si>
    <t>PV Factor</t>
  </si>
  <si>
    <t>Lessee shall recognise right of Use asset and Lease Liab. At Rs. 3126221 (PV of rent)</t>
  </si>
  <si>
    <t>Initial Application</t>
  </si>
  <si>
    <t>01.04.2019</t>
  </si>
  <si>
    <t>RTU Asset</t>
  </si>
  <si>
    <t>RTU Asset Dr</t>
  </si>
  <si>
    <t xml:space="preserve">   To LL. Cr</t>
  </si>
  <si>
    <t>Dr</t>
  </si>
  <si>
    <t>Cr</t>
  </si>
  <si>
    <t>31.03.2020</t>
  </si>
  <si>
    <t>Dep. Dr</t>
  </si>
  <si>
    <t>LL Bal at the end</t>
  </si>
  <si>
    <t>RTU Asset Bal at the end</t>
  </si>
  <si>
    <t>Dep.</t>
  </si>
  <si>
    <t>Intt. On LL</t>
  </si>
  <si>
    <t>Intt. On LL Dr</t>
  </si>
  <si>
    <t>LL Dr</t>
  </si>
  <si>
    <t>Bank Cr</t>
  </si>
  <si>
    <t>Total P&amp;L Charge as Indas 116</t>
  </si>
  <si>
    <t>Diff.</t>
  </si>
  <si>
    <t>Example 3</t>
  </si>
  <si>
    <t>Transition - Full retrospective approach</t>
  </si>
  <si>
    <t>at the end</t>
  </si>
  <si>
    <t xml:space="preserve">Annual lease rental </t>
  </si>
  <si>
    <t>NIL</t>
  </si>
  <si>
    <t>8% p.a. (at the commencement of lease)</t>
  </si>
  <si>
    <t>Bal. life of lease (01.04.19)</t>
  </si>
  <si>
    <t>i.e lease starts on 01.04.2007</t>
  </si>
  <si>
    <t>LL Bal. at the end</t>
  </si>
  <si>
    <t>FY</t>
  </si>
  <si>
    <t>2007-08</t>
  </si>
  <si>
    <t>2008-09</t>
  </si>
  <si>
    <t>2009-10</t>
  </si>
  <si>
    <t>2010-11</t>
  </si>
  <si>
    <t>2011-12</t>
  </si>
  <si>
    <t>2012-13</t>
  </si>
  <si>
    <t>2013-14</t>
  </si>
  <si>
    <t>2014-15</t>
  </si>
  <si>
    <t>2015-16</t>
  </si>
  <si>
    <t>2016-17</t>
  </si>
  <si>
    <t>2017-18</t>
  </si>
  <si>
    <t>2018-19</t>
  </si>
  <si>
    <t>2019-20</t>
  </si>
  <si>
    <t>2020-21</t>
  </si>
  <si>
    <t>2021-22</t>
  </si>
  <si>
    <t>Op. bal as on 01.04.2018</t>
  </si>
  <si>
    <t>Retained Earnings</t>
  </si>
  <si>
    <t>FOR THE YEAR 2018-19</t>
  </si>
  <si>
    <t xml:space="preserve">  To RTU Assets</t>
  </si>
  <si>
    <t xml:space="preserve">LL </t>
  </si>
  <si>
    <t>Bank</t>
  </si>
  <si>
    <t>FOR THE YEAR 2019-20</t>
  </si>
  <si>
    <t>Transition - Modified retrospective approach (Option 1)</t>
  </si>
  <si>
    <t>10% p.a. (as at 01.04.19)</t>
  </si>
  <si>
    <t>Op. bal as on 01.04.2019</t>
  </si>
  <si>
    <t>Example 4</t>
  </si>
  <si>
    <t>Example 5</t>
  </si>
  <si>
    <t>Transition - Modified retrospective approach (Option 2)</t>
  </si>
  <si>
    <t>Note: Under 2nd modified approach, an entity needs to compute lease liab. Using discounting rate as at date of initial application</t>
  </si>
  <si>
    <t>and at same value right of use asset is recognised.</t>
  </si>
  <si>
    <t>(12434260/3)</t>
  </si>
  <si>
    <t>Note: Under ist modified approach, an entity needs to compute lease liab. And right of use asset using discounting rate as at date of initial application</t>
  </si>
  <si>
    <t>and adjust difference in Op. Reserve i.e. 01.04.2019.</t>
  </si>
  <si>
    <t xml:space="preserve">Note: Under full retrospective approach, an entity needs to restate the previous period figures using lessee incremental borrowing rate at the commencement of lease </t>
  </si>
  <si>
    <t xml:space="preserve">and adjust difference in Op. Reserve i.e. 01.04.2018. </t>
  </si>
  <si>
    <t>Note: Lessors needs to recognise lease income on either a Straight line basis or another systematic basis.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</si>
</sst>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5" formatCode="_(* #,##0_);_(* \(#,##0\);_(* &quot;-&quot;??_);_(@_)"/>
    <numFmt numFmtId="167" formatCode="_(* #,##0.0000_);_(* \(#,##0.000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165" fontId="0" fillId="0" borderId="0" xfId="1" applyNumberFormat="1" applyFont="1"/>
    <xf numFmtId="0" fontId="0" fillId="0" borderId="0" xfId="0" applyAlignment="1">
      <alignment horizontal="center"/>
    </xf>
    <xf numFmtId="165" fontId="0" fillId="0" borderId="0" xfId="0" applyNumberFormat="1"/>
    <xf numFmtId="0" fontId="0" fillId="0" borderId="0" xfId="0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165" fontId="0" fillId="0" borderId="0" xfId="0" applyNumberFormat="1" applyAlignment="1">
      <alignment horizontal="center" vertical="center"/>
    </xf>
    <xf numFmtId="0" fontId="2" fillId="2" borderId="0" xfId="0" applyFont="1" applyFill="1"/>
    <xf numFmtId="0" fontId="0" fillId="2" borderId="0" xfId="0" applyFill="1"/>
    <xf numFmtId="165" fontId="0" fillId="3" borderId="0" xfId="1" applyNumberFormat="1" applyFont="1" applyFill="1" applyAlignment="1">
      <alignment horizontal="center" vertical="center"/>
    </xf>
    <xf numFmtId="165" fontId="0" fillId="3" borderId="0" xfId="0" applyNumberFormat="1" applyFill="1"/>
    <xf numFmtId="165" fontId="0" fillId="2" borderId="0" xfId="0" applyNumberFormat="1" applyFill="1"/>
    <xf numFmtId="165" fontId="0" fillId="0" borderId="0" xfId="1" applyNumberFormat="1" applyFont="1" applyFill="1" applyAlignment="1">
      <alignment horizontal="center" vertical="center"/>
    </xf>
    <xf numFmtId="165" fontId="0" fillId="0" borderId="0" xfId="0" applyNumberFormat="1" applyAlignment="1">
      <alignment horizontal="center" vertical="center" wrapText="1"/>
    </xf>
    <xf numFmtId="167" fontId="0" fillId="2" borderId="0" xfId="1" applyNumberFormat="1" applyFont="1" applyFill="1"/>
    <xf numFmtId="167" fontId="0" fillId="0" borderId="0" xfId="1" applyNumberFormat="1" applyFont="1"/>
    <xf numFmtId="167" fontId="0" fillId="0" borderId="0" xfId="1" applyNumberFormat="1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84"/>
  <sheetViews>
    <sheetView tabSelected="1" workbookViewId="0">
      <selection activeCell="F13" sqref="F13"/>
    </sheetView>
  </sheetViews>
  <sheetFormatPr defaultRowHeight="15" x14ac:dyDescent="0.25"/>
  <cols>
    <col min="1" max="1" width="9.140625" customWidth="1"/>
    <col min="2" max="2" width="13.5703125" bestFit="1" customWidth="1"/>
    <col min="3" max="3" width="11.85546875" customWidth="1"/>
    <col min="4" max="4" width="13" style="17" customWidth="1"/>
    <col min="5" max="5" width="12" customWidth="1"/>
    <col min="6" max="6" width="14.85546875" style="4" customWidth="1"/>
    <col min="7" max="7" width="12.85546875" customWidth="1"/>
    <col min="8" max="8" width="14.5703125" customWidth="1"/>
    <col min="9" max="9" width="13.5703125" customWidth="1"/>
    <col min="10" max="10" width="11.5703125" bestFit="1" customWidth="1"/>
    <col min="11" max="11" width="12.28515625" bestFit="1" customWidth="1"/>
    <col min="12" max="12" width="11.28515625" bestFit="1" customWidth="1"/>
  </cols>
  <sheetData>
    <row r="2" spans="1:6" x14ac:dyDescent="0.25">
      <c r="A2" s="9" t="s">
        <v>0</v>
      </c>
      <c r="B2" s="10"/>
      <c r="C2" s="9" t="s">
        <v>6</v>
      </c>
      <c r="D2" s="16"/>
      <c r="E2" s="10"/>
      <c r="F2" s="13"/>
    </row>
    <row r="3" spans="1:6" x14ac:dyDescent="0.25">
      <c r="A3" t="s">
        <v>9</v>
      </c>
      <c r="C3">
        <v>100000</v>
      </c>
    </row>
    <row r="4" spans="1:6" x14ac:dyDescent="0.25">
      <c r="A4" t="s">
        <v>10</v>
      </c>
      <c r="C4">
        <v>3</v>
      </c>
    </row>
    <row r="5" spans="1:6" x14ac:dyDescent="0.25">
      <c r="A5" t="s">
        <v>11</v>
      </c>
      <c r="C5" t="s">
        <v>12</v>
      </c>
    </row>
    <row r="6" spans="1:6" x14ac:dyDescent="0.25">
      <c r="A6" s="1" t="s">
        <v>83</v>
      </c>
    </row>
    <row r="7" spans="1:6" x14ac:dyDescent="0.25">
      <c r="A7" s="1"/>
      <c r="C7" s="1"/>
    </row>
    <row r="8" spans="1:6" x14ac:dyDescent="0.25">
      <c r="B8" t="s">
        <v>4</v>
      </c>
      <c r="D8" s="17" t="s">
        <v>5</v>
      </c>
    </row>
    <row r="9" spans="1:6" ht="30" x14ac:dyDescent="0.25">
      <c r="A9" s="3" t="s">
        <v>2</v>
      </c>
      <c r="B9" t="s">
        <v>1</v>
      </c>
      <c r="D9" s="18" t="s">
        <v>1</v>
      </c>
    </row>
    <row r="10" spans="1:6" x14ac:dyDescent="0.25">
      <c r="A10" s="3">
        <v>1</v>
      </c>
      <c r="B10">
        <v>1200000</v>
      </c>
      <c r="D10" s="2">
        <f>B15</f>
        <v>1261000</v>
      </c>
    </row>
    <row r="11" spans="1:6" x14ac:dyDescent="0.25">
      <c r="A11" s="3">
        <v>2</v>
      </c>
      <c r="B11">
        <f>B10+B10*5/100</f>
        <v>1260000</v>
      </c>
      <c r="D11" s="2">
        <f>+B15</f>
        <v>1261000</v>
      </c>
    </row>
    <row r="12" spans="1:6" x14ac:dyDescent="0.25">
      <c r="A12" s="3">
        <v>3</v>
      </c>
      <c r="B12">
        <f>B11+B11*5/100</f>
        <v>1323000</v>
      </c>
      <c r="D12" s="2">
        <f>+B15</f>
        <v>1261000</v>
      </c>
    </row>
    <row r="13" spans="1:6" x14ac:dyDescent="0.25">
      <c r="A13" s="3"/>
      <c r="D13" s="2"/>
    </row>
    <row r="14" spans="1:6" x14ac:dyDescent="0.25">
      <c r="A14" s="3"/>
      <c r="B14">
        <f>SUM(B10:B13)</f>
        <v>3783000</v>
      </c>
      <c r="D14" s="2">
        <f>SUM(D10:D13)</f>
        <v>3783000</v>
      </c>
    </row>
    <row r="15" spans="1:6" x14ac:dyDescent="0.25">
      <c r="A15" t="s">
        <v>3</v>
      </c>
      <c r="B15">
        <f>B14/3</f>
        <v>1261000</v>
      </c>
    </row>
    <row r="18" spans="1:10" x14ac:dyDescent="0.25">
      <c r="A18" s="9" t="s">
        <v>7</v>
      </c>
      <c r="B18" s="10"/>
      <c r="C18" s="9" t="s">
        <v>8</v>
      </c>
      <c r="D18" s="16"/>
      <c r="E18" s="10"/>
    </row>
    <row r="20" spans="1:10" x14ac:dyDescent="0.25">
      <c r="A20" t="s">
        <v>9</v>
      </c>
      <c r="C20">
        <v>100000</v>
      </c>
    </row>
    <row r="21" spans="1:10" x14ac:dyDescent="0.25">
      <c r="A21" t="s">
        <v>10</v>
      </c>
      <c r="C21">
        <v>3</v>
      </c>
    </row>
    <row r="22" spans="1:10" x14ac:dyDescent="0.25">
      <c r="A22" t="s">
        <v>11</v>
      </c>
      <c r="C22" t="s">
        <v>12</v>
      </c>
    </row>
    <row r="23" spans="1:10" x14ac:dyDescent="0.25">
      <c r="A23" t="s">
        <v>13</v>
      </c>
      <c r="C23" t="s">
        <v>14</v>
      </c>
    </row>
    <row r="24" spans="1:10" x14ac:dyDescent="0.25">
      <c r="A24" t="s">
        <v>15</v>
      </c>
      <c r="B24" t="s">
        <v>16</v>
      </c>
    </row>
    <row r="26" spans="1:10" ht="45" x14ac:dyDescent="0.25">
      <c r="A26" s="3" t="s">
        <v>2</v>
      </c>
      <c r="B26" s="7" t="s">
        <v>1</v>
      </c>
      <c r="C26" s="7" t="s">
        <v>18</v>
      </c>
      <c r="D26" s="18" t="s">
        <v>17</v>
      </c>
      <c r="E26" s="7" t="s">
        <v>32</v>
      </c>
      <c r="F26" s="15" t="s">
        <v>29</v>
      </c>
      <c r="G26" s="7" t="s">
        <v>31</v>
      </c>
      <c r="H26" s="7" t="s">
        <v>30</v>
      </c>
      <c r="I26" s="7" t="s">
        <v>36</v>
      </c>
      <c r="J26" s="7" t="s">
        <v>37</v>
      </c>
    </row>
    <row r="27" spans="1:10" x14ac:dyDescent="0.25">
      <c r="A27" s="3">
        <v>1</v>
      </c>
      <c r="B27" s="2">
        <v>1200000</v>
      </c>
      <c r="C27">
        <f>1/1.1</f>
        <v>0.90909090909090906</v>
      </c>
      <c r="D27" s="2">
        <f>B27*C27</f>
        <v>1090909.0909090908</v>
      </c>
      <c r="E27" s="6">
        <f>D31*10%</f>
        <v>312622.08865514648</v>
      </c>
      <c r="F27" s="6">
        <f>D31+E27-B27</f>
        <v>2238842.9752066107</v>
      </c>
      <c r="G27" s="6">
        <f>D31/3</f>
        <v>1042073.6288504881</v>
      </c>
      <c r="H27" s="6">
        <f>D31-G27</f>
        <v>2084147.2577009764</v>
      </c>
      <c r="I27" s="8">
        <f>E27+G27</f>
        <v>1354695.7175056345</v>
      </c>
      <c r="J27" s="4">
        <f>I27-B27</f>
        <v>154695.71750563453</v>
      </c>
    </row>
    <row r="28" spans="1:10" x14ac:dyDescent="0.25">
      <c r="A28" s="3">
        <v>2</v>
      </c>
      <c r="B28" s="2">
        <f>B27+B27*5/100</f>
        <v>1260000</v>
      </c>
      <c r="C28">
        <f>1/1.1^2</f>
        <v>0.82644628099173545</v>
      </c>
      <c r="D28" s="2">
        <f>B28*C28</f>
        <v>1041322.3140495867</v>
      </c>
      <c r="E28" s="6">
        <f>F27*10%</f>
        <v>223884.29752066109</v>
      </c>
      <c r="F28" s="6">
        <f>F27+E28-B28</f>
        <v>1202727.272727272</v>
      </c>
      <c r="G28" s="6">
        <f>D31/3</f>
        <v>1042073.6288504881</v>
      </c>
      <c r="H28" s="6">
        <f>H27-G28</f>
        <v>1042073.6288504883</v>
      </c>
      <c r="I28" s="8">
        <f>E28+G28</f>
        <v>1265957.9263711493</v>
      </c>
      <c r="J28" s="4">
        <f>I28-B28</f>
        <v>5957.9263711492531</v>
      </c>
    </row>
    <row r="29" spans="1:10" x14ac:dyDescent="0.25">
      <c r="A29" s="3">
        <v>3</v>
      </c>
      <c r="B29" s="2">
        <f>B28+B28*5/100</f>
        <v>1323000</v>
      </c>
      <c r="C29">
        <f>1/1.1^3</f>
        <v>0.75131480090157754</v>
      </c>
      <c r="D29" s="2">
        <f>B29*C29</f>
        <v>993989.48159278708</v>
      </c>
      <c r="E29" s="6">
        <f>F28*10%</f>
        <v>120272.72727272721</v>
      </c>
      <c r="F29" s="6">
        <f>F28+E29-B29</f>
        <v>0</v>
      </c>
      <c r="G29" s="6">
        <f>D31/3</f>
        <v>1042073.6288504881</v>
      </c>
      <c r="H29" s="6">
        <f>H28-G29</f>
        <v>0</v>
      </c>
      <c r="I29" s="8">
        <f>E29+G29</f>
        <v>1162346.3561232153</v>
      </c>
      <c r="J29" s="4">
        <f>I29-B29</f>
        <v>-160653.64387678471</v>
      </c>
    </row>
    <row r="30" spans="1:10" x14ac:dyDescent="0.25">
      <c r="A30" s="3"/>
      <c r="B30" s="2"/>
      <c r="D30" s="2"/>
      <c r="E30" s="6"/>
      <c r="F30" s="8"/>
      <c r="G30" s="5"/>
      <c r="H30" s="5"/>
      <c r="I30" s="5"/>
    </row>
    <row r="31" spans="1:10" x14ac:dyDescent="0.25">
      <c r="B31" s="2">
        <f>SUM(B27:B30)</f>
        <v>3783000</v>
      </c>
      <c r="D31" s="2">
        <f>SUM(D27:D30)</f>
        <v>3126220.8865514644</v>
      </c>
      <c r="E31" s="2">
        <f>SUM(E27:E30)</f>
        <v>656779.11344853474</v>
      </c>
      <c r="F31" s="2">
        <f>SUM(F27:F30)</f>
        <v>3441570.2479338828</v>
      </c>
      <c r="G31" s="2">
        <f t="shared" ref="G31:J31" si="0">SUM(G27:G30)</f>
        <v>3126220.8865514644</v>
      </c>
      <c r="H31" s="2">
        <f>SUM(H27:H30)</f>
        <v>3126220.8865514649</v>
      </c>
      <c r="I31" s="2">
        <f t="shared" si="0"/>
        <v>3782999.9999999991</v>
      </c>
      <c r="J31" s="2">
        <f t="shared" si="0"/>
        <v>-9.3132257461547852E-10</v>
      </c>
    </row>
    <row r="32" spans="1:10" x14ac:dyDescent="0.25">
      <c r="B32" s="2"/>
      <c r="D32" s="2"/>
      <c r="E32" s="2"/>
    </row>
    <row r="33" spans="1:6" x14ac:dyDescent="0.25">
      <c r="A33" t="s">
        <v>19</v>
      </c>
    </row>
    <row r="35" spans="1:6" x14ac:dyDescent="0.25">
      <c r="A35" s="1" t="s">
        <v>20</v>
      </c>
    </row>
    <row r="36" spans="1:6" x14ac:dyDescent="0.25">
      <c r="A36" t="s">
        <v>21</v>
      </c>
      <c r="C36" t="s">
        <v>23</v>
      </c>
      <c r="E36" s="4">
        <f>+D31</f>
        <v>3126220.8865514644</v>
      </c>
      <c r="F36" s="4" t="s">
        <v>25</v>
      </c>
    </row>
    <row r="37" spans="1:6" x14ac:dyDescent="0.25">
      <c r="C37" t="s">
        <v>24</v>
      </c>
      <c r="E37" s="4">
        <f>E36</f>
        <v>3126220.8865514644</v>
      </c>
      <c r="F37" s="4" t="s">
        <v>26</v>
      </c>
    </row>
    <row r="38" spans="1:6" x14ac:dyDescent="0.25">
      <c r="A38" s="1" t="s">
        <v>40</v>
      </c>
    </row>
    <row r="39" spans="1:6" x14ac:dyDescent="0.25">
      <c r="A39" t="s">
        <v>27</v>
      </c>
      <c r="C39" t="s">
        <v>28</v>
      </c>
      <c r="E39" s="4">
        <f>E36/3</f>
        <v>1042073.6288504881</v>
      </c>
      <c r="F39" s="4" t="s">
        <v>25</v>
      </c>
    </row>
    <row r="40" spans="1:6" x14ac:dyDescent="0.25">
      <c r="C40" t="s">
        <v>22</v>
      </c>
      <c r="E40" s="4">
        <f>+E39</f>
        <v>1042073.6288504881</v>
      </c>
      <c r="F40" s="4" t="s">
        <v>26</v>
      </c>
    </row>
    <row r="42" spans="1:6" x14ac:dyDescent="0.25">
      <c r="A42" t="s">
        <v>27</v>
      </c>
      <c r="C42" t="s">
        <v>33</v>
      </c>
      <c r="E42" s="4">
        <f>+E27</f>
        <v>312622.08865514648</v>
      </c>
      <c r="F42" s="4" t="s">
        <v>25</v>
      </c>
    </row>
    <row r="43" spans="1:6" x14ac:dyDescent="0.25">
      <c r="C43" t="s">
        <v>24</v>
      </c>
      <c r="E43" s="4">
        <f>+E42</f>
        <v>312622.08865514648</v>
      </c>
      <c r="F43" s="4" t="s">
        <v>26</v>
      </c>
    </row>
    <row r="45" spans="1:6" x14ac:dyDescent="0.25">
      <c r="A45" t="s">
        <v>27</v>
      </c>
      <c r="C45" t="s">
        <v>34</v>
      </c>
      <c r="E45" s="4">
        <f>+B27</f>
        <v>1200000</v>
      </c>
      <c r="F45" s="4" t="s">
        <v>25</v>
      </c>
    </row>
    <row r="46" spans="1:6" x14ac:dyDescent="0.25">
      <c r="C46" t="s">
        <v>35</v>
      </c>
      <c r="E46" s="4">
        <f>+E45</f>
        <v>1200000</v>
      </c>
      <c r="F46" s="4" t="s">
        <v>26</v>
      </c>
    </row>
    <row r="49" spans="1:11" x14ac:dyDescent="0.25">
      <c r="A49" s="9" t="s">
        <v>38</v>
      </c>
      <c r="B49" s="10"/>
      <c r="C49" s="9" t="s">
        <v>39</v>
      </c>
      <c r="D49" s="16"/>
      <c r="E49" s="10"/>
    </row>
    <row r="51" spans="1:11" x14ac:dyDescent="0.25">
      <c r="A51" t="s">
        <v>41</v>
      </c>
      <c r="C51">
        <v>5000000</v>
      </c>
    </row>
    <row r="52" spans="1:11" x14ac:dyDescent="0.25">
      <c r="A52" t="s">
        <v>10</v>
      </c>
      <c r="C52">
        <v>15</v>
      </c>
    </row>
    <row r="53" spans="1:11" x14ac:dyDescent="0.25">
      <c r="A53" t="s">
        <v>11</v>
      </c>
      <c r="C53" t="s">
        <v>42</v>
      </c>
    </row>
    <row r="54" spans="1:11" x14ac:dyDescent="0.25">
      <c r="A54" t="s">
        <v>13</v>
      </c>
      <c r="C54" t="s">
        <v>43</v>
      </c>
    </row>
    <row r="55" spans="1:11" x14ac:dyDescent="0.25">
      <c r="A55" t="s">
        <v>15</v>
      </c>
      <c r="B55" t="s">
        <v>16</v>
      </c>
    </row>
    <row r="56" spans="1:11" x14ac:dyDescent="0.25">
      <c r="A56" t="s">
        <v>44</v>
      </c>
      <c r="C56">
        <v>3</v>
      </c>
      <c r="D56" s="17" t="s">
        <v>45</v>
      </c>
    </row>
    <row r="58" spans="1:11" ht="45" x14ac:dyDescent="0.25">
      <c r="A58" s="3" t="s">
        <v>2</v>
      </c>
      <c r="B58" t="s">
        <v>47</v>
      </c>
      <c r="C58" s="7" t="s">
        <v>1</v>
      </c>
      <c r="D58" s="18" t="s">
        <v>18</v>
      </c>
      <c r="E58" s="7" t="s">
        <v>17</v>
      </c>
      <c r="F58" s="15" t="s">
        <v>32</v>
      </c>
      <c r="G58" s="7" t="s">
        <v>46</v>
      </c>
      <c r="H58" s="7" t="s">
        <v>31</v>
      </c>
      <c r="I58" s="7" t="s">
        <v>30</v>
      </c>
      <c r="J58" s="7" t="s">
        <v>36</v>
      </c>
      <c r="K58" s="7" t="s">
        <v>37</v>
      </c>
    </row>
    <row r="59" spans="1:11" x14ac:dyDescent="0.25">
      <c r="A59" s="3">
        <v>1</v>
      </c>
      <c r="B59" t="s">
        <v>48</v>
      </c>
      <c r="C59" s="2">
        <v>5000000</v>
      </c>
      <c r="D59" s="17">
        <f>1/1.08</f>
        <v>0.92592592592592582</v>
      </c>
      <c r="E59" s="2">
        <f>C59*D59</f>
        <v>4629629.6296296287</v>
      </c>
      <c r="F59" s="6">
        <f>E74*8%</f>
        <v>3423791.4751705485</v>
      </c>
      <c r="G59" s="6">
        <f>E74+F59-C59</f>
        <v>41221184.914802402</v>
      </c>
      <c r="H59" s="6">
        <f>$E$74/15</f>
        <v>2853159.562642124</v>
      </c>
      <c r="I59" s="6">
        <f>E74-H59</f>
        <v>39944233.87698973</v>
      </c>
      <c r="J59" s="8">
        <f>F59+H59</f>
        <v>6276951.0378126726</v>
      </c>
      <c r="K59" s="12">
        <f>J59-C59</f>
        <v>1276951.0378126726</v>
      </c>
    </row>
    <row r="60" spans="1:11" x14ac:dyDescent="0.25">
      <c r="A60" s="3">
        <v>2</v>
      </c>
      <c r="B60" t="s">
        <v>49</v>
      </c>
      <c r="C60" s="2">
        <v>5000000</v>
      </c>
      <c r="D60" s="17">
        <f>1/1.08^2</f>
        <v>0.85733882030178321</v>
      </c>
      <c r="E60" s="2">
        <f>C60*D60</f>
        <v>4286694.1015089164</v>
      </c>
      <c r="F60" s="6">
        <f>G59*8%</f>
        <v>3297694.7931841924</v>
      </c>
      <c r="G60" s="6">
        <f>G59+F60-C60</f>
        <v>39518879.707986593</v>
      </c>
      <c r="H60" s="6">
        <f>$E$74/15</f>
        <v>2853159.562642124</v>
      </c>
      <c r="I60" s="6">
        <f>I59-H60</f>
        <v>37091074.314347602</v>
      </c>
      <c r="J60" s="8">
        <f>F60+H60</f>
        <v>6150854.3558263164</v>
      </c>
      <c r="K60" s="12">
        <f>J60-C60</f>
        <v>1150854.3558263164</v>
      </c>
    </row>
    <row r="61" spans="1:11" x14ac:dyDescent="0.25">
      <c r="A61" s="3">
        <v>3</v>
      </c>
      <c r="B61" t="s">
        <v>50</v>
      </c>
      <c r="C61" s="2">
        <v>5000000</v>
      </c>
      <c r="D61" s="17">
        <f>1/1.08^3</f>
        <v>0.79383224102016958</v>
      </c>
      <c r="E61" s="2">
        <f>C61*D61</f>
        <v>3969161.2051008479</v>
      </c>
      <c r="F61" s="6">
        <f>G60*8%</f>
        <v>3161510.3766389275</v>
      </c>
      <c r="G61" s="6">
        <f>G60+F61-C61</f>
        <v>37680390.08462552</v>
      </c>
      <c r="H61" s="6">
        <f>$E$74/15</f>
        <v>2853159.562642124</v>
      </c>
      <c r="I61" s="6">
        <f>I60-H61</f>
        <v>34237914.751705475</v>
      </c>
      <c r="J61" s="8">
        <f>F61+H61</f>
        <v>6014669.939281052</v>
      </c>
      <c r="K61" s="12">
        <f>J61-C61</f>
        <v>1014669.939281052</v>
      </c>
    </row>
    <row r="62" spans="1:11" x14ac:dyDescent="0.25">
      <c r="A62" s="3">
        <v>4</v>
      </c>
      <c r="B62" t="s">
        <v>51</v>
      </c>
      <c r="C62" s="2">
        <v>5000000</v>
      </c>
      <c r="D62" s="17">
        <f>1/1.08^4</f>
        <v>0.73502985279645328</v>
      </c>
      <c r="E62" s="2">
        <f t="shared" ref="E62:E73" si="1">C62*D62</f>
        <v>3675149.2639822662</v>
      </c>
      <c r="F62" s="6">
        <f t="shared" ref="F62:F73" si="2">G61*8%</f>
        <v>3014431.2067700415</v>
      </c>
      <c r="G62" s="6">
        <f t="shared" ref="G62:G73" si="3">G61+F62-C62</f>
        <v>35694821.29139556</v>
      </c>
      <c r="H62" s="6">
        <f>$E$74/15</f>
        <v>2853159.562642124</v>
      </c>
      <c r="I62" s="6">
        <f t="shared" ref="I62:I73" si="4">I61-H62</f>
        <v>31384755.189063352</v>
      </c>
      <c r="J62" s="8">
        <f t="shared" ref="J62:J73" si="5">F62+H62</f>
        <v>5867590.7694121655</v>
      </c>
      <c r="K62" s="12">
        <f t="shared" ref="K62:K73" si="6">J62-C62</f>
        <v>867590.76941216551</v>
      </c>
    </row>
    <row r="63" spans="1:11" x14ac:dyDescent="0.25">
      <c r="A63" s="3">
        <v>5</v>
      </c>
      <c r="B63" t="s">
        <v>52</v>
      </c>
      <c r="C63" s="2">
        <v>5000000</v>
      </c>
      <c r="D63" s="17">
        <f>1/1.08^5</f>
        <v>0.68058319703375303</v>
      </c>
      <c r="E63" s="2">
        <f t="shared" si="1"/>
        <v>3402915.9851687653</v>
      </c>
      <c r="F63" s="6">
        <f t="shared" si="2"/>
        <v>2855585.703311645</v>
      </c>
      <c r="G63" s="6">
        <f t="shared" si="3"/>
        <v>33550406.994707204</v>
      </c>
      <c r="H63" s="6">
        <f>$E$74/15</f>
        <v>2853159.562642124</v>
      </c>
      <c r="I63" s="6">
        <f t="shared" si="4"/>
        <v>28531595.626421228</v>
      </c>
      <c r="J63" s="8">
        <f t="shared" si="5"/>
        <v>5708745.265953769</v>
      </c>
      <c r="K63" s="12">
        <f t="shared" si="6"/>
        <v>708745.26595376898</v>
      </c>
    </row>
    <row r="64" spans="1:11" x14ac:dyDescent="0.25">
      <c r="A64" s="3">
        <v>6</v>
      </c>
      <c r="B64" t="s">
        <v>53</v>
      </c>
      <c r="C64" s="2">
        <v>5000000</v>
      </c>
      <c r="D64" s="17">
        <f>1/1.08^6</f>
        <v>0.63016962688310452</v>
      </c>
      <c r="E64" s="2">
        <f t="shared" si="1"/>
        <v>3150848.1344155227</v>
      </c>
      <c r="F64" s="6">
        <f t="shared" si="2"/>
        <v>2684032.5595765766</v>
      </c>
      <c r="G64" s="6">
        <f t="shared" si="3"/>
        <v>31234439.554283783</v>
      </c>
      <c r="H64" s="6">
        <f>$E$74/15</f>
        <v>2853159.562642124</v>
      </c>
      <c r="I64" s="6">
        <f t="shared" si="4"/>
        <v>25678436.063779105</v>
      </c>
      <c r="J64" s="8">
        <f t="shared" si="5"/>
        <v>5537192.1222187001</v>
      </c>
      <c r="K64" s="12">
        <f t="shared" si="6"/>
        <v>537192.12221870013</v>
      </c>
    </row>
    <row r="65" spans="1:12" x14ac:dyDescent="0.25">
      <c r="A65" s="3">
        <v>7</v>
      </c>
      <c r="B65" t="s">
        <v>54</v>
      </c>
      <c r="C65" s="2">
        <v>5000000</v>
      </c>
      <c r="D65" s="17">
        <f>1/1.08^7</f>
        <v>0.58349039526213387</v>
      </c>
      <c r="E65" s="2">
        <f t="shared" si="1"/>
        <v>2917451.9763106694</v>
      </c>
      <c r="F65" s="6">
        <f t="shared" si="2"/>
        <v>2498755.1643427028</v>
      </c>
      <c r="G65" s="6">
        <f t="shared" si="3"/>
        <v>28733194.718626484</v>
      </c>
      <c r="H65" s="6">
        <f>$E$74/15</f>
        <v>2853159.562642124</v>
      </c>
      <c r="I65" s="6">
        <f t="shared" si="4"/>
        <v>22825276.501136981</v>
      </c>
      <c r="J65" s="8">
        <f t="shared" si="5"/>
        <v>5351914.7269848268</v>
      </c>
      <c r="K65" s="12">
        <f t="shared" si="6"/>
        <v>351914.72698482685</v>
      </c>
    </row>
    <row r="66" spans="1:12" x14ac:dyDescent="0.25">
      <c r="A66" s="3">
        <v>8</v>
      </c>
      <c r="B66" t="s">
        <v>55</v>
      </c>
      <c r="C66" s="2">
        <v>5000000</v>
      </c>
      <c r="D66" s="17">
        <f>1/1.08^8</f>
        <v>0.54026888450197574</v>
      </c>
      <c r="E66" s="2">
        <f t="shared" si="1"/>
        <v>2701344.4225098789</v>
      </c>
      <c r="F66" s="6">
        <f t="shared" si="2"/>
        <v>2298655.5774901188</v>
      </c>
      <c r="G66" s="6">
        <f t="shared" si="3"/>
        <v>26031850.296116602</v>
      </c>
      <c r="H66" s="6">
        <f>$E$74/15</f>
        <v>2853159.562642124</v>
      </c>
      <c r="I66" s="6">
        <f t="shared" si="4"/>
        <v>19972116.938494857</v>
      </c>
      <c r="J66" s="8">
        <f t="shared" si="5"/>
        <v>5151815.1401322428</v>
      </c>
      <c r="K66" s="12">
        <f t="shared" si="6"/>
        <v>151815.14013224281</v>
      </c>
    </row>
    <row r="67" spans="1:12" x14ac:dyDescent="0.25">
      <c r="A67" s="3">
        <v>9</v>
      </c>
      <c r="B67" t="s">
        <v>56</v>
      </c>
      <c r="C67" s="2">
        <v>5000000</v>
      </c>
      <c r="D67" s="17">
        <f>1/1.08^9</f>
        <v>0.50024896713145905</v>
      </c>
      <c r="E67" s="2">
        <f t="shared" si="1"/>
        <v>2501244.8356572953</v>
      </c>
      <c r="F67" s="6">
        <f t="shared" si="2"/>
        <v>2082548.0236893282</v>
      </c>
      <c r="G67" s="6">
        <f t="shared" si="3"/>
        <v>23114398.319805931</v>
      </c>
      <c r="H67" s="6">
        <f>$E$74/15</f>
        <v>2853159.562642124</v>
      </c>
      <c r="I67" s="6">
        <f t="shared" si="4"/>
        <v>17118957.375852734</v>
      </c>
      <c r="J67" s="8">
        <f t="shared" si="5"/>
        <v>4935707.5863314522</v>
      </c>
      <c r="K67" s="12">
        <f t="shared" si="6"/>
        <v>-64292.413668547757</v>
      </c>
    </row>
    <row r="68" spans="1:12" x14ac:dyDescent="0.25">
      <c r="A68" s="3">
        <v>10</v>
      </c>
      <c r="B68" t="s">
        <v>57</v>
      </c>
      <c r="C68" s="2">
        <v>5000000</v>
      </c>
      <c r="D68" s="17">
        <f>1/1.08^10</f>
        <v>0.46319348808468425</v>
      </c>
      <c r="E68" s="2">
        <f t="shared" si="1"/>
        <v>2315967.4404234211</v>
      </c>
      <c r="F68" s="6">
        <f t="shared" si="2"/>
        <v>1849151.8655844745</v>
      </c>
      <c r="G68" s="6">
        <f t="shared" si="3"/>
        <v>19963550.185390405</v>
      </c>
      <c r="H68" s="6">
        <f>$E$74/15</f>
        <v>2853159.562642124</v>
      </c>
      <c r="I68" s="6">
        <f t="shared" si="4"/>
        <v>14265797.81321061</v>
      </c>
      <c r="J68" s="8">
        <f t="shared" si="5"/>
        <v>4702311.4282265985</v>
      </c>
      <c r="K68" s="12">
        <f t="shared" si="6"/>
        <v>-297688.57177340146</v>
      </c>
    </row>
    <row r="69" spans="1:12" x14ac:dyDescent="0.25">
      <c r="A69" s="3">
        <v>11</v>
      </c>
      <c r="B69" t="s">
        <v>58</v>
      </c>
      <c r="C69" s="2">
        <v>5000000</v>
      </c>
      <c r="D69" s="17">
        <f>1/1.08^11</f>
        <v>0.42888285933767062</v>
      </c>
      <c r="E69" s="2">
        <f t="shared" si="1"/>
        <v>2144414.2966883532</v>
      </c>
      <c r="F69" s="6">
        <f t="shared" si="2"/>
        <v>1597084.0148312324</v>
      </c>
      <c r="G69" s="11">
        <f t="shared" si="3"/>
        <v>16560634.200221639</v>
      </c>
      <c r="H69" s="6">
        <f>$E$74/15</f>
        <v>2853159.562642124</v>
      </c>
      <c r="I69" s="11">
        <f t="shared" si="4"/>
        <v>11412638.250568487</v>
      </c>
      <c r="J69" s="8">
        <f t="shared" si="5"/>
        <v>4450243.5774733564</v>
      </c>
      <c r="K69" s="12">
        <f t="shared" si="6"/>
        <v>-549756.42252664361</v>
      </c>
      <c r="L69" s="4">
        <f>SUM(K59:K69)</f>
        <v>5147995.9496531524</v>
      </c>
    </row>
    <row r="70" spans="1:12" x14ac:dyDescent="0.25">
      <c r="A70" s="3">
        <v>12</v>
      </c>
      <c r="B70" t="s">
        <v>59</v>
      </c>
      <c r="C70" s="2">
        <v>5000000</v>
      </c>
      <c r="D70" s="17">
        <f>1/1.08^12</f>
        <v>0.39711375864599124</v>
      </c>
      <c r="E70" s="2">
        <f t="shared" si="1"/>
        <v>1985568.7932299562</v>
      </c>
      <c r="F70" s="6">
        <f t="shared" si="2"/>
        <v>1324850.7360177313</v>
      </c>
      <c r="G70" s="6">
        <f t="shared" si="3"/>
        <v>12885484.936239369</v>
      </c>
      <c r="H70" s="6">
        <f>$E$74/15</f>
        <v>2853159.562642124</v>
      </c>
      <c r="I70" s="6">
        <f t="shared" si="4"/>
        <v>8559478.6879263632</v>
      </c>
      <c r="J70" s="8">
        <f t="shared" si="5"/>
        <v>4178010.2986598555</v>
      </c>
      <c r="K70" s="4">
        <f t="shared" si="6"/>
        <v>-821989.7013401445</v>
      </c>
    </row>
    <row r="71" spans="1:12" x14ac:dyDescent="0.25">
      <c r="A71" s="3">
        <v>13</v>
      </c>
      <c r="B71" t="s">
        <v>60</v>
      </c>
      <c r="C71" s="2">
        <v>5000000</v>
      </c>
      <c r="D71" s="17">
        <f>1/1.08^13</f>
        <v>0.36769792467221413</v>
      </c>
      <c r="E71" s="2">
        <f t="shared" si="1"/>
        <v>1838489.6233610706</v>
      </c>
      <c r="F71" s="6">
        <f t="shared" si="2"/>
        <v>1030838.7948991496</v>
      </c>
      <c r="G71" s="6">
        <f t="shared" si="3"/>
        <v>8916323.7311385181</v>
      </c>
      <c r="H71" s="6">
        <f>$E$74/15</f>
        <v>2853159.562642124</v>
      </c>
      <c r="I71" s="6">
        <f t="shared" si="4"/>
        <v>5706319.1252842396</v>
      </c>
      <c r="J71" s="8">
        <f t="shared" si="5"/>
        <v>3883998.3575412733</v>
      </c>
      <c r="K71" s="4">
        <f t="shared" si="6"/>
        <v>-1116001.6424587267</v>
      </c>
    </row>
    <row r="72" spans="1:12" x14ac:dyDescent="0.25">
      <c r="A72" s="3">
        <v>14</v>
      </c>
      <c r="B72" t="s">
        <v>61</v>
      </c>
      <c r="C72" s="2">
        <v>5000000</v>
      </c>
      <c r="D72" s="17">
        <f>1/1.08^14</f>
        <v>0.34046104136316119</v>
      </c>
      <c r="E72" s="2">
        <f t="shared" si="1"/>
        <v>1702305.206815806</v>
      </c>
      <c r="F72" s="6">
        <f t="shared" si="2"/>
        <v>713305.89849108143</v>
      </c>
      <c r="G72" s="6">
        <f t="shared" si="3"/>
        <v>4629629.6296295989</v>
      </c>
      <c r="H72" s="6">
        <f>$E$74/15</f>
        <v>2853159.562642124</v>
      </c>
      <c r="I72" s="6">
        <f t="shared" si="4"/>
        <v>2853159.5626421156</v>
      </c>
      <c r="J72" s="8">
        <f t="shared" si="5"/>
        <v>3566465.4611332053</v>
      </c>
      <c r="K72" s="4">
        <f t="shared" si="6"/>
        <v>-1433534.5388667947</v>
      </c>
    </row>
    <row r="73" spans="1:12" x14ac:dyDescent="0.25">
      <c r="A73" s="3">
        <v>15</v>
      </c>
      <c r="B73" t="s">
        <v>62</v>
      </c>
      <c r="C73" s="2">
        <v>5000000</v>
      </c>
      <c r="D73" s="17">
        <f>1/1.08^15</f>
        <v>0.31524170496588994</v>
      </c>
      <c r="E73" s="2">
        <f t="shared" si="1"/>
        <v>1576208.5248294496</v>
      </c>
      <c r="F73" s="6">
        <f t="shared" si="2"/>
        <v>370370.37037036795</v>
      </c>
      <c r="G73" s="6">
        <f t="shared" si="3"/>
        <v>-3.3527612686157227E-8</v>
      </c>
      <c r="H73" s="6">
        <f>$E$74/15</f>
        <v>2853159.562642124</v>
      </c>
      <c r="I73" s="6">
        <f t="shared" si="4"/>
        <v>-8.3819031715393066E-9</v>
      </c>
      <c r="J73" s="8">
        <f t="shared" si="5"/>
        <v>3223529.933012492</v>
      </c>
      <c r="K73" s="4">
        <f t="shared" si="6"/>
        <v>-1776470.066987508</v>
      </c>
    </row>
    <row r="74" spans="1:12" x14ac:dyDescent="0.25">
      <c r="C74" s="2">
        <f t="shared" ref="C74" si="7">SUM(C59:C73)</f>
        <v>75000000</v>
      </c>
      <c r="E74" s="2">
        <f>SUM(E59:E73)</f>
        <v>42797393.439631857</v>
      </c>
      <c r="F74" s="2">
        <f t="shared" ref="F74:K74" si="8">SUM(F59:F73)</f>
        <v>32202606.560368121</v>
      </c>
      <c r="G74" s="2">
        <f t="shared" si="8"/>
        <v>359735188.56496954</v>
      </c>
      <c r="H74" s="2">
        <f>SUM(H59:H73)</f>
        <v>42797393.439631872</v>
      </c>
      <c r="I74" s="2">
        <f t="shared" si="8"/>
        <v>299581754.07742292</v>
      </c>
      <c r="J74" s="2">
        <f t="shared" si="8"/>
        <v>74999999.99999997</v>
      </c>
      <c r="K74" s="2">
        <f t="shared" si="8"/>
        <v>-2.1420419216156006E-8</v>
      </c>
    </row>
    <row r="75" spans="1:12" x14ac:dyDescent="0.25">
      <c r="A75" t="s">
        <v>81</v>
      </c>
      <c r="C75" s="2"/>
      <c r="E75" s="2"/>
      <c r="F75" s="2"/>
      <c r="G75" s="2"/>
      <c r="H75" s="2"/>
      <c r="I75" s="2"/>
      <c r="J75" s="2"/>
      <c r="K75" s="2"/>
    </row>
    <row r="76" spans="1:12" x14ac:dyDescent="0.25">
      <c r="A76" t="s">
        <v>82</v>
      </c>
    </row>
    <row r="78" spans="1:12" x14ac:dyDescent="0.25">
      <c r="A78" s="1" t="s">
        <v>63</v>
      </c>
      <c r="C78" t="s">
        <v>23</v>
      </c>
      <c r="E78" s="4">
        <f>+I69</f>
        <v>11412638.250568487</v>
      </c>
    </row>
    <row r="79" spans="1:12" x14ac:dyDescent="0.25">
      <c r="C79" t="s">
        <v>64</v>
      </c>
      <c r="E79" s="4">
        <f>E80-E78</f>
        <v>5147995.9496531524</v>
      </c>
    </row>
    <row r="80" spans="1:12" x14ac:dyDescent="0.25">
      <c r="C80" t="s">
        <v>24</v>
      </c>
      <c r="E80" s="4">
        <f>+G69</f>
        <v>16560634.200221639</v>
      </c>
    </row>
    <row r="81" spans="1:5" x14ac:dyDescent="0.25">
      <c r="A81" s="1" t="s">
        <v>65</v>
      </c>
    </row>
    <row r="83" spans="1:5" x14ac:dyDescent="0.25">
      <c r="C83" t="s">
        <v>32</v>
      </c>
      <c r="E83" s="4">
        <f>+F70</f>
        <v>1324850.7360177313</v>
      </c>
    </row>
    <row r="84" spans="1:5" x14ac:dyDescent="0.25">
      <c r="C84" t="s">
        <v>31</v>
      </c>
      <c r="E84" s="4">
        <f>+H70</f>
        <v>2853159.562642124</v>
      </c>
    </row>
    <row r="85" spans="1:5" x14ac:dyDescent="0.25">
      <c r="C85" t="s">
        <v>24</v>
      </c>
      <c r="E85" s="4">
        <f>E83</f>
        <v>1324850.7360177313</v>
      </c>
    </row>
    <row r="86" spans="1:5" x14ac:dyDescent="0.25">
      <c r="C86" t="s">
        <v>66</v>
      </c>
      <c r="E86" s="4">
        <f>+E84</f>
        <v>2853159.562642124</v>
      </c>
    </row>
    <row r="88" spans="1:5" x14ac:dyDescent="0.25">
      <c r="C88" t="s">
        <v>67</v>
      </c>
      <c r="E88">
        <v>5000000</v>
      </c>
    </row>
    <row r="89" spans="1:5" x14ac:dyDescent="0.25">
      <c r="C89" t="s">
        <v>68</v>
      </c>
      <c r="E89">
        <v>5000000</v>
      </c>
    </row>
    <row r="91" spans="1:5" x14ac:dyDescent="0.25">
      <c r="A91" s="1" t="s">
        <v>69</v>
      </c>
    </row>
    <row r="92" spans="1:5" x14ac:dyDescent="0.25">
      <c r="C92" t="s">
        <v>32</v>
      </c>
      <c r="E92" s="4">
        <f>+F71</f>
        <v>1030838.7948991496</v>
      </c>
    </row>
    <row r="93" spans="1:5" x14ac:dyDescent="0.25">
      <c r="C93" t="s">
        <v>31</v>
      </c>
      <c r="E93" s="4">
        <f>+H71</f>
        <v>2853159.562642124</v>
      </c>
    </row>
    <row r="94" spans="1:5" x14ac:dyDescent="0.25">
      <c r="C94" t="s">
        <v>24</v>
      </c>
      <c r="E94" s="4">
        <f>+E92</f>
        <v>1030838.7948991496</v>
      </c>
    </row>
    <row r="95" spans="1:5" x14ac:dyDescent="0.25">
      <c r="C95" t="s">
        <v>66</v>
      </c>
      <c r="E95" s="4">
        <f>+E93</f>
        <v>2853159.562642124</v>
      </c>
    </row>
    <row r="97" spans="1:11" x14ac:dyDescent="0.25">
      <c r="C97" t="s">
        <v>67</v>
      </c>
      <c r="E97">
        <v>5000000</v>
      </c>
    </row>
    <row r="98" spans="1:11" x14ac:dyDescent="0.25">
      <c r="C98" t="s">
        <v>68</v>
      </c>
      <c r="E98">
        <f>+E97</f>
        <v>5000000</v>
      </c>
    </row>
    <row r="101" spans="1:11" x14ac:dyDescent="0.25">
      <c r="A101" s="9" t="s">
        <v>73</v>
      </c>
      <c r="B101" s="10"/>
      <c r="C101" s="9" t="s">
        <v>70</v>
      </c>
      <c r="D101" s="16"/>
      <c r="E101" s="10"/>
      <c r="F101" s="13"/>
    </row>
    <row r="103" spans="1:11" x14ac:dyDescent="0.25">
      <c r="A103" t="s">
        <v>41</v>
      </c>
      <c r="C103">
        <v>5000000</v>
      </c>
    </row>
    <row r="104" spans="1:11" x14ac:dyDescent="0.25">
      <c r="A104" t="s">
        <v>10</v>
      </c>
      <c r="C104">
        <v>15</v>
      </c>
    </row>
    <row r="105" spans="1:11" x14ac:dyDescent="0.25">
      <c r="A105" t="s">
        <v>11</v>
      </c>
      <c r="C105" t="s">
        <v>42</v>
      </c>
    </row>
    <row r="106" spans="1:11" x14ac:dyDescent="0.25">
      <c r="A106" t="s">
        <v>13</v>
      </c>
      <c r="C106" t="s">
        <v>71</v>
      </c>
    </row>
    <row r="107" spans="1:11" x14ac:dyDescent="0.25">
      <c r="A107" t="s">
        <v>15</v>
      </c>
      <c r="B107" t="s">
        <v>16</v>
      </c>
    </row>
    <row r="108" spans="1:11" x14ac:dyDescent="0.25">
      <c r="A108" t="s">
        <v>44</v>
      </c>
      <c r="C108">
        <v>3</v>
      </c>
      <c r="D108" s="17" t="s">
        <v>45</v>
      </c>
    </row>
    <row r="110" spans="1:11" ht="45" x14ac:dyDescent="0.25">
      <c r="A110" s="3" t="s">
        <v>2</v>
      </c>
      <c r="B110" t="s">
        <v>47</v>
      </c>
      <c r="C110" s="7" t="s">
        <v>1</v>
      </c>
      <c r="D110" s="18" t="s">
        <v>18</v>
      </c>
      <c r="E110" s="7" t="s">
        <v>17</v>
      </c>
      <c r="F110" s="15" t="s">
        <v>32</v>
      </c>
      <c r="G110" s="7" t="s">
        <v>46</v>
      </c>
      <c r="H110" s="7" t="s">
        <v>31</v>
      </c>
      <c r="I110" s="7" t="s">
        <v>30</v>
      </c>
      <c r="J110" s="7" t="s">
        <v>36</v>
      </c>
      <c r="K110" s="7" t="s">
        <v>37</v>
      </c>
    </row>
    <row r="111" spans="1:11" x14ac:dyDescent="0.25">
      <c r="A111" s="3">
        <v>1</v>
      </c>
      <c r="B111" t="s">
        <v>48</v>
      </c>
      <c r="C111" s="2">
        <v>5000000</v>
      </c>
      <c r="D111" s="17">
        <f>1/1.1</f>
        <v>0.90909090909090906</v>
      </c>
      <c r="E111" s="2">
        <f>C111*D111</f>
        <v>4545454.5454545449</v>
      </c>
      <c r="F111" s="6">
        <f>E126*10%</f>
        <v>3803039.7531541805</v>
      </c>
      <c r="G111" s="6">
        <f>E126+F111-C111</f>
        <v>36833437.284695983</v>
      </c>
      <c r="H111" s="6">
        <f>$E$126/15</f>
        <v>2535359.8354361202</v>
      </c>
      <c r="I111" s="6">
        <f>E126-H111</f>
        <v>35495037.696105681</v>
      </c>
      <c r="J111" s="8">
        <f>F111+H111</f>
        <v>6338399.5885903006</v>
      </c>
      <c r="K111" s="12">
        <f>J111-C111</f>
        <v>1338399.5885903006</v>
      </c>
    </row>
    <row r="112" spans="1:11" x14ac:dyDescent="0.25">
      <c r="A112" s="3">
        <v>2</v>
      </c>
      <c r="B112" t="s">
        <v>49</v>
      </c>
      <c r="C112" s="2">
        <v>5000000</v>
      </c>
      <c r="D112" s="17">
        <f>1/1.1^2</f>
        <v>0.82644628099173545</v>
      </c>
      <c r="E112" s="2">
        <f>C112*D112</f>
        <v>4132231.4049586775</v>
      </c>
      <c r="F112" s="6">
        <f>G111*10%</f>
        <v>3683343.7284695986</v>
      </c>
      <c r="G112" s="6">
        <f>G111+F112-C112</f>
        <v>35516781.013165578</v>
      </c>
      <c r="H112" s="6">
        <f t="shared" ref="H112:H125" si="9">$E$126/15</f>
        <v>2535359.8354361202</v>
      </c>
      <c r="I112" s="6">
        <f>I111-H112</f>
        <v>32959677.860669561</v>
      </c>
      <c r="J112" s="8">
        <f>F112+H112</f>
        <v>6218703.5639057187</v>
      </c>
      <c r="K112" s="12">
        <f>J112-C112</f>
        <v>1218703.5639057187</v>
      </c>
    </row>
    <row r="113" spans="1:12" x14ac:dyDescent="0.25">
      <c r="A113" s="3">
        <v>3</v>
      </c>
      <c r="B113" t="s">
        <v>50</v>
      </c>
      <c r="C113" s="2">
        <v>5000000</v>
      </c>
      <c r="D113" s="17">
        <f>1/1.1^3</f>
        <v>0.75131480090157754</v>
      </c>
      <c r="E113" s="2">
        <f>C113*D113</f>
        <v>3756574.0045078876</v>
      </c>
      <c r="F113" s="6">
        <f>G112*10%</f>
        <v>3551678.1013165582</v>
      </c>
      <c r="G113" s="6">
        <f>G112+F113-C113</f>
        <v>34068459.114482135</v>
      </c>
      <c r="H113" s="6">
        <f t="shared" si="9"/>
        <v>2535359.8354361202</v>
      </c>
      <c r="I113" s="6">
        <f>I112-H113</f>
        <v>30424318.02523344</v>
      </c>
      <c r="J113" s="8">
        <f>F113+H113</f>
        <v>6087037.9367526788</v>
      </c>
      <c r="K113" s="12">
        <f>J113-C113</f>
        <v>1087037.9367526788</v>
      </c>
    </row>
    <row r="114" spans="1:12" x14ac:dyDescent="0.25">
      <c r="A114" s="3">
        <v>4</v>
      </c>
      <c r="B114" t="s">
        <v>51</v>
      </c>
      <c r="C114" s="2">
        <v>5000000</v>
      </c>
      <c r="D114" s="17">
        <f>1/1.1^4</f>
        <v>0.68301345536507052</v>
      </c>
      <c r="E114" s="2">
        <f t="shared" ref="E114:E125" si="10">C114*D114</f>
        <v>3415067.2768253526</v>
      </c>
      <c r="F114" s="6">
        <f>G113*10%</f>
        <v>3406845.9114482137</v>
      </c>
      <c r="G114" s="6">
        <f t="shared" ref="G114:G125" si="11">G113+F114-C114</f>
        <v>32475305.025930345</v>
      </c>
      <c r="H114" s="6">
        <f t="shared" si="9"/>
        <v>2535359.8354361202</v>
      </c>
      <c r="I114" s="6">
        <f t="shared" ref="I114:I125" si="12">I113-H114</f>
        <v>27888958.189797319</v>
      </c>
      <c r="J114" s="8">
        <f t="shared" ref="J114:J125" si="13">F114+H114</f>
        <v>5942205.7468843339</v>
      </c>
      <c r="K114" s="12">
        <f t="shared" ref="K114:K125" si="14">J114-C114</f>
        <v>942205.7468843339</v>
      </c>
    </row>
    <row r="115" spans="1:12" x14ac:dyDescent="0.25">
      <c r="A115" s="3">
        <v>5</v>
      </c>
      <c r="B115" t="s">
        <v>52</v>
      </c>
      <c r="C115" s="2">
        <v>5000000</v>
      </c>
      <c r="D115" s="17">
        <f>1/1.1^5</f>
        <v>0.62092132305915493</v>
      </c>
      <c r="E115" s="2">
        <f t="shared" si="10"/>
        <v>3104606.6152957748</v>
      </c>
      <c r="F115" s="6">
        <f t="shared" ref="F115:F125" si="15">G114*10%</f>
        <v>3247530.5025930349</v>
      </c>
      <c r="G115" s="6">
        <f t="shared" si="11"/>
        <v>30722835.528523378</v>
      </c>
      <c r="H115" s="6">
        <f t="shared" si="9"/>
        <v>2535359.8354361202</v>
      </c>
      <c r="I115" s="6">
        <f t="shared" si="12"/>
        <v>25353598.354361199</v>
      </c>
      <c r="J115" s="8">
        <f t="shared" si="13"/>
        <v>5782890.3380291555</v>
      </c>
      <c r="K115" s="12">
        <f t="shared" si="14"/>
        <v>782890.33802915551</v>
      </c>
    </row>
    <row r="116" spans="1:12" x14ac:dyDescent="0.25">
      <c r="A116" s="3">
        <v>6</v>
      </c>
      <c r="B116" t="s">
        <v>53</v>
      </c>
      <c r="C116" s="2">
        <v>5000000</v>
      </c>
      <c r="D116" s="17">
        <f>1/1.1^6</f>
        <v>0.56447393005377722</v>
      </c>
      <c r="E116" s="2">
        <f t="shared" si="10"/>
        <v>2822369.6502688862</v>
      </c>
      <c r="F116" s="6">
        <f t="shared" si="15"/>
        <v>3072283.5528523382</v>
      </c>
      <c r="G116" s="6">
        <f t="shared" si="11"/>
        <v>28795119.081375718</v>
      </c>
      <c r="H116" s="6">
        <f t="shared" si="9"/>
        <v>2535359.8354361202</v>
      </c>
      <c r="I116" s="6">
        <f t="shared" si="12"/>
        <v>22818238.518925078</v>
      </c>
      <c r="J116" s="8">
        <f t="shared" si="13"/>
        <v>5607643.3882884588</v>
      </c>
      <c r="K116" s="12">
        <f t="shared" si="14"/>
        <v>607643.38828845881</v>
      </c>
    </row>
    <row r="117" spans="1:12" x14ac:dyDescent="0.25">
      <c r="A117" s="3">
        <v>7</v>
      </c>
      <c r="B117" t="s">
        <v>54</v>
      </c>
      <c r="C117" s="2">
        <v>5000000</v>
      </c>
      <c r="D117" s="17">
        <f>1/1.1^7</f>
        <v>0.51315811823070645</v>
      </c>
      <c r="E117" s="2">
        <f t="shared" si="10"/>
        <v>2565790.5911535323</v>
      </c>
      <c r="F117" s="6">
        <f t="shared" si="15"/>
        <v>2879511.908137572</v>
      </c>
      <c r="G117" s="6">
        <f t="shared" si="11"/>
        <v>26674630.989513289</v>
      </c>
      <c r="H117" s="6">
        <f t="shared" si="9"/>
        <v>2535359.8354361202</v>
      </c>
      <c r="I117" s="6">
        <f t="shared" si="12"/>
        <v>20282878.683488958</v>
      </c>
      <c r="J117" s="8">
        <f t="shared" si="13"/>
        <v>5414871.7435736917</v>
      </c>
      <c r="K117" s="12">
        <f t="shared" si="14"/>
        <v>414871.7435736917</v>
      </c>
    </row>
    <row r="118" spans="1:12" x14ac:dyDescent="0.25">
      <c r="A118" s="3">
        <v>8</v>
      </c>
      <c r="B118" t="s">
        <v>55</v>
      </c>
      <c r="C118" s="2">
        <v>5000000</v>
      </c>
      <c r="D118" s="17">
        <f>1/1.1^8</f>
        <v>0.46650738020973315</v>
      </c>
      <c r="E118" s="2">
        <f t="shared" si="10"/>
        <v>2332536.9010486659</v>
      </c>
      <c r="F118" s="6">
        <f t="shared" ref="F118:F125" si="16">G117*10%</f>
        <v>2667463.098951329</v>
      </c>
      <c r="G118" s="6">
        <f t="shared" si="11"/>
        <v>24342094.088464618</v>
      </c>
      <c r="H118" s="6">
        <f t="shared" si="9"/>
        <v>2535359.8354361202</v>
      </c>
      <c r="I118" s="6">
        <f t="shared" si="12"/>
        <v>17747518.848052837</v>
      </c>
      <c r="J118" s="8">
        <f t="shared" si="13"/>
        <v>5202822.9343874492</v>
      </c>
      <c r="K118" s="12">
        <f t="shared" si="14"/>
        <v>202822.93438744918</v>
      </c>
    </row>
    <row r="119" spans="1:12" x14ac:dyDescent="0.25">
      <c r="A119" s="3">
        <v>9</v>
      </c>
      <c r="B119" t="s">
        <v>56</v>
      </c>
      <c r="C119" s="2">
        <v>5000000</v>
      </c>
      <c r="D119" s="17">
        <f>1/1.1^9</f>
        <v>0.42409761837248466</v>
      </c>
      <c r="E119" s="2">
        <f t="shared" si="10"/>
        <v>2120488.0918624233</v>
      </c>
      <c r="F119" s="6">
        <f t="shared" si="16"/>
        <v>2434209.4088464617</v>
      </c>
      <c r="G119" s="6">
        <f t="shared" si="11"/>
        <v>21776303.497311078</v>
      </c>
      <c r="H119" s="6">
        <f t="shared" si="9"/>
        <v>2535359.8354361202</v>
      </c>
      <c r="I119" s="6">
        <f t="shared" si="12"/>
        <v>15212159.012616716</v>
      </c>
      <c r="J119" s="8">
        <f t="shared" si="13"/>
        <v>4969569.2442825818</v>
      </c>
      <c r="K119" s="12">
        <f t="shared" si="14"/>
        <v>-30430.755717418157</v>
      </c>
    </row>
    <row r="120" spans="1:12" x14ac:dyDescent="0.25">
      <c r="A120" s="3">
        <v>10</v>
      </c>
      <c r="B120" t="s">
        <v>57</v>
      </c>
      <c r="C120" s="2">
        <v>5000000</v>
      </c>
      <c r="D120" s="17">
        <f>1/1.1^10</f>
        <v>0.38554328942953148</v>
      </c>
      <c r="E120" s="2">
        <f t="shared" si="10"/>
        <v>1927716.4471476574</v>
      </c>
      <c r="F120" s="6">
        <f t="shared" si="16"/>
        <v>2177630.3497311077</v>
      </c>
      <c r="G120" s="6">
        <f t="shared" si="11"/>
        <v>18953933.847042184</v>
      </c>
      <c r="H120" s="6">
        <f t="shared" si="9"/>
        <v>2535359.8354361202</v>
      </c>
      <c r="I120" s="6">
        <f t="shared" si="12"/>
        <v>12676799.177180596</v>
      </c>
      <c r="J120" s="8">
        <f t="shared" si="13"/>
        <v>4712990.1851672279</v>
      </c>
      <c r="K120" s="12">
        <f t="shared" si="14"/>
        <v>-287009.81483277213</v>
      </c>
    </row>
    <row r="121" spans="1:12" x14ac:dyDescent="0.25">
      <c r="A121" s="3">
        <v>11</v>
      </c>
      <c r="B121" t="s">
        <v>58</v>
      </c>
      <c r="C121" s="2">
        <v>5000000</v>
      </c>
      <c r="D121" s="17">
        <f>1/1.1^11</f>
        <v>0.3504938994813922</v>
      </c>
      <c r="E121" s="2">
        <f t="shared" si="10"/>
        <v>1752469.4974069609</v>
      </c>
      <c r="F121" s="6">
        <f t="shared" ref="F121:F125" si="17">G120*10%</f>
        <v>1895393.3847042185</v>
      </c>
      <c r="G121" s="14">
        <f t="shared" si="11"/>
        <v>15849327.231746402</v>
      </c>
      <c r="H121" s="14">
        <f t="shared" si="9"/>
        <v>2535359.8354361202</v>
      </c>
      <c r="I121" s="14">
        <f t="shared" si="12"/>
        <v>10141439.341744475</v>
      </c>
      <c r="J121" s="8">
        <f t="shared" si="13"/>
        <v>4430753.2201403389</v>
      </c>
      <c r="K121" s="12">
        <f t="shared" si="14"/>
        <v>-569246.77985966112</v>
      </c>
    </row>
    <row r="122" spans="1:12" x14ac:dyDescent="0.25">
      <c r="A122" s="3">
        <v>12</v>
      </c>
      <c r="B122" t="s">
        <v>59</v>
      </c>
      <c r="C122" s="2">
        <v>5000000</v>
      </c>
      <c r="D122" s="17">
        <f>1/1.1^12</f>
        <v>0.31863081771035656</v>
      </c>
      <c r="E122" s="2">
        <f t="shared" si="10"/>
        <v>1593154.0885517828</v>
      </c>
      <c r="F122" s="6">
        <f t="shared" si="17"/>
        <v>1584932.7231746402</v>
      </c>
      <c r="G122" s="11">
        <f t="shared" si="11"/>
        <v>12434259.954921041</v>
      </c>
      <c r="H122" s="6">
        <f t="shared" si="9"/>
        <v>2535359.8354361202</v>
      </c>
      <c r="I122" s="11">
        <f t="shared" si="12"/>
        <v>7606079.5063083544</v>
      </c>
      <c r="J122" s="8">
        <f t="shared" si="13"/>
        <v>4120292.5586107606</v>
      </c>
      <c r="K122" s="12">
        <f t="shared" si="14"/>
        <v>-879707.44138923939</v>
      </c>
      <c r="L122" s="4">
        <f>SUM(K111:K122)</f>
        <v>4828180.4486126965</v>
      </c>
    </row>
    <row r="123" spans="1:12" x14ac:dyDescent="0.25">
      <c r="A123" s="3">
        <v>13</v>
      </c>
      <c r="B123" t="s">
        <v>60</v>
      </c>
      <c r="C123" s="2">
        <v>5000000</v>
      </c>
      <c r="D123" s="17">
        <f>1/1.1^13</f>
        <v>0.28966437973668779</v>
      </c>
      <c r="E123" s="2">
        <f t="shared" si="10"/>
        <v>1448321.898683439</v>
      </c>
      <c r="F123" s="6">
        <f t="shared" si="17"/>
        <v>1243425.9954921042</v>
      </c>
      <c r="G123" s="6">
        <f t="shared" si="11"/>
        <v>8677685.9504131451</v>
      </c>
      <c r="H123" s="6">
        <f t="shared" si="9"/>
        <v>2535359.8354361202</v>
      </c>
      <c r="I123" s="6">
        <f t="shared" si="12"/>
        <v>5070719.6708722338</v>
      </c>
      <c r="J123" s="8">
        <f t="shared" si="13"/>
        <v>3778785.8309282241</v>
      </c>
      <c r="K123" s="4">
        <f t="shared" si="14"/>
        <v>-1221214.1690717759</v>
      </c>
    </row>
    <row r="124" spans="1:12" x14ac:dyDescent="0.25">
      <c r="A124" s="3">
        <v>14</v>
      </c>
      <c r="B124" t="s">
        <v>61</v>
      </c>
      <c r="C124" s="2">
        <v>5000000</v>
      </c>
      <c r="D124" s="17">
        <f>1/1.1^14</f>
        <v>0.26333125430607973</v>
      </c>
      <c r="E124" s="2">
        <f t="shared" si="10"/>
        <v>1316656.2715303986</v>
      </c>
      <c r="F124" s="6">
        <f>G123*10%</f>
        <v>867768.59504131461</v>
      </c>
      <c r="G124" s="6">
        <f t="shared" si="11"/>
        <v>4545454.5454544593</v>
      </c>
      <c r="H124" s="6">
        <f t="shared" si="9"/>
        <v>2535359.8354361202</v>
      </c>
      <c r="I124" s="6">
        <f t="shared" si="12"/>
        <v>2535359.8354361136</v>
      </c>
      <c r="J124" s="8">
        <f t="shared" si="13"/>
        <v>3403128.4304774348</v>
      </c>
      <c r="K124" s="4">
        <f t="shared" si="14"/>
        <v>-1596871.5695225652</v>
      </c>
    </row>
    <row r="125" spans="1:12" x14ac:dyDescent="0.25">
      <c r="A125" s="3">
        <v>15</v>
      </c>
      <c r="B125" t="s">
        <v>62</v>
      </c>
      <c r="C125" s="2">
        <v>5000000</v>
      </c>
      <c r="D125" s="17">
        <f>1/1.1^15</f>
        <v>0.23939204936916339</v>
      </c>
      <c r="E125" s="2">
        <f t="shared" si="10"/>
        <v>1196960.246845817</v>
      </c>
      <c r="F125" s="6">
        <f>G124*10%</f>
        <v>454545.45454544597</v>
      </c>
      <c r="G125" s="6">
        <f t="shared" si="11"/>
        <v>-9.4994902610778809E-8</v>
      </c>
      <c r="H125" s="6">
        <f t="shared" si="9"/>
        <v>2535359.8354361202</v>
      </c>
      <c r="I125" s="6">
        <f t="shared" si="12"/>
        <v>-6.5192580223083496E-9</v>
      </c>
      <c r="J125" s="8">
        <f t="shared" si="13"/>
        <v>2989905.2899815664</v>
      </c>
      <c r="K125" s="4">
        <f t="shared" si="14"/>
        <v>-2010094.7100184336</v>
      </c>
    </row>
    <row r="126" spans="1:12" x14ac:dyDescent="0.25">
      <c r="C126" s="2">
        <f t="shared" ref="C126" si="18">SUM(C111:C125)</f>
        <v>75000000</v>
      </c>
      <c r="E126" s="2">
        <f>SUM(E111:E125)</f>
        <v>38030397.531541802</v>
      </c>
      <c r="F126" s="2">
        <f>SUM(F111:F125)</f>
        <v>36969602.468458109</v>
      </c>
      <c r="G126" s="2">
        <f t="shared" ref="G126" si="19">SUM(G111:G125)</f>
        <v>331665627.15303922</v>
      </c>
      <c r="H126" s="2">
        <f>SUM(H111:H125)</f>
        <v>38030397.531541802</v>
      </c>
      <c r="I126" s="2">
        <f t="shared" ref="I126" si="20">SUM(I111:I125)</f>
        <v>266212782.72079256</v>
      </c>
      <c r="J126" s="2">
        <f t="shared" ref="J126" si="21">SUM(J111:J125)</f>
        <v>74999999.99999994</v>
      </c>
      <c r="K126" s="2">
        <f t="shared" ref="K126" si="22">SUM(K111:K125)</f>
        <v>-7.8231096267700195E-8</v>
      </c>
    </row>
    <row r="127" spans="1:12" x14ac:dyDescent="0.25">
      <c r="C127" s="2"/>
      <c r="E127" s="2"/>
      <c r="F127" s="2"/>
      <c r="G127" s="2"/>
      <c r="H127" s="2"/>
      <c r="I127" s="2"/>
      <c r="J127" s="2"/>
      <c r="K127" s="2"/>
    </row>
    <row r="128" spans="1:12" x14ac:dyDescent="0.25">
      <c r="A128" t="s">
        <v>79</v>
      </c>
    </row>
    <row r="129" spans="1:5" x14ac:dyDescent="0.25">
      <c r="A129" t="s">
        <v>80</v>
      </c>
    </row>
    <row r="131" spans="1:5" x14ac:dyDescent="0.25">
      <c r="A131" s="1" t="s">
        <v>72</v>
      </c>
      <c r="C131" t="s">
        <v>23</v>
      </c>
      <c r="E131" s="4">
        <f>+I122</f>
        <v>7606079.5063083544</v>
      </c>
    </row>
    <row r="132" spans="1:5" x14ac:dyDescent="0.25">
      <c r="C132" t="s">
        <v>64</v>
      </c>
      <c r="E132" s="4">
        <f>E133-E131</f>
        <v>4828180.4486126862</v>
      </c>
    </row>
    <row r="133" spans="1:5" x14ac:dyDescent="0.25">
      <c r="C133" t="s">
        <v>24</v>
      </c>
      <c r="E133" s="4">
        <f>+G122</f>
        <v>12434259.954921041</v>
      </c>
    </row>
    <row r="136" spans="1:5" x14ac:dyDescent="0.25">
      <c r="A136" s="1" t="s">
        <v>69</v>
      </c>
      <c r="C136" t="s">
        <v>32</v>
      </c>
      <c r="E136" s="4">
        <f>+F123</f>
        <v>1243425.9954921042</v>
      </c>
    </row>
    <row r="137" spans="1:5" x14ac:dyDescent="0.25">
      <c r="C137" t="s">
        <v>31</v>
      </c>
      <c r="E137" s="4">
        <f>+H123</f>
        <v>2535359.8354361202</v>
      </c>
    </row>
    <row r="138" spans="1:5" x14ac:dyDescent="0.25">
      <c r="C138" t="s">
        <v>24</v>
      </c>
      <c r="E138" s="4">
        <f>+E136</f>
        <v>1243425.9954921042</v>
      </c>
    </row>
    <row r="139" spans="1:5" x14ac:dyDescent="0.25">
      <c r="C139" t="s">
        <v>66</v>
      </c>
      <c r="E139" s="4">
        <f>+E137</f>
        <v>2535359.8354361202</v>
      </c>
    </row>
    <row r="141" spans="1:5" x14ac:dyDescent="0.25">
      <c r="C141" t="s">
        <v>67</v>
      </c>
      <c r="E141">
        <v>5000000</v>
      </c>
    </row>
    <row r="142" spans="1:5" x14ac:dyDescent="0.25">
      <c r="C142" t="s">
        <v>68</v>
      </c>
      <c r="E142">
        <f>+E141</f>
        <v>5000000</v>
      </c>
    </row>
    <row r="145" spans="1:11" x14ac:dyDescent="0.25">
      <c r="A145" s="9" t="s">
        <v>74</v>
      </c>
      <c r="B145" s="10"/>
      <c r="C145" s="9" t="s">
        <v>75</v>
      </c>
      <c r="D145" s="16"/>
      <c r="E145" s="10"/>
      <c r="F145" s="13"/>
    </row>
    <row r="147" spans="1:11" x14ac:dyDescent="0.25">
      <c r="A147" t="s">
        <v>41</v>
      </c>
      <c r="C147">
        <v>5000000</v>
      </c>
    </row>
    <row r="148" spans="1:11" x14ac:dyDescent="0.25">
      <c r="A148" t="s">
        <v>10</v>
      </c>
      <c r="C148">
        <v>15</v>
      </c>
    </row>
    <row r="149" spans="1:11" x14ac:dyDescent="0.25">
      <c r="A149" t="s">
        <v>11</v>
      </c>
      <c r="C149" t="s">
        <v>42</v>
      </c>
    </row>
    <row r="150" spans="1:11" x14ac:dyDescent="0.25">
      <c r="A150" t="s">
        <v>13</v>
      </c>
      <c r="C150" t="s">
        <v>71</v>
      </c>
    </row>
    <row r="151" spans="1:11" x14ac:dyDescent="0.25">
      <c r="A151" t="s">
        <v>15</v>
      </c>
      <c r="B151" t="s">
        <v>16</v>
      </c>
    </row>
    <row r="152" spans="1:11" x14ac:dyDescent="0.25">
      <c r="A152" t="s">
        <v>44</v>
      </c>
      <c r="C152">
        <v>3</v>
      </c>
      <c r="D152" s="17" t="s">
        <v>45</v>
      </c>
    </row>
    <row r="154" spans="1:11" ht="45" x14ac:dyDescent="0.25">
      <c r="A154" s="3" t="s">
        <v>2</v>
      </c>
      <c r="B154" t="s">
        <v>47</v>
      </c>
      <c r="C154" s="7" t="s">
        <v>1</v>
      </c>
      <c r="D154" s="18" t="s">
        <v>18</v>
      </c>
      <c r="E154" s="7" t="s">
        <v>17</v>
      </c>
      <c r="F154" s="15" t="s">
        <v>32</v>
      </c>
      <c r="G154" s="7" t="s">
        <v>46</v>
      </c>
      <c r="H154" s="7" t="s">
        <v>31</v>
      </c>
      <c r="I154" s="7" t="s">
        <v>30</v>
      </c>
      <c r="J154" s="7" t="s">
        <v>36</v>
      </c>
      <c r="K154" s="7" t="s">
        <v>37</v>
      </c>
    </row>
    <row r="155" spans="1:11" x14ac:dyDescent="0.25">
      <c r="A155" s="3">
        <v>1</v>
      </c>
      <c r="B155" t="s">
        <v>48</v>
      </c>
      <c r="C155" s="2">
        <v>5000000</v>
      </c>
      <c r="D155" s="17">
        <f>1/1.1</f>
        <v>0.90909090909090906</v>
      </c>
      <c r="E155" s="2">
        <f>C155*D155</f>
        <v>4545454.5454545449</v>
      </c>
      <c r="F155" s="6">
        <f>E170*10%</f>
        <v>3803039.7531541805</v>
      </c>
      <c r="G155" s="6">
        <f>E170+F155-C155</f>
        <v>36833437.284695983</v>
      </c>
      <c r="H155" s="6">
        <f>$E$126/15</f>
        <v>2535359.8354361202</v>
      </c>
      <c r="I155" s="6">
        <f>E170-H155</f>
        <v>35495037.696105681</v>
      </c>
      <c r="J155" s="8">
        <f>F155+H155</f>
        <v>6338399.5885903006</v>
      </c>
      <c r="K155" s="12">
        <f>J155-C155</f>
        <v>1338399.5885903006</v>
      </c>
    </row>
    <row r="156" spans="1:11" x14ac:dyDescent="0.25">
      <c r="A156" s="3">
        <v>2</v>
      </c>
      <c r="B156" t="s">
        <v>49</v>
      </c>
      <c r="C156" s="2">
        <v>5000000</v>
      </c>
      <c r="D156" s="17">
        <f>1/1.1^2</f>
        <v>0.82644628099173545</v>
      </c>
      <c r="E156" s="2">
        <f>C156*D156</f>
        <v>4132231.4049586775</v>
      </c>
      <c r="F156" s="6">
        <f>G155*10%</f>
        <v>3683343.7284695986</v>
      </c>
      <c r="G156" s="6">
        <f>G155+F156-C156</f>
        <v>35516781.013165578</v>
      </c>
      <c r="H156" s="6">
        <f t="shared" ref="H156:H169" si="23">$E$126/15</f>
        <v>2535359.8354361202</v>
      </c>
      <c r="I156" s="6">
        <f>I155-H156</f>
        <v>32959677.860669561</v>
      </c>
      <c r="J156" s="8">
        <f>F156+H156</f>
        <v>6218703.5639057187</v>
      </c>
      <c r="K156" s="12">
        <f>J156-C156</f>
        <v>1218703.5639057187</v>
      </c>
    </row>
    <row r="157" spans="1:11" x14ac:dyDescent="0.25">
      <c r="A157" s="3">
        <v>3</v>
      </c>
      <c r="B157" t="s">
        <v>50</v>
      </c>
      <c r="C157" s="2">
        <v>5000000</v>
      </c>
      <c r="D157" s="17">
        <f>1/1.1^3</f>
        <v>0.75131480090157754</v>
      </c>
      <c r="E157" s="2">
        <f>C157*D157</f>
        <v>3756574.0045078876</v>
      </c>
      <c r="F157" s="6">
        <f>G156*10%</f>
        <v>3551678.1013165582</v>
      </c>
      <c r="G157" s="6">
        <f>G156+F157-C157</f>
        <v>34068459.114482135</v>
      </c>
      <c r="H157" s="6">
        <f t="shared" si="23"/>
        <v>2535359.8354361202</v>
      </c>
      <c r="I157" s="6">
        <f>I156-H157</f>
        <v>30424318.02523344</v>
      </c>
      <c r="J157" s="8">
        <f>F157+H157</f>
        <v>6087037.9367526788</v>
      </c>
      <c r="K157" s="12">
        <f>J157-C157</f>
        <v>1087037.9367526788</v>
      </c>
    </row>
    <row r="158" spans="1:11" x14ac:dyDescent="0.25">
      <c r="A158" s="3">
        <v>4</v>
      </c>
      <c r="B158" t="s">
        <v>51</v>
      </c>
      <c r="C158" s="2">
        <v>5000000</v>
      </c>
      <c r="D158" s="17">
        <f>1/1.1^4</f>
        <v>0.68301345536507052</v>
      </c>
      <c r="E158" s="2">
        <f t="shared" ref="E158:E169" si="24">C158*D158</f>
        <v>3415067.2768253526</v>
      </c>
      <c r="F158" s="6">
        <f>G157*10%</f>
        <v>3406845.9114482137</v>
      </c>
      <c r="G158" s="6">
        <f t="shared" ref="G158:G169" si="25">G157+F158-C158</f>
        <v>32475305.025930345</v>
      </c>
      <c r="H158" s="6">
        <f t="shared" si="23"/>
        <v>2535359.8354361202</v>
      </c>
      <c r="I158" s="6">
        <f t="shared" ref="I158:I169" si="26">I157-H158</f>
        <v>27888958.189797319</v>
      </c>
      <c r="J158" s="8">
        <f t="shared" ref="J158:J169" si="27">F158+H158</f>
        <v>5942205.7468843339</v>
      </c>
      <c r="K158" s="12">
        <f t="shared" ref="K158:K169" si="28">J158-C158</f>
        <v>942205.7468843339</v>
      </c>
    </row>
    <row r="159" spans="1:11" x14ac:dyDescent="0.25">
      <c r="A159" s="3">
        <v>5</v>
      </c>
      <c r="B159" t="s">
        <v>52</v>
      </c>
      <c r="C159" s="2">
        <v>5000000</v>
      </c>
      <c r="D159" s="17">
        <f>1/1.1^5</f>
        <v>0.62092132305915493</v>
      </c>
      <c r="E159" s="2">
        <f t="shared" si="24"/>
        <v>3104606.6152957748</v>
      </c>
      <c r="F159" s="6">
        <f t="shared" ref="F159:F169" si="29">G158*10%</f>
        <v>3247530.5025930349</v>
      </c>
      <c r="G159" s="6">
        <f t="shared" si="25"/>
        <v>30722835.528523378</v>
      </c>
      <c r="H159" s="6">
        <f t="shared" si="23"/>
        <v>2535359.8354361202</v>
      </c>
      <c r="I159" s="6">
        <f t="shared" si="26"/>
        <v>25353598.354361199</v>
      </c>
      <c r="J159" s="8">
        <f t="shared" si="27"/>
        <v>5782890.3380291555</v>
      </c>
      <c r="K159" s="12">
        <f t="shared" si="28"/>
        <v>782890.33802915551</v>
      </c>
    </row>
    <row r="160" spans="1:11" x14ac:dyDescent="0.25">
      <c r="A160" s="3">
        <v>6</v>
      </c>
      <c r="B160" t="s">
        <v>53</v>
      </c>
      <c r="C160" s="2">
        <v>5000000</v>
      </c>
      <c r="D160" s="17">
        <f>1/1.1^6</f>
        <v>0.56447393005377722</v>
      </c>
      <c r="E160" s="2">
        <f t="shared" si="24"/>
        <v>2822369.6502688862</v>
      </c>
      <c r="F160" s="6">
        <f t="shared" si="29"/>
        <v>3072283.5528523382</v>
      </c>
      <c r="G160" s="6">
        <f t="shared" si="25"/>
        <v>28795119.081375718</v>
      </c>
      <c r="H160" s="6">
        <f t="shared" si="23"/>
        <v>2535359.8354361202</v>
      </c>
      <c r="I160" s="6">
        <f t="shared" si="26"/>
        <v>22818238.518925078</v>
      </c>
      <c r="J160" s="8">
        <f t="shared" si="27"/>
        <v>5607643.3882884588</v>
      </c>
      <c r="K160" s="12">
        <f t="shared" si="28"/>
        <v>607643.38828845881</v>
      </c>
    </row>
    <row r="161" spans="1:11" x14ac:dyDescent="0.25">
      <c r="A161" s="3">
        <v>7</v>
      </c>
      <c r="B161" t="s">
        <v>54</v>
      </c>
      <c r="C161" s="2">
        <v>5000000</v>
      </c>
      <c r="D161" s="17">
        <f>1/1.1^7</f>
        <v>0.51315811823070645</v>
      </c>
      <c r="E161" s="2">
        <f t="shared" si="24"/>
        <v>2565790.5911535323</v>
      </c>
      <c r="F161" s="6">
        <f t="shared" si="29"/>
        <v>2879511.908137572</v>
      </c>
      <c r="G161" s="6">
        <f t="shared" si="25"/>
        <v>26674630.989513289</v>
      </c>
      <c r="H161" s="6">
        <f t="shared" si="23"/>
        <v>2535359.8354361202</v>
      </c>
      <c r="I161" s="6">
        <f t="shared" si="26"/>
        <v>20282878.683488958</v>
      </c>
      <c r="J161" s="8">
        <f t="shared" si="27"/>
        <v>5414871.7435736917</v>
      </c>
      <c r="K161" s="12">
        <f t="shared" si="28"/>
        <v>414871.7435736917</v>
      </c>
    </row>
    <row r="162" spans="1:11" x14ac:dyDescent="0.25">
      <c r="A162" s="3">
        <v>8</v>
      </c>
      <c r="B162" t="s">
        <v>55</v>
      </c>
      <c r="C162" s="2">
        <v>5000000</v>
      </c>
      <c r="D162" s="17">
        <f>1/1.1^8</f>
        <v>0.46650738020973315</v>
      </c>
      <c r="E162" s="2">
        <f t="shared" si="24"/>
        <v>2332536.9010486659</v>
      </c>
      <c r="F162" s="6">
        <f t="shared" si="29"/>
        <v>2667463.098951329</v>
      </c>
      <c r="G162" s="6">
        <f t="shared" si="25"/>
        <v>24342094.088464618</v>
      </c>
      <c r="H162" s="6">
        <f t="shared" si="23"/>
        <v>2535359.8354361202</v>
      </c>
      <c r="I162" s="6">
        <f t="shared" si="26"/>
        <v>17747518.848052837</v>
      </c>
      <c r="J162" s="8">
        <f t="shared" si="27"/>
        <v>5202822.9343874492</v>
      </c>
      <c r="K162" s="12">
        <f t="shared" si="28"/>
        <v>202822.93438744918</v>
      </c>
    </row>
    <row r="163" spans="1:11" x14ac:dyDescent="0.25">
      <c r="A163" s="3">
        <v>9</v>
      </c>
      <c r="B163" t="s">
        <v>56</v>
      </c>
      <c r="C163" s="2">
        <v>5000000</v>
      </c>
      <c r="D163" s="17">
        <f>1/1.1^9</f>
        <v>0.42409761837248466</v>
      </c>
      <c r="E163" s="2">
        <f t="shared" si="24"/>
        <v>2120488.0918624233</v>
      </c>
      <c r="F163" s="6">
        <f t="shared" si="29"/>
        <v>2434209.4088464617</v>
      </c>
      <c r="G163" s="6">
        <f t="shared" si="25"/>
        <v>21776303.497311078</v>
      </c>
      <c r="H163" s="6">
        <f t="shared" si="23"/>
        <v>2535359.8354361202</v>
      </c>
      <c r="I163" s="6">
        <f t="shared" si="26"/>
        <v>15212159.012616716</v>
      </c>
      <c r="J163" s="8">
        <f t="shared" si="27"/>
        <v>4969569.2442825818</v>
      </c>
      <c r="K163" s="12">
        <f t="shared" si="28"/>
        <v>-30430.755717418157</v>
      </c>
    </row>
    <row r="164" spans="1:11" x14ac:dyDescent="0.25">
      <c r="A164" s="3">
        <v>10</v>
      </c>
      <c r="B164" t="s">
        <v>57</v>
      </c>
      <c r="C164" s="2">
        <v>5000000</v>
      </c>
      <c r="D164" s="17">
        <f>1/1.1^10</f>
        <v>0.38554328942953148</v>
      </c>
      <c r="E164" s="2">
        <f t="shared" si="24"/>
        <v>1927716.4471476574</v>
      </c>
      <c r="F164" s="6">
        <f t="shared" si="29"/>
        <v>2177630.3497311077</v>
      </c>
      <c r="G164" s="6">
        <f t="shared" si="25"/>
        <v>18953933.847042184</v>
      </c>
      <c r="H164" s="6">
        <f t="shared" si="23"/>
        <v>2535359.8354361202</v>
      </c>
      <c r="I164" s="6">
        <f t="shared" si="26"/>
        <v>12676799.177180596</v>
      </c>
      <c r="J164" s="8">
        <f t="shared" si="27"/>
        <v>4712990.1851672279</v>
      </c>
      <c r="K164" s="12">
        <f t="shared" si="28"/>
        <v>-287009.81483277213</v>
      </c>
    </row>
    <row r="165" spans="1:11" x14ac:dyDescent="0.25">
      <c r="A165" s="3">
        <v>11</v>
      </c>
      <c r="B165" t="s">
        <v>58</v>
      </c>
      <c r="C165" s="2">
        <v>5000000</v>
      </c>
      <c r="D165" s="17">
        <f>1/1.1^11</f>
        <v>0.3504938994813922</v>
      </c>
      <c r="E165" s="2">
        <f t="shared" si="24"/>
        <v>1752469.4974069609</v>
      </c>
      <c r="F165" s="6">
        <f t="shared" si="29"/>
        <v>1895393.3847042185</v>
      </c>
      <c r="G165" s="14">
        <f t="shared" si="25"/>
        <v>15849327.231746402</v>
      </c>
      <c r="H165" s="14">
        <f t="shared" si="23"/>
        <v>2535359.8354361202</v>
      </c>
      <c r="I165" s="14">
        <f t="shared" si="26"/>
        <v>10141439.341744475</v>
      </c>
      <c r="J165" s="8">
        <f t="shared" si="27"/>
        <v>4430753.2201403389</v>
      </c>
      <c r="K165" s="12">
        <f t="shared" si="28"/>
        <v>-569246.77985966112</v>
      </c>
    </row>
    <row r="166" spans="1:11" x14ac:dyDescent="0.25">
      <c r="A166" s="3">
        <v>12</v>
      </c>
      <c r="B166" t="s">
        <v>59</v>
      </c>
      <c r="C166" s="2">
        <v>5000000</v>
      </c>
      <c r="D166" s="17">
        <f>1/1.1^12</f>
        <v>0.31863081771035656</v>
      </c>
      <c r="E166" s="2">
        <f t="shared" si="24"/>
        <v>1593154.0885517828</v>
      </c>
      <c r="F166" s="6">
        <f t="shared" si="29"/>
        <v>1584932.7231746402</v>
      </c>
      <c r="G166" s="11">
        <f t="shared" si="25"/>
        <v>12434259.954921041</v>
      </c>
      <c r="H166" s="6">
        <f t="shared" si="23"/>
        <v>2535359.8354361202</v>
      </c>
      <c r="I166" s="14">
        <f t="shared" si="26"/>
        <v>7606079.5063083544</v>
      </c>
      <c r="J166" s="8">
        <f t="shared" si="27"/>
        <v>4120292.5586107606</v>
      </c>
      <c r="K166" s="12">
        <f t="shared" si="28"/>
        <v>-879707.44138923939</v>
      </c>
    </row>
    <row r="167" spans="1:11" x14ac:dyDescent="0.25">
      <c r="A167" s="3">
        <v>13</v>
      </c>
      <c r="B167" t="s">
        <v>60</v>
      </c>
      <c r="C167" s="2">
        <v>5000000</v>
      </c>
      <c r="D167" s="17">
        <f>1/1.1^13</f>
        <v>0.28966437973668779</v>
      </c>
      <c r="E167" s="2">
        <f t="shared" si="24"/>
        <v>1448321.898683439</v>
      </c>
      <c r="F167" s="6">
        <f t="shared" si="29"/>
        <v>1243425.9954921042</v>
      </c>
      <c r="G167" s="6">
        <f t="shared" si="25"/>
        <v>8677685.9504131451</v>
      </c>
      <c r="H167" s="6">
        <f t="shared" si="23"/>
        <v>2535359.8354361202</v>
      </c>
      <c r="I167" s="6">
        <f t="shared" si="26"/>
        <v>5070719.6708722338</v>
      </c>
      <c r="J167" s="8">
        <f t="shared" si="27"/>
        <v>3778785.8309282241</v>
      </c>
      <c r="K167" s="4">
        <f t="shared" si="28"/>
        <v>-1221214.1690717759</v>
      </c>
    </row>
    <row r="168" spans="1:11" x14ac:dyDescent="0.25">
      <c r="A168" s="3">
        <v>14</v>
      </c>
      <c r="B168" t="s">
        <v>61</v>
      </c>
      <c r="C168" s="2">
        <v>5000000</v>
      </c>
      <c r="D168" s="17">
        <f>1/1.1^14</f>
        <v>0.26333125430607973</v>
      </c>
      <c r="E168" s="2">
        <f t="shared" si="24"/>
        <v>1316656.2715303986</v>
      </c>
      <c r="F168" s="6">
        <f>G167*10%</f>
        <v>867768.59504131461</v>
      </c>
      <c r="G168" s="6">
        <f t="shared" si="25"/>
        <v>4545454.5454544593</v>
      </c>
      <c r="H168" s="6">
        <f t="shared" si="23"/>
        <v>2535359.8354361202</v>
      </c>
      <c r="I168" s="6">
        <f t="shared" si="26"/>
        <v>2535359.8354361136</v>
      </c>
      <c r="J168" s="8">
        <f t="shared" si="27"/>
        <v>3403128.4304774348</v>
      </c>
      <c r="K168" s="4">
        <f t="shared" si="28"/>
        <v>-1596871.5695225652</v>
      </c>
    </row>
    <row r="169" spans="1:11" x14ac:dyDescent="0.25">
      <c r="A169" s="3">
        <v>15</v>
      </c>
      <c r="B169" t="s">
        <v>62</v>
      </c>
      <c r="C169" s="2">
        <v>5000000</v>
      </c>
      <c r="D169" s="17">
        <f>1/1.1^15</f>
        <v>0.23939204936916339</v>
      </c>
      <c r="E169" s="2">
        <f t="shared" si="24"/>
        <v>1196960.246845817</v>
      </c>
      <c r="F169" s="6">
        <f>G168*10%</f>
        <v>454545.45454544597</v>
      </c>
      <c r="G169" s="6">
        <f t="shared" si="25"/>
        <v>-9.4994902610778809E-8</v>
      </c>
      <c r="H169" s="6">
        <f t="shared" si="23"/>
        <v>2535359.8354361202</v>
      </c>
      <c r="I169" s="6">
        <f t="shared" si="26"/>
        <v>-6.5192580223083496E-9</v>
      </c>
      <c r="J169" s="8">
        <f t="shared" si="27"/>
        <v>2989905.2899815664</v>
      </c>
      <c r="K169" s="4">
        <f t="shared" si="28"/>
        <v>-2010094.7100184336</v>
      </c>
    </row>
    <row r="170" spans="1:11" x14ac:dyDescent="0.25">
      <c r="C170" s="2">
        <f t="shared" ref="C170" si="30">SUM(C155:C169)</f>
        <v>75000000</v>
      </c>
      <c r="E170" s="2">
        <f>SUM(E155:E169)</f>
        <v>38030397.531541802</v>
      </c>
      <c r="F170" s="2">
        <f>SUM(F155:F169)</f>
        <v>36969602.468458109</v>
      </c>
      <c r="G170" s="2">
        <f t="shared" ref="G170" si="31">SUM(G155:G169)</f>
        <v>331665627.15303922</v>
      </c>
      <c r="H170" s="2">
        <f>SUM(H155:H169)</f>
        <v>38030397.531541802</v>
      </c>
      <c r="I170" s="2">
        <f t="shared" ref="I170" si="32">SUM(I155:I169)</f>
        <v>266212782.72079256</v>
      </c>
      <c r="J170" s="2">
        <f t="shared" ref="J170" si="33">SUM(J155:J169)</f>
        <v>74999999.99999994</v>
      </c>
      <c r="K170" s="2">
        <f t="shared" ref="K170" si="34">SUM(K155:K169)</f>
        <v>-7.8231096267700195E-8</v>
      </c>
    </row>
    <row r="172" spans="1:11" x14ac:dyDescent="0.25">
      <c r="A172" t="s">
        <v>76</v>
      </c>
    </row>
    <row r="173" spans="1:11" x14ac:dyDescent="0.25">
      <c r="A173" t="s">
        <v>77</v>
      </c>
    </row>
    <row r="174" spans="1:11" x14ac:dyDescent="0.25">
      <c r="A174" s="1" t="s">
        <v>72</v>
      </c>
      <c r="C174" t="s">
        <v>23</v>
      </c>
      <c r="E174" s="4">
        <f>+E175</f>
        <v>12434259.954921041</v>
      </c>
    </row>
    <row r="175" spans="1:11" x14ac:dyDescent="0.25">
      <c r="C175" t="s">
        <v>24</v>
      </c>
      <c r="E175" s="4">
        <f>+G166</f>
        <v>12434259.954921041</v>
      </c>
    </row>
    <row r="178" spans="1:6" x14ac:dyDescent="0.25">
      <c r="A178" s="1" t="s">
        <v>69</v>
      </c>
      <c r="C178" t="s">
        <v>32</v>
      </c>
      <c r="E178" s="4">
        <f>+F167</f>
        <v>1243425.9954921042</v>
      </c>
    </row>
    <row r="179" spans="1:6" x14ac:dyDescent="0.25">
      <c r="C179" t="s">
        <v>31</v>
      </c>
      <c r="E179" s="4">
        <f>E175/3</f>
        <v>4144753.3183070137</v>
      </c>
      <c r="F179" s="4" t="s">
        <v>78</v>
      </c>
    </row>
    <row r="180" spans="1:6" x14ac:dyDescent="0.25">
      <c r="C180" t="s">
        <v>24</v>
      </c>
      <c r="E180" s="4">
        <f>+E178</f>
        <v>1243425.9954921042</v>
      </c>
    </row>
    <row r="181" spans="1:6" x14ac:dyDescent="0.25">
      <c r="C181" t="s">
        <v>66</v>
      </c>
      <c r="E181" s="4">
        <f>+E179</f>
        <v>4144753.3183070137</v>
      </c>
    </row>
    <row r="183" spans="1:6" x14ac:dyDescent="0.25">
      <c r="C183" t="s">
        <v>67</v>
      </c>
      <c r="E183" s="2">
        <v>5000000</v>
      </c>
    </row>
    <row r="184" spans="1:6" x14ac:dyDescent="0.25">
      <c r="C184" t="s">
        <v>68</v>
      </c>
      <c r="E184" s="2">
        <f>+E183</f>
        <v>5000000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Eg of Indas 116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2020-07-13T07:59:26Z</dcterms:modified>
</cp:coreProperties>
</file>