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/>
  </bookViews>
  <sheets>
    <sheet name="Title Page" sheetId="1" r:id="rId1"/>
    <sheet name="Project Report" sheetId="2" r:id="rId2"/>
    <sheet name="Dep, Interest &amp; MPBF Schedule" sheetId="3" r:id="rId3"/>
    <sheet name="Turnover Working" sheetId="5" r:id="rId4"/>
    <sheet name="Projected Cash Flow Statement" sheetId="7" r:id="rId5"/>
  </sheets>
  <definedNames>
    <definedName name="_xlnm.Print_Area" localSheetId="2">'Dep, Interest &amp; MPBF Schedule'!$A$1:$H$60</definedName>
    <definedName name="_xlnm.Print_Area" localSheetId="1">'Project Report'!$A$1:$H$104</definedName>
    <definedName name="_xlnm.Print_Area" localSheetId="4">'Projected Cash Flow Statement'!$A$1:$G$44</definedName>
    <definedName name="_xlnm.Print_Area" localSheetId="0">'Title Page'!$A$1:$I$18</definedName>
    <definedName name="_xlnm.Print_Area" localSheetId="3">'Turnover Working'!$A$1:$H$17</definedName>
  </definedNames>
  <calcPr calcId="144525"/>
</workbook>
</file>

<file path=xl/calcChain.xml><?xml version="1.0" encoding="utf-8"?>
<calcChain xmlns="http://schemas.openxmlformats.org/spreadsheetml/2006/main">
  <c r="D26" i="7" l="1"/>
  <c r="E26" i="7"/>
  <c r="F26" i="7"/>
  <c r="G26" i="7"/>
  <c r="D36" i="7"/>
  <c r="G30" i="7"/>
  <c r="F30" i="7"/>
  <c r="E30" i="7"/>
  <c r="D30" i="7"/>
  <c r="D7" i="7"/>
  <c r="E7" i="7"/>
  <c r="F7" i="7"/>
  <c r="G7" i="7"/>
  <c r="D8" i="7"/>
  <c r="E8" i="7"/>
  <c r="F8" i="7"/>
  <c r="G8" i="7"/>
  <c r="E13" i="7"/>
  <c r="E18" i="7" s="1"/>
  <c r="G10" i="7"/>
  <c r="F10" i="7"/>
  <c r="E10" i="7"/>
  <c r="D10" i="7"/>
  <c r="G25" i="7"/>
  <c r="F25" i="7"/>
  <c r="E25" i="7"/>
  <c r="D25" i="7"/>
  <c r="G28" i="7"/>
  <c r="F28" i="7"/>
  <c r="E28" i="7"/>
  <c r="D28" i="7"/>
  <c r="G19" i="7"/>
  <c r="F19" i="7"/>
  <c r="E19" i="7"/>
  <c r="D19" i="7"/>
  <c r="G27" i="7"/>
  <c r="F27" i="7"/>
  <c r="E27" i="7"/>
  <c r="D27" i="7"/>
  <c r="G20" i="7"/>
  <c r="F20" i="7"/>
  <c r="E20" i="7"/>
  <c r="D20" i="7"/>
  <c r="G9" i="7"/>
  <c r="F9" i="7"/>
  <c r="E9" i="7"/>
  <c r="D9" i="7"/>
  <c r="G12" i="7"/>
  <c r="F12" i="7"/>
  <c r="E12" i="7"/>
  <c r="D12" i="7"/>
  <c r="G11" i="7"/>
  <c r="F11" i="7"/>
  <c r="E11" i="7"/>
  <c r="D11" i="7"/>
  <c r="G13" i="7"/>
  <c r="G18" i="7" s="1"/>
  <c r="F13" i="7"/>
  <c r="F18" i="7" s="1"/>
  <c r="D13" i="7"/>
  <c r="D18" i="7" s="1"/>
  <c r="I12" i="5"/>
  <c r="H6" i="5"/>
  <c r="H8" i="5"/>
  <c r="G8" i="5"/>
  <c r="F8" i="5"/>
  <c r="G6" i="5"/>
  <c r="F88" i="2"/>
  <c r="G88" i="2" s="1"/>
  <c r="D5" i="5"/>
  <c r="D11" i="5"/>
  <c r="E11" i="5" s="1"/>
  <c r="F6" i="5"/>
  <c r="E6" i="5"/>
  <c r="D6" i="5"/>
  <c r="D9" i="5" s="1"/>
  <c r="F38" i="2"/>
  <c r="G38" i="2" s="1"/>
  <c r="H38" i="2" s="1"/>
  <c r="D53" i="3"/>
  <c r="F39" i="3"/>
  <c r="F76" i="2" s="1"/>
  <c r="F37" i="3"/>
  <c r="E41" i="2"/>
  <c r="D41" i="2"/>
  <c r="D92" i="2"/>
  <c r="D49" i="3" s="1"/>
  <c r="D34" i="2"/>
  <c r="D35" i="2"/>
  <c r="D16" i="2"/>
  <c r="D15" i="2"/>
  <c r="E5" i="2"/>
  <c r="E10" i="2" s="1"/>
  <c r="D10" i="2"/>
  <c r="D79" i="2" s="1"/>
  <c r="D47" i="3" s="1"/>
  <c r="D6" i="2"/>
  <c r="D93" i="2" s="1"/>
  <c r="D46" i="3" s="1"/>
  <c r="D36" i="2"/>
  <c r="E94" i="2"/>
  <c r="F94" i="2" s="1"/>
  <c r="G94" i="2" s="1"/>
  <c r="H94" i="2" s="1"/>
  <c r="E91" i="2"/>
  <c r="F91" i="2" s="1"/>
  <c r="G91" i="2" s="1"/>
  <c r="H91" i="2" s="1"/>
  <c r="E88" i="2"/>
  <c r="E75" i="2"/>
  <c r="F75" i="2" s="1"/>
  <c r="G75" i="2" s="1"/>
  <c r="H75" i="2" s="1"/>
  <c r="E74" i="2"/>
  <c r="F74" i="2" s="1"/>
  <c r="G74" i="2" s="1"/>
  <c r="H74" i="2" s="1"/>
  <c r="E57" i="2"/>
  <c r="F57" i="2" s="1"/>
  <c r="G57" i="2" s="1"/>
  <c r="H57" i="2" s="1"/>
  <c r="E56" i="2"/>
  <c r="F56" i="2" s="1"/>
  <c r="G56" i="2" s="1"/>
  <c r="H56" i="2" s="1"/>
  <c r="D24" i="3"/>
  <c r="D23" i="3"/>
  <c r="D17" i="3"/>
  <c r="D16" i="3"/>
  <c r="D10" i="3"/>
  <c r="D26" i="3" s="1"/>
  <c r="D39" i="2" s="1"/>
  <c r="D9" i="3"/>
  <c r="E32" i="2"/>
  <c r="F32" i="2" s="1"/>
  <c r="G32" i="2" s="1"/>
  <c r="H32" i="2" s="1"/>
  <c r="E31" i="2"/>
  <c r="F31" i="2" s="1"/>
  <c r="G31" i="2" s="1"/>
  <c r="H31" i="2" s="1"/>
  <c r="E13" i="2"/>
  <c r="F13" i="2" s="1"/>
  <c r="G13" i="2" s="1"/>
  <c r="H13" i="2" s="1"/>
  <c r="E12" i="2"/>
  <c r="F12" i="2" s="1"/>
  <c r="G12" i="2" s="1"/>
  <c r="E29" i="7" l="1"/>
  <c r="E32" i="7" s="1"/>
  <c r="E15" i="7"/>
  <c r="G15" i="7"/>
  <c r="D15" i="7"/>
  <c r="F15" i="7"/>
  <c r="E22" i="7"/>
  <c r="G22" i="7"/>
  <c r="D22" i="7"/>
  <c r="F22" i="7"/>
  <c r="D29" i="7"/>
  <c r="D32" i="7" s="1"/>
  <c r="F29" i="7"/>
  <c r="F32" i="7" s="1"/>
  <c r="F7" i="5"/>
  <c r="G7" i="5"/>
  <c r="H7" i="5"/>
  <c r="E19" i="3"/>
  <c r="E23" i="3" s="1"/>
  <c r="F41" i="3"/>
  <c r="E53" i="3"/>
  <c r="F53" i="3" s="1"/>
  <c r="G53" i="3" s="1"/>
  <c r="H53" i="3" s="1"/>
  <c r="E92" i="2"/>
  <c r="D7" i="2"/>
  <c r="H36" i="2"/>
  <c r="E79" i="2"/>
  <c r="E47" i="3" s="1"/>
  <c r="E12" i="3"/>
  <c r="E16" i="3" s="1"/>
  <c r="E16" i="2"/>
  <c r="E36" i="2"/>
  <c r="E34" i="2"/>
  <c r="E35" i="2"/>
  <c r="E15" i="2"/>
  <c r="F36" i="2"/>
  <c r="G36" i="2"/>
  <c r="D27" i="3"/>
  <c r="D86" i="2" s="1"/>
  <c r="D40" i="2"/>
  <c r="E49" i="3"/>
  <c r="E6" i="2"/>
  <c r="E9" i="2"/>
  <c r="H12" i="2"/>
  <c r="D48" i="3"/>
  <c r="D50" i="3" s="1"/>
  <c r="D52" i="3" s="1"/>
  <c r="D54" i="3" s="1"/>
  <c r="E5" i="3"/>
  <c r="E24" i="3"/>
  <c r="F19" i="3" s="1"/>
  <c r="E17" i="3"/>
  <c r="F12" i="3" s="1"/>
  <c r="D17" i="2"/>
  <c r="D18" i="2" s="1"/>
  <c r="D42" i="2" s="1"/>
  <c r="E35" i="7" l="1"/>
  <c r="D35" i="7"/>
  <c r="D37" i="7" s="1"/>
  <c r="E17" i="2"/>
  <c r="F9" i="2"/>
  <c r="E93" i="2"/>
  <c r="E46" i="3" s="1"/>
  <c r="E48" i="3" s="1"/>
  <c r="E50" i="3" s="1"/>
  <c r="E52" i="3" s="1"/>
  <c r="E54" i="3" s="1"/>
  <c r="E7" i="2"/>
  <c r="E18" i="2" s="1"/>
  <c r="E9" i="3"/>
  <c r="E10" i="3"/>
  <c r="E26" i="3" s="1"/>
  <c r="E39" i="2" s="1"/>
  <c r="E40" i="2" s="1"/>
  <c r="F24" i="3"/>
  <c r="F23" i="3"/>
  <c r="F17" i="3"/>
  <c r="F16" i="3"/>
  <c r="D19" i="2"/>
  <c r="E36" i="7" l="1"/>
  <c r="E37" i="7" s="1"/>
  <c r="F35" i="7"/>
  <c r="G29" i="7"/>
  <c r="G32" i="7" s="1"/>
  <c r="E19" i="2"/>
  <c r="E42" i="2"/>
  <c r="E43" i="2" s="1"/>
  <c r="G12" i="3"/>
  <c r="G17" i="3" s="1"/>
  <c r="E27" i="3"/>
  <c r="E86" i="2" s="1"/>
  <c r="F5" i="3"/>
  <c r="G37" i="3"/>
  <c r="G39" i="3" s="1"/>
  <c r="D43" i="2"/>
  <c r="D55" i="2"/>
  <c r="D58" i="2" s="1"/>
  <c r="G19" i="3"/>
  <c r="G16" i="3"/>
  <c r="F36" i="7" l="1"/>
  <c r="F37" i="7" s="1"/>
  <c r="G35" i="7"/>
  <c r="G41" i="3"/>
  <c r="G76" i="2"/>
  <c r="D59" i="2"/>
  <c r="F10" i="3"/>
  <c r="F26" i="3" s="1"/>
  <c r="F39" i="2" s="1"/>
  <c r="F9" i="3"/>
  <c r="E55" i="2"/>
  <c r="E58" i="2" s="1"/>
  <c r="F37" i="2"/>
  <c r="H37" i="3"/>
  <c r="H39" i="3" s="1"/>
  <c r="D80" i="2"/>
  <c r="G23" i="3"/>
  <c r="G24" i="3"/>
  <c r="H12" i="3"/>
  <c r="G36" i="7" l="1"/>
  <c r="G37" i="7" s="1"/>
  <c r="H76" i="2"/>
  <c r="H41" i="3"/>
  <c r="F41" i="2"/>
  <c r="E80" i="2"/>
  <c r="G5" i="3"/>
  <c r="F27" i="3"/>
  <c r="F86" i="2" s="1"/>
  <c r="G37" i="2"/>
  <c r="D71" i="2"/>
  <c r="H19" i="3"/>
  <c r="H24" i="3" s="1"/>
  <c r="H17" i="3"/>
  <c r="H16" i="3"/>
  <c r="H88" i="2" l="1"/>
  <c r="H41" i="2" s="1"/>
  <c r="G41" i="2"/>
  <c r="H23" i="3"/>
  <c r="D82" i="2"/>
  <c r="D95" i="2" s="1"/>
  <c r="D97" i="2" s="1"/>
  <c r="G9" i="3"/>
  <c r="G10" i="3"/>
  <c r="G26" i="3" s="1"/>
  <c r="G39" i="2" s="1"/>
  <c r="E54" i="2"/>
  <c r="E5" i="5" s="1"/>
  <c r="E9" i="5" s="1"/>
  <c r="H37" i="2"/>
  <c r="E59" i="2" l="1"/>
  <c r="H5" i="3"/>
  <c r="G27" i="3"/>
  <c r="G86" i="2" s="1"/>
  <c r="F54" i="2" l="1"/>
  <c r="F5" i="5" s="1"/>
  <c r="E71" i="2"/>
  <c r="E82" i="2" s="1"/>
  <c r="E95" i="2" s="1"/>
  <c r="E97" i="2" s="1"/>
  <c r="H10" i="3"/>
  <c r="H26" i="3" s="1"/>
  <c r="H39" i="2" s="1"/>
  <c r="H9" i="3"/>
  <c r="H27" i="3" l="1"/>
  <c r="H86" i="2" s="1"/>
  <c r="F9" i="5" l="1"/>
  <c r="F11" i="5" s="1"/>
  <c r="F5" i="2" s="1"/>
  <c r="F15" i="2" l="1"/>
  <c r="F92" i="2"/>
  <c r="F49" i="3" s="1"/>
  <c r="F10" i="2"/>
  <c r="F6" i="2"/>
  <c r="F16" i="2"/>
  <c r="F35" i="2"/>
  <c r="F34" i="2"/>
  <c r="F7" i="2"/>
  <c r="G9" i="2" l="1"/>
  <c r="F93" i="2"/>
  <c r="F46" i="3" s="1"/>
  <c r="F40" i="2"/>
  <c r="F17" i="2"/>
  <c r="F18" i="2" s="1"/>
  <c r="F79" i="2"/>
  <c r="F47" i="3" s="1"/>
  <c r="F48" i="3" l="1"/>
  <c r="F50" i="3" s="1"/>
  <c r="F52" i="3" s="1"/>
  <c r="F54" i="3" s="1"/>
  <c r="F42" i="2"/>
  <c r="F19" i="2"/>
  <c r="F55" i="2" l="1"/>
  <c r="F43" i="2"/>
  <c r="F58" i="2" l="1"/>
  <c r="F80" i="2" s="1"/>
  <c r="F59" i="2" l="1"/>
  <c r="F71" i="2" s="1"/>
  <c r="F82" i="2" s="1"/>
  <c r="F95" i="2" s="1"/>
  <c r="F97" i="2" s="1"/>
  <c r="G54" i="2" l="1"/>
  <c r="G5" i="5" s="1"/>
  <c r="G9" i="5" s="1"/>
  <c r="G11" i="5" s="1"/>
  <c r="G5" i="2" s="1"/>
  <c r="G16" i="2" l="1"/>
  <c r="G15" i="2"/>
  <c r="G92" i="2"/>
  <c r="G49" i="3" s="1"/>
  <c r="G35" i="2"/>
  <c r="G10" i="2"/>
  <c r="G34" i="2"/>
  <c r="G40" i="2" s="1"/>
  <c r="G6" i="2"/>
  <c r="G7" i="2" s="1"/>
  <c r="H9" i="2" l="1"/>
  <c r="G93" i="2"/>
  <c r="G46" i="3" s="1"/>
  <c r="G79" i="2"/>
  <c r="G47" i="3" s="1"/>
  <c r="G17" i="2"/>
  <c r="G18" i="2" s="1"/>
  <c r="G19" i="2" l="1"/>
  <c r="G42" i="2"/>
  <c r="G48" i="3"/>
  <c r="G50" i="3" s="1"/>
  <c r="G52" i="3" s="1"/>
  <c r="G54" i="3" s="1"/>
  <c r="G55" i="2" l="1"/>
  <c r="G43" i="2"/>
  <c r="G58" i="2" l="1"/>
  <c r="G80" i="2" s="1"/>
  <c r="G59" i="2" l="1"/>
  <c r="G71" i="2" s="1"/>
  <c r="G82" i="2" s="1"/>
  <c r="G95" i="2" s="1"/>
  <c r="G97" i="2" s="1"/>
  <c r="H54" i="2" l="1"/>
  <c r="H5" i="5" s="1"/>
  <c r="H9" i="5" s="1"/>
  <c r="H11" i="5" s="1"/>
  <c r="H5" i="2" s="1"/>
  <c r="H34" i="2" l="1"/>
  <c r="H15" i="2"/>
  <c r="H92" i="2"/>
  <c r="H49" i="3" s="1"/>
  <c r="H16" i="2"/>
  <c r="H6" i="2"/>
  <c r="H93" i="2" s="1"/>
  <c r="H46" i="3" s="1"/>
  <c r="H35" i="2"/>
  <c r="H10" i="2"/>
  <c r="H79" i="2" l="1"/>
  <c r="H47" i="3" s="1"/>
  <c r="H48" i="3" s="1"/>
  <c r="H50" i="3" s="1"/>
  <c r="H52" i="3" s="1"/>
  <c r="H54" i="3" s="1"/>
  <c r="H17" i="2"/>
  <c r="H7" i="2"/>
  <c r="H40" i="2"/>
  <c r="H18" i="2" l="1"/>
  <c r="H19" i="2" s="1"/>
  <c r="H42" i="2"/>
  <c r="H43" i="2" l="1"/>
  <c r="H55" i="2"/>
  <c r="H58" i="2" l="1"/>
  <c r="H80" i="2" s="1"/>
  <c r="H59" i="2" l="1"/>
  <c r="H71" i="2" s="1"/>
  <c r="H82" i="2" s="1"/>
  <c r="H95" i="2" s="1"/>
  <c r="H97" i="2" s="1"/>
</calcChain>
</file>

<file path=xl/sharedStrings.xml><?xml version="1.0" encoding="utf-8"?>
<sst xmlns="http://schemas.openxmlformats.org/spreadsheetml/2006/main" count="334" uniqueCount="164">
  <si>
    <t>Purpose of Report</t>
  </si>
  <si>
    <t>Cash Credit Amount</t>
  </si>
  <si>
    <t>Period of Project Report</t>
  </si>
  <si>
    <t>Name of the Bank</t>
  </si>
  <si>
    <t>Proprietor/Authorised Person Names</t>
  </si>
  <si>
    <t>PAN No of Firm</t>
  </si>
  <si>
    <t>New Application /Renewal of Cash Credit</t>
  </si>
  <si>
    <t>UDIN No</t>
  </si>
  <si>
    <t>Particulars</t>
  </si>
  <si>
    <t>Audited</t>
  </si>
  <si>
    <t>Projected</t>
  </si>
  <si>
    <t>Sales</t>
  </si>
  <si>
    <t>Closing Stock</t>
  </si>
  <si>
    <t>3=(2+1)</t>
  </si>
  <si>
    <t>Opening Stock</t>
  </si>
  <si>
    <t>Purchases</t>
  </si>
  <si>
    <t xml:space="preserve">Direct Expenses - Fixed </t>
  </si>
  <si>
    <t>Direct Expenses - Variable</t>
  </si>
  <si>
    <t>Total  -1</t>
  </si>
  <si>
    <t>Total -2</t>
  </si>
  <si>
    <t xml:space="preserve">Gross Profit </t>
  </si>
  <si>
    <t>12=(4+5+6+7)</t>
  </si>
  <si>
    <t>13=(3-12)</t>
  </si>
  <si>
    <t>Gross Profit %</t>
  </si>
  <si>
    <t xml:space="preserve">Indirect Expenses - Fixed </t>
  </si>
  <si>
    <t>Indirect Expenses - Variable</t>
  </si>
  <si>
    <t>Total -1</t>
  </si>
  <si>
    <t>Net Profit</t>
  </si>
  <si>
    <t>Net Profit %</t>
  </si>
  <si>
    <t xml:space="preserve">          (Authorised Signatory)</t>
  </si>
  <si>
    <t>Interest on Cash Credit</t>
  </si>
  <si>
    <t>Depreciation</t>
  </si>
  <si>
    <t>Salaries</t>
  </si>
  <si>
    <t>Rent</t>
  </si>
  <si>
    <t>Commission on Sales</t>
  </si>
  <si>
    <t>Office Electricity Expense</t>
  </si>
  <si>
    <t>Factory Wages</t>
  </si>
  <si>
    <t>Stationery, Refreshment, etc</t>
  </si>
  <si>
    <t>Transportation, Loading, etc</t>
  </si>
  <si>
    <t>Factory Electricty, Incentives, etc</t>
  </si>
  <si>
    <t>Opening Capital</t>
  </si>
  <si>
    <t>Drawings</t>
  </si>
  <si>
    <t>LIC, Other Deductions</t>
  </si>
  <si>
    <t>Income Tax</t>
  </si>
  <si>
    <t>Closing Capital</t>
  </si>
  <si>
    <t>SOURCE OF FUNDS</t>
  </si>
  <si>
    <t>Capital A/c</t>
  </si>
  <si>
    <t>Loans Liability</t>
  </si>
  <si>
    <t>Secured Loans</t>
  </si>
  <si>
    <t>Unsecured Loans</t>
  </si>
  <si>
    <t xml:space="preserve">Sundry Creditors </t>
  </si>
  <si>
    <t>Current Liabilities &amp; Provisions</t>
  </si>
  <si>
    <t>Duties &amp; Taxes / Provisions</t>
  </si>
  <si>
    <t>APPLICATIONS OF FUNDS</t>
  </si>
  <si>
    <t>Fixed Assets - Immovable</t>
  </si>
  <si>
    <t>Fixed Assets - Movable</t>
  </si>
  <si>
    <t>Investments</t>
  </si>
  <si>
    <t>Current Assets</t>
  </si>
  <si>
    <t>Loans &amp; Advances</t>
  </si>
  <si>
    <t>Sundry Debtors</t>
  </si>
  <si>
    <t>Other Current Assets</t>
  </si>
  <si>
    <t>Cash &amp; Bank Balance</t>
  </si>
  <si>
    <t xml:space="preserve">Place </t>
  </si>
  <si>
    <t>Date</t>
  </si>
  <si>
    <t>Cash Credit</t>
  </si>
  <si>
    <t>Sales/Subsidy/Deduction</t>
  </si>
  <si>
    <t>Addition more then 180 Days</t>
  </si>
  <si>
    <t>Addition less then 180 Days</t>
  </si>
  <si>
    <t>Gross Block related to 15%</t>
  </si>
  <si>
    <t>Gross Block related to 10%</t>
  </si>
  <si>
    <t>Net Block related to 10%</t>
  </si>
  <si>
    <t>Net Block related to 15%</t>
  </si>
  <si>
    <t>Net Block related to 25%</t>
  </si>
  <si>
    <t>Gross Block related to 25%</t>
  </si>
  <si>
    <t>Depreciation Total</t>
  </si>
  <si>
    <t>Movable Assets Total</t>
  </si>
  <si>
    <t>a</t>
  </si>
  <si>
    <t>b</t>
  </si>
  <si>
    <t>c</t>
  </si>
  <si>
    <t>d</t>
  </si>
  <si>
    <t>Depreciation @ 10%</t>
  </si>
  <si>
    <t>Depreciation @ 15%</t>
  </si>
  <si>
    <t>Depreciation @ 25%</t>
  </si>
  <si>
    <t>e =(a+b+c-d)</t>
  </si>
  <si>
    <t>CC Proposed/Sanctioned Amount</t>
  </si>
  <si>
    <t>Interest on CC</t>
  </si>
  <si>
    <t>Gross Closing Stock</t>
  </si>
  <si>
    <t>Less :- Sundry Credits</t>
  </si>
  <si>
    <t>C  = (a-b)</t>
  </si>
  <si>
    <t>D</t>
  </si>
  <si>
    <t>F = (C+D) *75%</t>
  </si>
  <si>
    <t>Net Closing Paid Stock</t>
  </si>
  <si>
    <t>Note No.</t>
  </si>
  <si>
    <t>Maximum Permissible Bank Finance Rs.</t>
  </si>
  <si>
    <t>CC Interest Rate</t>
  </si>
  <si>
    <t>Approx. 75% Eligible Amount</t>
  </si>
  <si>
    <t xml:space="preserve"> SOURCE OF FUNDS</t>
  </si>
  <si>
    <t>TOTAL</t>
  </si>
  <si>
    <t>APPLICATION OF FUNDS</t>
  </si>
  <si>
    <t>Interest on Other Loans</t>
  </si>
  <si>
    <t>39 = (36+37+38)</t>
  </si>
  <si>
    <t>Eligibility of MPBF (Positive/Negative)</t>
  </si>
  <si>
    <t>Income from Investments</t>
  </si>
  <si>
    <t>Indirect Income</t>
  </si>
  <si>
    <t>Processing Fees, Legal, Brokerage, Stock Insurance</t>
  </si>
  <si>
    <t>21 = (15+16+17+18+19+20)</t>
  </si>
  <si>
    <t>23=(13-20+22)</t>
  </si>
  <si>
    <t>Estimated Utilisation Amount</t>
  </si>
  <si>
    <t>Estimated Utilisation %</t>
  </si>
  <si>
    <t>29 = (23+25-26-27-28)</t>
  </si>
  <si>
    <t>Turnover</t>
  </si>
  <si>
    <t>CC Utililsed in Business</t>
  </si>
  <si>
    <t>CC Utililsed in Investments</t>
  </si>
  <si>
    <t xml:space="preserve">c </t>
  </si>
  <si>
    <t>Total CC Utilisation</t>
  </si>
  <si>
    <t>d = (b+c)</t>
  </si>
  <si>
    <t>e = (a+b)</t>
  </si>
  <si>
    <t>Eligible Capital for Turnover</t>
  </si>
  <si>
    <t>PROJECT REPORT OF M/S.ABC CO</t>
  </si>
  <si>
    <t>PROJECTED TRADING A/C OF M/S. ABC CO</t>
  </si>
  <si>
    <t>PROJECTED PROFIT &amp; LOSS A/C OF M/S. ABC CO</t>
  </si>
  <si>
    <t>PROJECTED CAPITAL A/C OF M/S. ABC CO</t>
  </si>
  <si>
    <t>PROJECTED BALANCE SHEET  OF M/S.ABC CO</t>
  </si>
  <si>
    <t>Depreciation Schedule of M/S. ABC CO</t>
  </si>
  <si>
    <t>Interest Schedule of M/S.ABC CO</t>
  </si>
  <si>
    <t>Maximum Permissible Bank Finance Schedule of M/S.ABC CO</t>
  </si>
  <si>
    <t xml:space="preserve">           (FOR M/S.ABC CO)</t>
  </si>
  <si>
    <t>PROJECTED CASH FLOW STATEMENT  OF M/S.ABC CO</t>
  </si>
  <si>
    <t>OPERATING ACTIVITY</t>
  </si>
  <si>
    <t>Net Profit after Depreciation</t>
  </si>
  <si>
    <t>Add/Less</t>
  </si>
  <si>
    <t>Add</t>
  </si>
  <si>
    <t>Expense of Finance Activity</t>
  </si>
  <si>
    <t>Less</t>
  </si>
  <si>
    <t>Changes in Inventory</t>
  </si>
  <si>
    <t>Changes in Debtors</t>
  </si>
  <si>
    <t>Changes in Creditors</t>
  </si>
  <si>
    <t>OPERATING ACTIVITY -A</t>
  </si>
  <si>
    <t>INVESTMENT ACTIVITY</t>
  </si>
  <si>
    <t>Changes in Fixed Assets</t>
  </si>
  <si>
    <t>Changes in Investments</t>
  </si>
  <si>
    <t>INVESTMENT ACTIVITY -B</t>
  </si>
  <si>
    <t>FINANCING ACTIVITY</t>
  </si>
  <si>
    <t>Interest Expense</t>
  </si>
  <si>
    <t>FINANCING ACTIVITY -C</t>
  </si>
  <si>
    <t>Cash &amp; Cash Equivalent</t>
  </si>
  <si>
    <t>Closing Cash Balance</t>
  </si>
  <si>
    <t>Opening Cash Balance</t>
  </si>
  <si>
    <t>D=(A+B+C)</t>
  </si>
  <si>
    <t>E</t>
  </si>
  <si>
    <t>F =(D+E)</t>
  </si>
  <si>
    <t>Income of Investment Activity</t>
  </si>
  <si>
    <t>Reduction in Capital</t>
  </si>
  <si>
    <t>Changes in O/s Taxes</t>
  </si>
  <si>
    <t>Changes in Loans Liability</t>
  </si>
  <si>
    <t>Changes in Loans &amp; Advances</t>
  </si>
  <si>
    <t>Changes in Other Current Assets</t>
  </si>
  <si>
    <t>Projected Turnover Working of M/S.ABC Co</t>
  </si>
  <si>
    <t>From 2013-14 to 2017-18</t>
  </si>
  <si>
    <t>2013-14</t>
  </si>
  <si>
    <t>2014-15</t>
  </si>
  <si>
    <t>2015-16</t>
  </si>
  <si>
    <t>2016-17</t>
  </si>
  <si>
    <t>2017-18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</si>
</sst>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(* #,##0_);_(* \(#,##0\);_(* &quot;-&quot;??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Times New Roman"/>
      <family val="1"/>
    </font>
    <font>
      <u/>
      <sz val="28"/>
      <color theme="1"/>
      <name val="Monotype Corsiva"/>
      <family val="4"/>
    </font>
    <font>
      <sz val="22"/>
      <color theme="1"/>
      <name val="Monotype Corsiva"/>
      <family val="4"/>
    </font>
    <font>
      <sz val="18"/>
      <color theme="1"/>
      <name val="Monotype Corsiva"/>
      <family val="4"/>
    </font>
    <font>
      <sz val="14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6"/>
      <color theme="1"/>
      <name val="Monotype Corsiva"/>
      <family val="4"/>
    </font>
    <font>
      <sz val="14"/>
      <color theme="1"/>
      <name val="Times New Roman"/>
      <family val="1"/>
    </font>
    <font>
      <sz val="10"/>
      <color theme="1"/>
      <name val="Times New Roman"/>
      <family val="1"/>
    </font>
    <font>
      <sz val="10"/>
      <color theme="1"/>
      <name val="Calibri"/>
      <family val="2"/>
      <scheme val="minor"/>
    </font>
    <font>
      <u/>
      <sz val="16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3">
    <xf numFmtId="0" fontId="0" fillId="0" borderId="0" xfId="0"/>
    <xf numFmtId="0" fontId="2" fillId="0" borderId="0" xfId="0" applyFont="1"/>
    <xf numFmtId="0" fontId="2" fillId="0" borderId="7" xfId="0" applyFont="1" applyBorder="1"/>
    <xf numFmtId="0" fontId="2" fillId="0" borderId="0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3" xfId="0" applyFont="1" applyBorder="1"/>
    <xf numFmtId="0" fontId="2" fillId="0" borderId="10" xfId="0" applyFont="1" applyBorder="1"/>
    <xf numFmtId="0" fontId="2" fillId="0" borderId="4" xfId="0" applyFont="1" applyBorder="1"/>
    <xf numFmtId="0" fontId="2" fillId="0" borderId="12" xfId="0" applyFont="1" applyBorder="1"/>
    <xf numFmtId="0" fontId="2" fillId="0" borderId="13" xfId="0" applyFont="1" applyBorder="1"/>
    <xf numFmtId="0" fontId="2" fillId="0" borderId="14" xfId="0" applyFont="1" applyBorder="1"/>
    <xf numFmtId="0" fontId="6" fillId="0" borderId="0" xfId="0" applyFont="1"/>
    <xf numFmtId="0" fontId="7" fillId="0" borderId="0" xfId="0" applyFont="1"/>
    <xf numFmtId="0" fontId="8" fillId="0" borderId="0" xfId="0" applyFont="1"/>
    <xf numFmtId="0" fontId="2" fillId="0" borderId="15" xfId="0" applyFont="1" applyBorder="1"/>
    <xf numFmtId="0" fontId="2" fillId="0" borderId="1" xfId="0" applyFont="1" applyBorder="1"/>
    <xf numFmtId="0" fontId="9" fillId="0" borderId="14" xfId="0" applyFont="1" applyBorder="1"/>
    <xf numFmtId="0" fontId="10" fillId="0" borderId="4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/>
    </xf>
    <xf numFmtId="0" fontId="11" fillId="0" borderId="0" xfId="0" applyFont="1"/>
    <xf numFmtId="0" fontId="10" fillId="0" borderId="13" xfId="0" applyFont="1" applyBorder="1" applyAlignment="1">
      <alignment horizontal="center"/>
    </xf>
    <xf numFmtId="0" fontId="10" fillId="0" borderId="12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5" fillId="0" borderId="0" xfId="0" applyFont="1"/>
    <xf numFmtId="0" fontId="2" fillId="0" borderId="16" xfId="0" applyFont="1" applyBorder="1"/>
    <xf numFmtId="0" fontId="10" fillId="0" borderId="17" xfId="0" applyFont="1" applyBorder="1" applyAlignment="1">
      <alignment horizontal="center" vertical="center"/>
    </xf>
    <xf numFmtId="0" fontId="2" fillId="0" borderId="20" xfId="0" applyFont="1" applyBorder="1"/>
    <xf numFmtId="0" fontId="10" fillId="0" borderId="14" xfId="0" applyFont="1" applyBorder="1" applyAlignment="1">
      <alignment horizontal="center"/>
    </xf>
    <xf numFmtId="0" fontId="10" fillId="0" borderId="22" xfId="0" applyFont="1" applyBorder="1" applyAlignment="1">
      <alignment horizontal="center"/>
    </xf>
    <xf numFmtId="0" fontId="10" fillId="0" borderId="23" xfId="0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10" fillId="0" borderId="17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10" fontId="2" fillId="0" borderId="4" xfId="0" applyNumberFormat="1" applyFont="1" applyBorder="1"/>
    <xf numFmtId="0" fontId="2" fillId="0" borderId="3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3" xfId="1" applyNumberFormat="1" applyFont="1" applyBorder="1" applyAlignment="1">
      <alignment horizontal="left"/>
    </xf>
    <xf numFmtId="165" fontId="2" fillId="0" borderId="4" xfId="1" applyNumberFormat="1" applyFont="1" applyBorder="1"/>
    <xf numFmtId="165" fontId="2" fillId="0" borderId="12" xfId="1" applyNumberFormat="1" applyFont="1" applyBorder="1"/>
    <xf numFmtId="165" fontId="2" fillId="0" borderId="15" xfId="1" applyNumberFormat="1" applyFont="1" applyBorder="1"/>
    <xf numFmtId="165" fontId="2" fillId="0" borderId="1" xfId="1" applyNumberFormat="1" applyFont="1" applyBorder="1"/>
    <xf numFmtId="165" fontId="2" fillId="0" borderId="11" xfId="1" applyNumberFormat="1" applyFont="1" applyBorder="1"/>
    <xf numFmtId="165" fontId="2" fillId="0" borderId="13" xfId="1" applyNumberFormat="1" applyFont="1" applyBorder="1"/>
    <xf numFmtId="165" fontId="2" fillId="0" borderId="10" xfId="1" applyNumberFormat="1" applyFont="1" applyBorder="1"/>
    <xf numFmtId="165" fontId="2" fillId="0" borderId="14" xfId="1" applyNumberFormat="1" applyFont="1" applyBorder="1"/>
    <xf numFmtId="165" fontId="2" fillId="0" borderId="8" xfId="1" applyNumberFormat="1" applyFont="1" applyBorder="1"/>
    <xf numFmtId="165" fontId="2" fillId="0" borderId="19" xfId="1" applyNumberFormat="1" applyFont="1" applyBorder="1"/>
    <xf numFmtId="165" fontId="2" fillId="0" borderId="17" xfId="1" applyNumberFormat="1" applyFont="1" applyBorder="1"/>
    <xf numFmtId="165" fontId="0" fillId="0" borderId="0" xfId="1" applyNumberFormat="1" applyFont="1"/>
    <xf numFmtId="165" fontId="2" fillId="0" borderId="22" xfId="1" applyNumberFormat="1" applyFont="1" applyBorder="1"/>
    <xf numFmtId="165" fontId="2" fillId="0" borderId="23" xfId="1" applyNumberFormat="1" applyFont="1" applyBorder="1"/>
    <xf numFmtId="0" fontId="9" fillId="0" borderId="4" xfId="0" applyFont="1" applyBorder="1"/>
    <xf numFmtId="0" fontId="9" fillId="0" borderId="21" xfId="0" applyFont="1" applyBorder="1"/>
    <xf numFmtId="0" fontId="9" fillId="0" borderId="24" xfId="0" applyFont="1" applyBorder="1"/>
    <xf numFmtId="0" fontId="9" fillId="0" borderId="12" xfId="0" applyFont="1" applyBorder="1"/>
    <xf numFmtId="0" fontId="9" fillId="0" borderId="16" xfId="0" applyFont="1" applyBorder="1"/>
    <xf numFmtId="165" fontId="2" fillId="0" borderId="18" xfId="1" applyNumberFormat="1" applyFont="1" applyBorder="1"/>
    <xf numFmtId="10" fontId="2" fillId="0" borderId="12" xfId="1" applyNumberFormat="1" applyFont="1" applyBorder="1"/>
    <xf numFmtId="165" fontId="2" fillId="0" borderId="0" xfId="1" applyNumberFormat="1" applyFont="1" applyBorder="1"/>
    <xf numFmtId="0" fontId="9" fillId="0" borderId="0" xfId="0" applyFont="1" applyBorder="1"/>
    <xf numFmtId="0" fontId="2" fillId="0" borderId="13" xfId="0" applyFont="1" applyBorder="1" applyAlignment="1">
      <alignment wrapText="1"/>
    </xf>
    <xf numFmtId="10" fontId="2" fillId="0" borderId="4" xfId="1" applyNumberFormat="1" applyFont="1" applyBorder="1"/>
    <xf numFmtId="37" fontId="2" fillId="0" borderId="4" xfId="1" applyNumberFormat="1" applyFont="1" applyBorder="1"/>
    <xf numFmtId="0" fontId="5" fillId="3" borderId="4" xfId="0" applyFont="1" applyFill="1" applyBorder="1" applyAlignment="1">
      <alignment horizontal="center"/>
    </xf>
    <xf numFmtId="0" fontId="3" fillId="3" borderId="5" xfId="0" applyFont="1" applyFill="1" applyBorder="1"/>
    <xf numFmtId="0" fontId="12" fillId="3" borderId="2" xfId="0" applyFont="1" applyFill="1" applyBorder="1"/>
    <xf numFmtId="0" fontId="12" fillId="3" borderId="6" xfId="0" applyFont="1" applyFill="1" applyBorder="1"/>
    <xf numFmtId="165" fontId="0" fillId="0" borderId="0" xfId="0" applyNumberFormat="1"/>
    <xf numFmtId="164" fontId="0" fillId="0" borderId="0" xfId="0" applyNumberFormat="1"/>
    <xf numFmtId="0" fontId="10" fillId="0" borderId="4" xfId="0" applyFont="1" applyBorder="1" applyAlignment="1">
      <alignment vertical="center"/>
    </xf>
    <xf numFmtId="0" fontId="10" fillId="0" borderId="5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9" fillId="0" borderId="20" xfId="0" applyFont="1" applyBorder="1" applyAlignment="1">
      <alignment horizontal="left"/>
    </xf>
    <xf numFmtId="0" fontId="9" fillId="0" borderId="19" xfId="0" applyFont="1" applyBorder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7"/>
  <sheetViews>
    <sheetView showGridLines="0" tabSelected="1" view="pageBreakPreview" zoomScale="60" zoomScaleNormal="100" workbookViewId="0">
      <selection activeCell="G12" sqref="G12"/>
    </sheetView>
  </sheetViews>
  <sheetFormatPr defaultRowHeight="20.25" x14ac:dyDescent="0.3"/>
  <cols>
    <col min="1" max="1" width="1.140625" style="1" customWidth="1"/>
    <col min="2" max="5" width="9.140625" style="1"/>
    <col min="6" max="6" width="12.42578125" style="1" customWidth="1"/>
    <col min="7" max="7" width="56" style="1" customWidth="1"/>
    <col min="8" max="8" width="14.42578125" style="1" customWidth="1"/>
    <col min="9" max="9" width="3.140625" style="1" customWidth="1"/>
    <col min="10" max="16384" width="9.140625" style="1"/>
  </cols>
  <sheetData>
    <row r="2" spans="2:8" ht="36.75" x14ac:dyDescent="0.6">
      <c r="B2" s="67" t="s">
        <v>118</v>
      </c>
      <c r="C2" s="68"/>
      <c r="D2" s="68"/>
      <c r="E2" s="68"/>
      <c r="F2" s="68"/>
      <c r="G2" s="68"/>
      <c r="H2" s="69"/>
    </row>
    <row r="3" spans="2:8" x14ac:dyDescent="0.3">
      <c r="B3" s="2"/>
      <c r="C3" s="3"/>
      <c r="D3" s="3"/>
      <c r="E3" s="3"/>
      <c r="F3" s="3"/>
      <c r="G3" s="3"/>
      <c r="H3" s="4"/>
    </row>
    <row r="4" spans="2:8" x14ac:dyDescent="0.3">
      <c r="B4" s="2" t="s">
        <v>4</v>
      </c>
      <c r="C4" s="3"/>
      <c r="G4" s="36"/>
      <c r="H4" s="4"/>
    </row>
    <row r="5" spans="2:8" x14ac:dyDescent="0.3">
      <c r="B5" s="2"/>
      <c r="C5" s="3"/>
      <c r="D5" s="3"/>
      <c r="E5" s="3"/>
      <c r="F5" s="3"/>
      <c r="G5" s="37"/>
      <c r="H5" s="4"/>
    </row>
    <row r="6" spans="2:8" x14ac:dyDescent="0.3">
      <c r="B6" s="2" t="s">
        <v>5</v>
      </c>
      <c r="G6" s="36"/>
      <c r="H6" s="4"/>
    </row>
    <row r="7" spans="2:8" x14ac:dyDescent="0.3">
      <c r="B7" s="2"/>
      <c r="G7" s="38"/>
      <c r="H7" s="4"/>
    </row>
    <row r="8" spans="2:8" x14ac:dyDescent="0.3">
      <c r="B8" s="2" t="s">
        <v>0</v>
      </c>
      <c r="C8" s="3"/>
      <c r="D8" s="3"/>
      <c r="G8" s="36" t="s">
        <v>6</v>
      </c>
      <c r="H8" s="4"/>
    </row>
    <row r="9" spans="2:8" x14ac:dyDescent="0.3">
      <c r="B9" s="2"/>
      <c r="C9" s="3"/>
      <c r="D9" s="3"/>
      <c r="G9" s="37"/>
      <c r="H9" s="4"/>
    </row>
    <row r="10" spans="2:8" x14ac:dyDescent="0.3">
      <c r="B10" s="2" t="s">
        <v>1</v>
      </c>
      <c r="C10" s="3"/>
      <c r="D10" s="3"/>
      <c r="G10" s="39">
        <v>200000</v>
      </c>
      <c r="H10" s="4"/>
    </row>
    <row r="11" spans="2:8" x14ac:dyDescent="0.3">
      <c r="B11" s="2"/>
      <c r="C11" s="3"/>
      <c r="D11" s="3"/>
      <c r="E11" s="3"/>
      <c r="G11" s="37"/>
      <c r="H11" s="4"/>
    </row>
    <row r="12" spans="2:8" x14ac:dyDescent="0.3">
      <c r="B12" s="2" t="s">
        <v>2</v>
      </c>
      <c r="C12" s="3"/>
      <c r="D12" s="3"/>
      <c r="E12" s="3"/>
      <c r="G12" s="36" t="s">
        <v>158</v>
      </c>
      <c r="H12" s="4"/>
    </row>
    <row r="13" spans="2:8" x14ac:dyDescent="0.3">
      <c r="B13" s="2"/>
      <c r="C13" s="3"/>
      <c r="D13" s="3"/>
      <c r="E13" s="3"/>
      <c r="G13" s="37"/>
      <c r="H13" s="4"/>
    </row>
    <row r="14" spans="2:8" x14ac:dyDescent="0.3">
      <c r="B14" s="2" t="s">
        <v>3</v>
      </c>
      <c r="C14" s="3"/>
      <c r="D14" s="3"/>
      <c r="E14" s="3"/>
      <c r="G14" s="36"/>
      <c r="H14" s="4"/>
    </row>
    <row r="15" spans="2:8" x14ac:dyDescent="0.3">
      <c r="B15" s="2"/>
      <c r="C15" s="3"/>
      <c r="D15" s="3"/>
      <c r="E15" s="3"/>
      <c r="F15" s="3"/>
      <c r="G15" s="37"/>
      <c r="H15" s="4"/>
    </row>
    <row r="16" spans="2:8" x14ac:dyDescent="0.3">
      <c r="B16" s="2" t="s">
        <v>7</v>
      </c>
      <c r="C16" s="3"/>
      <c r="D16" s="3"/>
      <c r="E16" s="3"/>
      <c r="G16" s="36"/>
      <c r="H16" s="4"/>
    </row>
    <row r="17" spans="2:8" x14ac:dyDescent="0.3">
      <c r="B17" s="5"/>
      <c r="C17" s="6"/>
      <c r="D17" s="6"/>
      <c r="E17" s="6"/>
      <c r="F17" s="6"/>
      <c r="G17" s="6"/>
      <c r="H17" s="7"/>
    </row>
  </sheetData>
  <pageMargins left="0.7" right="0.7" top="0.75" bottom="0.75" header="0.3" footer="0.3"/>
  <pageSetup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103"/>
  <sheetViews>
    <sheetView showGridLines="0" view="pageBreakPreview" zoomScale="60" zoomScaleNormal="100" workbookViewId="0">
      <selection activeCell="D4" sqref="D4"/>
    </sheetView>
  </sheetViews>
  <sheetFormatPr defaultRowHeight="15" x14ac:dyDescent="0.25"/>
  <cols>
    <col min="1" max="1" width="1.7109375" customWidth="1"/>
    <col min="2" max="2" width="34.28515625" customWidth="1"/>
    <col min="3" max="3" width="20.140625" customWidth="1"/>
    <col min="4" max="5" width="15.85546875" customWidth="1"/>
    <col min="6" max="6" width="16.140625" customWidth="1"/>
    <col min="7" max="8" width="15.85546875" customWidth="1"/>
  </cols>
  <sheetData>
    <row r="2" spans="2:8" ht="29.25" x14ac:dyDescent="0.5">
      <c r="B2" s="79" t="s">
        <v>119</v>
      </c>
      <c r="C2" s="80"/>
      <c r="D2" s="80"/>
      <c r="E2" s="80"/>
      <c r="F2" s="80"/>
      <c r="G2" s="80"/>
      <c r="H2" s="80"/>
    </row>
    <row r="3" spans="2:8" ht="23.25" x14ac:dyDescent="0.35">
      <c r="B3" s="76" t="s">
        <v>8</v>
      </c>
      <c r="C3" s="76" t="s">
        <v>92</v>
      </c>
      <c r="D3" s="66" t="s">
        <v>9</v>
      </c>
      <c r="E3" s="66" t="s">
        <v>9</v>
      </c>
      <c r="F3" s="66" t="s">
        <v>10</v>
      </c>
      <c r="G3" s="66" t="s">
        <v>10</v>
      </c>
      <c r="H3" s="66" t="s">
        <v>10</v>
      </c>
    </row>
    <row r="4" spans="2:8" ht="23.25" x14ac:dyDescent="0.35">
      <c r="B4" s="77"/>
      <c r="C4" s="77"/>
      <c r="D4" s="66" t="s">
        <v>159</v>
      </c>
      <c r="E4" s="66" t="s">
        <v>160</v>
      </c>
      <c r="F4" s="66" t="s">
        <v>161</v>
      </c>
      <c r="G4" s="66" t="s">
        <v>162</v>
      </c>
      <c r="H4" s="66" t="s">
        <v>163</v>
      </c>
    </row>
    <row r="5" spans="2:8" ht="20.25" x14ac:dyDescent="0.3">
      <c r="B5" s="8" t="s">
        <v>11</v>
      </c>
      <c r="C5" s="20">
        <v>1</v>
      </c>
      <c r="D5" s="40">
        <v>810500</v>
      </c>
      <c r="E5" s="40">
        <f>+D5*105%</f>
        <v>851025</v>
      </c>
      <c r="F5" s="65">
        <f>+'Turnover Working'!F11</f>
        <v>1013625.0668452969</v>
      </c>
      <c r="G5" s="65">
        <f>+'Turnover Working'!G11</f>
        <v>1138885.4240033943</v>
      </c>
      <c r="H5" s="65">
        <f>+'Turnover Working'!H11</f>
        <v>1276894.7766020624</v>
      </c>
    </row>
    <row r="6" spans="2:8" ht="20.25" x14ac:dyDescent="0.3">
      <c r="B6" s="8" t="s">
        <v>12</v>
      </c>
      <c r="C6" s="20">
        <v>2</v>
      </c>
      <c r="D6" s="40">
        <f>+D5/4</f>
        <v>202625</v>
      </c>
      <c r="E6" s="40">
        <f t="shared" ref="E6:H6" si="0">+E5/4</f>
        <v>212756.25</v>
      </c>
      <c r="F6" s="40">
        <f t="shared" si="0"/>
        <v>253406.26671132422</v>
      </c>
      <c r="G6" s="40">
        <f t="shared" si="0"/>
        <v>284721.35600084858</v>
      </c>
      <c r="H6" s="40">
        <f t="shared" si="0"/>
        <v>319223.6941505156</v>
      </c>
    </row>
    <row r="7" spans="2:8" ht="20.25" x14ac:dyDescent="0.3">
      <c r="B7" s="8" t="s">
        <v>18</v>
      </c>
      <c r="C7" s="20" t="s">
        <v>13</v>
      </c>
      <c r="D7" s="40">
        <f>D5+D6</f>
        <v>1013125</v>
      </c>
      <c r="E7" s="40">
        <f t="shared" ref="E7:H7" si="1">E5+E6</f>
        <v>1063781.25</v>
      </c>
      <c r="F7" s="40">
        <f t="shared" si="1"/>
        <v>1267031.3335566211</v>
      </c>
      <c r="G7" s="40">
        <f t="shared" si="1"/>
        <v>1423606.7800042429</v>
      </c>
      <c r="H7" s="40">
        <f t="shared" si="1"/>
        <v>1596118.470752578</v>
      </c>
    </row>
    <row r="8" spans="2:8" ht="20.25" x14ac:dyDescent="0.3">
      <c r="B8" s="8"/>
      <c r="C8" s="20"/>
      <c r="D8" s="40"/>
      <c r="E8" s="40"/>
      <c r="F8" s="40"/>
      <c r="G8" s="40"/>
      <c r="H8" s="40"/>
    </row>
    <row r="9" spans="2:8" ht="20.25" x14ac:dyDescent="0.3">
      <c r="B9" s="8" t="s">
        <v>14</v>
      </c>
      <c r="C9" s="20">
        <v>4</v>
      </c>
      <c r="D9" s="40">
        <v>192500</v>
      </c>
      <c r="E9" s="40">
        <f>+D6</f>
        <v>202625</v>
      </c>
      <c r="F9" s="40">
        <f t="shared" ref="F9:H9" si="2">+E6</f>
        <v>212756.25</v>
      </c>
      <c r="G9" s="40">
        <f t="shared" si="2"/>
        <v>253406.26671132422</v>
      </c>
      <c r="H9" s="40">
        <f t="shared" si="2"/>
        <v>284721.35600084858</v>
      </c>
    </row>
    <row r="10" spans="2:8" ht="20.25" x14ac:dyDescent="0.3">
      <c r="B10" s="9" t="s">
        <v>15</v>
      </c>
      <c r="C10" s="20">
        <v>5</v>
      </c>
      <c r="D10" s="41">
        <f>+D5*85%</f>
        <v>688925</v>
      </c>
      <c r="E10" s="41">
        <f>+E5*85%</f>
        <v>723371.25</v>
      </c>
      <c r="F10" s="41">
        <f t="shared" ref="F10:H10" si="3">+F5*85%</f>
        <v>861581.30681850237</v>
      </c>
      <c r="G10" s="41">
        <f t="shared" si="3"/>
        <v>968052.61040288513</v>
      </c>
      <c r="H10" s="41">
        <f t="shared" si="3"/>
        <v>1085360.5601117529</v>
      </c>
    </row>
    <row r="11" spans="2:8" ht="20.25" x14ac:dyDescent="0.3">
      <c r="B11" s="8" t="s">
        <v>16</v>
      </c>
      <c r="C11" s="78">
        <v>6</v>
      </c>
      <c r="D11" s="42"/>
      <c r="E11" s="43"/>
      <c r="F11" s="43"/>
      <c r="G11" s="43"/>
      <c r="H11" s="43"/>
    </row>
    <row r="12" spans="2:8" ht="20.25" x14ac:dyDescent="0.3">
      <c r="B12" s="11" t="s">
        <v>32</v>
      </c>
      <c r="C12" s="74"/>
      <c r="D12" s="45">
        <v>5000</v>
      </c>
      <c r="E12" s="45">
        <f>+D12+200</f>
        <v>5200</v>
      </c>
      <c r="F12" s="45">
        <f t="shared" ref="F12:H12" si="4">+E12+200</f>
        <v>5400</v>
      </c>
      <c r="G12" s="45">
        <f t="shared" si="4"/>
        <v>5600</v>
      </c>
      <c r="H12" s="45">
        <f t="shared" si="4"/>
        <v>5800</v>
      </c>
    </row>
    <row r="13" spans="2:8" ht="20.25" x14ac:dyDescent="0.3">
      <c r="B13" s="11" t="s">
        <v>33</v>
      </c>
      <c r="C13" s="75"/>
      <c r="D13" s="41">
        <v>4000</v>
      </c>
      <c r="E13" s="41">
        <f>+D13+150</f>
        <v>4150</v>
      </c>
      <c r="F13" s="41">
        <f t="shared" ref="F13:H13" si="5">+E13+150</f>
        <v>4300</v>
      </c>
      <c r="G13" s="41">
        <f t="shared" si="5"/>
        <v>4450</v>
      </c>
      <c r="H13" s="41">
        <f t="shared" si="5"/>
        <v>4600</v>
      </c>
    </row>
    <row r="14" spans="2:8" ht="20.25" x14ac:dyDescent="0.3">
      <c r="B14" s="15" t="s">
        <v>17</v>
      </c>
      <c r="C14" s="78">
        <v>7</v>
      </c>
      <c r="D14" s="43"/>
      <c r="E14" s="43"/>
      <c r="F14" s="43"/>
      <c r="G14" s="43"/>
      <c r="H14" s="43"/>
    </row>
    <row r="15" spans="2:8" ht="20.25" x14ac:dyDescent="0.3">
      <c r="B15" s="2" t="s">
        <v>34</v>
      </c>
      <c r="C15" s="74"/>
      <c r="D15" s="46">
        <f>+D5*2%</f>
        <v>16210</v>
      </c>
      <c r="E15" s="46">
        <f>+E5*2%</f>
        <v>17020.5</v>
      </c>
      <c r="F15" s="46">
        <f t="shared" ref="F15:H15" si="6">+F5*2%</f>
        <v>20272.501336905938</v>
      </c>
      <c r="G15" s="46">
        <f t="shared" si="6"/>
        <v>22777.708480067886</v>
      </c>
      <c r="H15" s="46">
        <f t="shared" si="6"/>
        <v>25537.89553204125</v>
      </c>
    </row>
    <row r="16" spans="2:8" ht="20.25" x14ac:dyDescent="0.3">
      <c r="B16" s="5" t="s">
        <v>38</v>
      </c>
      <c r="C16" s="75"/>
      <c r="D16" s="46">
        <f>+D5*1%</f>
        <v>8105</v>
      </c>
      <c r="E16" s="46">
        <f t="shared" ref="E16:H16" si="7">+E5*1%</f>
        <v>8510.25</v>
      </c>
      <c r="F16" s="46">
        <f t="shared" si="7"/>
        <v>10136.250668452969</v>
      </c>
      <c r="G16" s="46">
        <f t="shared" si="7"/>
        <v>11388.854240033943</v>
      </c>
      <c r="H16" s="46">
        <f t="shared" si="7"/>
        <v>12768.947766020625</v>
      </c>
    </row>
    <row r="17" spans="2:8" ht="20.25" x14ac:dyDescent="0.3">
      <c r="B17" s="10" t="s">
        <v>19</v>
      </c>
      <c r="C17" s="22" t="s">
        <v>21</v>
      </c>
      <c r="D17" s="40">
        <f>(D9+D10+D12+D13+D15+D16)</f>
        <v>914740</v>
      </c>
      <c r="E17" s="40">
        <f t="shared" ref="E17:H17" si="8">(E9+E10+E12+E13+E15+E16)</f>
        <v>960877</v>
      </c>
      <c r="F17" s="40">
        <f t="shared" si="8"/>
        <v>1114446.3088238614</v>
      </c>
      <c r="G17" s="40">
        <f t="shared" si="8"/>
        <v>1265675.4398343111</v>
      </c>
      <c r="H17" s="40">
        <f t="shared" si="8"/>
        <v>1418788.7594106635</v>
      </c>
    </row>
    <row r="18" spans="2:8" ht="20.25" x14ac:dyDescent="0.3">
      <c r="B18" s="10" t="s">
        <v>20</v>
      </c>
      <c r="C18" s="20" t="s">
        <v>22</v>
      </c>
      <c r="D18" s="40">
        <f>D7-D17</f>
        <v>98385</v>
      </c>
      <c r="E18" s="40">
        <f t="shared" ref="E18:H18" si="9">E7-E17</f>
        <v>102904.25</v>
      </c>
      <c r="F18" s="40">
        <f t="shared" si="9"/>
        <v>152585.02473275969</v>
      </c>
      <c r="G18" s="40">
        <f t="shared" si="9"/>
        <v>157931.34016993176</v>
      </c>
      <c r="H18" s="40">
        <f t="shared" si="9"/>
        <v>177329.71134191449</v>
      </c>
    </row>
    <row r="19" spans="2:8" ht="20.25" x14ac:dyDescent="0.3">
      <c r="B19" s="10" t="s">
        <v>23</v>
      </c>
      <c r="C19" s="20">
        <v>14</v>
      </c>
      <c r="D19" s="35">
        <f>D18/D5</f>
        <v>0.12138803207896361</v>
      </c>
      <c r="E19" s="35">
        <f t="shared" ref="E19:H19" si="10">E18/E5</f>
        <v>0.12091801063423518</v>
      </c>
      <c r="F19" s="35">
        <f t="shared" si="10"/>
        <v>0.15053398906920262</v>
      </c>
      <c r="G19" s="35">
        <f t="shared" si="10"/>
        <v>0.13867184252369627</v>
      </c>
      <c r="H19" s="35">
        <f t="shared" si="10"/>
        <v>0.13887574339821923</v>
      </c>
    </row>
    <row r="21" spans="2:8" ht="23.25" x14ac:dyDescent="0.35">
      <c r="B21" s="25" t="s">
        <v>62</v>
      </c>
      <c r="F21" s="14" t="s">
        <v>126</v>
      </c>
    </row>
    <row r="22" spans="2:8" ht="23.25" x14ac:dyDescent="0.35">
      <c r="B22" s="13"/>
      <c r="F22" s="14"/>
    </row>
    <row r="23" spans="2:8" ht="23.25" x14ac:dyDescent="0.35">
      <c r="B23" s="25" t="s">
        <v>63</v>
      </c>
      <c r="F23" s="14"/>
    </row>
    <row r="24" spans="2:8" ht="21" x14ac:dyDescent="0.35">
      <c r="F24" s="14" t="s">
        <v>29</v>
      </c>
    </row>
    <row r="27" spans="2:8" ht="29.25" x14ac:dyDescent="0.5">
      <c r="B27" s="79" t="s">
        <v>120</v>
      </c>
      <c r="C27" s="80"/>
      <c r="D27" s="80"/>
      <c r="E27" s="80"/>
      <c r="F27" s="80"/>
      <c r="G27" s="80"/>
      <c r="H27" s="80"/>
    </row>
    <row r="28" spans="2:8" ht="23.25" x14ac:dyDescent="0.35">
      <c r="B28" s="76" t="s">
        <v>8</v>
      </c>
      <c r="C28" s="76" t="s">
        <v>92</v>
      </c>
      <c r="D28" s="66" t="s">
        <v>9</v>
      </c>
      <c r="E28" s="66" t="s">
        <v>9</v>
      </c>
      <c r="F28" s="66" t="s">
        <v>10</v>
      </c>
      <c r="G28" s="66" t="s">
        <v>10</v>
      </c>
      <c r="H28" s="66" t="s">
        <v>10</v>
      </c>
    </row>
    <row r="29" spans="2:8" ht="23.25" x14ac:dyDescent="0.35">
      <c r="B29" s="77"/>
      <c r="C29" s="77"/>
      <c r="D29" s="66" t="s">
        <v>159</v>
      </c>
      <c r="E29" s="66" t="s">
        <v>160</v>
      </c>
      <c r="F29" s="66" t="s">
        <v>161</v>
      </c>
      <c r="G29" s="66" t="s">
        <v>162</v>
      </c>
      <c r="H29" s="66" t="s">
        <v>163</v>
      </c>
    </row>
    <row r="30" spans="2:8" ht="20.25" x14ac:dyDescent="0.3">
      <c r="B30" s="15" t="s">
        <v>24</v>
      </c>
      <c r="C30" s="78">
        <v>15</v>
      </c>
      <c r="D30" s="16"/>
      <c r="E30" s="16"/>
      <c r="F30" s="16"/>
      <c r="G30" s="16"/>
      <c r="H30" s="16"/>
    </row>
    <row r="31" spans="2:8" ht="20.25" x14ac:dyDescent="0.3">
      <c r="B31" s="11" t="s">
        <v>35</v>
      </c>
      <c r="C31" s="74"/>
      <c r="D31" s="45">
        <v>3000</v>
      </c>
      <c r="E31" s="45">
        <f>+D31+150</f>
        <v>3150</v>
      </c>
      <c r="F31" s="45">
        <f t="shared" ref="F31:H31" si="11">+E31+150</f>
        <v>3300</v>
      </c>
      <c r="G31" s="45">
        <f t="shared" si="11"/>
        <v>3450</v>
      </c>
      <c r="H31" s="45">
        <f t="shared" si="11"/>
        <v>3600</v>
      </c>
    </row>
    <row r="32" spans="2:8" ht="20.25" x14ac:dyDescent="0.3">
      <c r="B32" s="11" t="s">
        <v>37</v>
      </c>
      <c r="C32" s="75"/>
      <c r="D32" s="41">
        <v>2500</v>
      </c>
      <c r="E32" s="41">
        <f>+D32+450</f>
        <v>2950</v>
      </c>
      <c r="F32" s="41">
        <f t="shared" ref="F32:H32" si="12">+E32+450</f>
        <v>3400</v>
      </c>
      <c r="G32" s="41">
        <f t="shared" si="12"/>
        <v>3850</v>
      </c>
      <c r="H32" s="41">
        <f t="shared" si="12"/>
        <v>4300</v>
      </c>
    </row>
    <row r="33" spans="2:8" ht="20.25" x14ac:dyDescent="0.3">
      <c r="B33" s="15" t="s">
        <v>25</v>
      </c>
      <c r="C33" s="78">
        <v>16</v>
      </c>
      <c r="D33" s="43"/>
      <c r="E33" s="43"/>
      <c r="F33" s="43"/>
      <c r="G33" s="43"/>
      <c r="H33" s="43"/>
    </row>
    <row r="34" spans="2:8" ht="20.25" x14ac:dyDescent="0.3">
      <c r="B34" s="2" t="s">
        <v>36</v>
      </c>
      <c r="C34" s="74"/>
      <c r="D34" s="46">
        <f>+D5*3.5%</f>
        <v>28367.500000000004</v>
      </c>
      <c r="E34" s="46">
        <f t="shared" ref="E34:H34" si="13">+E5*3.5%</f>
        <v>29785.875000000004</v>
      </c>
      <c r="F34" s="46">
        <f t="shared" si="13"/>
        <v>35476.877339585393</v>
      </c>
      <c r="G34" s="46">
        <f t="shared" si="13"/>
        <v>39860.989840118804</v>
      </c>
      <c r="H34" s="46">
        <f t="shared" si="13"/>
        <v>44691.317181072191</v>
      </c>
    </row>
    <row r="35" spans="2:8" ht="20.25" x14ac:dyDescent="0.3">
      <c r="B35" s="5" t="s">
        <v>39</v>
      </c>
      <c r="C35" s="75"/>
      <c r="D35" s="44">
        <f>+D5*3%</f>
        <v>24315</v>
      </c>
      <c r="E35" s="44">
        <f t="shared" ref="E35:H35" si="14">+E5*3%</f>
        <v>25530.75</v>
      </c>
      <c r="F35" s="44">
        <f t="shared" si="14"/>
        <v>30408.752005358907</v>
      </c>
      <c r="G35" s="44">
        <f t="shared" si="14"/>
        <v>34166.562720101829</v>
      </c>
      <c r="H35" s="44">
        <f t="shared" si="14"/>
        <v>38306.843298061867</v>
      </c>
    </row>
    <row r="36" spans="2:8" ht="20.25" x14ac:dyDescent="0.3">
      <c r="B36" s="5" t="s">
        <v>99</v>
      </c>
      <c r="C36" s="19">
        <v>17</v>
      </c>
      <c r="D36" s="44">
        <f>(D74+D75)*12%</f>
        <v>3312</v>
      </c>
      <c r="E36" s="44">
        <f t="shared" ref="E36:H36" si="15">(E74+E75)*12%</f>
        <v>2815.2</v>
      </c>
      <c r="F36" s="44">
        <f t="shared" si="15"/>
        <v>2392.92</v>
      </c>
      <c r="G36" s="44">
        <f t="shared" si="15"/>
        <v>2033.9819999999997</v>
      </c>
      <c r="H36" s="44">
        <f t="shared" si="15"/>
        <v>1728.8846999999998</v>
      </c>
    </row>
    <row r="37" spans="2:8" ht="20.25" x14ac:dyDescent="0.3">
      <c r="B37" s="10" t="s">
        <v>30</v>
      </c>
      <c r="C37" s="19">
        <v>18</v>
      </c>
      <c r="D37" s="40">
        <v>0</v>
      </c>
      <c r="E37" s="40">
        <v>0</v>
      </c>
      <c r="F37" s="40">
        <f>+'Dep, Interest &amp; MPBF Schedule'!F41</f>
        <v>12000</v>
      </c>
      <c r="G37" s="40">
        <f>+'Dep, Interest &amp; MPBF Schedule'!G41</f>
        <v>22800</v>
      </c>
      <c r="H37" s="40">
        <f>+'Dep, Interest &amp; MPBF Schedule'!H41</f>
        <v>22800</v>
      </c>
    </row>
    <row r="38" spans="2:8" ht="42" customHeight="1" x14ac:dyDescent="0.3">
      <c r="B38" s="63" t="s">
        <v>104</v>
      </c>
      <c r="C38" s="19">
        <v>19</v>
      </c>
      <c r="D38" s="40"/>
      <c r="E38" s="40"/>
      <c r="F38" s="40">
        <f>+'Title Page'!G10*4%</f>
        <v>8000</v>
      </c>
      <c r="G38" s="40">
        <f>+F38/12</f>
        <v>666.66666666666663</v>
      </c>
      <c r="H38" s="40">
        <f>+G38</f>
        <v>666.66666666666663</v>
      </c>
    </row>
    <row r="39" spans="2:8" ht="20.25" x14ac:dyDescent="0.3">
      <c r="B39" s="10" t="s">
        <v>31</v>
      </c>
      <c r="C39" s="19">
        <v>20</v>
      </c>
      <c r="D39" s="40">
        <f>+'Dep, Interest &amp; MPBF Schedule'!D26</f>
        <v>29270</v>
      </c>
      <c r="E39" s="40">
        <f>+'Dep, Interest &amp; MPBF Schedule'!E26</f>
        <v>29043</v>
      </c>
      <c r="F39" s="40">
        <f>+'Dep, Interest &amp; MPBF Schedule'!F26</f>
        <v>28588.699999999997</v>
      </c>
      <c r="G39" s="40">
        <f>+'Dep, Interest &amp; MPBF Schedule'!G26</f>
        <v>28479.830000000005</v>
      </c>
      <c r="H39" s="40">
        <f>+'Dep, Interest &amp; MPBF Schedule'!H26</f>
        <v>31331.847000000002</v>
      </c>
    </row>
    <row r="40" spans="2:8" ht="20.25" x14ac:dyDescent="0.3">
      <c r="B40" s="10" t="s">
        <v>26</v>
      </c>
      <c r="C40" s="20" t="s">
        <v>105</v>
      </c>
      <c r="D40" s="40">
        <f>+D31+D32+D34+D35+D37+D39+D36</f>
        <v>90764.5</v>
      </c>
      <c r="E40" s="40">
        <f>+E31+E32+E34+E35+E37+E39+E36</f>
        <v>93274.824999999997</v>
      </c>
      <c r="F40" s="40">
        <f>+F31+F32+F34+F35+F37+F39+F36+F38</f>
        <v>123567.2493449443</v>
      </c>
      <c r="G40" s="40">
        <f t="shared" ref="G40:H40" si="16">+G31+G32+G34+G35+G37+G39+G36+G38</f>
        <v>135308.03122688728</v>
      </c>
      <c r="H40" s="40">
        <f t="shared" si="16"/>
        <v>147425.55884580073</v>
      </c>
    </row>
    <row r="41" spans="2:8" ht="20.25" x14ac:dyDescent="0.3">
      <c r="B41" s="10" t="s">
        <v>103</v>
      </c>
      <c r="C41" s="20">
        <v>22</v>
      </c>
      <c r="D41" s="40">
        <f>+D88*7%</f>
        <v>1750.0000000000002</v>
      </c>
      <c r="E41" s="40">
        <f t="shared" ref="E41:H41" si="17">+E88*7%</f>
        <v>1925.0000000000005</v>
      </c>
      <c r="F41" s="40">
        <f t="shared" si="17"/>
        <v>2117.5000000000009</v>
      </c>
      <c r="G41" s="40">
        <f t="shared" si="17"/>
        <v>5714.6250000000009</v>
      </c>
      <c r="H41" s="40">
        <f t="shared" si="17"/>
        <v>6286.0875000000005</v>
      </c>
    </row>
    <row r="42" spans="2:8" ht="20.25" x14ac:dyDescent="0.3">
      <c r="B42" s="10" t="s">
        <v>27</v>
      </c>
      <c r="C42" s="20" t="s">
        <v>106</v>
      </c>
      <c r="D42" s="40">
        <f>+D18-D40+D41</f>
        <v>9370.5</v>
      </c>
      <c r="E42" s="40">
        <f>+E18-E40+E41</f>
        <v>11554.425000000003</v>
      </c>
      <c r="F42" s="40">
        <f>+F18-F40+F41</f>
        <v>31135.275387815389</v>
      </c>
      <c r="G42" s="40">
        <f>+G18-G40+G41</f>
        <v>28337.933943044482</v>
      </c>
      <c r="H42" s="40">
        <f>+H18-H40+H41</f>
        <v>36190.239996113763</v>
      </c>
    </row>
    <row r="43" spans="2:8" ht="20.25" x14ac:dyDescent="0.3">
      <c r="B43" s="10" t="s">
        <v>28</v>
      </c>
      <c r="C43" s="20">
        <v>24</v>
      </c>
      <c r="D43" s="35">
        <f>+D42/D5</f>
        <v>1.1561381863047502E-2</v>
      </c>
      <c r="E43" s="35">
        <f>+E42/E5</f>
        <v>1.3577068828765316E-2</v>
      </c>
      <c r="F43" s="35">
        <f>+F42/F5</f>
        <v>3.071675751342421E-2</v>
      </c>
      <c r="G43" s="35">
        <f>+G42/G5</f>
        <v>2.488216404019938E-2</v>
      </c>
      <c r="H43" s="35">
        <f>+H42/H5</f>
        <v>2.8342382363266777E-2</v>
      </c>
    </row>
    <row r="44" spans="2:8" x14ac:dyDescent="0.25">
      <c r="C44" s="21"/>
    </row>
    <row r="45" spans="2:8" ht="23.25" x14ac:dyDescent="0.35">
      <c r="B45" s="25" t="s">
        <v>62</v>
      </c>
      <c r="F45" s="14" t="s">
        <v>126</v>
      </c>
    </row>
    <row r="46" spans="2:8" ht="23.25" x14ac:dyDescent="0.35">
      <c r="B46" s="13"/>
      <c r="F46" s="14"/>
    </row>
    <row r="47" spans="2:8" ht="23.25" x14ac:dyDescent="0.35">
      <c r="B47" s="25" t="s">
        <v>63</v>
      </c>
      <c r="F47" s="14"/>
    </row>
    <row r="48" spans="2:8" ht="21" x14ac:dyDescent="0.35">
      <c r="F48" s="14" t="s">
        <v>29</v>
      </c>
    </row>
    <row r="51" spans="2:8" ht="29.25" x14ac:dyDescent="0.5">
      <c r="B51" s="79" t="s">
        <v>121</v>
      </c>
      <c r="C51" s="80"/>
      <c r="D51" s="80"/>
      <c r="E51" s="80"/>
      <c r="F51" s="80"/>
      <c r="G51" s="80"/>
      <c r="H51" s="80"/>
    </row>
    <row r="52" spans="2:8" ht="23.25" x14ac:dyDescent="0.35">
      <c r="B52" s="76" t="s">
        <v>8</v>
      </c>
      <c r="C52" s="76" t="s">
        <v>92</v>
      </c>
      <c r="D52" s="66" t="s">
        <v>9</v>
      </c>
      <c r="E52" s="66" t="s">
        <v>9</v>
      </c>
      <c r="F52" s="66" t="s">
        <v>10</v>
      </c>
      <c r="G52" s="66" t="s">
        <v>10</v>
      </c>
      <c r="H52" s="66" t="s">
        <v>10</v>
      </c>
    </row>
    <row r="53" spans="2:8" ht="23.25" x14ac:dyDescent="0.35">
      <c r="B53" s="77"/>
      <c r="C53" s="77"/>
      <c r="D53" s="66" t="s">
        <v>159</v>
      </c>
      <c r="E53" s="66" t="s">
        <v>160</v>
      </c>
      <c r="F53" s="66" t="s">
        <v>161</v>
      </c>
      <c r="G53" s="66" t="s">
        <v>162</v>
      </c>
      <c r="H53" s="66" t="s">
        <v>163</v>
      </c>
    </row>
    <row r="54" spans="2:8" ht="20.25" x14ac:dyDescent="0.3">
      <c r="B54" s="15" t="s">
        <v>40</v>
      </c>
      <c r="C54" s="18">
        <v>25</v>
      </c>
      <c r="D54" s="40">
        <v>770000</v>
      </c>
      <c r="E54" s="40">
        <f>+D59</f>
        <v>772536.4</v>
      </c>
      <c r="F54" s="40">
        <f t="shared" ref="F54:H54" si="18">+E59</f>
        <v>776323.94000000006</v>
      </c>
      <c r="G54" s="40">
        <f t="shared" si="18"/>
        <v>795230.56031025236</v>
      </c>
      <c r="H54" s="40">
        <f t="shared" si="18"/>
        <v>811299.14746468805</v>
      </c>
    </row>
    <row r="55" spans="2:8" ht="20.25" x14ac:dyDescent="0.3">
      <c r="B55" s="8" t="s">
        <v>27</v>
      </c>
      <c r="C55" s="18">
        <v>23</v>
      </c>
      <c r="D55" s="45">
        <f>+D42</f>
        <v>9370.5</v>
      </c>
      <c r="E55" s="45">
        <f t="shared" ref="E55:H55" si="19">+E42</f>
        <v>11554.425000000003</v>
      </c>
      <c r="F55" s="45">
        <f t="shared" si="19"/>
        <v>31135.275387815389</v>
      </c>
      <c r="G55" s="45">
        <f t="shared" si="19"/>
        <v>28337.933943044482</v>
      </c>
      <c r="H55" s="45">
        <f t="shared" si="19"/>
        <v>36190.239996113763</v>
      </c>
    </row>
    <row r="56" spans="2:8" ht="20.25" x14ac:dyDescent="0.3">
      <c r="B56" s="8" t="s">
        <v>41</v>
      </c>
      <c r="C56" s="18">
        <v>26</v>
      </c>
      <c r="D56" s="41">
        <v>2400</v>
      </c>
      <c r="E56" s="40">
        <f>+D56*110%</f>
        <v>2640</v>
      </c>
      <c r="F56" s="40">
        <f t="shared" ref="F56:H56" si="20">+E56*110%</f>
        <v>2904.0000000000005</v>
      </c>
      <c r="G56" s="40">
        <f t="shared" si="20"/>
        <v>3194.4000000000005</v>
      </c>
      <c r="H56" s="40">
        <f t="shared" si="20"/>
        <v>3513.8400000000011</v>
      </c>
    </row>
    <row r="57" spans="2:8" ht="20.25" x14ac:dyDescent="0.3">
      <c r="B57" s="15" t="s">
        <v>42</v>
      </c>
      <c r="C57" s="18">
        <v>27</v>
      </c>
      <c r="D57" s="40">
        <v>3200</v>
      </c>
      <c r="E57" s="40">
        <f>+D57*110%</f>
        <v>3520.0000000000005</v>
      </c>
      <c r="F57" s="40">
        <f t="shared" ref="F57:H57" si="21">+E57*110%</f>
        <v>3872.0000000000009</v>
      </c>
      <c r="G57" s="40">
        <f t="shared" si="21"/>
        <v>4259.2000000000016</v>
      </c>
      <c r="H57" s="40">
        <f t="shared" si="21"/>
        <v>4685.1200000000026</v>
      </c>
    </row>
    <row r="58" spans="2:8" ht="21" thickBot="1" x14ac:dyDescent="0.35">
      <c r="B58" s="9" t="s">
        <v>43</v>
      </c>
      <c r="C58" s="23">
        <v>28</v>
      </c>
      <c r="D58" s="48">
        <f>(D55-D57)*20%</f>
        <v>1234.1000000000001</v>
      </c>
      <c r="E58" s="48">
        <f t="shared" ref="E58:H58" si="22">(E55-E57)*20%</f>
        <v>1606.8850000000007</v>
      </c>
      <c r="F58" s="48">
        <f t="shared" si="22"/>
        <v>5452.6550775630785</v>
      </c>
      <c r="G58" s="48">
        <f t="shared" si="22"/>
        <v>4815.7467886088962</v>
      </c>
      <c r="H58" s="48">
        <f t="shared" si="22"/>
        <v>6301.0239992227525</v>
      </c>
    </row>
    <row r="59" spans="2:8" ht="21" thickBot="1" x14ac:dyDescent="0.35">
      <c r="B59" s="28" t="s">
        <v>44</v>
      </c>
      <c r="C59" s="27" t="s">
        <v>109</v>
      </c>
      <c r="D59" s="49">
        <f>D54+D55-D56-D57-D58</f>
        <v>772536.4</v>
      </c>
      <c r="E59" s="49">
        <f t="shared" ref="E59:H59" si="23">E54+E55-E56-E57-E58</f>
        <v>776323.94000000006</v>
      </c>
      <c r="F59" s="49">
        <f t="shared" si="23"/>
        <v>795230.56031025236</v>
      </c>
      <c r="G59" s="49">
        <f t="shared" si="23"/>
        <v>811299.14746468805</v>
      </c>
      <c r="H59" s="49">
        <f t="shared" si="23"/>
        <v>832989.40346157912</v>
      </c>
    </row>
    <row r="60" spans="2:8" x14ac:dyDescent="0.25">
      <c r="D60" s="70"/>
      <c r="E60" s="70"/>
      <c r="F60" s="70"/>
      <c r="G60" s="70"/>
      <c r="H60" s="70"/>
    </row>
    <row r="61" spans="2:8" ht="23.25" x14ac:dyDescent="0.35">
      <c r="B61" s="25" t="s">
        <v>62</v>
      </c>
      <c r="F61" s="14" t="s">
        <v>126</v>
      </c>
    </row>
    <row r="62" spans="2:8" ht="23.25" x14ac:dyDescent="0.35">
      <c r="B62" s="13"/>
      <c r="F62" s="14"/>
    </row>
    <row r="63" spans="2:8" ht="23.25" x14ac:dyDescent="0.35">
      <c r="B63" s="25" t="s">
        <v>63</v>
      </c>
      <c r="F63" s="14"/>
    </row>
    <row r="64" spans="2:8" ht="21" x14ac:dyDescent="0.35">
      <c r="F64" s="14" t="s">
        <v>29</v>
      </c>
    </row>
    <row r="67" spans="2:9" ht="29.25" x14ac:dyDescent="0.5">
      <c r="B67" s="79" t="s">
        <v>122</v>
      </c>
      <c r="C67" s="80"/>
      <c r="D67" s="80"/>
      <c r="E67" s="80"/>
      <c r="F67" s="80"/>
      <c r="G67" s="80"/>
      <c r="H67" s="80"/>
    </row>
    <row r="68" spans="2:9" ht="23.25" x14ac:dyDescent="0.35">
      <c r="B68" s="76" t="s">
        <v>8</v>
      </c>
      <c r="C68" s="76" t="s">
        <v>92</v>
      </c>
      <c r="D68" s="66" t="s">
        <v>9</v>
      </c>
      <c r="E68" s="66" t="s">
        <v>9</v>
      </c>
      <c r="F68" s="66" t="s">
        <v>10</v>
      </c>
      <c r="G68" s="66" t="s">
        <v>10</v>
      </c>
      <c r="H68" s="66" t="s">
        <v>10</v>
      </c>
    </row>
    <row r="69" spans="2:9" ht="23.25" x14ac:dyDescent="0.35">
      <c r="B69" s="77"/>
      <c r="C69" s="77"/>
      <c r="D69" s="66" t="s">
        <v>159</v>
      </c>
      <c r="E69" s="66" t="s">
        <v>160</v>
      </c>
      <c r="F69" s="66" t="s">
        <v>161</v>
      </c>
      <c r="G69" s="66" t="s">
        <v>162</v>
      </c>
      <c r="H69" s="66" t="s">
        <v>163</v>
      </c>
    </row>
    <row r="70" spans="2:9" ht="20.25" x14ac:dyDescent="0.3">
      <c r="B70" s="15" t="s">
        <v>45</v>
      </c>
      <c r="C70" s="18"/>
      <c r="D70" s="8"/>
      <c r="E70" s="8"/>
      <c r="F70" s="8"/>
      <c r="G70" s="8"/>
      <c r="H70" s="8"/>
    </row>
    <row r="71" spans="2:9" ht="20.25" x14ac:dyDescent="0.3">
      <c r="B71" s="8" t="s">
        <v>46</v>
      </c>
      <c r="C71" s="18">
        <v>29</v>
      </c>
      <c r="D71" s="45">
        <f>+D59</f>
        <v>772536.4</v>
      </c>
      <c r="E71" s="45">
        <f t="shared" ref="E71:H71" si="24">+E59</f>
        <v>776323.94000000006</v>
      </c>
      <c r="F71" s="45">
        <f t="shared" si="24"/>
        <v>795230.56031025236</v>
      </c>
      <c r="G71" s="45">
        <f t="shared" si="24"/>
        <v>811299.14746468805</v>
      </c>
      <c r="H71" s="45">
        <f t="shared" si="24"/>
        <v>832989.40346157912</v>
      </c>
      <c r="I71" s="70"/>
    </row>
    <row r="72" spans="2:9" ht="20.25" x14ac:dyDescent="0.3">
      <c r="B72" s="9"/>
      <c r="C72" s="23"/>
      <c r="D72" s="47"/>
      <c r="E72" s="47"/>
      <c r="F72" s="47"/>
      <c r="G72" s="47"/>
      <c r="H72" s="47"/>
    </row>
    <row r="73" spans="2:9" ht="20.25" x14ac:dyDescent="0.3">
      <c r="B73" s="15" t="s">
        <v>47</v>
      </c>
      <c r="C73" s="78">
        <v>30</v>
      </c>
      <c r="D73" s="43"/>
      <c r="E73" s="43"/>
      <c r="F73" s="43"/>
      <c r="G73" s="43"/>
      <c r="H73" s="43"/>
    </row>
    <row r="74" spans="2:9" ht="20.25" x14ac:dyDescent="0.3">
      <c r="B74" s="10" t="s">
        <v>48</v>
      </c>
      <c r="C74" s="74"/>
      <c r="D74" s="47">
        <v>13500</v>
      </c>
      <c r="E74" s="40">
        <f>+D74*85%</f>
        <v>11475</v>
      </c>
      <c r="F74" s="40">
        <f t="shared" ref="F74:H75" si="25">+E74*85%</f>
        <v>9753.75</v>
      </c>
      <c r="G74" s="40">
        <f t="shared" si="25"/>
        <v>8290.6875</v>
      </c>
      <c r="H74" s="40">
        <f t="shared" si="25"/>
        <v>7047.0843749999995</v>
      </c>
      <c r="I74" s="70"/>
    </row>
    <row r="75" spans="2:9" ht="20.25" x14ac:dyDescent="0.3">
      <c r="B75" s="8" t="s">
        <v>49</v>
      </c>
      <c r="C75" s="74"/>
      <c r="D75" s="40">
        <v>14100</v>
      </c>
      <c r="E75" s="40">
        <f>+D75*85%</f>
        <v>11985</v>
      </c>
      <c r="F75" s="40">
        <f t="shared" si="25"/>
        <v>10187.25</v>
      </c>
      <c r="G75" s="40">
        <f t="shared" si="25"/>
        <v>8659.1625000000004</v>
      </c>
      <c r="H75" s="40">
        <f t="shared" si="25"/>
        <v>7360.288125</v>
      </c>
      <c r="I75" s="70"/>
    </row>
    <row r="76" spans="2:9" ht="20.25" x14ac:dyDescent="0.3">
      <c r="B76" s="8" t="s">
        <v>64</v>
      </c>
      <c r="C76" s="75"/>
      <c r="D76" s="40">
        <v>0</v>
      </c>
      <c r="E76" s="40">
        <v>0</v>
      </c>
      <c r="F76" s="40">
        <f>+'Dep, Interest &amp; MPBF Schedule'!F39</f>
        <v>100000</v>
      </c>
      <c r="G76" s="40">
        <f>+'Dep, Interest &amp; MPBF Schedule'!G39</f>
        <v>190000</v>
      </c>
      <c r="H76" s="40">
        <f>+'Dep, Interest &amp; MPBF Schedule'!H39</f>
        <v>190000</v>
      </c>
      <c r="I76" s="70"/>
    </row>
    <row r="77" spans="2:9" ht="20.25" x14ac:dyDescent="0.3">
      <c r="B77" s="8"/>
      <c r="C77" s="18"/>
      <c r="D77" s="41"/>
      <c r="E77" s="41"/>
      <c r="F77" s="41"/>
      <c r="G77" s="41"/>
      <c r="H77" s="41"/>
    </row>
    <row r="78" spans="2:9" ht="20.25" x14ac:dyDescent="0.3">
      <c r="B78" s="8" t="s">
        <v>51</v>
      </c>
      <c r="C78" s="73">
        <v>31</v>
      </c>
      <c r="D78" s="42"/>
      <c r="E78" s="43"/>
      <c r="F78" s="43"/>
      <c r="G78" s="43"/>
      <c r="H78" s="43"/>
    </row>
    <row r="79" spans="2:9" ht="20.25" x14ac:dyDescent="0.3">
      <c r="B79" s="8" t="s">
        <v>50</v>
      </c>
      <c r="C79" s="74"/>
      <c r="D79" s="47">
        <f>+D10*60/360</f>
        <v>114820.83333333333</v>
      </c>
      <c r="E79" s="47">
        <f>+E10*60/360</f>
        <v>120561.875</v>
      </c>
      <c r="F79" s="47">
        <f>+F10*60/360</f>
        <v>143596.8844697504</v>
      </c>
      <c r="G79" s="47">
        <f>+G10*60/360</f>
        <v>161342.10173381417</v>
      </c>
      <c r="H79" s="47">
        <f>+H10*60/360</f>
        <v>180893.42668529216</v>
      </c>
      <c r="I79" s="70"/>
    </row>
    <row r="80" spans="2:9" ht="20.25" x14ac:dyDescent="0.3">
      <c r="B80" s="8" t="s">
        <v>52</v>
      </c>
      <c r="C80" s="75"/>
      <c r="D80" s="41">
        <f>(D58/4)+(D34/12)</f>
        <v>2672.4833333333336</v>
      </c>
      <c r="E80" s="41">
        <f>(E58/4)+(E34/12)</f>
        <v>2883.8775000000005</v>
      </c>
      <c r="F80" s="41">
        <f>(F58/4)+(F34/12)</f>
        <v>4319.5702143562194</v>
      </c>
      <c r="G80" s="41">
        <f>(G58/4)+(G34/12)</f>
        <v>4525.685850495458</v>
      </c>
      <c r="H80" s="41">
        <f>(H58/4)+(H34/12)</f>
        <v>5299.5324315617036</v>
      </c>
      <c r="I80" s="70"/>
    </row>
    <row r="81" spans="2:9" ht="21" thickBot="1" x14ac:dyDescent="0.35">
      <c r="B81" s="9"/>
      <c r="C81" s="23"/>
      <c r="D81" s="41"/>
      <c r="E81" s="41"/>
      <c r="F81" s="41"/>
      <c r="G81" s="41"/>
      <c r="H81" s="41"/>
    </row>
    <row r="82" spans="2:9" ht="21" thickBot="1" x14ac:dyDescent="0.35">
      <c r="B82" s="26" t="s">
        <v>96</v>
      </c>
      <c r="C82" s="27" t="s">
        <v>97</v>
      </c>
      <c r="D82" s="50">
        <f>SUM(D71:D80)</f>
        <v>917629.71666666667</v>
      </c>
      <c r="E82" s="50">
        <f>SUM(E71:E80)</f>
        <v>923229.6925</v>
      </c>
      <c r="F82" s="50">
        <f>SUM(F71:F80)</f>
        <v>1063088.0149943591</v>
      </c>
      <c r="G82" s="50">
        <f>SUM(G71:G80)</f>
        <v>1184116.7850489977</v>
      </c>
      <c r="H82" s="50">
        <f>SUM(H71:H80)</f>
        <v>1223589.7350784328</v>
      </c>
    </row>
    <row r="83" spans="2:9" ht="20.25" x14ac:dyDescent="0.3">
      <c r="B83" s="10"/>
      <c r="C83" s="19"/>
      <c r="D83" s="47"/>
      <c r="E83" s="47"/>
      <c r="F83" s="47"/>
      <c r="G83" s="47"/>
      <c r="H83" s="47"/>
    </row>
    <row r="84" spans="2:9" ht="20.25" x14ac:dyDescent="0.3">
      <c r="B84" s="8" t="s">
        <v>53</v>
      </c>
      <c r="C84" s="18"/>
      <c r="D84" s="41"/>
      <c r="E84" s="41"/>
      <c r="F84" s="41"/>
      <c r="G84" s="41"/>
      <c r="H84" s="41"/>
    </row>
    <row r="85" spans="2:9" ht="20.25" x14ac:dyDescent="0.3">
      <c r="B85" s="8" t="s">
        <v>54</v>
      </c>
      <c r="C85" s="18">
        <v>32</v>
      </c>
      <c r="D85" s="41">
        <v>200000</v>
      </c>
      <c r="E85" s="41">
        <v>200000</v>
      </c>
      <c r="F85" s="41">
        <v>200000</v>
      </c>
      <c r="G85" s="41">
        <v>200000</v>
      </c>
      <c r="H85" s="41">
        <v>200000</v>
      </c>
    </row>
    <row r="86" spans="2:9" ht="20.25" x14ac:dyDescent="0.3">
      <c r="B86" s="8" t="s">
        <v>55</v>
      </c>
      <c r="C86" s="18">
        <v>33</v>
      </c>
      <c r="D86" s="41">
        <f>+'Dep, Interest &amp; MPBF Schedule'!D27</f>
        <v>270430</v>
      </c>
      <c r="E86" s="41">
        <f>+'Dep, Interest &amp; MPBF Schedule'!E27</f>
        <v>266387</v>
      </c>
      <c r="F86" s="41">
        <f>+'Dep, Interest &amp; MPBF Schedule'!F27</f>
        <v>269798.30000000005</v>
      </c>
      <c r="G86" s="41">
        <f>+'Dep, Interest &amp; MPBF Schedule'!G27</f>
        <v>266318.47000000009</v>
      </c>
      <c r="H86" s="41">
        <f>+'Dep, Interest &amp; MPBF Schedule'!H27</f>
        <v>281986.62299999996</v>
      </c>
      <c r="I86" s="70"/>
    </row>
    <row r="87" spans="2:9" ht="20.25" x14ac:dyDescent="0.3">
      <c r="B87" s="8"/>
      <c r="C87" s="18"/>
      <c r="D87" s="41"/>
      <c r="E87" s="41"/>
      <c r="F87" s="41"/>
      <c r="G87" s="41"/>
      <c r="H87" s="41"/>
    </row>
    <row r="88" spans="2:9" ht="20.25" x14ac:dyDescent="0.3">
      <c r="B88" s="8" t="s">
        <v>56</v>
      </c>
      <c r="C88" s="18">
        <v>34</v>
      </c>
      <c r="D88" s="41">
        <v>25000</v>
      </c>
      <c r="E88" s="41">
        <f>+D88*110%</f>
        <v>27500.000000000004</v>
      </c>
      <c r="F88" s="41">
        <f>+E88*110%</f>
        <v>30250.000000000007</v>
      </c>
      <c r="G88" s="41">
        <f>(F88+(G76/4))*105%</f>
        <v>81637.5</v>
      </c>
      <c r="H88" s="41">
        <f t="shared" ref="H88" si="26">+G88*110%</f>
        <v>89801.25</v>
      </c>
      <c r="I88" s="70"/>
    </row>
    <row r="89" spans="2:9" ht="20.25" x14ac:dyDescent="0.3">
      <c r="B89" s="8"/>
      <c r="C89" s="18"/>
      <c r="D89" s="41"/>
      <c r="E89" s="41"/>
      <c r="F89" s="41"/>
      <c r="G89" s="41"/>
      <c r="H89" s="41"/>
    </row>
    <row r="90" spans="2:9" ht="20.25" x14ac:dyDescent="0.3">
      <c r="B90" s="8" t="s">
        <v>57</v>
      </c>
      <c r="C90" s="73">
        <v>35</v>
      </c>
      <c r="D90" s="42"/>
      <c r="E90" s="43"/>
      <c r="F90" s="43"/>
      <c r="G90" s="43"/>
      <c r="H90" s="43"/>
    </row>
    <row r="91" spans="2:9" ht="20.25" x14ac:dyDescent="0.3">
      <c r="B91" s="8" t="s">
        <v>58</v>
      </c>
      <c r="C91" s="74"/>
      <c r="D91" s="47">
        <v>15000</v>
      </c>
      <c r="E91" s="47">
        <f>+D91*105%</f>
        <v>15750</v>
      </c>
      <c r="F91" s="47">
        <f t="shared" ref="F91:H91" si="27">+E91*105%</f>
        <v>16537.5</v>
      </c>
      <c r="G91" s="47">
        <f t="shared" si="27"/>
        <v>17364.375</v>
      </c>
      <c r="H91" s="47">
        <f t="shared" si="27"/>
        <v>18232.59375</v>
      </c>
      <c r="I91" s="70"/>
    </row>
    <row r="92" spans="2:9" ht="20.25" x14ac:dyDescent="0.3">
      <c r="B92" s="8" t="s">
        <v>59</v>
      </c>
      <c r="C92" s="74"/>
      <c r="D92" s="40">
        <f>+D5*75/360</f>
        <v>168854.16666666666</v>
      </c>
      <c r="E92" s="40">
        <f>+E5*75/360</f>
        <v>177296.875</v>
      </c>
      <c r="F92" s="40">
        <f>+F5*75/360</f>
        <v>211171.88892610351</v>
      </c>
      <c r="G92" s="40">
        <f>+G5*75/360</f>
        <v>237267.7966673738</v>
      </c>
      <c r="H92" s="40">
        <f>+H5*75/360</f>
        <v>266019.74512542965</v>
      </c>
      <c r="I92" s="70"/>
    </row>
    <row r="93" spans="2:9" ht="20.25" x14ac:dyDescent="0.3">
      <c r="B93" s="8" t="s">
        <v>12</v>
      </c>
      <c r="C93" s="74"/>
      <c r="D93" s="41">
        <f>+D6</f>
        <v>202625</v>
      </c>
      <c r="E93" s="41">
        <f t="shared" ref="E93:H93" si="28">+E6</f>
        <v>212756.25</v>
      </c>
      <c r="F93" s="41">
        <f t="shared" si="28"/>
        <v>253406.26671132422</v>
      </c>
      <c r="G93" s="41">
        <f t="shared" si="28"/>
        <v>284721.35600084858</v>
      </c>
      <c r="H93" s="41">
        <f t="shared" si="28"/>
        <v>319223.6941505156</v>
      </c>
      <c r="I93" s="70"/>
    </row>
    <row r="94" spans="2:9" ht="20.25" x14ac:dyDescent="0.3">
      <c r="B94" s="8" t="s">
        <v>60</v>
      </c>
      <c r="C94" s="74"/>
      <c r="D94" s="41">
        <v>13500</v>
      </c>
      <c r="E94" s="40">
        <f>+D94*105%</f>
        <v>14175</v>
      </c>
      <c r="F94" s="40">
        <f t="shared" ref="F94:H94" si="29">+E94*105%</f>
        <v>14883.75</v>
      </c>
      <c r="G94" s="40">
        <f t="shared" si="29"/>
        <v>15627.9375</v>
      </c>
      <c r="H94" s="40">
        <f t="shared" si="29"/>
        <v>16409.334375000002</v>
      </c>
    </row>
    <row r="95" spans="2:9" ht="20.25" x14ac:dyDescent="0.3">
      <c r="B95" s="8" t="s">
        <v>61</v>
      </c>
      <c r="C95" s="75"/>
      <c r="D95" s="41">
        <f>(((D82-(SUM(D85:D94)))))</f>
        <v>22220.550000000047</v>
      </c>
      <c r="E95" s="41">
        <f t="shared" ref="E95:H95" si="30">(((E82-(SUM(E85:E94)))))</f>
        <v>9364.5675000000047</v>
      </c>
      <c r="F95" s="41">
        <f t="shared" si="30"/>
        <v>67040.309356931364</v>
      </c>
      <c r="G95" s="41">
        <f t="shared" si="30"/>
        <v>81179.349880775204</v>
      </c>
      <c r="H95" s="41">
        <f t="shared" si="30"/>
        <v>31916.494677487528</v>
      </c>
    </row>
    <row r="96" spans="2:9" ht="21" thickBot="1" x14ac:dyDescent="0.35">
      <c r="B96" s="9"/>
      <c r="C96" s="24"/>
      <c r="D96" s="41"/>
      <c r="E96" s="41"/>
      <c r="F96" s="41"/>
      <c r="G96" s="41"/>
      <c r="H96" s="41"/>
    </row>
    <row r="97" spans="2:8" ht="21" thickBot="1" x14ac:dyDescent="0.35">
      <c r="B97" s="26" t="s">
        <v>98</v>
      </c>
      <c r="C97" s="27" t="s">
        <v>97</v>
      </c>
      <c r="D97" s="49">
        <f>SUM(D85:D95)</f>
        <v>917629.71666666667</v>
      </c>
      <c r="E97" s="49">
        <f t="shared" ref="E97:H97" si="31">SUM(E85:E95)</f>
        <v>923229.6925</v>
      </c>
      <c r="F97" s="49">
        <f t="shared" si="31"/>
        <v>1063088.0149943591</v>
      </c>
      <c r="G97" s="49">
        <f t="shared" si="31"/>
        <v>1184116.7850489977</v>
      </c>
      <c r="H97" s="49">
        <f t="shared" si="31"/>
        <v>1223589.7350784328</v>
      </c>
    </row>
    <row r="98" spans="2:8" ht="20.25" x14ac:dyDescent="0.3">
      <c r="B98" s="5"/>
      <c r="C98" s="19"/>
      <c r="D98" s="7"/>
      <c r="E98" s="10"/>
      <c r="F98" s="10"/>
      <c r="G98" s="10"/>
      <c r="H98" s="10"/>
    </row>
    <row r="100" spans="2:8" ht="23.25" x14ac:dyDescent="0.35">
      <c r="B100" s="25" t="s">
        <v>62</v>
      </c>
      <c r="F100" s="14" t="s">
        <v>126</v>
      </c>
    </row>
    <row r="101" spans="2:8" ht="23.25" x14ac:dyDescent="0.35">
      <c r="B101" s="13"/>
      <c r="F101" s="14"/>
    </row>
    <row r="102" spans="2:8" ht="23.25" x14ac:dyDescent="0.35">
      <c r="B102" s="25" t="s">
        <v>63</v>
      </c>
      <c r="F102" s="14"/>
    </row>
    <row r="103" spans="2:8" ht="21" x14ac:dyDescent="0.35">
      <c r="F103" s="14" t="s">
        <v>29</v>
      </c>
    </row>
  </sheetData>
  <mergeCells count="19">
    <mergeCell ref="B2:H2"/>
    <mergeCell ref="C14:C16"/>
    <mergeCell ref="C11:C13"/>
    <mergeCell ref="B27:H27"/>
    <mergeCell ref="C30:C32"/>
    <mergeCell ref="C78:C80"/>
    <mergeCell ref="C90:C95"/>
    <mergeCell ref="B3:B4"/>
    <mergeCell ref="C3:C4"/>
    <mergeCell ref="B28:B29"/>
    <mergeCell ref="C28:C29"/>
    <mergeCell ref="B52:B53"/>
    <mergeCell ref="C52:C53"/>
    <mergeCell ref="B68:B69"/>
    <mergeCell ref="C33:C35"/>
    <mergeCell ref="B51:H51"/>
    <mergeCell ref="B67:H67"/>
    <mergeCell ref="C73:C76"/>
    <mergeCell ref="C68:C69"/>
  </mergeCells>
  <pageMargins left="0.22" right="0.18" top="0.94" bottom="0.19" header="0.09" footer="7.0000000000000007E-2"/>
  <pageSetup scale="77" orientation="portrait" horizontalDpi="300" verticalDpi="0" r:id="rId1"/>
  <rowBreaks count="3" manualBreakCount="3">
    <brk id="25" max="16383" man="1"/>
    <brk id="49" max="7" man="1"/>
    <brk id="64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59"/>
  <sheetViews>
    <sheetView showGridLines="0" view="pageBreakPreview" zoomScale="60" zoomScaleNormal="100" workbookViewId="0">
      <selection activeCell="D19" sqref="D19"/>
    </sheetView>
  </sheetViews>
  <sheetFormatPr defaultRowHeight="15" x14ac:dyDescent="0.25"/>
  <cols>
    <col min="1" max="1" width="1.140625" customWidth="1"/>
    <col min="2" max="2" width="34.42578125" customWidth="1"/>
    <col min="3" max="3" width="15.42578125" customWidth="1"/>
    <col min="4" max="6" width="13.5703125" bestFit="1" customWidth="1"/>
    <col min="7" max="7" width="13.85546875" customWidth="1"/>
    <col min="8" max="8" width="13.5703125" bestFit="1" customWidth="1"/>
  </cols>
  <sheetData>
    <row r="2" spans="2:8" ht="29.25" x14ac:dyDescent="0.5">
      <c r="B2" s="79" t="s">
        <v>123</v>
      </c>
      <c r="C2" s="80"/>
      <c r="D2" s="80"/>
      <c r="E2" s="80"/>
      <c r="F2" s="80"/>
      <c r="G2" s="80"/>
      <c r="H2" s="80"/>
    </row>
    <row r="3" spans="2:8" ht="23.25" x14ac:dyDescent="0.35">
      <c r="B3" s="76" t="s">
        <v>8</v>
      </c>
      <c r="C3" s="76" t="s">
        <v>92</v>
      </c>
      <c r="D3" s="66" t="s">
        <v>9</v>
      </c>
      <c r="E3" s="66" t="s">
        <v>9</v>
      </c>
      <c r="F3" s="66" t="s">
        <v>10</v>
      </c>
      <c r="G3" s="66" t="s">
        <v>10</v>
      </c>
      <c r="H3" s="66" t="s">
        <v>10</v>
      </c>
    </row>
    <row r="4" spans="2:8" ht="23.25" x14ac:dyDescent="0.35">
      <c r="B4" s="77"/>
      <c r="C4" s="77"/>
      <c r="D4" s="66" t="s">
        <v>159</v>
      </c>
      <c r="E4" s="66" t="s">
        <v>160</v>
      </c>
      <c r="F4" s="66" t="s">
        <v>161</v>
      </c>
      <c r="G4" s="66" t="s">
        <v>162</v>
      </c>
      <c r="H4" s="66" t="s">
        <v>163</v>
      </c>
    </row>
    <row r="5" spans="2:8" ht="20.25" x14ac:dyDescent="0.3">
      <c r="B5" s="54" t="s">
        <v>69</v>
      </c>
      <c r="C5" s="20" t="s">
        <v>76</v>
      </c>
      <c r="D5" s="40">
        <v>150100</v>
      </c>
      <c r="E5" s="40">
        <f>+D9-D10</f>
        <v>139590</v>
      </c>
      <c r="F5" s="40">
        <f t="shared" ref="F5:H5" si="0">+E9-E10</f>
        <v>125631</v>
      </c>
      <c r="G5" s="40">
        <f t="shared" si="0"/>
        <v>126567.9</v>
      </c>
      <c r="H5" s="40">
        <f t="shared" si="0"/>
        <v>132911.10999999999</v>
      </c>
    </row>
    <row r="6" spans="2:8" ht="20.25" x14ac:dyDescent="0.3">
      <c r="B6" s="54" t="s">
        <v>66</v>
      </c>
      <c r="C6" s="20" t="s">
        <v>77</v>
      </c>
      <c r="D6" s="40">
        <v>10000</v>
      </c>
      <c r="E6" s="40">
        <v>0</v>
      </c>
      <c r="F6" s="40">
        <v>15000</v>
      </c>
      <c r="G6" s="40">
        <v>0</v>
      </c>
      <c r="H6" s="40">
        <v>25000</v>
      </c>
    </row>
    <row r="7" spans="2:8" ht="20.25" x14ac:dyDescent="0.3">
      <c r="B7" s="54" t="s">
        <v>67</v>
      </c>
      <c r="C7" s="20" t="s">
        <v>78</v>
      </c>
      <c r="D7" s="40">
        <v>0</v>
      </c>
      <c r="E7" s="40">
        <v>0</v>
      </c>
      <c r="F7" s="40">
        <v>0</v>
      </c>
      <c r="G7" s="40">
        <v>20000</v>
      </c>
      <c r="H7" s="40">
        <v>0</v>
      </c>
    </row>
    <row r="8" spans="2:8" ht="20.25" x14ac:dyDescent="0.3">
      <c r="B8" s="54" t="s">
        <v>65</v>
      </c>
      <c r="C8" s="20" t="s">
        <v>79</v>
      </c>
      <c r="D8" s="40">
        <v>5000</v>
      </c>
      <c r="E8" s="40">
        <v>0</v>
      </c>
      <c r="F8" s="40">
        <v>0</v>
      </c>
      <c r="G8" s="40">
        <v>0</v>
      </c>
      <c r="H8" s="40">
        <v>0</v>
      </c>
    </row>
    <row r="9" spans="2:8" ht="20.25" x14ac:dyDescent="0.3">
      <c r="B9" s="54" t="s">
        <v>70</v>
      </c>
      <c r="C9" s="20" t="s">
        <v>83</v>
      </c>
      <c r="D9" s="40">
        <f>(D5+D6+D7-D8)</f>
        <v>155100</v>
      </c>
      <c r="E9" s="40">
        <f t="shared" ref="E9:H9" si="1">(E5+E6+E7-E8)</f>
        <v>139590</v>
      </c>
      <c r="F9" s="40">
        <f t="shared" si="1"/>
        <v>140631</v>
      </c>
      <c r="G9" s="40">
        <f t="shared" si="1"/>
        <v>146567.9</v>
      </c>
      <c r="H9" s="40">
        <f t="shared" si="1"/>
        <v>157911.10999999999</v>
      </c>
    </row>
    <row r="10" spans="2:8" ht="20.25" x14ac:dyDescent="0.3">
      <c r="B10" s="54" t="s">
        <v>80</v>
      </c>
      <c r="C10" s="20">
        <v>36</v>
      </c>
      <c r="D10" s="40">
        <f>((D5+D6-D8)*10%+(D7/2)*10%)</f>
        <v>15510</v>
      </c>
      <c r="E10" s="40">
        <f t="shared" ref="E10:H10" si="2">((E5+E6-E8)*10%+(E7/2)*10%)</f>
        <v>13959</v>
      </c>
      <c r="F10" s="40">
        <f t="shared" si="2"/>
        <v>14063.1</v>
      </c>
      <c r="G10" s="40">
        <f t="shared" si="2"/>
        <v>13656.79</v>
      </c>
      <c r="H10" s="40">
        <f t="shared" si="2"/>
        <v>15791.110999999999</v>
      </c>
    </row>
    <row r="11" spans="2:8" ht="20.25" x14ac:dyDescent="0.3">
      <c r="B11" s="54"/>
      <c r="C11" s="20"/>
      <c r="D11" s="40"/>
      <c r="E11" s="40"/>
      <c r="F11" s="40"/>
      <c r="G11" s="40"/>
      <c r="H11" s="40"/>
    </row>
    <row r="12" spans="2:8" ht="20.25" x14ac:dyDescent="0.3">
      <c r="B12" s="54" t="s">
        <v>68</v>
      </c>
      <c r="C12" s="20" t="s">
        <v>76</v>
      </c>
      <c r="D12" s="40">
        <v>112500</v>
      </c>
      <c r="E12" s="40">
        <f>+D16-D17</f>
        <v>114550</v>
      </c>
      <c r="F12" s="40">
        <f t="shared" ref="F12:H12" si="3">+E16-E17</f>
        <v>126095</v>
      </c>
      <c r="G12" s="40">
        <f t="shared" si="3"/>
        <v>119235.5</v>
      </c>
      <c r="H12" s="40">
        <f t="shared" si="3"/>
        <v>111811.95</v>
      </c>
    </row>
    <row r="13" spans="2:8" ht="20.25" x14ac:dyDescent="0.3">
      <c r="B13" s="54" t="s">
        <v>66</v>
      </c>
      <c r="C13" s="20" t="s">
        <v>77</v>
      </c>
      <c r="D13" s="40">
        <v>0</v>
      </c>
      <c r="E13" s="40">
        <v>15000</v>
      </c>
      <c r="F13" s="40">
        <v>0</v>
      </c>
      <c r="G13" s="40">
        <v>25000</v>
      </c>
      <c r="H13" s="40">
        <v>30000</v>
      </c>
    </row>
    <row r="14" spans="2:8" ht="20.25" x14ac:dyDescent="0.3">
      <c r="B14" s="54" t="s">
        <v>67</v>
      </c>
      <c r="C14" s="20" t="s">
        <v>78</v>
      </c>
      <c r="D14" s="40">
        <v>14000</v>
      </c>
      <c r="E14" s="40">
        <v>10000</v>
      </c>
      <c r="F14" s="40">
        <v>25000</v>
      </c>
      <c r="G14" s="40">
        <v>0</v>
      </c>
      <c r="H14" s="40">
        <v>0</v>
      </c>
    </row>
    <row r="15" spans="2:8" ht="20.25" x14ac:dyDescent="0.3">
      <c r="B15" s="54" t="s">
        <v>65</v>
      </c>
      <c r="C15" s="20" t="s">
        <v>79</v>
      </c>
      <c r="D15" s="40">
        <v>0</v>
      </c>
      <c r="E15" s="40">
        <v>0</v>
      </c>
      <c r="F15" s="40">
        <v>20000</v>
      </c>
      <c r="G15" s="40">
        <v>20000</v>
      </c>
      <c r="H15" s="40">
        <v>0</v>
      </c>
    </row>
    <row r="16" spans="2:8" ht="20.25" x14ac:dyDescent="0.3">
      <c r="B16" s="54" t="s">
        <v>71</v>
      </c>
      <c r="C16" s="20" t="s">
        <v>83</v>
      </c>
      <c r="D16" s="40">
        <f>(D12+D13+D14-D15)</f>
        <v>126500</v>
      </c>
      <c r="E16" s="40">
        <f t="shared" ref="E16" si="4">(E12+E13+E14-E15)</f>
        <v>139550</v>
      </c>
      <c r="F16" s="40">
        <f t="shared" ref="F16" si="5">(F12+F13+F14-F15)</f>
        <v>131095</v>
      </c>
      <c r="G16" s="40">
        <f t="shared" ref="G16" si="6">(G12+G13+G14-G15)</f>
        <v>124235.5</v>
      </c>
      <c r="H16" s="40">
        <f t="shared" ref="H16" si="7">(H12+H13+H14-H15)</f>
        <v>141811.95000000001</v>
      </c>
    </row>
    <row r="17" spans="2:8" ht="20.25" x14ac:dyDescent="0.3">
      <c r="B17" s="54" t="s">
        <v>81</v>
      </c>
      <c r="C17" s="20">
        <v>37</v>
      </c>
      <c r="D17" s="40">
        <f>((D12+D13-D15)*10%+(D14/2)*10%)</f>
        <v>11950</v>
      </c>
      <c r="E17" s="40">
        <f t="shared" ref="E17:H17" si="8">((E12+E13-E15)*10%+(E14/2)*10%)</f>
        <v>13455</v>
      </c>
      <c r="F17" s="40">
        <f t="shared" si="8"/>
        <v>11859.5</v>
      </c>
      <c r="G17" s="40">
        <f t="shared" si="8"/>
        <v>12423.550000000001</v>
      </c>
      <c r="H17" s="40">
        <f t="shared" si="8"/>
        <v>14181.195000000002</v>
      </c>
    </row>
    <row r="18" spans="2:8" ht="20.25" x14ac:dyDescent="0.3">
      <c r="B18" s="54"/>
      <c r="C18" s="20"/>
      <c r="D18" s="40"/>
      <c r="E18" s="40"/>
      <c r="F18" s="40"/>
      <c r="G18" s="40"/>
      <c r="H18" s="40"/>
    </row>
    <row r="19" spans="2:8" ht="20.25" x14ac:dyDescent="0.3">
      <c r="B19" s="54" t="s">
        <v>73</v>
      </c>
      <c r="C19" s="20" t="s">
        <v>76</v>
      </c>
      <c r="D19" s="40">
        <v>18100</v>
      </c>
      <c r="E19" s="40">
        <f>+D23-D24</f>
        <v>16290</v>
      </c>
      <c r="F19" s="40">
        <f t="shared" ref="F19:H19" si="9">+E23-E24</f>
        <v>14661</v>
      </c>
      <c r="G19" s="40">
        <f t="shared" si="9"/>
        <v>23994.9</v>
      </c>
      <c r="H19" s="40">
        <f t="shared" si="9"/>
        <v>21595.41</v>
      </c>
    </row>
    <row r="20" spans="2:8" ht="20.25" x14ac:dyDescent="0.3">
      <c r="B20" s="54" t="s">
        <v>66</v>
      </c>
      <c r="C20" s="20" t="s">
        <v>77</v>
      </c>
      <c r="D20" s="40">
        <v>0</v>
      </c>
      <c r="E20" s="40">
        <v>0</v>
      </c>
      <c r="F20" s="40">
        <v>12000</v>
      </c>
      <c r="G20" s="40">
        <v>0</v>
      </c>
      <c r="H20" s="40">
        <v>0</v>
      </c>
    </row>
    <row r="21" spans="2:8" ht="20.25" x14ac:dyDescent="0.3">
      <c r="B21" s="54" t="s">
        <v>67</v>
      </c>
      <c r="C21" s="20" t="s">
        <v>78</v>
      </c>
      <c r="D21" s="40">
        <v>0</v>
      </c>
      <c r="E21" s="40">
        <v>0</v>
      </c>
      <c r="F21" s="40">
        <v>0</v>
      </c>
      <c r="G21" s="40">
        <v>0</v>
      </c>
      <c r="H21" s="40">
        <v>0</v>
      </c>
    </row>
    <row r="22" spans="2:8" ht="20.25" x14ac:dyDescent="0.3">
      <c r="B22" s="54" t="s">
        <v>65</v>
      </c>
      <c r="C22" s="20" t="s">
        <v>79</v>
      </c>
      <c r="D22" s="40">
        <v>0</v>
      </c>
      <c r="E22" s="40">
        <v>0</v>
      </c>
      <c r="F22" s="40">
        <v>0</v>
      </c>
      <c r="G22" s="40">
        <v>0</v>
      </c>
      <c r="H22" s="40">
        <v>8000</v>
      </c>
    </row>
    <row r="23" spans="2:8" ht="20.25" x14ac:dyDescent="0.3">
      <c r="B23" s="54" t="s">
        <v>72</v>
      </c>
      <c r="C23" s="20" t="s">
        <v>83</v>
      </c>
      <c r="D23" s="40">
        <f>(D19+D20+D21-D22)</f>
        <v>18100</v>
      </c>
      <c r="E23" s="40">
        <f t="shared" ref="E23" si="10">(E19+E20+E21-E22)</f>
        <v>16290</v>
      </c>
      <c r="F23" s="40">
        <f t="shared" ref="F23" si="11">(F19+F20+F21-F22)</f>
        <v>26661</v>
      </c>
      <c r="G23" s="40">
        <f t="shared" ref="G23" si="12">(G19+G20+G21-G22)</f>
        <v>23994.9</v>
      </c>
      <c r="H23" s="40">
        <f t="shared" ref="H23" si="13">(H19+H20+H21-H22)</f>
        <v>13595.41</v>
      </c>
    </row>
    <row r="24" spans="2:8" ht="20.25" x14ac:dyDescent="0.3">
      <c r="B24" s="54" t="s">
        <v>82</v>
      </c>
      <c r="C24" s="20">
        <v>38</v>
      </c>
      <c r="D24" s="40">
        <f>((D19+D20-D22)*10%+(D21/2)*10%)</f>
        <v>1810</v>
      </c>
      <c r="E24" s="40">
        <f t="shared" ref="E24:H24" si="14">((E19+E20-E22)*10%+(E21/2)*10%)</f>
        <v>1629</v>
      </c>
      <c r="F24" s="40">
        <f t="shared" si="14"/>
        <v>2666.1000000000004</v>
      </c>
      <c r="G24" s="40">
        <f t="shared" si="14"/>
        <v>2399.4900000000002</v>
      </c>
      <c r="H24" s="40">
        <f t="shared" si="14"/>
        <v>1359.5410000000002</v>
      </c>
    </row>
    <row r="25" spans="2:8" ht="19.5" thickBot="1" x14ac:dyDescent="0.35">
      <c r="B25" s="12"/>
      <c r="D25" s="51"/>
      <c r="E25" s="51"/>
      <c r="F25" s="51"/>
      <c r="G25" s="51"/>
      <c r="H25" s="51"/>
    </row>
    <row r="26" spans="2:8" ht="20.25" x14ac:dyDescent="0.3">
      <c r="B26" s="55" t="s">
        <v>74</v>
      </c>
      <c r="C26" s="30" t="s">
        <v>100</v>
      </c>
      <c r="D26" s="52">
        <f>+D10+D17+D24</f>
        <v>29270</v>
      </c>
      <c r="E26" s="52">
        <f t="shared" ref="E26:H26" si="15">+E10+E17+E24</f>
        <v>29043</v>
      </c>
      <c r="F26" s="52">
        <f t="shared" si="15"/>
        <v>28588.699999999997</v>
      </c>
      <c r="G26" s="52">
        <f t="shared" si="15"/>
        <v>28479.830000000005</v>
      </c>
      <c r="H26" s="52">
        <f t="shared" si="15"/>
        <v>31331.847000000002</v>
      </c>
    </row>
    <row r="27" spans="2:8" ht="21" thickBot="1" x14ac:dyDescent="0.35">
      <c r="B27" s="56" t="s">
        <v>75</v>
      </c>
      <c r="C27" s="31">
        <v>40</v>
      </c>
      <c r="D27" s="53">
        <f>(D9+D16+D23-D10-D17-D24)</f>
        <v>270430</v>
      </c>
      <c r="E27" s="53">
        <f t="shared" ref="E27:H27" si="16">(E9+E16+E23-E10-E17-E24)</f>
        <v>266387</v>
      </c>
      <c r="F27" s="53">
        <f t="shared" si="16"/>
        <v>269798.30000000005</v>
      </c>
      <c r="G27" s="53">
        <f t="shared" si="16"/>
        <v>266318.47000000009</v>
      </c>
      <c r="H27" s="53">
        <f t="shared" si="16"/>
        <v>281986.62299999996</v>
      </c>
    </row>
    <row r="29" spans="2:8" ht="23.25" x14ac:dyDescent="0.35">
      <c r="B29" s="25" t="s">
        <v>62</v>
      </c>
      <c r="F29" s="14" t="s">
        <v>126</v>
      </c>
    </row>
    <row r="30" spans="2:8" ht="23.25" x14ac:dyDescent="0.35">
      <c r="B30" s="13"/>
      <c r="F30" s="14"/>
      <c r="H30" s="14"/>
    </row>
    <row r="31" spans="2:8" ht="23.25" x14ac:dyDescent="0.35">
      <c r="B31" s="25" t="s">
        <v>63</v>
      </c>
      <c r="F31" s="14"/>
      <c r="H31" s="14"/>
    </row>
    <row r="32" spans="2:8" ht="21" x14ac:dyDescent="0.35">
      <c r="F32" s="14" t="s">
        <v>29</v>
      </c>
    </row>
    <row r="34" spans="2:8" ht="29.25" x14ac:dyDescent="0.5">
      <c r="B34" s="79" t="s">
        <v>124</v>
      </c>
      <c r="C34" s="80"/>
      <c r="D34" s="80"/>
      <c r="E34" s="80"/>
      <c r="F34" s="80"/>
      <c r="G34" s="80"/>
      <c r="H34" s="80"/>
    </row>
    <row r="35" spans="2:8" ht="23.25" x14ac:dyDescent="0.35">
      <c r="B35" s="76" t="s">
        <v>8</v>
      </c>
      <c r="C35" s="76" t="s">
        <v>92</v>
      </c>
      <c r="D35" s="66" t="s">
        <v>9</v>
      </c>
      <c r="E35" s="66" t="s">
        <v>9</v>
      </c>
      <c r="F35" s="66" t="s">
        <v>10</v>
      </c>
      <c r="G35" s="66" t="s">
        <v>10</v>
      </c>
      <c r="H35" s="66" t="s">
        <v>10</v>
      </c>
    </row>
    <row r="36" spans="2:8" ht="23.25" x14ac:dyDescent="0.35">
      <c r="B36" s="77"/>
      <c r="C36" s="77"/>
      <c r="D36" s="66" t="s">
        <v>159</v>
      </c>
      <c r="E36" s="66" t="s">
        <v>160</v>
      </c>
      <c r="F36" s="66" t="s">
        <v>161</v>
      </c>
      <c r="G36" s="66" t="s">
        <v>162</v>
      </c>
      <c r="H36" s="66" t="s">
        <v>163</v>
      </c>
    </row>
    <row r="37" spans="2:8" ht="20.25" x14ac:dyDescent="0.3">
      <c r="B37" s="54" t="s">
        <v>84</v>
      </c>
      <c r="C37" s="20" t="s">
        <v>76</v>
      </c>
      <c r="D37" s="40"/>
      <c r="E37" s="40"/>
      <c r="F37" s="40">
        <f>+'Title Page'!G10</f>
        <v>200000</v>
      </c>
      <c r="G37" s="40">
        <f t="shared" ref="G37:H37" si="17">+F37</f>
        <v>200000</v>
      </c>
      <c r="H37" s="40">
        <f t="shared" si="17"/>
        <v>200000</v>
      </c>
    </row>
    <row r="38" spans="2:8" ht="20.25" x14ac:dyDescent="0.3">
      <c r="B38" s="54" t="s">
        <v>108</v>
      </c>
      <c r="C38" s="20" t="s">
        <v>77</v>
      </c>
      <c r="D38" s="64"/>
      <c r="E38" s="64"/>
      <c r="F38" s="64">
        <v>0.5</v>
      </c>
      <c r="G38" s="64">
        <v>0.95</v>
      </c>
      <c r="H38" s="64">
        <v>0.95</v>
      </c>
    </row>
    <row r="39" spans="2:8" ht="20.25" x14ac:dyDescent="0.3">
      <c r="B39" s="54" t="s">
        <v>107</v>
      </c>
      <c r="C39" s="32"/>
      <c r="D39" s="41"/>
      <c r="E39" s="41"/>
      <c r="F39" s="41">
        <f>+F37*F38</f>
        <v>100000</v>
      </c>
      <c r="G39" s="41">
        <f t="shared" ref="G39:H39" si="18">+G37*G38</f>
        <v>190000</v>
      </c>
      <c r="H39" s="41">
        <f t="shared" si="18"/>
        <v>190000</v>
      </c>
    </row>
    <row r="40" spans="2:8" ht="21" thickBot="1" x14ac:dyDescent="0.35">
      <c r="B40" s="57" t="s">
        <v>94</v>
      </c>
      <c r="C40" s="32" t="s">
        <v>78</v>
      </c>
      <c r="D40" s="60">
        <v>0.12</v>
      </c>
      <c r="E40" s="60">
        <v>0.12</v>
      </c>
      <c r="F40" s="60">
        <v>0.12</v>
      </c>
      <c r="G40" s="60">
        <v>0.12</v>
      </c>
      <c r="H40" s="60">
        <v>0.12</v>
      </c>
    </row>
    <row r="41" spans="2:8" ht="21" thickBot="1" x14ac:dyDescent="0.35">
      <c r="B41" s="58" t="s">
        <v>85</v>
      </c>
      <c r="C41" s="33">
        <v>41</v>
      </c>
      <c r="D41" s="50">
        <v>0</v>
      </c>
      <c r="E41" s="50">
        <v>0</v>
      </c>
      <c r="F41" s="50">
        <f>+F39*F40</f>
        <v>12000</v>
      </c>
      <c r="G41" s="50">
        <f t="shared" ref="G41:H41" si="19">+G39*G40</f>
        <v>22800</v>
      </c>
      <c r="H41" s="50">
        <f t="shared" si="19"/>
        <v>22800</v>
      </c>
    </row>
    <row r="43" spans="2:8" ht="29.25" x14ac:dyDescent="0.5">
      <c r="B43" s="79" t="s">
        <v>125</v>
      </c>
      <c r="C43" s="80"/>
      <c r="D43" s="80"/>
      <c r="E43" s="80"/>
      <c r="F43" s="80"/>
      <c r="G43" s="80"/>
      <c r="H43" s="80"/>
    </row>
    <row r="44" spans="2:8" ht="23.25" x14ac:dyDescent="0.35">
      <c r="B44" s="76" t="s">
        <v>8</v>
      </c>
      <c r="C44" s="76" t="s">
        <v>92</v>
      </c>
      <c r="D44" s="66" t="s">
        <v>9</v>
      </c>
      <c r="E44" s="66" t="s">
        <v>9</v>
      </c>
      <c r="F44" s="66" t="s">
        <v>10</v>
      </c>
      <c r="G44" s="66" t="s">
        <v>10</v>
      </c>
      <c r="H44" s="66" t="s">
        <v>10</v>
      </c>
    </row>
    <row r="45" spans="2:8" ht="23.25" x14ac:dyDescent="0.35">
      <c r="B45" s="77"/>
      <c r="C45" s="77"/>
      <c r="D45" s="66" t="s">
        <v>159</v>
      </c>
      <c r="E45" s="66" t="s">
        <v>160</v>
      </c>
      <c r="F45" s="66" t="s">
        <v>161</v>
      </c>
      <c r="G45" s="66" t="s">
        <v>162</v>
      </c>
      <c r="H45" s="66" t="s">
        <v>163</v>
      </c>
    </row>
    <row r="46" spans="2:8" ht="20.25" x14ac:dyDescent="0.3">
      <c r="B46" s="8" t="s">
        <v>86</v>
      </c>
      <c r="C46" s="20" t="s">
        <v>76</v>
      </c>
      <c r="D46" s="40">
        <f>+'Project Report'!D93</f>
        <v>202625</v>
      </c>
      <c r="E46" s="40">
        <f>+'Project Report'!E93</f>
        <v>212756.25</v>
      </c>
      <c r="F46" s="40">
        <f>+'Project Report'!F93</f>
        <v>253406.26671132422</v>
      </c>
      <c r="G46" s="40">
        <f>+'Project Report'!G93</f>
        <v>284721.35600084858</v>
      </c>
      <c r="H46" s="40">
        <f>+'Project Report'!H93</f>
        <v>319223.6941505156</v>
      </c>
    </row>
    <row r="47" spans="2:8" ht="20.25" x14ac:dyDescent="0.3">
      <c r="B47" s="54" t="s">
        <v>87</v>
      </c>
      <c r="C47" s="20" t="s">
        <v>77</v>
      </c>
      <c r="D47" s="40">
        <f>+'Project Report'!D79</f>
        <v>114820.83333333333</v>
      </c>
      <c r="E47" s="40">
        <f>+'Project Report'!E79</f>
        <v>120561.875</v>
      </c>
      <c r="F47" s="40">
        <f>+'Project Report'!F79</f>
        <v>143596.8844697504</v>
      </c>
      <c r="G47" s="40">
        <f>+'Project Report'!G79</f>
        <v>161342.10173381417</v>
      </c>
      <c r="H47" s="40">
        <f>+'Project Report'!H79</f>
        <v>180893.42668529216</v>
      </c>
    </row>
    <row r="48" spans="2:8" ht="20.25" x14ac:dyDescent="0.3">
      <c r="B48" s="54" t="s">
        <v>91</v>
      </c>
      <c r="C48" s="20" t="s">
        <v>88</v>
      </c>
      <c r="D48" s="40">
        <f>+D46-D47</f>
        <v>87804.166666666672</v>
      </c>
      <c r="E48" s="40">
        <f t="shared" ref="E48:H48" si="20">+E46-E47</f>
        <v>92194.375</v>
      </c>
      <c r="F48" s="40">
        <f t="shared" si="20"/>
        <v>109809.38224157383</v>
      </c>
      <c r="G48" s="40">
        <f t="shared" si="20"/>
        <v>123379.25426703441</v>
      </c>
      <c r="H48" s="40">
        <f t="shared" si="20"/>
        <v>138330.26746522344</v>
      </c>
    </row>
    <row r="49" spans="2:8" ht="20.25" x14ac:dyDescent="0.3">
      <c r="B49" s="17" t="s">
        <v>59</v>
      </c>
      <c r="C49" s="29" t="s">
        <v>89</v>
      </c>
      <c r="D49" s="47">
        <f>+'Project Report'!D92</f>
        <v>168854.16666666666</v>
      </c>
      <c r="E49" s="47">
        <f>+'Project Report'!E92</f>
        <v>177296.875</v>
      </c>
      <c r="F49" s="47">
        <f>+'Project Report'!F92</f>
        <v>211171.88892610351</v>
      </c>
      <c r="G49" s="47">
        <f>+'Project Report'!G92</f>
        <v>237267.7966673738</v>
      </c>
      <c r="H49" s="47">
        <f>+'Project Report'!H92</f>
        <v>266019.74512542965</v>
      </c>
    </row>
    <row r="50" spans="2:8" ht="20.25" x14ac:dyDescent="0.3">
      <c r="B50" s="54" t="s">
        <v>95</v>
      </c>
      <c r="C50" s="20" t="s">
        <v>90</v>
      </c>
      <c r="D50" s="40">
        <f>(D48+D49)*75%</f>
        <v>192493.75</v>
      </c>
      <c r="E50" s="40">
        <f t="shared" ref="E50:H50" si="21">(E48+E49)*75%</f>
        <v>202118.4375</v>
      </c>
      <c r="F50" s="40">
        <f t="shared" si="21"/>
        <v>240735.95337575802</v>
      </c>
      <c r="G50" s="40">
        <f t="shared" si="21"/>
        <v>270485.28820080613</v>
      </c>
      <c r="H50" s="40">
        <f t="shared" si="21"/>
        <v>303262.50944298983</v>
      </c>
    </row>
    <row r="51" spans="2:8" ht="21" thickBot="1" x14ac:dyDescent="0.35">
      <c r="B51" s="62"/>
      <c r="C51" s="34"/>
      <c r="D51" s="61"/>
      <c r="E51" s="61"/>
      <c r="F51" s="61"/>
      <c r="G51" s="61"/>
      <c r="H51" s="61"/>
    </row>
    <row r="52" spans="2:8" ht="21" thickBot="1" x14ac:dyDescent="0.35">
      <c r="B52" s="81" t="s">
        <v>93</v>
      </c>
      <c r="C52" s="82"/>
      <c r="D52" s="50">
        <f>+D50</f>
        <v>192493.75</v>
      </c>
      <c r="E52" s="50">
        <f t="shared" ref="E52:H52" si="22">+E50</f>
        <v>202118.4375</v>
      </c>
      <c r="F52" s="50">
        <f t="shared" si="22"/>
        <v>240735.95337575802</v>
      </c>
      <c r="G52" s="50">
        <f t="shared" si="22"/>
        <v>270485.28820080613</v>
      </c>
      <c r="H52" s="59">
        <f t="shared" si="22"/>
        <v>303262.50944298983</v>
      </c>
    </row>
    <row r="53" spans="2:8" ht="21" thickBot="1" x14ac:dyDescent="0.35">
      <c r="B53" s="54" t="s">
        <v>84</v>
      </c>
      <c r="C53" s="20"/>
      <c r="D53" s="40">
        <f>+'Title Page'!G10</f>
        <v>200000</v>
      </c>
      <c r="E53" s="40">
        <f>+D53</f>
        <v>200000</v>
      </c>
      <c r="F53" s="40">
        <f t="shared" ref="F53:H53" si="23">+E53</f>
        <v>200000</v>
      </c>
      <c r="G53" s="40">
        <f t="shared" si="23"/>
        <v>200000</v>
      </c>
      <c r="H53" s="40">
        <f t="shared" si="23"/>
        <v>200000</v>
      </c>
    </row>
    <row r="54" spans="2:8" ht="21" thickBot="1" x14ac:dyDescent="0.35">
      <c r="B54" s="81" t="s">
        <v>101</v>
      </c>
      <c r="C54" s="82"/>
      <c r="D54" s="50" t="str">
        <f>IF(D52&gt;D53,"Positive", "Negative")</f>
        <v>Negative</v>
      </c>
      <c r="E54" s="50" t="str">
        <f t="shared" ref="E54:H54" si="24">IF(E52&gt;E53,"Positive", "Negative")</f>
        <v>Positive</v>
      </c>
      <c r="F54" s="50" t="str">
        <f t="shared" si="24"/>
        <v>Positive</v>
      </c>
      <c r="G54" s="50" t="str">
        <f t="shared" si="24"/>
        <v>Positive</v>
      </c>
      <c r="H54" s="50" t="str">
        <f t="shared" si="24"/>
        <v>Positive</v>
      </c>
    </row>
    <row r="56" spans="2:8" ht="23.25" x14ac:dyDescent="0.35">
      <c r="B56" s="25" t="s">
        <v>62</v>
      </c>
      <c r="F56" s="14" t="s">
        <v>126</v>
      </c>
    </row>
    <row r="57" spans="2:8" ht="23.25" x14ac:dyDescent="0.35">
      <c r="B57" s="13"/>
      <c r="F57" s="14"/>
      <c r="H57" s="14"/>
    </row>
    <row r="58" spans="2:8" ht="23.25" x14ac:dyDescent="0.35">
      <c r="B58" s="25" t="s">
        <v>63</v>
      </c>
      <c r="F58" s="14"/>
      <c r="H58" s="14"/>
    </row>
    <row r="59" spans="2:8" ht="21" x14ac:dyDescent="0.35">
      <c r="F59" s="14" t="s">
        <v>29</v>
      </c>
    </row>
  </sheetData>
  <mergeCells count="11">
    <mergeCell ref="B44:B45"/>
    <mergeCell ref="C44:C45"/>
    <mergeCell ref="B52:C52"/>
    <mergeCell ref="B54:C54"/>
    <mergeCell ref="B2:H2"/>
    <mergeCell ref="B34:H34"/>
    <mergeCell ref="B43:H43"/>
    <mergeCell ref="B3:B4"/>
    <mergeCell ref="C3:C4"/>
    <mergeCell ref="B35:B36"/>
    <mergeCell ref="C35:C36"/>
  </mergeCells>
  <pageMargins left="0.18" right="0.19" top="0.61" bottom="0.09" header="7.0000000000000007E-2" footer="0.13"/>
  <pageSetup scale="88" orientation="portrait" horizontalDpi="300" verticalDpi="0" r:id="rId1"/>
  <rowBreaks count="1" manualBreakCount="1">
    <brk id="32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17"/>
  <sheetViews>
    <sheetView showGridLines="0" view="pageBreakPreview" zoomScale="60" zoomScaleNormal="100" workbookViewId="0">
      <selection activeCell="G6" sqref="G6"/>
    </sheetView>
  </sheetViews>
  <sheetFormatPr defaultRowHeight="15" x14ac:dyDescent="0.25"/>
  <cols>
    <col min="1" max="1" width="1.140625" customWidth="1"/>
    <col min="2" max="2" width="34.42578125" customWidth="1"/>
    <col min="3" max="3" width="13.85546875" customWidth="1"/>
    <col min="4" max="5" width="13.5703125" bestFit="1" customWidth="1"/>
    <col min="6" max="6" width="15.85546875" bestFit="1" customWidth="1"/>
    <col min="7" max="7" width="15.85546875" customWidth="1"/>
    <col min="8" max="8" width="15.85546875" bestFit="1" customWidth="1"/>
  </cols>
  <sheetData>
    <row r="2" spans="2:9" ht="29.25" x14ac:dyDescent="0.5">
      <c r="B2" s="79" t="s">
        <v>157</v>
      </c>
      <c r="C2" s="80"/>
      <c r="D2" s="80"/>
      <c r="E2" s="80"/>
      <c r="F2" s="80"/>
      <c r="G2" s="80"/>
      <c r="H2" s="80"/>
    </row>
    <row r="3" spans="2:9" ht="23.25" x14ac:dyDescent="0.35">
      <c r="B3" s="76" t="s">
        <v>8</v>
      </c>
      <c r="C3" s="76" t="s">
        <v>92</v>
      </c>
      <c r="D3" s="66" t="s">
        <v>9</v>
      </c>
      <c r="E3" s="66" t="s">
        <v>9</v>
      </c>
      <c r="F3" s="66" t="s">
        <v>10</v>
      </c>
      <c r="G3" s="66" t="s">
        <v>10</v>
      </c>
      <c r="H3" s="66" t="s">
        <v>10</v>
      </c>
    </row>
    <row r="4" spans="2:9" ht="23.25" x14ac:dyDescent="0.35">
      <c r="B4" s="77"/>
      <c r="C4" s="77"/>
      <c r="D4" s="66" t="s">
        <v>159</v>
      </c>
      <c r="E4" s="66" t="s">
        <v>160</v>
      </c>
      <c r="F4" s="66" t="s">
        <v>161</v>
      </c>
      <c r="G4" s="66" t="s">
        <v>162</v>
      </c>
      <c r="H4" s="66" t="s">
        <v>163</v>
      </c>
    </row>
    <row r="5" spans="2:9" ht="20.25" x14ac:dyDescent="0.3">
      <c r="B5" s="54" t="s">
        <v>40</v>
      </c>
      <c r="C5" s="20" t="s">
        <v>76</v>
      </c>
      <c r="D5" s="40">
        <f>+'Project Report'!D54</f>
        <v>770000</v>
      </c>
      <c r="E5" s="40">
        <f>+'Project Report'!E54</f>
        <v>772536.4</v>
      </c>
      <c r="F5" s="40">
        <f>+'Project Report'!F54</f>
        <v>776323.94000000006</v>
      </c>
      <c r="G5" s="40">
        <f>+'Project Report'!G54</f>
        <v>795230.56031025236</v>
      </c>
      <c r="H5" s="40">
        <f>+'Project Report'!H54</f>
        <v>811299.14746468805</v>
      </c>
    </row>
    <row r="6" spans="2:9" ht="20.25" x14ac:dyDescent="0.3">
      <c r="B6" s="54" t="s">
        <v>111</v>
      </c>
      <c r="C6" s="20" t="s">
        <v>77</v>
      </c>
      <c r="D6" s="40">
        <f>+'Dep, Interest &amp; MPBF Schedule'!D39</f>
        <v>0</v>
      </c>
      <c r="E6" s="40">
        <f>+'Dep, Interest &amp; MPBF Schedule'!E39</f>
        <v>0</v>
      </c>
      <c r="F6" s="40">
        <f>+'Dep, Interest &amp; MPBF Schedule'!F39</f>
        <v>100000</v>
      </c>
      <c r="G6" s="40">
        <f>+'Dep, Interest &amp; MPBF Schedule'!G39*3/4</f>
        <v>142500</v>
      </c>
      <c r="H6" s="40">
        <f>+'Dep, Interest &amp; MPBF Schedule'!H39</f>
        <v>190000</v>
      </c>
    </row>
    <row r="7" spans="2:9" ht="20.25" x14ac:dyDescent="0.3">
      <c r="B7" s="54" t="s">
        <v>112</v>
      </c>
      <c r="C7" s="20" t="s">
        <v>113</v>
      </c>
      <c r="D7" s="40">
        <v>0</v>
      </c>
      <c r="E7" s="40">
        <v>0</v>
      </c>
      <c r="F7" s="40">
        <f>+F8-F6</f>
        <v>0</v>
      </c>
      <c r="G7" s="40">
        <f t="shared" ref="G7:H7" si="0">+G8-G6</f>
        <v>47500</v>
      </c>
      <c r="H7" s="40">
        <f t="shared" si="0"/>
        <v>0</v>
      </c>
    </row>
    <row r="8" spans="2:9" ht="20.25" x14ac:dyDescent="0.3">
      <c r="B8" s="54" t="s">
        <v>114</v>
      </c>
      <c r="C8" s="20" t="s">
        <v>115</v>
      </c>
      <c r="D8" s="40">
        <v>0</v>
      </c>
      <c r="E8" s="40">
        <v>0</v>
      </c>
      <c r="F8" s="40">
        <f>+'Dep, Interest &amp; MPBF Schedule'!F39</f>
        <v>100000</v>
      </c>
      <c r="G8" s="40">
        <f>+'Dep, Interest &amp; MPBF Schedule'!G39</f>
        <v>190000</v>
      </c>
      <c r="H8" s="40">
        <f>+'Dep, Interest &amp; MPBF Schedule'!H39</f>
        <v>190000</v>
      </c>
    </row>
    <row r="9" spans="2:9" ht="20.25" x14ac:dyDescent="0.3">
      <c r="B9" s="54" t="s">
        <v>117</v>
      </c>
      <c r="C9" s="20" t="s">
        <v>116</v>
      </c>
      <c r="D9" s="40">
        <f>+D5+D6</f>
        <v>770000</v>
      </c>
      <c r="E9" s="40">
        <f t="shared" ref="E9:H9" si="1">+E5+E6</f>
        <v>772536.4</v>
      </c>
      <c r="F9" s="40">
        <f t="shared" si="1"/>
        <v>876323.94000000006</v>
      </c>
      <c r="G9" s="40">
        <f t="shared" si="1"/>
        <v>937730.56031025236</v>
      </c>
      <c r="H9" s="40">
        <f t="shared" si="1"/>
        <v>1001299.1474646881</v>
      </c>
    </row>
    <row r="10" spans="2:9" ht="20.25" x14ac:dyDescent="0.3">
      <c r="B10" s="54"/>
      <c r="C10" s="20"/>
      <c r="D10" s="40"/>
      <c r="E10" s="40"/>
      <c r="F10" s="40"/>
      <c r="G10" s="40"/>
      <c r="H10" s="40"/>
    </row>
    <row r="11" spans="2:9" ht="20.25" x14ac:dyDescent="0.3">
      <c r="B11" s="54" t="s">
        <v>110</v>
      </c>
      <c r="C11" s="20"/>
      <c r="D11" s="40">
        <f>+'Project Report'!D5</f>
        <v>810500</v>
      </c>
      <c r="E11" s="40">
        <f>+D11*105%</f>
        <v>851025</v>
      </c>
      <c r="F11" s="40">
        <f>(E11*F9/E9)*105%</f>
        <v>1013625.0668452969</v>
      </c>
      <c r="G11" s="40">
        <f t="shared" ref="G11:H11" si="2">(F11*G9/F9)*105%</f>
        <v>1138885.4240033943</v>
      </c>
      <c r="H11" s="40">
        <f t="shared" si="2"/>
        <v>1276894.7766020624</v>
      </c>
    </row>
    <row r="12" spans="2:9" ht="18.75" x14ac:dyDescent="0.3">
      <c r="B12" s="12"/>
      <c r="D12" s="51"/>
      <c r="E12" s="51"/>
      <c r="F12" s="51"/>
      <c r="G12" s="51"/>
      <c r="H12" s="51"/>
      <c r="I12" s="51">
        <f t="shared" ref="I12" si="3">+I11-I9</f>
        <v>0</v>
      </c>
    </row>
    <row r="13" spans="2:9" x14ac:dyDescent="0.25">
      <c r="D13" s="71"/>
      <c r="E13" s="71"/>
      <c r="F13" s="71"/>
      <c r="G13" s="71"/>
      <c r="H13" s="71"/>
      <c r="I13" s="71"/>
    </row>
    <row r="14" spans="2:9" ht="23.25" x14ac:dyDescent="0.35">
      <c r="B14" s="25" t="s">
        <v>62</v>
      </c>
      <c r="F14" s="14" t="s">
        <v>126</v>
      </c>
    </row>
    <row r="15" spans="2:9" ht="23.25" x14ac:dyDescent="0.35">
      <c r="B15" s="13"/>
      <c r="F15" s="14"/>
      <c r="H15" s="14"/>
    </row>
    <row r="16" spans="2:9" ht="23.25" x14ac:dyDescent="0.35">
      <c r="B16" s="25" t="s">
        <v>63</v>
      </c>
      <c r="F16" s="14"/>
      <c r="H16" s="14"/>
    </row>
    <row r="17" spans="6:6" ht="21" x14ac:dyDescent="0.35">
      <c r="F17" s="14" t="s">
        <v>29</v>
      </c>
    </row>
  </sheetData>
  <mergeCells count="3">
    <mergeCell ref="B2:H2"/>
    <mergeCell ref="B3:B4"/>
    <mergeCell ref="C3:C4"/>
  </mergeCells>
  <pageMargins left="0.18" right="0.19" top="0.61" bottom="0.09" header="7.0000000000000007E-2" footer="0.13"/>
  <pageSetup scale="85" orientation="portrait" horizontalDpi="30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42"/>
  <sheetViews>
    <sheetView showGridLines="0" view="pageBreakPreview" topLeftCell="A32" zoomScale="60" zoomScaleNormal="100" workbookViewId="0">
      <selection activeCell="D35" sqref="D35"/>
    </sheetView>
  </sheetViews>
  <sheetFormatPr defaultRowHeight="15" x14ac:dyDescent="0.25"/>
  <cols>
    <col min="1" max="1" width="1.7109375" customWidth="1"/>
    <col min="2" max="2" width="41.85546875" customWidth="1"/>
    <col min="3" max="3" width="14" customWidth="1"/>
    <col min="4" max="4" width="15.85546875" customWidth="1"/>
    <col min="5" max="5" width="16.140625" customWidth="1"/>
    <col min="6" max="6" width="15.85546875" customWidth="1"/>
    <col min="7" max="7" width="16.140625" customWidth="1"/>
  </cols>
  <sheetData>
    <row r="3" spans="2:7" ht="29.25" x14ac:dyDescent="0.5">
      <c r="B3" s="79" t="s">
        <v>127</v>
      </c>
      <c r="C3" s="80"/>
      <c r="D3" s="80"/>
      <c r="E3" s="80"/>
      <c r="F3" s="80"/>
      <c r="G3" s="80"/>
    </row>
    <row r="4" spans="2:7" ht="23.25" x14ac:dyDescent="0.35">
      <c r="B4" s="76" t="s">
        <v>8</v>
      </c>
      <c r="C4" s="76" t="s">
        <v>130</v>
      </c>
      <c r="D4" s="66" t="s">
        <v>9</v>
      </c>
      <c r="E4" s="66" t="s">
        <v>10</v>
      </c>
      <c r="F4" s="66" t="s">
        <v>10</v>
      </c>
      <c r="G4" s="66" t="s">
        <v>10</v>
      </c>
    </row>
    <row r="5" spans="2:7" ht="23.25" x14ac:dyDescent="0.35">
      <c r="B5" s="77"/>
      <c r="C5" s="77"/>
      <c r="D5" s="66" t="s">
        <v>160</v>
      </c>
      <c r="E5" s="66" t="s">
        <v>161</v>
      </c>
      <c r="F5" s="66" t="s">
        <v>162</v>
      </c>
      <c r="G5" s="66" t="s">
        <v>163</v>
      </c>
    </row>
    <row r="6" spans="2:7" ht="20.25" x14ac:dyDescent="0.3">
      <c r="B6" s="15" t="s">
        <v>128</v>
      </c>
      <c r="C6" s="18"/>
      <c r="D6" s="8"/>
      <c r="E6" s="8"/>
      <c r="F6" s="8"/>
      <c r="G6" s="8"/>
    </row>
    <row r="7" spans="2:7" ht="20.25" x14ac:dyDescent="0.3">
      <c r="B7" s="8" t="s">
        <v>129</v>
      </c>
      <c r="C7" s="18"/>
      <c r="D7" s="45">
        <f>+'Project Report'!E42</f>
        <v>11554.425000000003</v>
      </c>
      <c r="E7" s="45">
        <f>+'Project Report'!F42</f>
        <v>31135.275387815389</v>
      </c>
      <c r="F7" s="45">
        <f>+'Project Report'!G42</f>
        <v>28337.933943044482</v>
      </c>
      <c r="G7" s="45">
        <f>+'Project Report'!H42</f>
        <v>36190.239996113763</v>
      </c>
    </row>
    <row r="8" spans="2:7" ht="20.25" x14ac:dyDescent="0.3">
      <c r="B8" s="9" t="s">
        <v>31</v>
      </c>
      <c r="C8" s="23" t="s">
        <v>131</v>
      </c>
      <c r="D8" s="47">
        <f>+'Project Report'!E39</f>
        <v>29043</v>
      </c>
      <c r="E8" s="47">
        <f>+'Project Report'!F39</f>
        <v>28588.699999999997</v>
      </c>
      <c r="F8" s="47">
        <f>+'Project Report'!G39</f>
        <v>28479.830000000005</v>
      </c>
      <c r="G8" s="47">
        <f>+'Project Report'!H39</f>
        <v>31331.847000000002</v>
      </c>
    </row>
    <row r="9" spans="2:7" ht="20.25" x14ac:dyDescent="0.3">
      <c r="B9" s="8" t="s">
        <v>136</v>
      </c>
      <c r="C9" s="23" t="s">
        <v>131</v>
      </c>
      <c r="D9" s="40">
        <f>+'Project Report'!E79-'Project Report'!D79</f>
        <v>5741.0416666666715</v>
      </c>
      <c r="E9" s="40">
        <f>+'Project Report'!F79-'Project Report'!E79</f>
        <v>23035.009469750396</v>
      </c>
      <c r="F9" s="40">
        <f>+'Project Report'!G79-'Project Report'!F79</f>
        <v>17745.217264063773</v>
      </c>
      <c r="G9" s="40">
        <f>+'Project Report'!H79-'Project Report'!G79</f>
        <v>19551.324951477989</v>
      </c>
    </row>
    <row r="10" spans="2:7" ht="20.25" x14ac:dyDescent="0.3">
      <c r="B10" s="15" t="s">
        <v>132</v>
      </c>
      <c r="C10" s="23" t="s">
        <v>131</v>
      </c>
      <c r="D10" s="40">
        <f>+'Project Report'!E36+'Project Report'!E37</f>
        <v>2815.2</v>
      </c>
      <c r="E10" s="40">
        <f>+'Project Report'!F36+'Project Report'!F37</f>
        <v>14392.92</v>
      </c>
      <c r="F10" s="40">
        <f>+'Project Report'!G36+'Project Report'!G37</f>
        <v>24833.982</v>
      </c>
      <c r="G10" s="40">
        <f>+'Project Report'!H36+'Project Report'!H37</f>
        <v>24528.884699999999</v>
      </c>
    </row>
    <row r="11" spans="2:7" ht="20.25" x14ac:dyDescent="0.3">
      <c r="B11" s="8" t="s">
        <v>134</v>
      </c>
      <c r="C11" s="23" t="s">
        <v>133</v>
      </c>
      <c r="D11" s="40">
        <f>+'Project Report'!E6-'Project Report'!E9</f>
        <v>10131.25</v>
      </c>
      <c r="E11" s="40">
        <f>+'Project Report'!F6-'Project Report'!F9</f>
        <v>40650.016711324221</v>
      </c>
      <c r="F11" s="40">
        <f>+'Project Report'!G6-'Project Report'!G9</f>
        <v>31315.08928952436</v>
      </c>
      <c r="G11" s="40">
        <f>+'Project Report'!H6-'Project Report'!H9</f>
        <v>34502.338149667019</v>
      </c>
    </row>
    <row r="12" spans="2:7" ht="20.25" x14ac:dyDescent="0.3">
      <c r="B12" s="8" t="s">
        <v>135</v>
      </c>
      <c r="C12" s="23" t="s">
        <v>133</v>
      </c>
      <c r="D12" s="41">
        <f>+'Project Report'!E92-'Project Report'!D92</f>
        <v>8442.708333333343</v>
      </c>
      <c r="E12" s="41">
        <f>+'Project Report'!F92-'Project Report'!E92</f>
        <v>33875.013926103507</v>
      </c>
      <c r="F12" s="41">
        <f>+'Project Report'!G92-'Project Report'!F92</f>
        <v>26095.90774127029</v>
      </c>
      <c r="G12" s="41">
        <f>+'Project Report'!H92-'Project Report'!G92</f>
        <v>28751.948458055849</v>
      </c>
    </row>
    <row r="13" spans="2:7" ht="20.25" x14ac:dyDescent="0.3">
      <c r="B13" s="15" t="s">
        <v>151</v>
      </c>
      <c r="C13" s="23" t="s">
        <v>133</v>
      </c>
      <c r="D13" s="40">
        <f>'Project Report'!E41</f>
        <v>1925.0000000000005</v>
      </c>
      <c r="E13" s="40">
        <f>'Project Report'!F41</f>
        <v>2117.5000000000009</v>
      </c>
      <c r="F13" s="40">
        <f>'Project Report'!G41</f>
        <v>5714.6250000000009</v>
      </c>
      <c r="G13" s="40">
        <f>'Project Report'!H41</f>
        <v>6286.0875000000005</v>
      </c>
    </row>
    <row r="14" spans="2:7" ht="21" thickBot="1" x14ac:dyDescent="0.35">
      <c r="B14" s="9"/>
      <c r="C14" s="23"/>
      <c r="D14" s="41"/>
      <c r="E14" s="41"/>
      <c r="F14" s="41"/>
      <c r="G14" s="41"/>
    </row>
    <row r="15" spans="2:7" ht="21" thickBot="1" x14ac:dyDescent="0.35">
      <c r="B15" s="26" t="s">
        <v>137</v>
      </c>
      <c r="C15" s="27" t="s">
        <v>97</v>
      </c>
      <c r="D15" s="50">
        <f>(D7+D8+D9+D10-D11-D12-D13)</f>
        <v>28654.708333333328</v>
      </c>
      <c r="E15" s="50">
        <f>(E7+E8+E9+E10-E11-E12-E13)</f>
        <v>20509.374220138052</v>
      </c>
      <c r="F15" s="50">
        <f>(F7+F8+F9+F10-F11-F12-F13)</f>
        <v>36271.34117631361</v>
      </c>
      <c r="G15" s="50">
        <f>(G7+G8+G9+G10-G11-G12-G13)</f>
        <v>42061.92253986888</v>
      </c>
    </row>
    <row r="16" spans="2:7" ht="20.25" x14ac:dyDescent="0.3">
      <c r="B16" s="10"/>
      <c r="C16" s="19"/>
      <c r="D16" s="47"/>
      <c r="E16" s="47"/>
      <c r="F16" s="47"/>
      <c r="G16" s="47"/>
    </row>
    <row r="17" spans="2:7" ht="20.25" x14ac:dyDescent="0.3">
      <c r="B17" s="8" t="s">
        <v>138</v>
      </c>
      <c r="C17" s="18"/>
      <c r="D17" s="41"/>
      <c r="E17" s="41"/>
      <c r="F17" s="41"/>
      <c r="G17" s="41"/>
    </row>
    <row r="18" spans="2:7" ht="20.25" x14ac:dyDescent="0.3">
      <c r="B18" s="8" t="s">
        <v>102</v>
      </c>
      <c r="C18" s="18" t="s">
        <v>131</v>
      </c>
      <c r="D18" s="40">
        <f>+D13</f>
        <v>1925.0000000000005</v>
      </c>
      <c r="E18" s="40">
        <f>+E13</f>
        <v>2117.5000000000009</v>
      </c>
      <c r="F18" s="40">
        <f>+F13</f>
        <v>5714.6250000000009</v>
      </c>
      <c r="G18" s="40">
        <f>+G13</f>
        <v>6286.0875000000005</v>
      </c>
    </row>
    <row r="19" spans="2:7" ht="20.25" x14ac:dyDescent="0.3">
      <c r="B19" s="8" t="s">
        <v>139</v>
      </c>
      <c r="C19" s="18" t="s">
        <v>133</v>
      </c>
      <c r="D19" s="41">
        <f>+'Project Report'!E86-'Project Report'!D86+'Project Report'!E39</f>
        <v>25000</v>
      </c>
      <c r="E19" s="41">
        <f>+'Project Report'!F86-'Project Report'!E86+'Project Report'!F39</f>
        <v>32000.000000000044</v>
      </c>
      <c r="F19" s="41">
        <f>+'Project Report'!G86-'Project Report'!F86+'Project Report'!G39</f>
        <v>25000.000000000047</v>
      </c>
      <c r="G19" s="41">
        <f>+'Project Report'!H86-'Project Report'!G86+'Project Report'!H39</f>
        <v>46999.999999999876</v>
      </c>
    </row>
    <row r="20" spans="2:7" ht="20.25" x14ac:dyDescent="0.3">
      <c r="B20" s="8" t="s">
        <v>140</v>
      </c>
      <c r="C20" s="18" t="s">
        <v>133</v>
      </c>
      <c r="D20" s="41">
        <f>+'Project Report'!E88-'Project Report'!D88</f>
        <v>2500.0000000000036</v>
      </c>
      <c r="E20" s="41">
        <f>+'Project Report'!F88-'Project Report'!E88</f>
        <v>2750.0000000000036</v>
      </c>
      <c r="F20" s="41">
        <f>+'Project Report'!G88-'Project Report'!F88</f>
        <v>51387.499999999993</v>
      </c>
      <c r="G20" s="41">
        <f>+'Project Report'!H88-'Project Report'!G88</f>
        <v>8163.75</v>
      </c>
    </row>
    <row r="21" spans="2:7" ht="21" thickBot="1" x14ac:dyDescent="0.35">
      <c r="B21" s="8"/>
      <c r="C21" s="18"/>
      <c r="D21" s="41"/>
      <c r="E21" s="41"/>
      <c r="F21" s="41"/>
      <c r="G21" s="41"/>
    </row>
    <row r="22" spans="2:7" ht="21" thickBot="1" x14ac:dyDescent="0.35">
      <c r="B22" s="26" t="s">
        <v>141</v>
      </c>
      <c r="C22" s="27" t="s">
        <v>97</v>
      </c>
      <c r="D22" s="50">
        <f>(-D19-D20+D18)</f>
        <v>-25575.000000000004</v>
      </c>
      <c r="E22" s="50">
        <f>(-E19-E20+E18)</f>
        <v>-32632.500000000044</v>
      </c>
      <c r="F22" s="50">
        <f>(-F19-F20+F18)</f>
        <v>-70672.875000000044</v>
      </c>
      <c r="G22" s="50">
        <f>(-G19-G20+G18)</f>
        <v>-48877.662499999875</v>
      </c>
    </row>
    <row r="23" spans="2:7" ht="20.25" x14ac:dyDescent="0.3">
      <c r="B23" s="8"/>
      <c r="C23" s="18"/>
      <c r="D23" s="41"/>
      <c r="E23" s="41"/>
      <c r="F23" s="41"/>
      <c r="G23" s="41"/>
    </row>
    <row r="24" spans="2:7" ht="20.25" x14ac:dyDescent="0.3">
      <c r="B24" s="8" t="s">
        <v>142</v>
      </c>
      <c r="C24" s="72"/>
      <c r="D24" s="43"/>
      <c r="E24" s="43"/>
      <c r="F24" s="43"/>
      <c r="G24" s="43"/>
    </row>
    <row r="25" spans="2:7" ht="20.25" x14ac:dyDescent="0.3">
      <c r="B25" s="8" t="s">
        <v>154</v>
      </c>
      <c r="C25" s="18" t="s">
        <v>131</v>
      </c>
      <c r="D25" s="40">
        <f>'Project Report'!E74+'Project Report'!E75+'Project Report'!E76-'Project Report'!D74-'Project Report'!D75-'Project Report'!D76</f>
        <v>-4140</v>
      </c>
      <c r="E25" s="40">
        <f>'Project Report'!F74+'Project Report'!F75+'Project Report'!F76-'Project Report'!E74-'Project Report'!E75-'Project Report'!E76</f>
        <v>96481</v>
      </c>
      <c r="F25" s="40">
        <f>'Project Report'!G74+'Project Report'!G75+'Project Report'!G76-'Project Report'!F74-'Project Report'!F75-'Project Report'!F76</f>
        <v>87008.85</v>
      </c>
      <c r="G25" s="40">
        <f>'Project Report'!H74+'Project Report'!H75+'Project Report'!H76-'Project Report'!G74-'Project Report'!G75-'Project Report'!G76</f>
        <v>-2542.4775000000081</v>
      </c>
    </row>
    <row r="26" spans="2:7" ht="20.25" x14ac:dyDescent="0.3">
      <c r="B26" s="8" t="s">
        <v>153</v>
      </c>
      <c r="C26" s="18" t="s">
        <v>131</v>
      </c>
      <c r="D26" s="41">
        <f>+'Project Report'!E80-'Project Report'!D80</f>
        <v>211.39416666666693</v>
      </c>
      <c r="E26" s="41">
        <f>+'Project Report'!F80-'Project Report'!E80</f>
        <v>1435.6927143562189</v>
      </c>
      <c r="F26" s="41">
        <f>+'Project Report'!G80-'Project Report'!F80</f>
        <v>206.11563613923863</v>
      </c>
      <c r="G26" s="41">
        <f>+'Project Report'!H80-'Project Report'!G80</f>
        <v>773.84658106624556</v>
      </c>
    </row>
    <row r="27" spans="2:7" ht="20.25" x14ac:dyDescent="0.3">
      <c r="B27" s="8" t="s">
        <v>155</v>
      </c>
      <c r="C27" s="18" t="s">
        <v>133</v>
      </c>
      <c r="D27" s="40">
        <f>+'Project Report'!E91-'Project Report'!D91</f>
        <v>750</v>
      </c>
      <c r="E27" s="40">
        <f>+'Project Report'!F91-'Project Report'!E91</f>
        <v>787.5</v>
      </c>
      <c r="F27" s="40">
        <f>+'Project Report'!G91-'Project Report'!F91</f>
        <v>826.875</v>
      </c>
      <c r="G27" s="40">
        <f>+'Project Report'!H91-'Project Report'!G91</f>
        <v>868.21875</v>
      </c>
    </row>
    <row r="28" spans="2:7" ht="20.25" x14ac:dyDescent="0.3">
      <c r="B28" s="8" t="s">
        <v>156</v>
      </c>
      <c r="C28" s="18" t="s">
        <v>133</v>
      </c>
      <c r="D28" s="41">
        <f>+'Project Report'!E94-'Project Report'!D94</f>
        <v>675</v>
      </c>
      <c r="E28" s="41">
        <f>+'Project Report'!F94-'Project Report'!E94</f>
        <v>708.75</v>
      </c>
      <c r="F28" s="41">
        <f>+'Project Report'!G94-'Project Report'!F94</f>
        <v>744.1875</v>
      </c>
      <c r="G28" s="41">
        <f>+'Project Report'!H94-'Project Report'!G94</f>
        <v>781.39687500000218</v>
      </c>
    </row>
    <row r="29" spans="2:7" ht="20.25" x14ac:dyDescent="0.3">
      <c r="B29" s="8" t="s">
        <v>143</v>
      </c>
      <c r="C29" s="18" t="s">
        <v>133</v>
      </c>
      <c r="D29" s="41">
        <f>+D10</f>
        <v>2815.2</v>
      </c>
      <c r="E29" s="41">
        <f>+E10</f>
        <v>14392.92</v>
      </c>
      <c r="F29" s="41">
        <f>+F10</f>
        <v>24833.982</v>
      </c>
      <c r="G29" s="41">
        <f>+G10</f>
        <v>24528.884699999999</v>
      </c>
    </row>
    <row r="30" spans="2:7" ht="20.25" x14ac:dyDescent="0.3">
      <c r="B30" s="9" t="s">
        <v>152</v>
      </c>
      <c r="C30" s="18" t="s">
        <v>133</v>
      </c>
      <c r="D30" s="41">
        <f>+'Project Report'!E56+'Project Report'!E57+'Project Report'!E58</f>
        <v>7766.8850000000002</v>
      </c>
      <c r="E30" s="41">
        <f>+'Project Report'!F56+'Project Report'!F57+'Project Report'!F58</f>
        <v>12228.65507756308</v>
      </c>
      <c r="F30" s="41">
        <f>+'Project Report'!G56+'Project Report'!G57+'Project Report'!G58</f>
        <v>12269.346788608898</v>
      </c>
      <c r="G30" s="41">
        <f>+'Project Report'!H56+'Project Report'!H57+'Project Report'!H58</f>
        <v>14499.983999222755</v>
      </c>
    </row>
    <row r="31" spans="2:7" ht="21" thickBot="1" x14ac:dyDescent="0.35">
      <c r="B31" s="9"/>
      <c r="C31" s="24"/>
      <c r="D31" s="41"/>
      <c r="E31" s="41"/>
      <c r="F31" s="41"/>
      <c r="G31" s="41"/>
    </row>
    <row r="32" spans="2:7" ht="21" thickBot="1" x14ac:dyDescent="0.35">
      <c r="B32" s="26" t="s">
        <v>144</v>
      </c>
      <c r="C32" s="27" t="s">
        <v>97</v>
      </c>
      <c r="D32" s="49">
        <f>(D25-D29-D27-D28+D26-D30)</f>
        <v>-15935.690833333334</v>
      </c>
      <c r="E32" s="49">
        <f>(E25-E29-E27-E28+E26-E30)</f>
        <v>69798.867636793148</v>
      </c>
      <c r="F32" s="49">
        <f>(F25-F29-F27-F28+F26-F30)</f>
        <v>48540.574347530339</v>
      </c>
      <c r="G32" s="49">
        <f>(G25-G29-G27-G28+G26-G30)</f>
        <v>-42447.115243156521</v>
      </c>
    </row>
    <row r="35" spans="2:7" ht="20.25" x14ac:dyDescent="0.3">
      <c r="B35" s="8" t="s">
        <v>145</v>
      </c>
      <c r="C35" s="18" t="s">
        <v>148</v>
      </c>
      <c r="D35" s="41">
        <f>+D32+D22+D15</f>
        <v>-12855.982500000013</v>
      </c>
      <c r="E35" s="41">
        <f>+E32+E22+E15</f>
        <v>57675.741856931156</v>
      </c>
      <c r="F35" s="41">
        <f>+F32+F22+F15</f>
        <v>14139.040523843905</v>
      </c>
      <c r="G35" s="41">
        <f>+G32+G22+G15</f>
        <v>-49262.855203287509</v>
      </c>
    </row>
    <row r="36" spans="2:7" ht="21" thickBot="1" x14ac:dyDescent="0.35">
      <c r="B36" s="9" t="s">
        <v>147</v>
      </c>
      <c r="C36" s="24" t="s">
        <v>149</v>
      </c>
      <c r="D36" s="41">
        <f>+'Project Report'!D95</f>
        <v>22220.550000000047</v>
      </c>
      <c r="E36" s="41">
        <f t="shared" ref="E36:G36" si="0">+D37</f>
        <v>9364.5675000000338</v>
      </c>
      <c r="F36" s="41">
        <f t="shared" si="0"/>
        <v>67040.30935693119</v>
      </c>
      <c r="G36" s="41">
        <f t="shared" si="0"/>
        <v>81179.349880775088</v>
      </c>
    </row>
    <row r="37" spans="2:7" ht="21" thickBot="1" x14ac:dyDescent="0.35">
      <c r="B37" s="26" t="s">
        <v>146</v>
      </c>
      <c r="C37" s="27" t="s">
        <v>150</v>
      </c>
      <c r="D37" s="49">
        <f t="shared" ref="D37:G37" si="1">+D35+D36</f>
        <v>9364.5675000000338</v>
      </c>
      <c r="E37" s="49">
        <f t="shared" si="1"/>
        <v>67040.30935693119</v>
      </c>
      <c r="F37" s="49">
        <f t="shared" si="1"/>
        <v>81179.349880775088</v>
      </c>
      <c r="G37" s="49">
        <f t="shared" si="1"/>
        <v>31916.494677487579</v>
      </c>
    </row>
    <row r="39" spans="2:7" ht="23.25" x14ac:dyDescent="0.35">
      <c r="B39" s="25" t="s">
        <v>62</v>
      </c>
      <c r="E39" s="14" t="s">
        <v>126</v>
      </c>
    </row>
    <row r="40" spans="2:7" ht="23.25" x14ac:dyDescent="0.35">
      <c r="B40" s="13"/>
      <c r="E40" s="14"/>
    </row>
    <row r="41" spans="2:7" ht="23.25" x14ac:dyDescent="0.35">
      <c r="B41" s="25" t="s">
        <v>63</v>
      </c>
      <c r="E41" s="14"/>
    </row>
    <row r="42" spans="2:7" ht="21" x14ac:dyDescent="0.35">
      <c r="E42" s="14" t="s">
        <v>29</v>
      </c>
    </row>
  </sheetData>
  <mergeCells count="3">
    <mergeCell ref="B3:G3"/>
    <mergeCell ref="B4:B5"/>
    <mergeCell ref="C4:C5"/>
  </mergeCells>
  <pageMargins left="0.22" right="0.18" top="0.18" bottom="0.19" header="0.09" footer="7.0000000000000007E-2"/>
  <pageSetup scale="85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Title Page</vt:lpstr>
      <vt:lpstr>Project Report</vt:lpstr>
      <vt:lpstr>Dep, Interest &amp; MPBF Schedule</vt:lpstr>
      <vt:lpstr>Turnover Working</vt:lpstr>
      <vt:lpstr>Projected Cash Flow Statement</vt:lpstr>
      <vt:lpstr>'Dep, Interest &amp; MPBF Schedule'!Print_Area</vt:lpstr>
      <vt:lpstr>'Project Report'!Print_Area</vt:lpstr>
      <vt:lpstr>'Projected Cash Flow Statement'!Print_Area</vt:lpstr>
      <vt:lpstr>'Title Page'!Print_Area</vt:lpstr>
      <vt:lpstr>'Turnover Working'!Print_Area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2020-05-17T12:21:51Z</dcterms:modified>
</cp:coreProperties>
</file>