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0" yWindow="0" windowWidth="20490" windowHeight="7155"/>
  </bookViews>
  <sheets>
    <sheet name="Instruction" sheetId="10" r:id="rId1"/>
    <sheet name="BASE DATA" sheetId="4" r:id="rId2"/>
    <sheet name="Data Working" sheetId="7" r:id="rId3"/>
    <sheet name="Entries" sheetId="8" r:id="rId4"/>
    <sheet name="Pivot" sheetId="9" r:id="rId5"/>
  </sheets>
  <definedNames>
    <definedName name="_xlnm._FilterDatabase" localSheetId="1" hidden="1">'BASE DATA'!$A$6:$Z$44</definedName>
    <definedName name="_xlnm._FilterDatabase" localSheetId="2" hidden="1">'Data Working'!$A$3:$R$863</definedName>
  </definedNames>
  <calcPr calcId="144525"/>
  <pivotCaches>
    <pivotCache cacheId="16"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1" i="8" l="1"/>
  <c r="G26" i="8"/>
  <c r="M40" i="7"/>
  <c r="K5" i="7"/>
  <c r="C2" i="7"/>
  <c r="D1" i="7"/>
  <c r="D40" i="7"/>
  <c r="D39" i="7"/>
  <c r="D38" i="7"/>
  <c r="D37" i="7"/>
  <c r="D24" i="7"/>
  <c r="D23" i="7"/>
  <c r="D22" i="7"/>
  <c r="D21" i="7"/>
  <c r="D8" i="7"/>
  <c r="D7" i="7"/>
  <c r="D6" i="7"/>
  <c r="D5" i="7"/>
  <c r="B5" i="7"/>
  <c r="D36" i="7" l="1"/>
  <c r="D35" i="7"/>
  <c r="D34" i="7"/>
  <c r="D33" i="7"/>
  <c r="D32" i="7"/>
  <c r="D31" i="7"/>
  <c r="D30" i="7"/>
  <c r="D29" i="7"/>
  <c r="D28" i="7"/>
  <c r="D27" i="7"/>
  <c r="D26" i="7"/>
  <c r="D25" i="7"/>
  <c r="D20" i="7"/>
  <c r="D19" i="7"/>
  <c r="D18" i="7"/>
  <c r="D17" i="7"/>
  <c r="D16" i="7"/>
  <c r="D15" i="7"/>
  <c r="D14" i="7"/>
  <c r="D13" i="7"/>
  <c r="D12" i="7"/>
  <c r="D11" i="7"/>
  <c r="D10" i="7"/>
  <c r="D9" i="7"/>
  <c r="C37" i="7"/>
  <c r="C33" i="7"/>
  <c r="C29" i="7"/>
  <c r="C25" i="7"/>
  <c r="C21" i="7"/>
  <c r="C13" i="7"/>
  <c r="C11" i="7"/>
  <c r="C12" i="7" s="1"/>
  <c r="C10" i="7"/>
  <c r="C9" i="7"/>
  <c r="B40" i="7"/>
  <c r="B39" i="7"/>
  <c r="B38" i="7"/>
  <c r="B37" i="7"/>
  <c r="B36" i="7"/>
  <c r="B35" i="7"/>
  <c r="B34" i="7"/>
  <c r="B33" i="7"/>
  <c r="B32" i="7"/>
  <c r="B31" i="7"/>
  <c r="B30" i="7"/>
  <c r="B29" i="7"/>
  <c r="B28" i="7"/>
  <c r="B27" i="7"/>
  <c r="B26" i="7"/>
  <c r="B25" i="7"/>
  <c r="B24" i="7"/>
  <c r="B23" i="7"/>
  <c r="B22" i="7"/>
  <c r="B21" i="7"/>
  <c r="B20" i="7"/>
  <c r="B19" i="7"/>
  <c r="B18" i="7"/>
  <c r="B17" i="7"/>
  <c r="B16" i="7"/>
  <c r="B15" i="7"/>
  <c r="B14" i="7"/>
  <c r="B13" i="7"/>
  <c r="B12" i="7"/>
  <c r="B11" i="7"/>
  <c r="B10" i="7"/>
  <c r="B9" i="7"/>
  <c r="B8" i="7"/>
  <c r="B7" i="7"/>
  <c r="B6" i="7"/>
  <c r="U9" i="4"/>
  <c r="P9" i="4"/>
  <c r="V2" i="4" l="1"/>
  <c r="U2" i="4"/>
  <c r="T2" i="4"/>
  <c r="W2" i="4"/>
  <c r="V6" i="4"/>
  <c r="W6" i="4" s="1"/>
  <c r="L7" i="4"/>
  <c r="A8" i="4"/>
  <c r="A9" i="4" s="1"/>
  <c r="U8" i="4"/>
  <c r="V8" i="4"/>
  <c r="W8" i="4"/>
  <c r="V9" i="4"/>
  <c r="A10" i="4"/>
  <c r="V10" i="4"/>
  <c r="A11" i="4"/>
  <c r="A12" i="4" s="1"/>
  <c r="A13" i="4" s="1"/>
  <c r="A14" i="4" s="1"/>
  <c r="U11" i="4"/>
  <c r="V11" i="4"/>
  <c r="W11" i="4"/>
  <c r="T11" i="4" s="1"/>
  <c r="U12" i="4"/>
  <c r="V12" i="4"/>
  <c r="W12" i="4"/>
  <c r="U13" i="4"/>
  <c r="V13" i="4"/>
  <c r="V14" i="4" l="1"/>
  <c r="U10" i="4"/>
  <c r="V7" i="4"/>
  <c r="U14" i="4"/>
  <c r="W10" i="4"/>
  <c r="T12" i="4"/>
  <c r="W14" i="4"/>
  <c r="W9" i="4"/>
  <c r="T9" i="4" s="1"/>
  <c r="X6" i="4"/>
  <c r="W13" i="4"/>
  <c r="T13" i="4" s="1"/>
  <c r="W7" i="4"/>
  <c r="H203" i="7"/>
  <c r="G203" i="7"/>
  <c r="H198" i="7"/>
  <c r="G198" i="7"/>
  <c r="H194" i="7"/>
  <c r="G194" i="7"/>
  <c r="H185" i="7"/>
  <c r="G185" i="7"/>
  <c r="H180" i="7"/>
  <c r="G180" i="7"/>
  <c r="H176" i="7"/>
  <c r="G176" i="7"/>
  <c r="H167" i="7"/>
  <c r="G167" i="7"/>
  <c r="H162" i="7"/>
  <c r="G162" i="7"/>
  <c r="H158" i="7"/>
  <c r="G158" i="7"/>
  <c r="H81" i="7"/>
  <c r="G81" i="7"/>
  <c r="H76" i="7"/>
  <c r="G76" i="7"/>
  <c r="H72" i="7"/>
  <c r="G72" i="7"/>
  <c r="H63" i="7"/>
  <c r="G63" i="7"/>
  <c r="H58" i="7"/>
  <c r="G58" i="7"/>
  <c r="H53" i="7"/>
  <c r="G53" i="7"/>
  <c r="H48" i="7"/>
  <c r="G48" i="7"/>
  <c r="H44" i="7"/>
  <c r="G44" i="7"/>
  <c r="X7" i="4" l="1"/>
  <c r="Y6" i="4"/>
  <c r="X8" i="4"/>
  <c r="X10" i="4"/>
  <c r="X14" i="4"/>
  <c r="Z6" i="4" l="1"/>
  <c r="Y8" i="4"/>
  <c r="Y10" i="4"/>
  <c r="Y14" i="4"/>
  <c r="Y7" i="4"/>
  <c r="T8" i="4"/>
  <c r="AA6" i="4" l="1"/>
  <c r="Z10" i="4"/>
  <c r="Z7" i="4"/>
  <c r="Z14" i="4"/>
  <c r="AA14" i="4" l="1"/>
  <c r="AB6" i="4"/>
  <c r="AA10" i="4"/>
  <c r="AA7" i="4"/>
  <c r="AB7" i="4" l="1"/>
  <c r="AC6" i="4"/>
  <c r="AB10" i="4"/>
  <c r="AB14" i="4"/>
  <c r="AD6" i="4" l="1"/>
  <c r="AC10" i="4"/>
  <c r="AC14" i="4"/>
  <c r="AC7" i="4"/>
  <c r="AE6" i="4" l="1"/>
  <c r="AD10" i="4"/>
  <c r="AD7" i="4"/>
  <c r="AD14" i="4"/>
  <c r="AE14" i="4" l="1"/>
  <c r="AF6" i="4"/>
  <c r="AE10" i="4"/>
  <c r="AE7" i="4"/>
  <c r="AF7" i="4" l="1"/>
  <c r="AG6" i="4"/>
  <c r="AF10" i="4"/>
  <c r="AF14" i="4"/>
  <c r="AH6" i="4" l="1"/>
  <c r="AG10" i="4"/>
  <c r="AG14" i="4"/>
  <c r="AG7" i="4"/>
  <c r="AI6" i="4" l="1"/>
  <c r="AH7" i="4"/>
  <c r="AH14" i="4"/>
  <c r="AH10" i="4"/>
  <c r="AI14" i="4" l="1"/>
  <c r="AJ6" i="4"/>
  <c r="AI10" i="4"/>
  <c r="AI7" i="4"/>
  <c r="AJ7" i="4" l="1"/>
  <c r="AK6" i="4"/>
  <c r="AJ10" i="4"/>
  <c r="AJ14" i="4"/>
  <c r="AL6" i="4" l="1"/>
  <c r="AK10" i="4"/>
  <c r="AK14" i="4"/>
  <c r="AK7" i="4"/>
  <c r="AM6" i="4" l="1"/>
  <c r="AL7" i="4"/>
  <c r="AL14" i="4"/>
  <c r="AL10" i="4"/>
  <c r="AN6" i="4" l="1"/>
  <c r="AM14" i="4"/>
  <c r="AM10" i="4"/>
  <c r="AM7" i="4"/>
  <c r="AN7" i="4" l="1"/>
  <c r="AO6" i="4"/>
  <c r="AN10" i="4"/>
  <c r="AN14" i="4"/>
  <c r="AP6" i="4" l="1"/>
  <c r="AO10" i="4"/>
  <c r="AO14" i="4"/>
  <c r="AO7" i="4"/>
  <c r="AQ6" i="4" l="1"/>
  <c r="AP7" i="4"/>
  <c r="AP14" i="4"/>
  <c r="AP10" i="4"/>
  <c r="AR6" i="4" l="1"/>
  <c r="AQ10" i="4"/>
  <c r="AQ14" i="4"/>
  <c r="AQ7" i="4"/>
  <c r="M211" i="7"/>
  <c r="AR7" i="4" l="1"/>
  <c r="AS6" i="4"/>
  <c r="AR10" i="4"/>
  <c r="AR14" i="4"/>
  <c r="L204" i="7"/>
  <c r="L186" i="7"/>
  <c r="L168" i="7"/>
  <c r="M89" i="7"/>
  <c r="L82" i="7"/>
  <c r="AT6" i="4" l="1"/>
  <c r="AS10" i="4"/>
  <c r="AS14" i="4"/>
  <c r="AS7" i="4"/>
  <c r="M4" i="7"/>
  <c r="I4" i="7"/>
  <c r="C5" i="7"/>
  <c r="C6" i="7" s="1"/>
  <c r="C7" i="7" s="1"/>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F12" i="7"/>
  <c r="F11" i="7"/>
  <c r="F10" i="7"/>
  <c r="F9" i="7"/>
  <c r="F8" i="7"/>
  <c r="F7" i="7"/>
  <c r="F6" i="7"/>
  <c r="F5" i="7"/>
  <c r="F4" i="7"/>
  <c r="I6" i="7" s="1"/>
  <c r="I7" i="7" s="1"/>
  <c r="I8" i="7" s="1"/>
  <c r="I9" i="7" s="1"/>
  <c r="I10" i="7" s="1"/>
  <c r="I11" i="7" s="1"/>
  <c r="I12" i="7" s="1"/>
  <c r="I13" i="7" s="1"/>
  <c r="I14" i="7" s="1"/>
  <c r="I15" i="7" s="1"/>
  <c r="I16" i="7" s="1"/>
  <c r="I17" i="7" s="1"/>
  <c r="I18" i="7" s="1"/>
  <c r="I19" i="7" s="1"/>
  <c r="I20" i="7" s="1"/>
  <c r="I21" i="7" s="1"/>
  <c r="I22" i="7" s="1"/>
  <c r="I23" i="7" s="1"/>
  <c r="I24" i="7" s="1"/>
  <c r="I25" i="7" s="1"/>
  <c r="I26" i="7" s="1"/>
  <c r="I27" i="7" s="1"/>
  <c r="I28" i="7" s="1"/>
  <c r="I29" i="7" s="1"/>
  <c r="I30" i="7" s="1"/>
  <c r="I31" i="7" s="1"/>
  <c r="I32" i="7" s="1"/>
  <c r="I33" i="7" s="1"/>
  <c r="I34" i="7" s="1"/>
  <c r="I35" i="7" s="1"/>
  <c r="I36" i="7" s="1"/>
  <c r="I37" i="7" s="1"/>
  <c r="I38" i="7" s="1"/>
  <c r="I39" i="7" s="1"/>
  <c r="I40" i="7" s="1"/>
  <c r="E40" i="7"/>
  <c r="O40" i="7" s="1"/>
  <c r="E39" i="7"/>
  <c r="O39" i="7" s="1"/>
  <c r="E38" i="7"/>
  <c r="O38" i="7" s="1"/>
  <c r="E37" i="7"/>
  <c r="O37" i="7" s="1"/>
  <c r="E36" i="7"/>
  <c r="O36" i="7" s="1"/>
  <c r="E35" i="7"/>
  <c r="O35" i="7" s="1"/>
  <c r="E34" i="7"/>
  <c r="O34" i="7" s="1"/>
  <c r="E33" i="7"/>
  <c r="O33" i="7" s="1"/>
  <c r="E32" i="7"/>
  <c r="O32" i="7" s="1"/>
  <c r="E31" i="7"/>
  <c r="O31" i="7" s="1"/>
  <c r="E30" i="7"/>
  <c r="O30" i="7" s="1"/>
  <c r="E29" i="7"/>
  <c r="O29" i="7" s="1"/>
  <c r="E28" i="7"/>
  <c r="O28" i="7" s="1"/>
  <c r="E27" i="7"/>
  <c r="O27" i="7" s="1"/>
  <c r="E26" i="7"/>
  <c r="O26" i="7" s="1"/>
  <c r="E25" i="7"/>
  <c r="O25" i="7" s="1"/>
  <c r="E24" i="7"/>
  <c r="O24" i="7" s="1"/>
  <c r="E23" i="7"/>
  <c r="O23" i="7" s="1"/>
  <c r="E22" i="7"/>
  <c r="O22" i="7" s="1"/>
  <c r="E21" i="7"/>
  <c r="O21" i="7" s="1"/>
  <c r="E20" i="7"/>
  <c r="O20" i="7" s="1"/>
  <c r="E19" i="7"/>
  <c r="O19" i="7" s="1"/>
  <c r="E18" i="7"/>
  <c r="O18" i="7" s="1"/>
  <c r="E17" i="7"/>
  <c r="O17" i="7" s="1"/>
  <c r="E16" i="7"/>
  <c r="O16" i="7" s="1"/>
  <c r="E15" i="7"/>
  <c r="O15" i="7" s="1"/>
  <c r="E14" i="7"/>
  <c r="O14" i="7" s="1"/>
  <c r="E13" i="7"/>
  <c r="O13" i="7" s="1"/>
  <c r="E12" i="7"/>
  <c r="O12" i="7" s="1"/>
  <c r="E11" i="7"/>
  <c r="O11" i="7" s="1"/>
  <c r="E10" i="7"/>
  <c r="O10" i="7" s="1"/>
  <c r="E9" i="7"/>
  <c r="O9" i="7" s="1"/>
  <c r="E8" i="7"/>
  <c r="O8" i="7" s="1"/>
  <c r="E7" i="7"/>
  <c r="O7" i="7" s="1"/>
  <c r="E6" i="7"/>
  <c r="O6" i="7" s="1"/>
  <c r="E5" i="7"/>
  <c r="O5" i="7" s="1"/>
  <c r="E4" i="7"/>
  <c r="C4" i="7"/>
  <c r="AU6" i="4" l="1"/>
  <c r="AT7" i="4"/>
  <c r="AT14" i="4"/>
  <c r="AT10" i="4"/>
  <c r="G4" i="7"/>
  <c r="I2" i="7"/>
  <c r="H4" i="7"/>
  <c r="D4" i="7"/>
  <c r="O4" i="7"/>
  <c r="L5" i="7"/>
  <c r="C8" i="7"/>
  <c r="L7" i="7"/>
  <c r="L6" i="7"/>
  <c r="AV6" i="4" l="1"/>
  <c r="AU14" i="4"/>
  <c r="AU10" i="4"/>
  <c r="AU7" i="4"/>
  <c r="G5" i="7"/>
  <c r="H5" i="7"/>
  <c r="L8" i="7"/>
  <c r="AV7" i="4" l="1"/>
  <c r="AW6" i="4"/>
  <c r="AV10" i="4"/>
  <c r="AV14" i="4"/>
  <c r="G6" i="7"/>
  <c r="H6" i="7"/>
  <c r="L9" i="7"/>
  <c r="AX6" i="4" l="1"/>
  <c r="AW10" i="4"/>
  <c r="AW14" i="4"/>
  <c r="AW7" i="4"/>
  <c r="G7" i="7"/>
  <c r="H7" i="7"/>
  <c r="AY6" i="4" l="1"/>
  <c r="AX7" i="4"/>
  <c r="AX14" i="4"/>
  <c r="AX10" i="4"/>
  <c r="G8" i="7"/>
  <c r="H8" i="7"/>
  <c r="L10" i="7"/>
  <c r="L11" i="7"/>
  <c r="AZ6" i="4" l="1"/>
  <c r="AY10" i="4"/>
  <c r="AY14" i="4"/>
  <c r="AY7" i="4"/>
  <c r="G9" i="7"/>
  <c r="H9" i="7"/>
  <c r="L12" i="7"/>
  <c r="AZ7" i="4" l="1"/>
  <c r="BA6" i="4"/>
  <c r="AZ10" i="4"/>
  <c r="AZ14" i="4"/>
  <c r="G10" i="7"/>
  <c r="H10" i="7"/>
  <c r="C14" i="7"/>
  <c r="L13" i="7"/>
  <c r="BB6" i="4" l="1"/>
  <c r="BA10" i="4"/>
  <c r="BA14" i="4"/>
  <c r="BA7" i="4"/>
  <c r="G11" i="7"/>
  <c r="H11" i="7"/>
  <c r="L14" i="7"/>
  <c r="C15" i="7"/>
  <c r="BC6" i="4" l="1"/>
  <c r="BB7" i="4"/>
  <c r="BB14" i="4"/>
  <c r="BB10" i="4"/>
  <c r="G12" i="7"/>
  <c r="H12" i="7"/>
  <c r="L15" i="7"/>
  <c r="C16" i="7"/>
  <c r="BD6" i="4" l="1"/>
  <c r="BC14" i="4"/>
  <c r="BC10" i="4"/>
  <c r="BC7" i="4"/>
  <c r="G13" i="7"/>
  <c r="H13" i="7"/>
  <c r="C17" i="7"/>
  <c r="L16" i="7"/>
  <c r="BD7" i="4" l="1"/>
  <c r="BE6" i="4"/>
  <c r="BD10" i="4"/>
  <c r="BD14" i="4"/>
  <c r="T14" i="4" s="1"/>
  <c r="G14" i="7"/>
  <c r="H14" i="7"/>
  <c r="C18" i="7"/>
  <c r="L17" i="7"/>
  <c r="BF6" i="4" l="1"/>
  <c r="BE10" i="4"/>
  <c r="BE7" i="4"/>
  <c r="G15" i="7"/>
  <c r="H15" i="7"/>
  <c r="L18" i="7"/>
  <c r="C19" i="7"/>
  <c r="BG6" i="4" l="1"/>
  <c r="BF7" i="4"/>
  <c r="BF10" i="4"/>
  <c r="G16" i="7"/>
  <c r="H16" i="7"/>
  <c r="C20" i="7"/>
  <c r="L19" i="7"/>
  <c r="BH6" i="4" l="1"/>
  <c r="BG10" i="4"/>
  <c r="BG7" i="4"/>
  <c r="G17" i="7"/>
  <c r="H17" i="7"/>
  <c r="L20" i="7"/>
  <c r="BH7" i="4" l="1"/>
  <c r="BI6" i="4"/>
  <c r="BH10" i="4"/>
  <c r="G18" i="7"/>
  <c r="H18" i="7"/>
  <c r="C22" i="7"/>
  <c r="L21" i="7"/>
  <c r="BJ6" i="4" l="1"/>
  <c r="BI10" i="4"/>
  <c r="BI7" i="4"/>
  <c r="G19" i="7"/>
  <c r="H19" i="7"/>
  <c r="L22" i="7"/>
  <c r="C23" i="7"/>
  <c r="BK6" i="4" l="1"/>
  <c r="BJ7" i="4"/>
  <c r="BJ10" i="4"/>
  <c r="G20" i="7"/>
  <c r="H20" i="7"/>
  <c r="C24" i="7"/>
  <c r="L23" i="7"/>
  <c r="BL6" i="4" l="1"/>
  <c r="BK10" i="4"/>
  <c r="BK7" i="4"/>
  <c r="G21" i="7"/>
  <c r="H21" i="7"/>
  <c r="L24" i="7"/>
  <c r="BL7" i="4" l="1"/>
  <c r="BM6" i="4"/>
  <c r="BL10" i="4"/>
  <c r="G22" i="7"/>
  <c r="H22" i="7"/>
  <c r="C26" i="7"/>
  <c r="L25" i="7"/>
  <c r="BN6" i="4" l="1"/>
  <c r="BM10" i="4"/>
  <c r="BM7" i="4"/>
  <c r="G23" i="7"/>
  <c r="H23" i="7"/>
  <c r="L26" i="7"/>
  <c r="C27" i="7"/>
  <c r="BO6" i="4" l="1"/>
  <c r="BN10" i="4"/>
  <c r="BN7" i="4"/>
  <c r="G24" i="7"/>
  <c r="H24" i="7"/>
  <c r="L27" i="7"/>
  <c r="C28" i="7"/>
  <c r="BP6" i="4" l="1"/>
  <c r="BO10" i="4"/>
  <c r="BO7" i="4"/>
  <c r="G25" i="7"/>
  <c r="H25" i="7"/>
  <c r="L28" i="7"/>
  <c r="BP7" i="4" l="1"/>
  <c r="BQ6" i="4"/>
  <c r="BP10" i="4"/>
  <c r="G26" i="7"/>
  <c r="H26" i="7"/>
  <c r="C30" i="7"/>
  <c r="L29" i="7"/>
  <c r="BR6" i="4" l="1"/>
  <c r="BQ10" i="4"/>
  <c r="BQ7" i="4"/>
  <c r="G27" i="7"/>
  <c r="H27" i="7"/>
  <c r="C31" i="7"/>
  <c r="L30" i="7"/>
  <c r="BS6" i="4" l="1"/>
  <c r="BR7" i="4"/>
  <c r="BR10" i="4"/>
  <c r="G28" i="7"/>
  <c r="H28" i="7"/>
  <c r="C32" i="7"/>
  <c r="L31" i="7"/>
  <c r="BT6" i="4" l="1"/>
  <c r="BS10" i="4"/>
  <c r="BS7" i="4"/>
  <c r="G29" i="7"/>
  <c r="H29" i="7"/>
  <c r="L32" i="7"/>
  <c r="BT7" i="4" l="1"/>
  <c r="BU6" i="4"/>
  <c r="BT10" i="4"/>
  <c r="G30" i="7"/>
  <c r="H30" i="7"/>
  <c r="C34" i="7"/>
  <c r="L33" i="7"/>
  <c r="BV6" i="4" l="1"/>
  <c r="BU10" i="4"/>
  <c r="BU7" i="4"/>
  <c r="G31" i="7"/>
  <c r="H31" i="7"/>
  <c r="C35" i="7"/>
  <c r="L34" i="7"/>
  <c r="BW6" i="4" l="1"/>
  <c r="BV10" i="4"/>
  <c r="BV7" i="4"/>
  <c r="G32" i="7"/>
  <c r="H32" i="7"/>
  <c r="C36" i="7"/>
  <c r="L35" i="7"/>
  <c r="BX6" i="4" l="1"/>
  <c r="BW10" i="4"/>
  <c r="BW7" i="4"/>
  <c r="G33" i="7"/>
  <c r="H33" i="7"/>
  <c r="L36" i="7"/>
  <c r="BX7" i="4" l="1"/>
  <c r="BY6" i="4"/>
  <c r="BX10" i="4"/>
  <c r="G34" i="7"/>
  <c r="H34" i="7"/>
  <c r="D247" i="7"/>
  <c r="L247" i="7" s="1"/>
  <c r="C38" i="7"/>
  <c r="L37" i="7"/>
  <c r="BZ6" i="4" l="1"/>
  <c r="BY10" i="4"/>
  <c r="BY7" i="4"/>
  <c r="G35" i="7"/>
  <c r="H35" i="7"/>
  <c r="C39" i="7"/>
  <c r="L38" i="7"/>
  <c r="CA6" i="4" l="1"/>
  <c r="BZ7" i="4"/>
  <c r="BZ10" i="4"/>
  <c r="G36" i="7"/>
  <c r="H36" i="7"/>
  <c r="C40" i="7"/>
  <c r="L39" i="7"/>
  <c r="CB6" i="4" l="1"/>
  <c r="CA10" i="4"/>
  <c r="CA7" i="4"/>
  <c r="G37" i="7"/>
  <c r="H37" i="7"/>
  <c r="L40" i="7"/>
  <c r="CB7" i="4" l="1"/>
  <c r="CC6" i="4"/>
  <c r="CB10" i="4"/>
  <c r="G38" i="7"/>
  <c r="H38" i="7"/>
  <c r="CD6" i="4" l="1"/>
  <c r="CC10" i="4"/>
  <c r="CC7" i="4"/>
  <c r="G39" i="7"/>
  <c r="H39" i="7"/>
  <c r="CE6" i="4" l="1"/>
  <c r="CD10" i="4"/>
  <c r="CD7" i="4"/>
  <c r="G40" i="7"/>
  <c r="H40" i="7"/>
  <c r="CF6" i="4" l="1"/>
  <c r="CE10" i="4"/>
  <c r="CE7" i="4"/>
  <c r="CF7" i="4" l="1"/>
  <c r="CG6" i="4"/>
  <c r="CF10" i="4"/>
  <c r="CH6" i="4" l="1"/>
  <c r="CG10" i="4"/>
  <c r="T10" i="4" s="1"/>
  <c r="CG7" i="4"/>
  <c r="CI6" i="4" l="1"/>
  <c r="CH7" i="4"/>
  <c r="CJ6" i="4" l="1"/>
  <c r="CI7" i="4"/>
  <c r="CJ7" i="4" l="1"/>
  <c r="CK6" i="4"/>
  <c r="CL6" i="4" l="1"/>
  <c r="CK7" i="4"/>
  <c r="CM6" i="4" l="1"/>
  <c r="CL7" i="4"/>
  <c r="CN6" i="4" l="1"/>
  <c r="CM7" i="4"/>
  <c r="CN7" i="4" l="1"/>
  <c r="CO6" i="4"/>
  <c r="CP6" i="4" l="1"/>
  <c r="CO7" i="4"/>
  <c r="CQ6" i="4" l="1"/>
  <c r="CP7" i="4"/>
  <c r="CR6" i="4" l="1"/>
  <c r="CQ7" i="4"/>
  <c r="CR7" i="4" l="1"/>
  <c r="CS6" i="4"/>
  <c r="CT6" i="4" l="1"/>
  <c r="CS7" i="4"/>
  <c r="CU6" i="4" l="1"/>
  <c r="CT7" i="4"/>
  <c r="CV6" i="4" l="1"/>
  <c r="CU7" i="4"/>
  <c r="CV7" i="4" l="1"/>
  <c r="CW6" i="4"/>
  <c r="CX6" i="4" l="1"/>
  <c r="CW7" i="4"/>
  <c r="CY6" i="4" l="1"/>
  <c r="CX7" i="4"/>
  <c r="CZ6" i="4" l="1"/>
  <c r="CY7" i="4"/>
  <c r="CZ7" i="4" l="1"/>
  <c r="DA6" i="4"/>
  <c r="DB6" i="4" l="1"/>
  <c r="DA7" i="4"/>
  <c r="DC6" i="4" l="1"/>
  <c r="DB7" i="4"/>
  <c r="DD6" i="4" l="1"/>
  <c r="DC7" i="4"/>
  <c r="DD7" i="4" l="1"/>
  <c r="DE6" i="4"/>
  <c r="DF6" i="4" l="1"/>
  <c r="DE7" i="4"/>
  <c r="DG6" i="4" l="1"/>
  <c r="DF7" i="4"/>
  <c r="DH6" i="4" l="1"/>
  <c r="DG7" i="4"/>
  <c r="DH7" i="4" l="1"/>
  <c r="DI6" i="4"/>
  <c r="DJ6" i="4" l="1"/>
  <c r="DI7" i="4"/>
  <c r="DK6" i="4" l="1"/>
  <c r="DJ7" i="4"/>
  <c r="DL6" i="4" l="1"/>
  <c r="DK7" i="4"/>
  <c r="DL7" i="4" l="1"/>
  <c r="DM6" i="4"/>
  <c r="DN6" i="4" l="1"/>
  <c r="DM7" i="4"/>
  <c r="DO6" i="4" l="1"/>
  <c r="DN7" i="4"/>
  <c r="DP6" i="4" l="1"/>
  <c r="DO7" i="4"/>
  <c r="DP7" i="4" l="1"/>
  <c r="DQ6" i="4"/>
  <c r="DR6" i="4" l="1"/>
  <c r="DQ7" i="4"/>
  <c r="DS6" i="4" l="1"/>
  <c r="DR7" i="4"/>
  <c r="DT6" i="4" l="1"/>
  <c r="DS7" i="4"/>
  <c r="DT7" i="4" l="1"/>
  <c r="DU6" i="4"/>
  <c r="DV6" i="4" l="1"/>
  <c r="DU7" i="4"/>
  <c r="DW6" i="4" l="1"/>
  <c r="DV7" i="4"/>
  <c r="DX6" i="4" l="1"/>
  <c r="DW7" i="4"/>
  <c r="DX7" i="4" l="1"/>
  <c r="DY6" i="4"/>
  <c r="DY7" i="4" s="1"/>
  <c r="T7" i="4" l="1"/>
  <c r="J4" i="7" l="1"/>
  <c r="E34" i="8" s="1"/>
  <c r="R4" i="7" l="1"/>
  <c r="P5" i="7" s="1"/>
  <c r="N4" i="7"/>
  <c r="J5" i="7" s="1"/>
  <c r="P4" i="7"/>
  <c r="M5" i="7" l="1"/>
  <c r="Q39" i="7"/>
  <c r="Q35" i="7"/>
  <c r="Q31" i="7"/>
  <c r="Q27" i="7"/>
  <c r="Q23" i="7"/>
  <c r="Q19" i="7"/>
  <c r="Q15" i="7"/>
  <c r="Q11" i="7"/>
  <c r="Q7" i="7"/>
  <c r="Q38" i="7"/>
  <c r="Q34" i="7"/>
  <c r="Q30" i="7"/>
  <c r="Q26" i="7"/>
  <c r="Q22" i="7"/>
  <c r="Q18" i="7"/>
  <c r="Q14" i="7"/>
  <c r="Q10" i="7"/>
  <c r="Q6" i="7"/>
  <c r="Q40" i="7"/>
  <c r="Q32" i="7"/>
  <c r="Q24" i="7"/>
  <c r="Q16" i="7"/>
  <c r="Q8" i="7"/>
  <c r="Q36" i="7"/>
  <c r="Q28" i="7"/>
  <c r="Q20" i="7"/>
  <c r="Q12" i="7"/>
  <c r="Q33" i="7"/>
  <c r="Q17" i="7"/>
  <c r="Q37" i="7"/>
  <c r="Q29" i="7"/>
  <c r="Q21" i="7"/>
  <c r="Q13" i="7"/>
  <c r="Q5" i="7"/>
  <c r="R5" i="7" s="1"/>
  <c r="P6" i="7" s="1"/>
  <c r="Q25" i="7"/>
  <c r="Q9" i="7"/>
  <c r="R6" i="7" l="1"/>
  <c r="P7" i="7" s="1"/>
  <c r="R7" i="7" s="1"/>
  <c r="P8" i="7" s="1"/>
  <c r="R8" i="7" s="1"/>
  <c r="P9" i="7" s="1"/>
  <c r="R9" i="7" s="1"/>
  <c r="P10" i="7" s="1"/>
  <c r="R10" i="7" s="1"/>
  <c r="P11" i="7" s="1"/>
  <c r="R11" i="7" s="1"/>
  <c r="P12" i="7" s="1"/>
  <c r="R12" i="7" s="1"/>
  <c r="P13" i="7" s="1"/>
  <c r="R13" i="7" s="1"/>
  <c r="P14" i="7" s="1"/>
  <c r="R14" i="7" s="1"/>
  <c r="P15" i="7" s="1"/>
  <c r="R15" i="7" s="1"/>
  <c r="P16" i="7" s="1"/>
  <c r="R16" i="7" s="1"/>
  <c r="P17" i="7" s="1"/>
  <c r="R17" i="7" s="1"/>
  <c r="P18" i="7" s="1"/>
  <c r="R18" i="7" s="1"/>
  <c r="P19" i="7" s="1"/>
  <c r="R19" i="7" s="1"/>
  <c r="P20" i="7" s="1"/>
  <c r="R20" i="7" s="1"/>
  <c r="P21" i="7" s="1"/>
  <c r="R21" i="7" s="1"/>
  <c r="P22" i="7" s="1"/>
  <c r="R22" i="7" s="1"/>
  <c r="P23" i="7" s="1"/>
  <c r="R23" i="7" s="1"/>
  <c r="P24" i="7" s="1"/>
  <c r="R24" i="7" s="1"/>
  <c r="P25" i="7" s="1"/>
  <c r="R25" i="7" s="1"/>
  <c r="P26" i="7" s="1"/>
  <c r="R26" i="7" s="1"/>
  <c r="P27" i="7" s="1"/>
  <c r="R27" i="7" s="1"/>
  <c r="P28" i="7" s="1"/>
  <c r="R28" i="7" s="1"/>
  <c r="P29" i="7" s="1"/>
  <c r="R29" i="7" s="1"/>
  <c r="P30" i="7" s="1"/>
  <c r="R30" i="7" s="1"/>
  <c r="P31" i="7" s="1"/>
  <c r="R31" i="7" s="1"/>
  <c r="P32" i="7" s="1"/>
  <c r="R32" i="7" s="1"/>
  <c r="P33" i="7" s="1"/>
  <c r="R33" i="7" s="1"/>
  <c r="P34" i="7" s="1"/>
  <c r="R34" i="7" s="1"/>
  <c r="P35" i="7" s="1"/>
  <c r="R35" i="7" s="1"/>
  <c r="P36" i="7" s="1"/>
  <c r="R36" i="7" s="1"/>
  <c r="P37" i="7" s="1"/>
  <c r="R37" i="7" s="1"/>
  <c r="P38" i="7" s="1"/>
  <c r="R38" i="7" s="1"/>
  <c r="P39" i="7" s="1"/>
  <c r="R39" i="7" s="1"/>
  <c r="P40" i="7" s="1"/>
  <c r="R40" i="7" s="1"/>
  <c r="N5" i="7"/>
  <c r="J6" i="7" s="1"/>
  <c r="K6" i="7" s="1"/>
  <c r="M6" i="7" l="1"/>
  <c r="N6" i="7" l="1"/>
  <c r="J7" i="7" s="1"/>
  <c r="K7" i="7" s="1"/>
  <c r="M7" i="7" l="1"/>
  <c r="N7" i="7" l="1"/>
  <c r="J8" i="7" s="1"/>
  <c r="K8" i="7" s="1"/>
  <c r="M8" i="7" l="1"/>
  <c r="N8" i="7" l="1"/>
  <c r="J9" i="7" s="1"/>
  <c r="K9" i="7" s="1"/>
  <c r="M9" i="7" l="1"/>
  <c r="N9" i="7" l="1"/>
  <c r="J10" i="7" s="1"/>
  <c r="K10" i="7" s="1"/>
  <c r="M10" i="7" l="1"/>
  <c r="N10" i="7" l="1"/>
  <c r="J11" i="7" s="1"/>
  <c r="K11" i="7" s="1"/>
  <c r="M11" i="7" s="1"/>
  <c r="N11" i="7" s="1"/>
  <c r="J12" i="7" s="1"/>
  <c r="K12" i="7" s="1"/>
  <c r="M12" i="7" s="1"/>
  <c r="N12" i="7" s="1"/>
  <c r="J13" i="7" s="1"/>
  <c r="K13" i="7" s="1"/>
  <c r="M13" i="7" s="1"/>
  <c r="N13" i="7" s="1"/>
  <c r="J14" i="7" s="1"/>
  <c r="K14" i="7" s="1"/>
  <c r="M14" i="7" s="1"/>
  <c r="N14" i="7" s="1"/>
  <c r="J15" i="7" s="1"/>
  <c r="K15" i="7" s="1"/>
  <c r="M15" i="7" s="1"/>
  <c r="N15" i="7" s="1"/>
  <c r="J16" i="7" s="1"/>
  <c r="K16" i="7" s="1"/>
  <c r="M16" i="7" s="1"/>
  <c r="N16" i="7" s="1"/>
  <c r="J17" i="7" s="1"/>
  <c r="K17" i="7" s="1"/>
  <c r="M17" i="7" s="1"/>
  <c r="N17" i="7" s="1"/>
  <c r="J18" i="7" s="1"/>
  <c r="K18" i="7" s="1"/>
  <c r="M18" i="7" s="1"/>
  <c r="N18" i="7" s="1"/>
  <c r="J19" i="7" s="1"/>
  <c r="K19" i="7" s="1"/>
  <c r="M19" i="7" s="1"/>
  <c r="N19" i="7" s="1"/>
  <c r="J20" i="7" s="1"/>
  <c r="K20" i="7" s="1"/>
  <c r="M20" i="7" s="1"/>
  <c r="N20" i="7" s="1"/>
  <c r="J21" i="7" s="1"/>
  <c r="K21" i="7" s="1"/>
  <c r="M21" i="7" s="1"/>
  <c r="N21" i="7" s="1"/>
  <c r="J22" i="7" s="1"/>
  <c r="K22" i="7" s="1"/>
  <c r="M22" i="7" s="1"/>
  <c r="N22" i="7" s="1"/>
  <c r="J23" i="7" s="1"/>
  <c r="K23" i="7" s="1"/>
  <c r="M23" i="7" s="1"/>
  <c r="N23" i="7" s="1"/>
  <c r="J24" i="7" s="1"/>
  <c r="K24" i="7" s="1"/>
  <c r="M24" i="7" s="1"/>
  <c r="N24" i="7" s="1"/>
  <c r="J25" i="7" s="1"/>
  <c r="K25" i="7" s="1"/>
  <c r="M25" i="7" s="1"/>
  <c r="N25" i="7" s="1"/>
  <c r="J26" i="7" s="1"/>
  <c r="K26" i="7" s="1"/>
  <c r="M26" i="7" s="1"/>
  <c r="N26" i="7" s="1"/>
  <c r="J27" i="7" s="1"/>
  <c r="K27" i="7" s="1"/>
  <c r="M27" i="7" s="1"/>
  <c r="N27" i="7" s="1"/>
  <c r="J28" i="7" s="1"/>
  <c r="K28" i="7" s="1"/>
  <c r="M28" i="7" s="1"/>
  <c r="N28" i="7" s="1"/>
  <c r="J29" i="7" s="1"/>
  <c r="K29" i="7" s="1"/>
  <c r="M29" i="7" s="1"/>
  <c r="N29" i="7" s="1"/>
  <c r="J30" i="7" s="1"/>
  <c r="K30" i="7" s="1"/>
  <c r="M30" i="7" s="1"/>
  <c r="N30" i="7" s="1"/>
  <c r="J31" i="7" s="1"/>
  <c r="K31" i="7" s="1"/>
  <c r="M31" i="7" s="1"/>
  <c r="N31" i="7" s="1"/>
  <c r="J32" i="7" s="1"/>
  <c r="K32" i="7" s="1"/>
  <c r="M32" i="7" s="1"/>
  <c r="N32" i="7" s="1"/>
  <c r="J33" i="7" s="1"/>
  <c r="K33" i="7" s="1"/>
  <c r="M33" i="7" s="1"/>
  <c r="N33" i="7" s="1"/>
  <c r="J34" i="7" s="1"/>
  <c r="K34" i="7" s="1"/>
  <c r="M34" i="7" s="1"/>
  <c r="N34" i="7" s="1"/>
  <c r="J35" i="7" s="1"/>
  <c r="K35" i="7" s="1"/>
  <c r="M35" i="7" s="1"/>
  <c r="N35" i="7" s="1"/>
  <c r="J36" i="7" s="1"/>
  <c r="K36" i="7" s="1"/>
  <c r="M36" i="7" s="1"/>
  <c r="N36" i="7" s="1"/>
  <c r="J37" i="7" s="1"/>
  <c r="K37" i="7" s="1"/>
  <c r="M37" i="7" s="1"/>
  <c r="N37" i="7" s="1"/>
  <c r="J38" i="7" s="1"/>
  <c r="K38" i="7" s="1"/>
  <c r="M38" i="7" s="1"/>
  <c r="N38" i="7" s="1"/>
  <c r="J39" i="7" s="1"/>
  <c r="K39" i="7" s="1"/>
  <c r="M39" i="7" s="1"/>
  <c r="N39" i="7" s="1"/>
  <c r="J40" i="7" s="1"/>
  <c r="K40" i="7" s="1"/>
  <c r="N40" i="7" s="1"/>
  <c r="E84" i="7" l="1"/>
  <c r="F72" i="7"/>
  <c r="C68" i="7"/>
  <c r="C64" i="7"/>
  <c r="C60" i="7"/>
  <c r="C56" i="7"/>
  <c r="C52" i="7"/>
  <c r="E63" i="7"/>
  <c r="E53" i="7"/>
  <c r="L43" i="7"/>
  <c r="E67" i="7"/>
  <c r="E65" i="7"/>
  <c r="E62" i="7"/>
  <c r="E60" i="7"/>
  <c r="E57" i="7"/>
  <c r="E55" i="7"/>
  <c r="C86" i="7"/>
  <c r="F83" i="7"/>
  <c r="E76" i="7"/>
  <c r="F71" i="7"/>
  <c r="I73" i="7" s="1"/>
  <c r="C67" i="7"/>
  <c r="C63" i="7"/>
  <c r="C59" i="7"/>
  <c r="C55" i="7"/>
  <c r="C51" i="7"/>
  <c r="F58" i="7"/>
  <c r="F48" i="7"/>
  <c r="F68" i="7"/>
  <c r="F66" i="7"/>
  <c r="F64" i="7"/>
  <c r="F61" i="7"/>
  <c r="F59" i="7"/>
  <c r="F56" i="7"/>
  <c r="C77" i="7"/>
  <c r="F79" i="7"/>
  <c r="E73" i="7"/>
  <c r="C66" i="7"/>
  <c r="C62" i="7"/>
  <c r="C58" i="7"/>
  <c r="C54" i="7"/>
  <c r="C50" i="7"/>
  <c r="E58" i="7"/>
  <c r="E48" i="7"/>
  <c r="E68" i="7"/>
  <c r="E66" i="7"/>
  <c r="E64" i="7"/>
  <c r="E61" i="7"/>
  <c r="E59" i="7"/>
  <c r="E56" i="7"/>
  <c r="E54" i="7"/>
  <c r="E51" i="7"/>
  <c r="E49" i="7"/>
  <c r="C47" i="7"/>
  <c r="F45" i="7"/>
  <c r="E44" i="7"/>
  <c r="F43" i="7"/>
  <c r="I45" i="7" s="1"/>
  <c r="F75" i="7"/>
  <c r="C53" i="7"/>
  <c r="F67" i="7"/>
  <c r="F57" i="7"/>
  <c r="E52" i="7"/>
  <c r="F49" i="7"/>
  <c r="F46" i="7"/>
  <c r="C45" i="7"/>
  <c r="I43" i="7"/>
  <c r="C80" i="7"/>
  <c r="E74" i="7"/>
  <c r="C65" i="7"/>
  <c r="F63" i="7"/>
  <c r="F65" i="7"/>
  <c r="F55" i="7"/>
  <c r="F51" i="7"/>
  <c r="C49" i="7"/>
  <c r="E46" i="7"/>
  <c r="F44" i="7"/>
  <c r="E43" i="7"/>
  <c r="F86" i="7"/>
  <c r="C73" i="7"/>
  <c r="C61" i="7"/>
  <c r="F53" i="7"/>
  <c r="F62" i="7"/>
  <c r="F54" i="7"/>
  <c r="F50" i="7"/>
  <c r="F47" i="7"/>
  <c r="C46" i="7"/>
  <c r="C44" i="7"/>
  <c r="C43" i="7"/>
  <c r="D43" i="7" s="1"/>
  <c r="F84" i="7"/>
  <c r="L71" i="7"/>
  <c r="C57" i="7"/>
  <c r="C48" i="7"/>
  <c r="F60" i="7"/>
  <c r="F52" i="7"/>
  <c r="E50" i="7"/>
  <c r="E47" i="7"/>
  <c r="E45" i="7"/>
  <c r="J43" i="7"/>
  <c r="I46" i="7" l="1"/>
  <c r="H45" i="7"/>
  <c r="G45" i="7"/>
  <c r="G73" i="7"/>
  <c r="H73" i="7"/>
  <c r="B44" i="7"/>
  <c r="D44" i="7" s="1"/>
  <c r="H43" i="7"/>
  <c r="G43" i="7"/>
  <c r="E77" i="7"/>
  <c r="E79" i="7"/>
  <c r="E81" i="7"/>
  <c r="C84" i="7"/>
  <c r="F74" i="7"/>
  <c r="F81" i="7"/>
  <c r="C81" i="7"/>
  <c r="E72" i="7"/>
  <c r="E78" i="7"/>
  <c r="F85" i="7"/>
  <c r="C74" i="7"/>
  <c r="E71" i="7"/>
  <c r="C76" i="7"/>
  <c r="E83" i="7"/>
  <c r="C85" i="7"/>
  <c r="F73" i="7"/>
  <c r="E80" i="7"/>
  <c r="C78" i="7"/>
  <c r="F76" i="7"/>
  <c r="J71" i="7"/>
  <c r="P71" i="7" s="1"/>
  <c r="C71" i="7"/>
  <c r="D71" i="7" s="1"/>
  <c r="C72" i="7"/>
  <c r="F77" i="7"/>
  <c r="E85" i="7"/>
  <c r="C75" i="7"/>
  <c r="E82" i="7"/>
  <c r="C82" i="7"/>
  <c r="I71" i="7"/>
  <c r="E75" i="7"/>
  <c r="F80" i="7"/>
  <c r="C79" i="7"/>
  <c r="F82" i="7"/>
  <c r="C83" i="7"/>
  <c r="F78" i="7"/>
  <c r="E86" i="7"/>
  <c r="O43" i="7"/>
  <c r="P43" i="7"/>
  <c r="Q46" i="7" s="1"/>
  <c r="R43" i="7"/>
  <c r="P44" i="7" s="1"/>
  <c r="M71" i="7"/>
  <c r="L76" i="7"/>
  <c r="I47" i="7"/>
  <c r="B73" i="7"/>
  <c r="D73" i="7" s="1"/>
  <c r="I74" i="7"/>
  <c r="L54" i="7"/>
  <c r="L59" i="7" s="1"/>
  <c r="L64" i="7" s="1"/>
  <c r="L48" i="7"/>
  <c r="M43" i="7"/>
  <c r="N43" i="7" s="1"/>
  <c r="B45" i="7"/>
  <c r="D45" i="7" s="1"/>
  <c r="B72" i="7" l="1"/>
  <c r="D72" i="7" s="1"/>
  <c r="G71" i="7"/>
  <c r="H71" i="7"/>
  <c r="H74" i="7"/>
  <c r="G74" i="7"/>
  <c r="B48" i="7"/>
  <c r="D48" i="7" s="1"/>
  <c r="H47" i="7"/>
  <c r="G47" i="7"/>
  <c r="G46" i="7"/>
  <c r="H46" i="7"/>
  <c r="O71" i="7"/>
  <c r="R71" i="7"/>
  <c r="P72" i="7" s="1"/>
  <c r="N71" i="7"/>
  <c r="J72" i="7" s="1"/>
  <c r="K72" i="7" s="1"/>
  <c r="F157" i="7"/>
  <c r="I159" i="7" s="1"/>
  <c r="F154" i="7"/>
  <c r="F146" i="7"/>
  <c r="F138" i="7"/>
  <c r="F130" i="7"/>
  <c r="F122" i="7"/>
  <c r="F114" i="7"/>
  <c r="F106" i="7"/>
  <c r="F98" i="7"/>
  <c r="F90" i="7"/>
  <c r="F152" i="7"/>
  <c r="F144" i="7"/>
  <c r="F136" i="7"/>
  <c r="F128" i="7"/>
  <c r="F120" i="7"/>
  <c r="F112" i="7"/>
  <c r="F104" i="7"/>
  <c r="F96" i="7"/>
  <c r="J89" i="7"/>
  <c r="E148" i="7"/>
  <c r="O148" i="7" s="1"/>
  <c r="E158" i="7"/>
  <c r="F150" i="7"/>
  <c r="F142" i="7"/>
  <c r="F134" i="7"/>
  <c r="F126" i="7"/>
  <c r="F118" i="7"/>
  <c r="F110" i="7"/>
  <c r="F102" i="7"/>
  <c r="F94" i="7"/>
  <c r="C89" i="7"/>
  <c r="D89" i="7" s="1"/>
  <c r="F160" i="7"/>
  <c r="E154" i="7"/>
  <c r="O154" i="7" s="1"/>
  <c r="E146" i="7"/>
  <c r="O146" i="7" s="1"/>
  <c r="F132" i="7"/>
  <c r="F100" i="7"/>
  <c r="E142" i="7"/>
  <c r="O142" i="7" s="1"/>
  <c r="E134" i="7"/>
  <c r="O134" i="7" s="1"/>
  <c r="E126" i="7"/>
  <c r="O126" i="7" s="1"/>
  <c r="E118" i="7"/>
  <c r="O118" i="7" s="1"/>
  <c r="E110" i="7"/>
  <c r="O110" i="7" s="1"/>
  <c r="E102" i="7"/>
  <c r="O102" i="7" s="1"/>
  <c r="E94" i="7"/>
  <c r="O94" i="7" s="1"/>
  <c r="E168" i="7"/>
  <c r="C163" i="7"/>
  <c r="L157" i="7"/>
  <c r="F149" i="7"/>
  <c r="F141" i="7"/>
  <c r="F133" i="7"/>
  <c r="F125" i="7"/>
  <c r="F117" i="7"/>
  <c r="F109" i="7"/>
  <c r="F101" i="7"/>
  <c r="F93" i="7"/>
  <c r="C168" i="7"/>
  <c r="E141" i="7"/>
  <c r="O141" i="7" s="1"/>
  <c r="E109" i="7"/>
  <c r="O109" i="7" s="1"/>
  <c r="C157" i="7"/>
  <c r="D157" i="7" s="1"/>
  <c r="E123" i="7"/>
  <c r="O123" i="7" s="1"/>
  <c r="E91" i="7"/>
  <c r="O91" i="7" s="1"/>
  <c r="E145" i="7"/>
  <c r="O145" i="7" s="1"/>
  <c r="E113" i="7"/>
  <c r="O113" i="7" s="1"/>
  <c r="F158" i="7"/>
  <c r="E127" i="7"/>
  <c r="O127" i="7" s="1"/>
  <c r="E95" i="7"/>
  <c r="O95" i="7" s="1"/>
  <c r="F108" i="7"/>
  <c r="E159" i="7"/>
  <c r="E128" i="7"/>
  <c r="O128" i="7" s="1"/>
  <c r="E112" i="7"/>
  <c r="O112" i="7" s="1"/>
  <c r="E164" i="7"/>
  <c r="F143" i="7"/>
  <c r="F119" i="7"/>
  <c r="F95" i="7"/>
  <c r="E117" i="7"/>
  <c r="O117" i="7" s="1"/>
  <c r="E99" i="7"/>
  <c r="O99" i="7" s="1"/>
  <c r="E121" i="7"/>
  <c r="O121" i="7" s="1"/>
  <c r="E135" i="7"/>
  <c r="O135" i="7" s="1"/>
  <c r="I157" i="7"/>
  <c r="F124" i="7"/>
  <c r="F92" i="7"/>
  <c r="F164" i="7"/>
  <c r="E152" i="7"/>
  <c r="O152" i="7" s="1"/>
  <c r="E140" i="7"/>
  <c r="O140" i="7" s="1"/>
  <c r="E132" i="7"/>
  <c r="O132" i="7" s="1"/>
  <c r="E124" i="7"/>
  <c r="O124" i="7" s="1"/>
  <c r="E116" i="7"/>
  <c r="O116" i="7" s="1"/>
  <c r="E108" i="7"/>
  <c r="O108" i="7" s="1"/>
  <c r="E100" i="7"/>
  <c r="O100" i="7" s="1"/>
  <c r="E92" i="7"/>
  <c r="O92" i="7" s="1"/>
  <c r="C172" i="7"/>
  <c r="C167" i="7"/>
  <c r="F161" i="7"/>
  <c r="E157" i="7"/>
  <c r="F147" i="7"/>
  <c r="F139" i="7"/>
  <c r="F131" i="7"/>
  <c r="F123" i="7"/>
  <c r="F115" i="7"/>
  <c r="F107" i="7"/>
  <c r="F99" i="7"/>
  <c r="F91" i="7"/>
  <c r="F171" i="7"/>
  <c r="F162" i="7"/>
  <c r="E133" i="7"/>
  <c r="O133" i="7" s="1"/>
  <c r="E101" i="7"/>
  <c r="O101" i="7" s="1"/>
  <c r="E147" i="7"/>
  <c r="O147" i="7" s="1"/>
  <c r="E115" i="7"/>
  <c r="O115" i="7" s="1"/>
  <c r="E165" i="7"/>
  <c r="E137" i="7"/>
  <c r="O137" i="7" s="1"/>
  <c r="E105" i="7"/>
  <c r="O105" i="7" s="1"/>
  <c r="E151" i="7"/>
  <c r="O151" i="7" s="1"/>
  <c r="E119" i="7"/>
  <c r="O119" i="7" s="1"/>
  <c r="E89" i="7"/>
  <c r="O89" i="7" s="1"/>
  <c r="F140" i="7"/>
  <c r="F169" i="7"/>
  <c r="E136" i="7"/>
  <c r="O136" i="7" s="1"/>
  <c r="E104" i="7"/>
  <c r="O104" i="7" s="1"/>
  <c r="I89" i="7"/>
  <c r="C159" i="7"/>
  <c r="F135" i="7"/>
  <c r="F111" i="7"/>
  <c r="F89" i="7"/>
  <c r="E149" i="7"/>
  <c r="O149" i="7" s="1"/>
  <c r="E131" i="7"/>
  <c r="O131" i="7" s="1"/>
  <c r="E153" i="7"/>
  <c r="O153" i="7" s="1"/>
  <c r="C164" i="7"/>
  <c r="F148" i="7"/>
  <c r="F116" i="7"/>
  <c r="E163" i="7"/>
  <c r="E150" i="7"/>
  <c r="O150" i="7" s="1"/>
  <c r="E138" i="7"/>
  <c r="O138" i="7" s="1"/>
  <c r="E130" i="7"/>
  <c r="O130" i="7" s="1"/>
  <c r="E122" i="7"/>
  <c r="O122" i="7" s="1"/>
  <c r="E114" i="7"/>
  <c r="O114" i="7" s="1"/>
  <c r="E106" i="7"/>
  <c r="O106" i="7" s="1"/>
  <c r="E98" i="7"/>
  <c r="O98" i="7" s="1"/>
  <c r="E90" i="7"/>
  <c r="O90" i="7" s="1"/>
  <c r="F170" i="7"/>
  <c r="F165" i="7"/>
  <c r="E160" i="7"/>
  <c r="F153" i="7"/>
  <c r="F145" i="7"/>
  <c r="F137" i="7"/>
  <c r="F129" i="7"/>
  <c r="F121" i="7"/>
  <c r="F113" i="7"/>
  <c r="F105" i="7"/>
  <c r="F97" i="7"/>
  <c r="C90" i="7"/>
  <c r="E170" i="7"/>
  <c r="J157" i="7"/>
  <c r="E125" i="7"/>
  <c r="O125" i="7" s="1"/>
  <c r="E93" i="7"/>
  <c r="O93" i="7" s="1"/>
  <c r="F166" i="7"/>
  <c r="E139" i="7"/>
  <c r="O139" i="7" s="1"/>
  <c r="E107" i="7"/>
  <c r="O107" i="7" s="1"/>
  <c r="C160" i="7"/>
  <c r="E129" i="7"/>
  <c r="O129" i="7" s="1"/>
  <c r="E97" i="7"/>
  <c r="O97" i="7" s="1"/>
  <c r="E143" i="7"/>
  <c r="O143" i="7" s="1"/>
  <c r="E111" i="7"/>
  <c r="O111" i="7" s="1"/>
  <c r="F167" i="7"/>
  <c r="E144" i="7"/>
  <c r="O144" i="7" s="1"/>
  <c r="E120" i="7"/>
  <c r="O120" i="7" s="1"/>
  <c r="E96" i="7"/>
  <c r="O96" i="7" s="1"/>
  <c r="E169" i="7"/>
  <c r="F151" i="7"/>
  <c r="F127" i="7"/>
  <c r="F103" i="7"/>
  <c r="C169" i="7"/>
  <c r="E161" i="7"/>
  <c r="E103" i="7"/>
  <c r="O103" i="7" s="1"/>
  <c r="O44" i="7"/>
  <c r="O45" i="7" s="1"/>
  <c r="J44" i="7"/>
  <c r="K44" i="7" s="1"/>
  <c r="M44" i="7" s="1"/>
  <c r="L53" i="7"/>
  <c r="L58" i="7" s="1"/>
  <c r="L63" i="7" s="1"/>
  <c r="L81" i="7"/>
  <c r="Q73" i="7"/>
  <c r="Q72" i="7"/>
  <c r="Q74" i="7"/>
  <c r="I75" i="7"/>
  <c r="B74" i="7"/>
  <c r="D74" i="7" s="1"/>
  <c r="Q44" i="7"/>
  <c r="R44" i="7" s="1"/>
  <c r="P45" i="7" s="1"/>
  <c r="Q45" i="7"/>
  <c r="Q48" i="7"/>
  <c r="Q47" i="7"/>
  <c r="B46" i="7"/>
  <c r="D46" i="7" s="1"/>
  <c r="I49" i="7"/>
  <c r="R72" i="7" l="1"/>
  <c r="P73" i="7" s="1"/>
  <c r="O72" i="7"/>
  <c r="O73" i="7" s="1"/>
  <c r="O74" i="7" s="1"/>
  <c r="Q75" i="7"/>
  <c r="G75" i="7"/>
  <c r="H75" i="7"/>
  <c r="H49" i="7"/>
  <c r="G49" i="7"/>
  <c r="I90" i="7"/>
  <c r="G89" i="7"/>
  <c r="H89" i="7"/>
  <c r="B158" i="7"/>
  <c r="G157" i="7"/>
  <c r="H157" i="7"/>
  <c r="G159" i="7"/>
  <c r="H159" i="7"/>
  <c r="C158" i="7"/>
  <c r="E162" i="7"/>
  <c r="C166" i="7"/>
  <c r="F163" i="7"/>
  <c r="C162" i="7"/>
  <c r="F159" i="7"/>
  <c r="C161" i="7"/>
  <c r="F168" i="7"/>
  <c r="C171" i="7"/>
  <c r="C170" i="7"/>
  <c r="E167" i="7"/>
  <c r="C165" i="7"/>
  <c r="E166" i="7"/>
  <c r="E172" i="7"/>
  <c r="E171" i="7"/>
  <c r="F172" i="7"/>
  <c r="O157" i="7"/>
  <c r="L162" i="7"/>
  <c r="L167" i="7" s="1"/>
  <c r="M157" i="7"/>
  <c r="N157" i="7" s="1"/>
  <c r="J158" i="7" s="1"/>
  <c r="J159" i="7" s="1"/>
  <c r="K159" i="7" s="1"/>
  <c r="M159" i="7" s="1"/>
  <c r="P89" i="7"/>
  <c r="N89" i="7"/>
  <c r="J90" i="7" s="1"/>
  <c r="K90" i="7" s="1"/>
  <c r="R89" i="7"/>
  <c r="P90" i="7" s="1"/>
  <c r="R157" i="7"/>
  <c r="P158" i="7" s="1"/>
  <c r="P157" i="7"/>
  <c r="D90" i="7"/>
  <c r="L90" i="7" s="1"/>
  <c r="C91" i="7"/>
  <c r="B159" i="7"/>
  <c r="D159" i="7" s="1"/>
  <c r="I160" i="7"/>
  <c r="J45" i="7"/>
  <c r="J46" i="7" s="1"/>
  <c r="O46" i="7"/>
  <c r="M72" i="7"/>
  <c r="N72" i="7"/>
  <c r="N44" i="7"/>
  <c r="J73" i="7"/>
  <c r="K73" i="7" s="1"/>
  <c r="R73" i="7"/>
  <c r="P74" i="7" s="1"/>
  <c r="R74" i="7" s="1"/>
  <c r="P75" i="7" s="1"/>
  <c r="R45" i="7"/>
  <c r="P46" i="7" s="1"/>
  <c r="R46" i="7" s="1"/>
  <c r="P47" i="7" s="1"/>
  <c r="B75" i="7"/>
  <c r="D75" i="7" s="1"/>
  <c r="I77" i="7"/>
  <c r="B76" i="7"/>
  <c r="D76" i="7" s="1"/>
  <c r="Q76" i="7"/>
  <c r="I50" i="7"/>
  <c r="B49" i="7"/>
  <c r="D49" i="7" s="1"/>
  <c r="Q49" i="7"/>
  <c r="B47" i="7"/>
  <c r="D47" i="7" s="1"/>
  <c r="R75" i="7" l="1"/>
  <c r="P76" i="7" s="1"/>
  <c r="R76" i="7" s="1"/>
  <c r="P77" i="7" s="1"/>
  <c r="G77" i="7"/>
  <c r="H77" i="7"/>
  <c r="H50" i="7"/>
  <c r="G50" i="7"/>
  <c r="D158" i="7"/>
  <c r="O158" i="7" s="1"/>
  <c r="O159" i="7" s="1"/>
  <c r="I91" i="7"/>
  <c r="H90" i="7"/>
  <c r="G90" i="7"/>
  <c r="H160" i="7"/>
  <c r="G160" i="7"/>
  <c r="K158" i="7"/>
  <c r="M158" i="7" s="1"/>
  <c r="M90" i="7"/>
  <c r="N90" i="7" s="1"/>
  <c r="J91" i="7" s="1"/>
  <c r="J160" i="7"/>
  <c r="K160" i="7" s="1"/>
  <c r="M160" i="7" s="1"/>
  <c r="D91" i="7"/>
  <c r="L91" i="7" s="1"/>
  <c r="C92" i="7"/>
  <c r="E208" i="7"/>
  <c r="C180" i="7"/>
  <c r="C184" i="7"/>
  <c r="F190" i="7"/>
  <c r="E189" i="7"/>
  <c r="F178" i="7"/>
  <c r="E184" i="7"/>
  <c r="E190" i="7"/>
  <c r="C183" i="7"/>
  <c r="C179" i="7"/>
  <c r="E176" i="7"/>
  <c r="F187" i="7"/>
  <c r="E181" i="7"/>
  <c r="C190" i="7"/>
  <c r="C175" i="7"/>
  <c r="D175" i="7" s="1"/>
  <c r="E180" i="7"/>
  <c r="E183" i="7"/>
  <c r="F180" i="7"/>
  <c r="C177" i="7"/>
  <c r="C187" i="7"/>
  <c r="E185" i="7"/>
  <c r="F182" i="7"/>
  <c r="C185" i="7"/>
  <c r="F189" i="7"/>
  <c r="C181" i="7"/>
  <c r="C176" i="7"/>
  <c r="F188" i="7"/>
  <c r="C178" i="7"/>
  <c r="L175" i="7"/>
  <c r="I175" i="7"/>
  <c r="F175" i="7"/>
  <c r="I177" i="7" s="1"/>
  <c r="C182" i="7"/>
  <c r="E186" i="7"/>
  <c r="F177" i="7"/>
  <c r="C188" i="7"/>
  <c r="E177" i="7"/>
  <c r="F179" i="7"/>
  <c r="F184" i="7"/>
  <c r="F183" i="7"/>
  <c r="F194" i="7"/>
  <c r="E187" i="7"/>
  <c r="F176" i="7"/>
  <c r="C186" i="7"/>
  <c r="F181" i="7"/>
  <c r="J175" i="7"/>
  <c r="E188" i="7"/>
  <c r="E182" i="7"/>
  <c r="F186" i="7"/>
  <c r="C189" i="7"/>
  <c r="E178" i="7"/>
  <c r="E179" i="7"/>
  <c r="E175" i="7"/>
  <c r="F185" i="7"/>
  <c r="I161" i="7"/>
  <c r="B160" i="7"/>
  <c r="D160" i="7" s="1"/>
  <c r="Q158" i="7"/>
  <c r="R158" i="7" s="1"/>
  <c r="P159" i="7" s="1"/>
  <c r="Q160" i="7"/>
  <c r="Q159" i="7"/>
  <c r="Q90" i="7"/>
  <c r="R90" i="7" s="1"/>
  <c r="P91" i="7" s="1"/>
  <c r="Q91" i="7"/>
  <c r="K45" i="7"/>
  <c r="M45" i="7" s="1"/>
  <c r="O75" i="7"/>
  <c r="O76" i="7" s="1"/>
  <c r="O47" i="7"/>
  <c r="O48" i="7" s="1"/>
  <c r="O49" i="7" s="1"/>
  <c r="J74" i="7"/>
  <c r="N73" i="7"/>
  <c r="M73" i="7"/>
  <c r="J47" i="7"/>
  <c r="K46" i="7"/>
  <c r="M46" i="7" s="1"/>
  <c r="B77" i="7"/>
  <c r="D77" i="7" s="1"/>
  <c r="I78" i="7"/>
  <c r="Q77" i="7"/>
  <c r="I51" i="7"/>
  <c r="Q50" i="7"/>
  <c r="R47" i="7"/>
  <c r="P48" i="7" s="1"/>
  <c r="R48" i="7" s="1"/>
  <c r="P49" i="7" s="1"/>
  <c r="R49" i="7" s="1"/>
  <c r="P50" i="7" s="1"/>
  <c r="K91" i="7" l="1"/>
  <c r="H51" i="7"/>
  <c r="G51" i="7"/>
  <c r="G177" i="7"/>
  <c r="H177" i="7"/>
  <c r="H78" i="7"/>
  <c r="G78" i="7"/>
  <c r="G161" i="7"/>
  <c r="H161" i="7"/>
  <c r="B176" i="7"/>
  <c r="D176" i="7" s="1"/>
  <c r="G175" i="7"/>
  <c r="H175" i="7"/>
  <c r="I92" i="7"/>
  <c r="G91" i="7"/>
  <c r="H91" i="7"/>
  <c r="F203" i="7"/>
  <c r="E196" i="7"/>
  <c r="N158" i="7"/>
  <c r="N159" i="7" s="1"/>
  <c r="N160" i="7" s="1"/>
  <c r="E198" i="7"/>
  <c r="F206" i="7"/>
  <c r="E206" i="7"/>
  <c r="C196" i="7"/>
  <c r="O160" i="7"/>
  <c r="J161" i="7"/>
  <c r="K161" i="7" s="1"/>
  <c r="O175" i="7"/>
  <c r="M91" i="7"/>
  <c r="N91" i="7" s="1"/>
  <c r="J92" i="7" s="1"/>
  <c r="R91" i="7"/>
  <c r="P92" i="7" s="1"/>
  <c r="I163" i="7"/>
  <c r="Q162" i="7"/>
  <c r="B162" i="7"/>
  <c r="D162" i="7" s="1"/>
  <c r="B161" i="7"/>
  <c r="D161" i="7" s="1"/>
  <c r="O161" i="7" s="1"/>
  <c r="Q161" i="7"/>
  <c r="E230" i="7"/>
  <c r="O230" i="7" s="1"/>
  <c r="E197" i="7"/>
  <c r="J193" i="7"/>
  <c r="F208" i="7"/>
  <c r="F213" i="7"/>
  <c r="L193" i="7"/>
  <c r="L180" i="7"/>
  <c r="L185" i="7" s="1"/>
  <c r="M175" i="7"/>
  <c r="N175" i="7" s="1"/>
  <c r="E207" i="7"/>
  <c r="C195" i="7"/>
  <c r="F197" i="7"/>
  <c r="E195" i="7"/>
  <c r="F220" i="7"/>
  <c r="F196" i="7"/>
  <c r="C197" i="7"/>
  <c r="C93" i="7"/>
  <c r="D92" i="7"/>
  <c r="L92" i="7" s="1"/>
  <c r="F205" i="7"/>
  <c r="R159" i="7"/>
  <c r="P160" i="7" s="1"/>
  <c r="R160" i="7" s="1"/>
  <c r="P161" i="7" s="1"/>
  <c r="I193" i="7"/>
  <c r="F202" i="7"/>
  <c r="E204" i="7"/>
  <c r="E220" i="7"/>
  <c r="O220" i="7" s="1"/>
  <c r="R175" i="7"/>
  <c r="P176" i="7" s="1"/>
  <c r="P175" i="7"/>
  <c r="F204" i="7"/>
  <c r="F199" i="7"/>
  <c r="B177" i="7"/>
  <c r="D177" i="7" s="1"/>
  <c r="I178" i="7"/>
  <c r="E194" i="7"/>
  <c r="E202" i="7"/>
  <c r="E199" i="7"/>
  <c r="E193" i="7"/>
  <c r="C198" i="7"/>
  <c r="E200" i="7"/>
  <c r="C199" i="7"/>
  <c r="C200" i="7" s="1"/>
  <c r="C201" i="7" s="1"/>
  <c r="C202" i="7" s="1"/>
  <c r="C203" i="7" s="1"/>
  <c r="E242" i="7"/>
  <c r="O242" i="7" s="1"/>
  <c r="E201" i="7"/>
  <c r="F207" i="7"/>
  <c r="C194" i="7"/>
  <c r="E205" i="7"/>
  <c r="F198" i="7"/>
  <c r="C193" i="7"/>
  <c r="D193" i="7" s="1"/>
  <c r="E203" i="7"/>
  <c r="F230" i="7"/>
  <c r="F200" i="7"/>
  <c r="F193" i="7"/>
  <c r="I195" i="7" s="1"/>
  <c r="E221" i="7"/>
  <c r="O221" i="7" s="1"/>
  <c r="C204" i="7"/>
  <c r="C205" i="7" s="1"/>
  <c r="C206" i="7" s="1"/>
  <c r="C207" i="7" s="1"/>
  <c r="C208" i="7" s="1"/>
  <c r="F201" i="7"/>
  <c r="F195" i="7"/>
  <c r="K74" i="7"/>
  <c r="M74" i="7" s="1"/>
  <c r="J75" i="7"/>
  <c r="K75" i="7" s="1"/>
  <c r="M75" i="7" s="1"/>
  <c r="N45" i="7"/>
  <c r="N46" i="7" s="1"/>
  <c r="O77" i="7"/>
  <c r="J48" i="7"/>
  <c r="K48" i="7" s="1"/>
  <c r="K47" i="7"/>
  <c r="M47" i="7" s="1"/>
  <c r="R77" i="7"/>
  <c r="P78" i="7" s="1"/>
  <c r="B78" i="7"/>
  <c r="D78" i="7" s="1"/>
  <c r="I79" i="7"/>
  <c r="Q78" i="7"/>
  <c r="R50" i="7"/>
  <c r="P51" i="7" s="1"/>
  <c r="I52" i="7"/>
  <c r="Q51" i="7"/>
  <c r="B50" i="7"/>
  <c r="D50" i="7" s="1"/>
  <c r="O50" i="7" s="1"/>
  <c r="K92" i="7" l="1"/>
  <c r="M92" i="7" s="1"/>
  <c r="N92" i="7" s="1"/>
  <c r="J93" i="7" s="1"/>
  <c r="G79" i="7"/>
  <c r="H79" i="7"/>
  <c r="B194" i="7"/>
  <c r="D194" i="7" s="1"/>
  <c r="G193" i="7"/>
  <c r="H193" i="7"/>
  <c r="I93" i="7"/>
  <c r="H92" i="7"/>
  <c r="G92" i="7"/>
  <c r="Q92" i="7"/>
  <c r="R92" i="7" s="1"/>
  <c r="P93" i="7" s="1"/>
  <c r="G195" i="7"/>
  <c r="H195" i="7"/>
  <c r="G163" i="7"/>
  <c r="H163" i="7"/>
  <c r="H52" i="7"/>
  <c r="G52" i="7"/>
  <c r="H178" i="7"/>
  <c r="G178" i="7"/>
  <c r="F234" i="7"/>
  <c r="E247" i="7"/>
  <c r="O247" i="7" s="1"/>
  <c r="E214" i="7"/>
  <c r="O214" i="7" s="1"/>
  <c r="E219" i="7"/>
  <c r="O219" i="7" s="1"/>
  <c r="J162" i="7"/>
  <c r="K162" i="7" s="1"/>
  <c r="M162" i="7" s="1"/>
  <c r="F218" i="7"/>
  <c r="F222" i="7"/>
  <c r="E240" i="7"/>
  <c r="O240" i="7" s="1"/>
  <c r="I211" i="7"/>
  <c r="E213" i="7"/>
  <c r="O213" i="7" s="1"/>
  <c r="E246" i="7"/>
  <c r="O246" i="7" s="1"/>
  <c r="F243" i="7"/>
  <c r="F228" i="7"/>
  <c r="F221" i="7"/>
  <c r="F227" i="7"/>
  <c r="E215" i="7"/>
  <c r="O215" i="7" s="1"/>
  <c r="F229" i="7"/>
  <c r="E241" i="7"/>
  <c r="O241" i="7" s="1"/>
  <c r="E238" i="7"/>
  <c r="O238" i="7" s="1"/>
  <c r="F223" i="7"/>
  <c r="F225" i="7"/>
  <c r="E232" i="7"/>
  <c r="O232" i="7" s="1"/>
  <c r="E217" i="7"/>
  <c r="O217" i="7" s="1"/>
  <c r="E222" i="7"/>
  <c r="O222" i="7" s="1"/>
  <c r="E225" i="7"/>
  <c r="O225" i="7" s="1"/>
  <c r="J211" i="7"/>
  <c r="R211" i="7" s="1"/>
  <c r="P212" i="7" s="1"/>
  <c r="E234" i="7"/>
  <c r="O234" i="7" s="1"/>
  <c r="F240" i="7"/>
  <c r="E228" i="7"/>
  <c r="O228" i="7" s="1"/>
  <c r="F239" i="7"/>
  <c r="F233" i="7"/>
  <c r="F231" i="7"/>
  <c r="F232" i="7"/>
  <c r="E226" i="7"/>
  <c r="O226" i="7" s="1"/>
  <c r="F214" i="7"/>
  <c r="E235" i="7"/>
  <c r="O235" i="7" s="1"/>
  <c r="F238" i="7"/>
  <c r="E236" i="7"/>
  <c r="O236" i="7" s="1"/>
  <c r="F241" i="7"/>
  <c r="E243" i="7"/>
  <c r="O243" i="7" s="1"/>
  <c r="F237" i="7"/>
  <c r="O176" i="7"/>
  <c r="O177" i="7" s="1"/>
  <c r="F215" i="7"/>
  <c r="E229" i="7"/>
  <c r="O229" i="7" s="1"/>
  <c r="E216" i="7"/>
  <c r="O216" i="7" s="1"/>
  <c r="F217" i="7"/>
  <c r="C212" i="7"/>
  <c r="D212" i="7" s="1"/>
  <c r="L212" i="7" s="1"/>
  <c r="E239" i="7"/>
  <c r="O239" i="7" s="1"/>
  <c r="E237" i="7"/>
  <c r="O237" i="7" s="1"/>
  <c r="O162" i="7"/>
  <c r="I196" i="7"/>
  <c r="B195" i="7"/>
  <c r="D195" i="7" s="1"/>
  <c r="I179" i="7"/>
  <c r="B178" i="7"/>
  <c r="D178" i="7" s="1"/>
  <c r="J176" i="7"/>
  <c r="L198" i="7"/>
  <c r="L203" i="7" s="1"/>
  <c r="M193" i="7"/>
  <c r="N193" i="7" s="1"/>
  <c r="P193" i="7"/>
  <c r="R193" i="7"/>
  <c r="P194" i="7" s="1"/>
  <c r="I164" i="7"/>
  <c r="Q163" i="7"/>
  <c r="B163" i="7"/>
  <c r="D163" i="7" s="1"/>
  <c r="O163" i="7" s="1"/>
  <c r="Q178" i="7"/>
  <c r="Q177" i="7"/>
  <c r="Q176" i="7"/>
  <c r="R176" i="7" s="1"/>
  <c r="P177" i="7" s="1"/>
  <c r="R161" i="7"/>
  <c r="P162" i="7" s="1"/>
  <c r="R162" i="7" s="1"/>
  <c r="P163" i="7" s="1"/>
  <c r="D93" i="7"/>
  <c r="L93" i="7" s="1"/>
  <c r="C94" i="7"/>
  <c r="E233" i="7"/>
  <c r="O233" i="7" s="1"/>
  <c r="F235" i="7"/>
  <c r="F245" i="7"/>
  <c r="E231" i="7"/>
  <c r="O231" i="7" s="1"/>
  <c r="C211" i="7"/>
  <c r="D211" i="7" s="1"/>
  <c r="F236" i="7"/>
  <c r="E211" i="7"/>
  <c r="O211" i="7" s="1"/>
  <c r="F246" i="7"/>
  <c r="E212" i="7"/>
  <c r="O212" i="7" s="1"/>
  <c r="E223" i="7"/>
  <c r="O223" i="7" s="1"/>
  <c r="E244" i="7"/>
  <c r="O244" i="7" s="1"/>
  <c r="F242" i="7"/>
  <c r="F212" i="7"/>
  <c r="F244" i="7"/>
  <c r="E227" i="7"/>
  <c r="O227" i="7" s="1"/>
  <c r="E245" i="7"/>
  <c r="O245" i="7" s="1"/>
  <c r="E224" i="7"/>
  <c r="O224" i="7" s="1"/>
  <c r="F247" i="7"/>
  <c r="F224" i="7"/>
  <c r="F216" i="7"/>
  <c r="F211" i="7"/>
  <c r="F219" i="7"/>
  <c r="F226" i="7"/>
  <c r="E218" i="7"/>
  <c r="O218" i="7" s="1"/>
  <c r="O193" i="7"/>
  <c r="N74" i="7"/>
  <c r="N75" i="7" s="1"/>
  <c r="J76" i="7"/>
  <c r="K76" i="7" s="1"/>
  <c r="M76" i="7" s="1"/>
  <c r="O78" i="7"/>
  <c r="N47" i="7"/>
  <c r="N48" i="7" s="1"/>
  <c r="N161" i="7"/>
  <c r="M161" i="7"/>
  <c r="M48" i="7"/>
  <c r="R78" i="7"/>
  <c r="P79" i="7" s="1"/>
  <c r="B79" i="7"/>
  <c r="D79" i="7" s="1"/>
  <c r="I80" i="7"/>
  <c r="Q79" i="7"/>
  <c r="R51" i="7"/>
  <c r="P52" i="7" s="1"/>
  <c r="B53" i="7"/>
  <c r="D53" i="7" s="1"/>
  <c r="Q53" i="7"/>
  <c r="Q52" i="7"/>
  <c r="I54" i="7"/>
  <c r="B51" i="7"/>
  <c r="D51" i="7" s="1"/>
  <c r="O51" i="7" s="1"/>
  <c r="K93" i="7" l="1"/>
  <c r="M93" i="7" s="1"/>
  <c r="N93" i="7" s="1"/>
  <c r="J94" i="7" s="1"/>
  <c r="H164" i="7"/>
  <c r="G164" i="7"/>
  <c r="H196" i="7"/>
  <c r="G196" i="7"/>
  <c r="I212" i="7"/>
  <c r="H211" i="7"/>
  <c r="G211" i="7"/>
  <c r="H80" i="7"/>
  <c r="G80" i="7"/>
  <c r="I94" i="7"/>
  <c r="G93" i="7"/>
  <c r="H93" i="7"/>
  <c r="Q93" i="7"/>
  <c r="R93" i="7" s="1"/>
  <c r="P94" i="7" s="1"/>
  <c r="H54" i="7"/>
  <c r="G54" i="7"/>
  <c r="Q179" i="7"/>
  <c r="G179" i="7"/>
  <c r="H179" i="7"/>
  <c r="N211" i="7"/>
  <c r="J212" i="7" s="1"/>
  <c r="P211" i="7"/>
  <c r="N162" i="7"/>
  <c r="J163" i="7" s="1"/>
  <c r="K163" i="7" s="1"/>
  <c r="O194" i="7"/>
  <c r="O195" i="7" s="1"/>
  <c r="C213" i="7"/>
  <c r="D213" i="7" s="1"/>
  <c r="L213" i="7" s="1"/>
  <c r="O178" i="7"/>
  <c r="R163" i="7"/>
  <c r="P164" i="7" s="1"/>
  <c r="R177" i="7"/>
  <c r="P178" i="7" s="1"/>
  <c r="R178" i="7" s="1"/>
  <c r="P179" i="7" s="1"/>
  <c r="Q194" i="7"/>
  <c r="R194" i="7" s="1"/>
  <c r="P195" i="7" s="1"/>
  <c r="Q195" i="7"/>
  <c r="Q196" i="7"/>
  <c r="J177" i="7"/>
  <c r="K176" i="7"/>
  <c r="I197" i="7"/>
  <c r="B196" i="7"/>
  <c r="D196" i="7" s="1"/>
  <c r="D94" i="7"/>
  <c r="L94" i="7" s="1"/>
  <c r="C95" i="7"/>
  <c r="J194" i="7"/>
  <c r="B164" i="7"/>
  <c r="D164" i="7" s="1"/>
  <c r="O164" i="7" s="1"/>
  <c r="I165" i="7"/>
  <c r="Q164" i="7"/>
  <c r="Q180" i="7"/>
  <c r="B180" i="7"/>
  <c r="D180" i="7" s="1"/>
  <c r="I181" i="7"/>
  <c r="B179" i="7"/>
  <c r="D179" i="7" s="1"/>
  <c r="O79" i="7"/>
  <c r="N76" i="7"/>
  <c r="J77" i="7" s="1"/>
  <c r="J49" i="7"/>
  <c r="R79" i="7"/>
  <c r="P80" i="7" s="1"/>
  <c r="B80" i="7"/>
  <c r="D80" i="7" s="1"/>
  <c r="B81" i="7"/>
  <c r="D81" i="7" s="1"/>
  <c r="I82" i="7"/>
  <c r="Q81" i="7"/>
  <c r="Q80" i="7"/>
  <c r="R52" i="7"/>
  <c r="P53" i="7" s="1"/>
  <c r="R53" i="7" s="1"/>
  <c r="P54" i="7" s="1"/>
  <c r="I55" i="7"/>
  <c r="B54" i="7"/>
  <c r="D54" i="7" s="1"/>
  <c r="Q54" i="7"/>
  <c r="B52" i="7"/>
  <c r="D52" i="7" s="1"/>
  <c r="K212" i="7" l="1"/>
  <c r="M212" i="7" s="1"/>
  <c r="N212" i="7" s="1"/>
  <c r="J213" i="7" s="1"/>
  <c r="R179" i="7"/>
  <c r="P180" i="7" s="1"/>
  <c r="G55" i="7"/>
  <c r="H55" i="7"/>
  <c r="H82" i="7"/>
  <c r="G82" i="7"/>
  <c r="G181" i="7"/>
  <c r="H181" i="7"/>
  <c r="G165" i="7"/>
  <c r="H165" i="7"/>
  <c r="I95" i="7"/>
  <c r="H94" i="7"/>
  <c r="G94" i="7"/>
  <c r="Q94" i="7"/>
  <c r="R94" i="7" s="1"/>
  <c r="P95" i="7" s="1"/>
  <c r="K94" i="7"/>
  <c r="M94" i="7" s="1"/>
  <c r="N94" i="7" s="1"/>
  <c r="J95" i="7" s="1"/>
  <c r="K95" i="7" s="1"/>
  <c r="I213" i="7"/>
  <c r="H212" i="7"/>
  <c r="G212" i="7"/>
  <c r="H197" i="7"/>
  <c r="G197" i="7"/>
  <c r="Q212" i="7"/>
  <c r="R212" i="7" s="1"/>
  <c r="P213" i="7" s="1"/>
  <c r="O196" i="7"/>
  <c r="C214" i="7"/>
  <c r="D214" i="7" s="1"/>
  <c r="L214" i="7" s="1"/>
  <c r="O179" i="7"/>
  <c r="O180" i="7" s="1"/>
  <c r="R164" i="7"/>
  <c r="P165" i="7" s="1"/>
  <c r="R195" i="7"/>
  <c r="P196" i="7" s="1"/>
  <c r="R196" i="7" s="1"/>
  <c r="P197" i="7" s="1"/>
  <c r="M176" i="7"/>
  <c r="N176" i="7"/>
  <c r="Q197" i="7"/>
  <c r="B197" i="7"/>
  <c r="D197" i="7" s="1"/>
  <c r="I199" i="7"/>
  <c r="B198" i="7"/>
  <c r="D198" i="7" s="1"/>
  <c r="C96" i="7"/>
  <c r="D95" i="7"/>
  <c r="L95" i="7" s="1"/>
  <c r="R180" i="7"/>
  <c r="P181" i="7" s="1"/>
  <c r="J195" i="7"/>
  <c r="K194" i="7"/>
  <c r="K177" i="7"/>
  <c r="M177" i="7" s="1"/>
  <c r="J178" i="7"/>
  <c r="Q198" i="7"/>
  <c r="B181" i="7"/>
  <c r="D181" i="7" s="1"/>
  <c r="I182" i="7"/>
  <c r="Q181" i="7"/>
  <c r="Q165" i="7"/>
  <c r="B165" i="7"/>
  <c r="D165" i="7" s="1"/>
  <c r="O165" i="7" s="1"/>
  <c r="I166" i="7"/>
  <c r="O80" i="7"/>
  <c r="O81" i="7" s="1"/>
  <c r="J78" i="7"/>
  <c r="K77" i="7"/>
  <c r="N77" i="7" s="1"/>
  <c r="J50" i="7"/>
  <c r="J51" i="7" s="1"/>
  <c r="K49" i="7"/>
  <c r="M49" i="7" s="1"/>
  <c r="O52" i="7"/>
  <c r="O53" i="7" s="1"/>
  <c r="O54" i="7" s="1"/>
  <c r="J164" i="7"/>
  <c r="M163" i="7"/>
  <c r="N163" i="7"/>
  <c r="B82" i="7"/>
  <c r="D82" i="7" s="1"/>
  <c r="I83" i="7"/>
  <c r="Q82" i="7"/>
  <c r="R80" i="7"/>
  <c r="P81" i="7" s="1"/>
  <c r="R81" i="7" s="1"/>
  <c r="P82" i="7" s="1"/>
  <c r="R54" i="7"/>
  <c r="P55" i="7" s="1"/>
  <c r="I56" i="7"/>
  <c r="Q55" i="7"/>
  <c r="K213" i="7" l="1"/>
  <c r="M213" i="7" s="1"/>
  <c r="N213" i="7" s="1"/>
  <c r="J214" i="7" s="1"/>
  <c r="Q213" i="7"/>
  <c r="H199" i="7"/>
  <c r="G199" i="7"/>
  <c r="I214" i="7"/>
  <c r="K214" i="7" s="1"/>
  <c r="M214" i="7" s="1"/>
  <c r="N214" i="7" s="1"/>
  <c r="J215" i="7" s="1"/>
  <c r="H213" i="7"/>
  <c r="G213" i="7"/>
  <c r="G83" i="7"/>
  <c r="H83" i="7"/>
  <c r="H166" i="7"/>
  <c r="G166" i="7"/>
  <c r="H182" i="7"/>
  <c r="G182" i="7"/>
  <c r="I96" i="7"/>
  <c r="G95" i="7"/>
  <c r="H95" i="7"/>
  <c r="Q95" i="7"/>
  <c r="R95" i="7" s="1"/>
  <c r="P96" i="7" s="1"/>
  <c r="H56" i="7"/>
  <c r="G56" i="7"/>
  <c r="M95" i="7"/>
  <c r="N95" i="7" s="1"/>
  <c r="J96" i="7" s="1"/>
  <c r="R213" i="7"/>
  <c r="P214" i="7" s="1"/>
  <c r="O197" i="7"/>
  <c r="O198" i="7" s="1"/>
  <c r="C215" i="7"/>
  <c r="D215" i="7" s="1"/>
  <c r="L215" i="7" s="1"/>
  <c r="R165" i="7"/>
  <c r="P166" i="7" s="1"/>
  <c r="R197" i="7"/>
  <c r="P198" i="7" s="1"/>
  <c r="R198" i="7" s="1"/>
  <c r="P199" i="7" s="1"/>
  <c r="O181" i="7"/>
  <c r="K195" i="7"/>
  <c r="M195" i="7" s="1"/>
  <c r="J196" i="7"/>
  <c r="B167" i="7"/>
  <c r="D167" i="7" s="1"/>
  <c r="Q166" i="7"/>
  <c r="Q167" i="7"/>
  <c r="B166" i="7"/>
  <c r="D166" i="7" s="1"/>
  <c r="O166" i="7" s="1"/>
  <c r="I168" i="7"/>
  <c r="I183" i="7"/>
  <c r="B182" i="7"/>
  <c r="D182" i="7" s="1"/>
  <c r="Q182" i="7"/>
  <c r="K178" i="7"/>
  <c r="M178" i="7" s="1"/>
  <c r="J179" i="7"/>
  <c r="I200" i="7"/>
  <c r="B199" i="7"/>
  <c r="D199" i="7" s="1"/>
  <c r="Q199" i="7"/>
  <c r="R181" i="7"/>
  <c r="P182" i="7" s="1"/>
  <c r="N177" i="7"/>
  <c r="C97" i="7"/>
  <c r="D96" i="7"/>
  <c r="L96" i="7" s="1"/>
  <c r="M194" i="7"/>
  <c r="N194" i="7"/>
  <c r="M77" i="7"/>
  <c r="K50" i="7"/>
  <c r="M50" i="7" s="1"/>
  <c r="K78" i="7"/>
  <c r="J79" i="7"/>
  <c r="K164" i="7"/>
  <c r="M164" i="7" s="1"/>
  <c r="J165" i="7"/>
  <c r="K165" i="7" s="1"/>
  <c r="M165" i="7" s="1"/>
  <c r="O82" i="7"/>
  <c r="N49" i="7"/>
  <c r="B83" i="7"/>
  <c r="D83" i="7" s="1"/>
  <c r="I84" i="7"/>
  <c r="Q83" i="7"/>
  <c r="J52" i="7"/>
  <c r="K51" i="7"/>
  <c r="R82" i="7"/>
  <c r="P83" i="7" s="1"/>
  <c r="R55" i="7"/>
  <c r="P56" i="7" s="1"/>
  <c r="I57" i="7"/>
  <c r="Q56" i="7"/>
  <c r="B55" i="7"/>
  <c r="D55" i="7" s="1"/>
  <c r="O55" i="7" s="1"/>
  <c r="K96" i="7" l="1"/>
  <c r="M96" i="7" s="1"/>
  <c r="N96" i="7" s="1"/>
  <c r="J97" i="7" s="1"/>
  <c r="H84" i="7"/>
  <c r="G84" i="7"/>
  <c r="G57" i="7"/>
  <c r="H57" i="7"/>
  <c r="G183" i="7"/>
  <c r="H183" i="7"/>
  <c r="I97" i="7"/>
  <c r="H96" i="7"/>
  <c r="G96" i="7"/>
  <c r="Q96" i="7"/>
  <c r="R96" i="7" s="1"/>
  <c r="P97" i="7" s="1"/>
  <c r="H200" i="7"/>
  <c r="G200" i="7"/>
  <c r="H168" i="7"/>
  <c r="G168" i="7"/>
  <c r="I215" i="7"/>
  <c r="K215" i="7" s="1"/>
  <c r="M215" i="7" s="1"/>
  <c r="N215" i="7" s="1"/>
  <c r="J216" i="7" s="1"/>
  <c r="H214" i="7"/>
  <c r="G214" i="7"/>
  <c r="Q214" i="7"/>
  <c r="R214" i="7" s="1"/>
  <c r="P215" i="7" s="1"/>
  <c r="R166" i="7"/>
  <c r="P167" i="7" s="1"/>
  <c r="R167" i="7" s="1"/>
  <c r="P168" i="7" s="1"/>
  <c r="C216" i="7"/>
  <c r="C217" i="7" s="1"/>
  <c r="R199" i="7"/>
  <c r="P200" i="7" s="1"/>
  <c r="O199" i="7"/>
  <c r="O182" i="7"/>
  <c r="R182" i="7"/>
  <c r="P183" i="7" s="1"/>
  <c r="N50" i="7"/>
  <c r="N51" i="7" s="1"/>
  <c r="D97" i="7"/>
  <c r="L97" i="7" s="1"/>
  <c r="C98" i="7"/>
  <c r="B168" i="7"/>
  <c r="D168" i="7" s="1"/>
  <c r="I169" i="7"/>
  <c r="Q168" i="7"/>
  <c r="O167" i="7"/>
  <c r="N195" i="7"/>
  <c r="N178" i="7"/>
  <c r="B200" i="7"/>
  <c r="D200" i="7" s="1"/>
  <c r="I201" i="7"/>
  <c r="Q200" i="7"/>
  <c r="K179" i="7"/>
  <c r="J180" i="7"/>
  <c r="K180" i="7" s="1"/>
  <c r="I184" i="7"/>
  <c r="Q183" i="7"/>
  <c r="B183" i="7"/>
  <c r="D183" i="7" s="1"/>
  <c r="K196" i="7"/>
  <c r="J197" i="7"/>
  <c r="N164" i="7"/>
  <c r="N165" i="7" s="1"/>
  <c r="J166" i="7"/>
  <c r="K166" i="7" s="1"/>
  <c r="M166" i="7" s="1"/>
  <c r="K79" i="7"/>
  <c r="M79" i="7" s="1"/>
  <c r="J80" i="7"/>
  <c r="M78" i="7"/>
  <c r="N78" i="7"/>
  <c r="O83" i="7"/>
  <c r="R83" i="7"/>
  <c r="P84" i="7" s="1"/>
  <c r="J53" i="7"/>
  <c r="K52" i="7"/>
  <c r="M51" i="7"/>
  <c r="B84" i="7"/>
  <c r="D84" i="7" s="1"/>
  <c r="I85" i="7"/>
  <c r="Q84" i="7"/>
  <c r="R56" i="7"/>
  <c r="P57" i="7" s="1"/>
  <c r="B58" i="7"/>
  <c r="D58" i="7" s="1"/>
  <c r="Q57" i="7"/>
  <c r="Q58" i="7"/>
  <c r="I59" i="7"/>
  <c r="B56" i="7"/>
  <c r="D56" i="7" s="1"/>
  <c r="O56" i="7" s="1"/>
  <c r="K97" i="7" l="1"/>
  <c r="M97" i="7" s="1"/>
  <c r="N97" i="7" s="1"/>
  <c r="J98" i="7" s="1"/>
  <c r="G59" i="7"/>
  <c r="H59" i="7"/>
  <c r="G169" i="7"/>
  <c r="H169" i="7"/>
  <c r="G85" i="7"/>
  <c r="H85" i="7"/>
  <c r="H184" i="7"/>
  <c r="G184" i="7"/>
  <c r="H201" i="7"/>
  <c r="G201" i="7"/>
  <c r="I216" i="7"/>
  <c r="K216" i="7" s="1"/>
  <c r="H215" i="7"/>
  <c r="G215" i="7"/>
  <c r="Q215" i="7"/>
  <c r="R215" i="7" s="1"/>
  <c r="P216" i="7" s="1"/>
  <c r="I98" i="7"/>
  <c r="G97" i="7"/>
  <c r="H97" i="7"/>
  <c r="Q97" i="7"/>
  <c r="R97" i="7" s="1"/>
  <c r="P98" i="7" s="1"/>
  <c r="O200" i="7"/>
  <c r="D216" i="7"/>
  <c r="L216" i="7" s="1"/>
  <c r="R200" i="7"/>
  <c r="P201" i="7" s="1"/>
  <c r="R168" i="7"/>
  <c r="P169" i="7" s="1"/>
  <c r="O183" i="7"/>
  <c r="R183" i="7"/>
  <c r="P184" i="7" s="1"/>
  <c r="O168" i="7"/>
  <c r="K197" i="7"/>
  <c r="M197" i="7" s="1"/>
  <c r="J198" i="7"/>
  <c r="K198" i="7" s="1"/>
  <c r="M179" i="7"/>
  <c r="M180" i="7"/>
  <c r="N179" i="7"/>
  <c r="N180" i="7" s="1"/>
  <c r="C99" i="7"/>
  <c r="D98" i="7"/>
  <c r="L98" i="7" s="1"/>
  <c r="M196" i="7"/>
  <c r="N196" i="7"/>
  <c r="D217" i="7"/>
  <c r="L217" i="7" s="1"/>
  <c r="C218" i="7"/>
  <c r="Q184" i="7"/>
  <c r="B184" i="7"/>
  <c r="D184" i="7" s="1"/>
  <c r="Q185" i="7"/>
  <c r="B185" i="7"/>
  <c r="D185" i="7" s="1"/>
  <c r="I186" i="7"/>
  <c r="I170" i="7"/>
  <c r="Q169" i="7"/>
  <c r="B169" i="7"/>
  <c r="D169" i="7" s="1"/>
  <c r="B201" i="7"/>
  <c r="D201" i="7" s="1"/>
  <c r="I202" i="7"/>
  <c r="Q201" i="7"/>
  <c r="J167" i="7"/>
  <c r="K167" i="7" s="1"/>
  <c r="M167" i="7" s="1"/>
  <c r="N79" i="7"/>
  <c r="K80" i="7"/>
  <c r="J81" i="7"/>
  <c r="K81" i="7" s="1"/>
  <c r="O84" i="7"/>
  <c r="M52" i="7"/>
  <c r="N166" i="7"/>
  <c r="N52" i="7"/>
  <c r="K53" i="7"/>
  <c r="R84" i="7"/>
  <c r="P85" i="7" s="1"/>
  <c r="B85" i="7"/>
  <c r="D85" i="7" s="1"/>
  <c r="I86" i="7"/>
  <c r="Q85" i="7"/>
  <c r="R57" i="7"/>
  <c r="P58" i="7" s="1"/>
  <c r="R58" i="7" s="1"/>
  <c r="P59" i="7" s="1"/>
  <c r="I60" i="7"/>
  <c r="B59" i="7"/>
  <c r="Q59" i="7"/>
  <c r="B57" i="7"/>
  <c r="D57" i="7" s="1"/>
  <c r="O57" i="7" s="1"/>
  <c r="O58" i="7" s="1"/>
  <c r="K98" i="7" l="1"/>
  <c r="M98" i="7" s="1"/>
  <c r="N98" i="7" s="1"/>
  <c r="J99" i="7" s="1"/>
  <c r="H60" i="7"/>
  <c r="G60" i="7"/>
  <c r="M216" i="7"/>
  <c r="N216" i="7" s="1"/>
  <c r="J217" i="7" s="1"/>
  <c r="H186" i="7"/>
  <c r="G186" i="7"/>
  <c r="H86" i="7"/>
  <c r="G86" i="7"/>
  <c r="H202" i="7"/>
  <c r="G202" i="7"/>
  <c r="H170" i="7"/>
  <c r="G170" i="7"/>
  <c r="I99" i="7"/>
  <c r="H98" i="7"/>
  <c r="G98" i="7"/>
  <c r="Q98" i="7"/>
  <c r="R98" i="7" s="1"/>
  <c r="P99" i="7" s="1"/>
  <c r="I217" i="7"/>
  <c r="H216" i="7"/>
  <c r="G216" i="7"/>
  <c r="Q216" i="7"/>
  <c r="R216" i="7" s="1"/>
  <c r="P217" i="7" s="1"/>
  <c r="R201" i="7"/>
  <c r="P202" i="7" s="1"/>
  <c r="O201" i="7"/>
  <c r="R169" i="7"/>
  <c r="P170" i="7" s="1"/>
  <c r="O169" i="7"/>
  <c r="R184" i="7"/>
  <c r="P185" i="7" s="1"/>
  <c r="R185" i="7" s="1"/>
  <c r="P186" i="7" s="1"/>
  <c r="O184" i="7"/>
  <c r="O185" i="7" s="1"/>
  <c r="M198" i="7"/>
  <c r="Q170" i="7"/>
  <c r="B170" i="7"/>
  <c r="D170" i="7" s="1"/>
  <c r="I171" i="7"/>
  <c r="J181" i="7"/>
  <c r="C219" i="7"/>
  <c r="D218" i="7"/>
  <c r="L218" i="7" s="1"/>
  <c r="Q203" i="7"/>
  <c r="B203" i="7"/>
  <c r="D203" i="7" s="1"/>
  <c r="Q202" i="7"/>
  <c r="B202" i="7"/>
  <c r="D202" i="7" s="1"/>
  <c r="I204" i="7"/>
  <c r="B186" i="7"/>
  <c r="D186" i="7" s="1"/>
  <c r="I187" i="7"/>
  <c r="Q186" i="7"/>
  <c r="N197" i="7"/>
  <c r="N198" i="7" s="1"/>
  <c r="C100" i="7"/>
  <c r="D99" i="7"/>
  <c r="L99" i="7" s="1"/>
  <c r="M80" i="7"/>
  <c r="N80" i="7"/>
  <c r="N81" i="7" s="1"/>
  <c r="J82" i="7" s="1"/>
  <c r="M81" i="7"/>
  <c r="O85" i="7"/>
  <c r="M53" i="7"/>
  <c r="N167" i="7"/>
  <c r="N53" i="7"/>
  <c r="R85" i="7"/>
  <c r="P86" i="7" s="1"/>
  <c r="B86" i="7"/>
  <c r="D86" i="7" s="1"/>
  <c r="Q86" i="7"/>
  <c r="R59" i="7"/>
  <c r="P60" i="7" s="1"/>
  <c r="I61" i="7"/>
  <c r="Q60" i="7"/>
  <c r="D59" i="7"/>
  <c r="O59" i="7" s="1"/>
  <c r="R202" i="7" l="1"/>
  <c r="P203" i="7" s="1"/>
  <c r="R203" i="7" s="1"/>
  <c r="P204" i="7" s="1"/>
  <c r="O202" i="7"/>
  <c r="O203" i="7" s="1"/>
  <c r="K217" i="7"/>
  <c r="M217" i="7" s="1"/>
  <c r="N217" i="7" s="1"/>
  <c r="J218" i="7" s="1"/>
  <c r="H204" i="7"/>
  <c r="G204" i="7"/>
  <c r="G61" i="7"/>
  <c r="H61" i="7"/>
  <c r="G187" i="7"/>
  <c r="H187" i="7"/>
  <c r="G171" i="7"/>
  <c r="H171" i="7"/>
  <c r="I218" i="7"/>
  <c r="H217" i="7"/>
  <c r="G217" i="7"/>
  <c r="Q217" i="7"/>
  <c r="R217" i="7" s="1"/>
  <c r="P218" i="7" s="1"/>
  <c r="I100" i="7"/>
  <c r="G99" i="7"/>
  <c r="H99" i="7"/>
  <c r="Q99" i="7"/>
  <c r="R99" i="7" s="1"/>
  <c r="P100" i="7" s="1"/>
  <c r="K99" i="7"/>
  <c r="M99" i="7" s="1"/>
  <c r="N99" i="7" s="1"/>
  <c r="J100" i="7" s="1"/>
  <c r="R170" i="7"/>
  <c r="P171" i="7" s="1"/>
  <c r="O170" i="7"/>
  <c r="R186" i="7"/>
  <c r="P187" i="7" s="1"/>
  <c r="O186" i="7"/>
  <c r="I205" i="7"/>
  <c r="Q204" i="7"/>
  <c r="B204" i="7"/>
  <c r="D204" i="7" s="1"/>
  <c r="I172" i="7"/>
  <c r="B171" i="7"/>
  <c r="D171" i="7" s="1"/>
  <c r="Q171" i="7"/>
  <c r="J199" i="7"/>
  <c r="Q187" i="7"/>
  <c r="B187" i="7"/>
  <c r="D187" i="7" s="1"/>
  <c r="I188" i="7"/>
  <c r="K181" i="7"/>
  <c r="J182" i="7"/>
  <c r="D100" i="7"/>
  <c r="L100" i="7" s="1"/>
  <c r="C101" i="7"/>
  <c r="C220" i="7"/>
  <c r="D219" i="7"/>
  <c r="L219" i="7" s="1"/>
  <c r="K82" i="7"/>
  <c r="J83" i="7"/>
  <c r="O86" i="7"/>
  <c r="J168" i="7"/>
  <c r="K168" i="7" s="1"/>
  <c r="J54" i="7"/>
  <c r="K54" i="7" s="1"/>
  <c r="R86" i="7"/>
  <c r="R60" i="7"/>
  <c r="P61" i="7" s="1"/>
  <c r="I62" i="7"/>
  <c r="Q61" i="7"/>
  <c r="B60" i="7"/>
  <c r="D60" i="7" s="1"/>
  <c r="O60" i="7" s="1"/>
  <c r="R171" i="7" l="1"/>
  <c r="P172" i="7" s="1"/>
  <c r="K218" i="7"/>
  <c r="M218" i="7" s="1"/>
  <c r="N218" i="7" s="1"/>
  <c r="J219" i="7" s="1"/>
  <c r="O204" i="7"/>
  <c r="O171" i="7"/>
  <c r="K100" i="7"/>
  <c r="M100" i="7" s="1"/>
  <c r="N100" i="7" s="1"/>
  <c r="J101" i="7" s="1"/>
  <c r="H62" i="7"/>
  <c r="G62" i="7"/>
  <c r="H188" i="7"/>
  <c r="G188" i="7"/>
  <c r="H205" i="7"/>
  <c r="G205" i="7"/>
  <c r="H172" i="7"/>
  <c r="G172" i="7"/>
  <c r="I101" i="7"/>
  <c r="H100" i="7"/>
  <c r="G100" i="7"/>
  <c r="Q100" i="7"/>
  <c r="R100" i="7" s="1"/>
  <c r="P101" i="7" s="1"/>
  <c r="I219" i="7"/>
  <c r="H218" i="7"/>
  <c r="G218" i="7"/>
  <c r="Q218" i="7"/>
  <c r="R218" i="7" s="1"/>
  <c r="P219" i="7" s="1"/>
  <c r="E35" i="8"/>
  <c r="R187" i="7"/>
  <c r="P188" i="7" s="1"/>
  <c r="R204" i="7"/>
  <c r="P205" i="7" s="1"/>
  <c r="J183" i="7"/>
  <c r="K182" i="7"/>
  <c r="M182" i="7" s="1"/>
  <c r="C102" i="7"/>
  <c r="D101" i="7"/>
  <c r="L101" i="7" s="1"/>
  <c r="M181" i="7"/>
  <c r="N181" i="7"/>
  <c r="Q172" i="7"/>
  <c r="R172" i="7" s="1"/>
  <c r="B172" i="7"/>
  <c r="D172" i="7" s="1"/>
  <c r="C221" i="7"/>
  <c r="D220" i="7"/>
  <c r="L220" i="7" s="1"/>
  <c r="Q188" i="7"/>
  <c r="I189" i="7"/>
  <c r="B188" i="7"/>
  <c r="D188" i="7" s="1"/>
  <c r="K199" i="7"/>
  <c r="J200" i="7"/>
  <c r="I206" i="7"/>
  <c r="B205" i="7"/>
  <c r="D205" i="7" s="1"/>
  <c r="O205" i="7" s="1"/>
  <c r="Q205" i="7"/>
  <c r="O187" i="7"/>
  <c r="M82" i="7"/>
  <c r="N82" i="7"/>
  <c r="K83" i="7"/>
  <c r="M83" i="7" s="1"/>
  <c r="J84" i="7"/>
  <c r="J169" i="7"/>
  <c r="K169" i="7" s="1"/>
  <c r="J55" i="7"/>
  <c r="I64" i="7"/>
  <c r="R61" i="7"/>
  <c r="P62" i="7" s="1"/>
  <c r="B63" i="7"/>
  <c r="D63" i="7" s="1"/>
  <c r="Q63" i="7"/>
  <c r="Q62" i="7"/>
  <c r="B61" i="7"/>
  <c r="D61" i="7" s="1"/>
  <c r="O61" i="7" s="1"/>
  <c r="O172" i="7" l="1"/>
  <c r="I220" i="7"/>
  <c r="H219" i="7"/>
  <c r="G219" i="7"/>
  <c r="Q219" i="7"/>
  <c r="R219" i="7" s="1"/>
  <c r="P220" i="7" s="1"/>
  <c r="I102" i="7"/>
  <c r="G101" i="7"/>
  <c r="H101" i="7"/>
  <c r="Q101" i="7"/>
  <c r="R101" i="7" s="1"/>
  <c r="P102" i="7" s="1"/>
  <c r="K101" i="7"/>
  <c r="M101" i="7" s="1"/>
  <c r="N101" i="7" s="1"/>
  <c r="J102" i="7" s="1"/>
  <c r="K102" i="7" s="1"/>
  <c r="H64" i="7"/>
  <c r="G64" i="7"/>
  <c r="H206" i="7"/>
  <c r="G206" i="7"/>
  <c r="G189" i="7"/>
  <c r="H189" i="7"/>
  <c r="K219" i="7"/>
  <c r="M219" i="7" s="1"/>
  <c r="N219" i="7" s="1"/>
  <c r="J220" i="7" s="1"/>
  <c r="R205" i="7"/>
  <c r="P206" i="7" s="1"/>
  <c r="R188" i="7"/>
  <c r="P189" i="7" s="1"/>
  <c r="O188" i="7"/>
  <c r="N182" i="7"/>
  <c r="K200" i="7"/>
  <c r="M200" i="7" s="1"/>
  <c r="J201" i="7"/>
  <c r="M199" i="7"/>
  <c r="N199" i="7"/>
  <c r="C222" i="7"/>
  <c r="D221" i="7"/>
  <c r="L221" i="7" s="1"/>
  <c r="C103" i="7"/>
  <c r="D102" i="7"/>
  <c r="L102" i="7" s="1"/>
  <c r="B206" i="7"/>
  <c r="D206" i="7" s="1"/>
  <c r="O206" i="7" s="1"/>
  <c r="I207" i="7"/>
  <c r="Q206" i="7"/>
  <c r="B189" i="7"/>
  <c r="D189" i="7" s="1"/>
  <c r="I190" i="7"/>
  <c r="Q189" i="7"/>
  <c r="K183" i="7"/>
  <c r="J184" i="7"/>
  <c r="K84" i="7"/>
  <c r="J85" i="7"/>
  <c r="N83" i="7"/>
  <c r="M168" i="7"/>
  <c r="N168" i="7"/>
  <c r="J170" i="7"/>
  <c r="K170" i="7" s="1"/>
  <c r="M169" i="7"/>
  <c r="N54" i="7"/>
  <c r="M54" i="7"/>
  <c r="J56" i="7"/>
  <c r="K55" i="7"/>
  <c r="M55" i="7" s="1"/>
  <c r="B64" i="7"/>
  <c r="D64" i="7" s="1"/>
  <c r="I65" i="7"/>
  <c r="Q64" i="7"/>
  <c r="R62" i="7"/>
  <c r="P63" i="7" s="1"/>
  <c r="R63" i="7" s="1"/>
  <c r="P64" i="7" s="1"/>
  <c r="B62" i="7"/>
  <c r="D62" i="7" s="1"/>
  <c r="O62" i="7" s="1"/>
  <c r="O63" i="7" s="1"/>
  <c r="O64" i="7" s="1"/>
  <c r="K220" i="7" l="1"/>
  <c r="M220" i="7" s="1"/>
  <c r="N220" i="7" s="1"/>
  <c r="J221" i="7" s="1"/>
  <c r="M102" i="7"/>
  <c r="N102" i="7" s="1"/>
  <c r="J103" i="7" s="1"/>
  <c r="G65" i="7"/>
  <c r="H65" i="7"/>
  <c r="H207" i="7"/>
  <c r="G207" i="7"/>
  <c r="H190" i="7"/>
  <c r="G190" i="7"/>
  <c r="I103" i="7"/>
  <c r="H102" i="7"/>
  <c r="G102" i="7"/>
  <c r="Q102" i="7"/>
  <c r="R102" i="7" s="1"/>
  <c r="P103" i="7" s="1"/>
  <c r="I221" i="7"/>
  <c r="K221" i="7" s="1"/>
  <c r="M221" i="7" s="1"/>
  <c r="N221" i="7" s="1"/>
  <c r="J222" i="7" s="1"/>
  <c r="H220" i="7"/>
  <c r="G220" i="7"/>
  <c r="Q220" i="7"/>
  <c r="R220" i="7" s="1"/>
  <c r="P221" i="7" s="1"/>
  <c r="R206" i="7"/>
  <c r="P207" i="7" s="1"/>
  <c r="O189" i="7"/>
  <c r="R189" i="7"/>
  <c r="P190" i="7" s="1"/>
  <c r="N200" i="7"/>
  <c r="K201" i="7"/>
  <c r="M201" i="7" s="1"/>
  <c r="J202" i="7"/>
  <c r="B207" i="7"/>
  <c r="D207" i="7" s="1"/>
  <c r="O207" i="7" s="1"/>
  <c r="Q207" i="7"/>
  <c r="I208" i="7"/>
  <c r="Q190" i="7"/>
  <c r="B190" i="7"/>
  <c r="D190" i="7" s="1"/>
  <c r="K184" i="7"/>
  <c r="M184" i="7" s="1"/>
  <c r="J185" i="7"/>
  <c r="K185" i="7" s="1"/>
  <c r="M183" i="7"/>
  <c r="C223" i="7"/>
  <c r="D222" i="7"/>
  <c r="L222" i="7" s="1"/>
  <c r="D103" i="7"/>
  <c r="L103" i="7" s="1"/>
  <c r="C104" i="7"/>
  <c r="N183" i="7"/>
  <c r="N84" i="7"/>
  <c r="K85" i="7"/>
  <c r="M85" i="7" s="1"/>
  <c r="J86" i="7"/>
  <c r="K86" i="7" s="1"/>
  <c r="M84" i="7"/>
  <c r="N55" i="7"/>
  <c r="M170" i="7"/>
  <c r="J171" i="7"/>
  <c r="K171" i="7" s="1"/>
  <c r="N169" i="7"/>
  <c r="J57" i="7"/>
  <c r="K56" i="7"/>
  <c r="R64" i="7"/>
  <c r="P65" i="7" s="1"/>
  <c r="Q65" i="7"/>
  <c r="I66" i="7"/>
  <c r="H208" i="7" l="1"/>
  <c r="G208" i="7"/>
  <c r="I222" i="7"/>
  <c r="H221" i="7"/>
  <c r="G221" i="7"/>
  <c r="Q221" i="7"/>
  <c r="R221" i="7" s="1"/>
  <c r="P222" i="7" s="1"/>
  <c r="I104" i="7"/>
  <c r="G103" i="7"/>
  <c r="H103" i="7"/>
  <c r="Q103" i="7"/>
  <c r="R103" i="7" s="1"/>
  <c r="P104" i="7" s="1"/>
  <c r="K103" i="7"/>
  <c r="M103" i="7" s="1"/>
  <c r="N103" i="7" s="1"/>
  <c r="J104" i="7" s="1"/>
  <c r="K222" i="7"/>
  <c r="M222" i="7" s="1"/>
  <c r="N222" i="7" s="1"/>
  <c r="J223" i="7" s="1"/>
  <c r="H66" i="7"/>
  <c r="G66" i="7"/>
  <c r="R207" i="7"/>
  <c r="P208" i="7" s="1"/>
  <c r="O190" i="7"/>
  <c r="R190" i="7"/>
  <c r="N184" i="7"/>
  <c r="N185" i="7" s="1"/>
  <c r="M185" i="7"/>
  <c r="N201" i="7"/>
  <c r="D223" i="7"/>
  <c r="L223" i="7" s="1"/>
  <c r="C224" i="7"/>
  <c r="K202" i="7"/>
  <c r="J203" i="7"/>
  <c r="K203" i="7" s="1"/>
  <c r="D104" i="7"/>
  <c r="L104" i="7" s="1"/>
  <c r="C105" i="7"/>
  <c r="B208" i="7"/>
  <c r="D208" i="7" s="1"/>
  <c r="O208" i="7" s="1"/>
  <c r="Q208" i="7"/>
  <c r="M86" i="7"/>
  <c r="N85" i="7"/>
  <c r="N86" i="7" s="1"/>
  <c r="N56" i="7"/>
  <c r="N170" i="7"/>
  <c r="J172" i="7"/>
  <c r="K172" i="7" s="1"/>
  <c r="M56" i="7"/>
  <c r="J58" i="7"/>
  <c r="K57" i="7"/>
  <c r="M57" i="7" s="1"/>
  <c r="R65" i="7"/>
  <c r="P66" i="7" s="1"/>
  <c r="I67" i="7"/>
  <c r="Q66" i="7"/>
  <c r="B65" i="7"/>
  <c r="D65" i="7" s="1"/>
  <c r="O65" i="7" s="1"/>
  <c r="K104" i="7" l="1"/>
  <c r="M104" i="7" s="1"/>
  <c r="N104" i="7" s="1"/>
  <c r="J105" i="7" s="1"/>
  <c r="K105" i="7" s="1"/>
  <c r="I105" i="7"/>
  <c r="H104" i="7"/>
  <c r="G104" i="7"/>
  <c r="Q104" i="7"/>
  <c r="R104" i="7" s="1"/>
  <c r="P105" i="7" s="1"/>
  <c r="I223" i="7"/>
  <c r="K223" i="7" s="1"/>
  <c r="M223" i="7" s="1"/>
  <c r="N223" i="7" s="1"/>
  <c r="J224" i="7" s="1"/>
  <c r="H222" i="7"/>
  <c r="G222" i="7"/>
  <c r="Q222" i="7"/>
  <c r="R222" i="7" s="1"/>
  <c r="P223" i="7" s="1"/>
  <c r="Q67" i="7"/>
  <c r="G67" i="7"/>
  <c r="H67" i="7"/>
  <c r="R208" i="7"/>
  <c r="N202" i="7"/>
  <c r="N203" i="7" s="1"/>
  <c r="J204" i="7" s="1"/>
  <c r="M202" i="7"/>
  <c r="M203" i="7"/>
  <c r="C106" i="7"/>
  <c r="D105" i="7"/>
  <c r="L105" i="7" s="1"/>
  <c r="J186" i="7"/>
  <c r="C225" i="7"/>
  <c r="D224" i="7"/>
  <c r="L224" i="7" s="1"/>
  <c r="M171" i="7"/>
  <c r="M172" i="7"/>
  <c r="N171" i="7"/>
  <c r="N172" i="7" s="1"/>
  <c r="N57" i="7"/>
  <c r="K58" i="7"/>
  <c r="R66" i="7"/>
  <c r="P67" i="7" s="1"/>
  <c r="I68" i="7"/>
  <c r="B66" i="7"/>
  <c r="D66" i="7" s="1"/>
  <c r="O66" i="7" s="1"/>
  <c r="M105" i="7" l="1"/>
  <c r="N105" i="7" s="1"/>
  <c r="J106" i="7" s="1"/>
  <c r="R67" i="7"/>
  <c r="P68" i="7" s="1"/>
  <c r="I224" i="7"/>
  <c r="K224" i="7" s="1"/>
  <c r="M224" i="7" s="1"/>
  <c r="N224" i="7" s="1"/>
  <c r="J225" i="7" s="1"/>
  <c r="H223" i="7"/>
  <c r="G223" i="7"/>
  <c r="Q223" i="7"/>
  <c r="R223" i="7" s="1"/>
  <c r="P224" i="7" s="1"/>
  <c r="I106" i="7"/>
  <c r="G105" i="7"/>
  <c r="H105" i="7"/>
  <c r="Q105" i="7"/>
  <c r="R105" i="7" s="1"/>
  <c r="P106" i="7" s="1"/>
  <c r="Q68" i="7"/>
  <c r="R68" i="7" s="1"/>
  <c r="H68" i="7"/>
  <c r="G68" i="7"/>
  <c r="D106" i="7"/>
  <c r="L106" i="7" s="1"/>
  <c r="C107" i="7"/>
  <c r="J187" i="7"/>
  <c r="K186" i="7"/>
  <c r="K204" i="7"/>
  <c r="J205" i="7"/>
  <c r="C226" i="7"/>
  <c r="D225" i="7"/>
  <c r="L225" i="7" s="1"/>
  <c r="M58" i="7"/>
  <c r="N58" i="7"/>
  <c r="J59" i="7" s="1"/>
  <c r="K59" i="7" s="1"/>
  <c r="B67" i="7"/>
  <c r="D67" i="7" s="1"/>
  <c r="O67" i="7" s="1"/>
  <c r="I107" i="7" l="1"/>
  <c r="H106" i="7"/>
  <c r="G106" i="7"/>
  <c r="Q106" i="7"/>
  <c r="R106" i="7" s="1"/>
  <c r="P107" i="7" s="1"/>
  <c r="I225" i="7"/>
  <c r="H224" i="7"/>
  <c r="G224" i="7"/>
  <c r="Q224" i="7"/>
  <c r="R224" i="7" s="1"/>
  <c r="P225" i="7" s="1"/>
  <c r="K106" i="7"/>
  <c r="M106" i="7" s="1"/>
  <c r="N106" i="7" s="1"/>
  <c r="J107" i="7" s="1"/>
  <c r="K205" i="7"/>
  <c r="M205" i="7" s="1"/>
  <c r="J206" i="7"/>
  <c r="D226" i="7"/>
  <c r="L226" i="7" s="1"/>
  <c r="C227" i="7"/>
  <c r="M186" i="7"/>
  <c r="N186" i="7"/>
  <c r="M204" i="7"/>
  <c r="N204" i="7"/>
  <c r="C108" i="7"/>
  <c r="D107" i="7"/>
  <c r="L107" i="7" s="1"/>
  <c r="K187" i="7"/>
  <c r="M187" i="7" s="1"/>
  <c r="J188" i="7"/>
  <c r="J60" i="7"/>
  <c r="B68" i="7"/>
  <c r="D68" i="7" s="1"/>
  <c r="O68" i="7" s="1"/>
  <c r="K107" i="7" l="1"/>
  <c r="M107" i="7" s="1"/>
  <c r="N107" i="7" s="1"/>
  <c r="J108" i="7" s="1"/>
  <c r="I226" i="7"/>
  <c r="H225" i="7"/>
  <c r="G225" i="7"/>
  <c r="Q225" i="7"/>
  <c r="R225" i="7" s="1"/>
  <c r="P226" i="7" s="1"/>
  <c r="I108" i="7"/>
  <c r="G107" i="7"/>
  <c r="H107" i="7"/>
  <c r="Q107" i="7"/>
  <c r="R107" i="7" s="1"/>
  <c r="P108" i="7" s="1"/>
  <c r="K225" i="7"/>
  <c r="M225" i="7" s="1"/>
  <c r="N225" i="7" s="1"/>
  <c r="J226" i="7" s="1"/>
  <c r="N205" i="7"/>
  <c r="C228" i="7"/>
  <c r="D227" i="7"/>
  <c r="L227" i="7" s="1"/>
  <c r="K188" i="7"/>
  <c r="M188" i="7" s="1"/>
  <c r="J189" i="7"/>
  <c r="N187" i="7"/>
  <c r="D108" i="7"/>
  <c r="L108" i="7" s="1"/>
  <c r="C109" i="7"/>
  <c r="K206" i="7"/>
  <c r="J207" i="7"/>
  <c r="N59" i="7"/>
  <c r="M59" i="7"/>
  <c r="J61" i="7"/>
  <c r="K60" i="7"/>
  <c r="I109" i="7" l="1"/>
  <c r="H108" i="7"/>
  <c r="G108" i="7"/>
  <c r="Q108" i="7"/>
  <c r="R108" i="7" s="1"/>
  <c r="P109" i="7" s="1"/>
  <c r="K108" i="7"/>
  <c r="M108" i="7" s="1"/>
  <c r="N108" i="7" s="1"/>
  <c r="J109" i="7" s="1"/>
  <c r="K109" i="7" s="1"/>
  <c r="I227" i="7"/>
  <c r="H226" i="7"/>
  <c r="G226" i="7"/>
  <c r="Q226" i="7"/>
  <c r="R226" i="7" s="1"/>
  <c r="P227" i="7" s="1"/>
  <c r="K226" i="7"/>
  <c r="M226" i="7" s="1"/>
  <c r="N226" i="7" s="1"/>
  <c r="J227" i="7" s="1"/>
  <c r="M206" i="7"/>
  <c r="C110" i="7"/>
  <c r="D109" i="7"/>
  <c r="K207" i="7"/>
  <c r="M207" i="7" s="1"/>
  <c r="J208" i="7"/>
  <c r="K208" i="7" s="1"/>
  <c r="N206" i="7"/>
  <c r="N188" i="7"/>
  <c r="K189" i="7"/>
  <c r="M189" i="7" s="1"/>
  <c r="J190" i="7"/>
  <c r="K190" i="7" s="1"/>
  <c r="D228" i="7"/>
  <c r="L228" i="7" s="1"/>
  <c r="C229" i="7"/>
  <c r="M60" i="7"/>
  <c r="N60" i="7"/>
  <c r="J62" i="7"/>
  <c r="K61" i="7"/>
  <c r="M61" i="7" s="1"/>
  <c r="K227" i="7" l="1"/>
  <c r="M227" i="7" s="1"/>
  <c r="N227" i="7" s="1"/>
  <c r="J228" i="7" s="1"/>
  <c r="I110" i="7"/>
  <c r="G109" i="7"/>
  <c r="H109" i="7"/>
  <c r="Q109" i="7"/>
  <c r="R109" i="7" s="1"/>
  <c r="P110" i="7" s="1"/>
  <c r="I228" i="7"/>
  <c r="H227" i="7"/>
  <c r="G227" i="7"/>
  <c r="Q227" i="7"/>
  <c r="R227" i="7" s="1"/>
  <c r="P228" i="7" s="1"/>
  <c r="M190" i="7"/>
  <c r="N189" i="7"/>
  <c r="N190" i="7" s="1"/>
  <c r="L109" i="7"/>
  <c r="M109" i="7" s="1"/>
  <c r="N109" i="7" s="1"/>
  <c r="J110" i="7" s="1"/>
  <c r="K110" i="7" s="1"/>
  <c r="D229" i="7"/>
  <c r="L229" i="7" s="1"/>
  <c r="C230" i="7"/>
  <c r="N207" i="7"/>
  <c r="N208" i="7" s="1"/>
  <c r="C111" i="7"/>
  <c r="D110" i="7"/>
  <c r="L110" i="7" s="1"/>
  <c r="M208" i="7"/>
  <c r="N61" i="7"/>
  <c r="J63" i="7"/>
  <c r="K63" i="7" s="1"/>
  <c r="K62" i="7"/>
  <c r="I229" i="7" l="1"/>
  <c r="H228" i="7"/>
  <c r="G228" i="7"/>
  <c r="Q228" i="7"/>
  <c r="R228" i="7" s="1"/>
  <c r="P229" i="7" s="1"/>
  <c r="I111" i="7"/>
  <c r="H110" i="7"/>
  <c r="G110" i="7"/>
  <c r="Q110" i="7"/>
  <c r="R110" i="7" s="1"/>
  <c r="P111" i="7" s="1"/>
  <c r="K228" i="7"/>
  <c r="M228" i="7" s="1"/>
  <c r="N228" i="7" s="1"/>
  <c r="J229" i="7" s="1"/>
  <c r="D230" i="7"/>
  <c r="L230" i="7" s="1"/>
  <c r="C231" i="7"/>
  <c r="D111" i="7"/>
  <c r="L111" i="7" s="1"/>
  <c r="C112" i="7"/>
  <c r="M63" i="7"/>
  <c r="N62" i="7"/>
  <c r="M62" i="7"/>
  <c r="M110" i="7"/>
  <c r="K229" i="7" l="1"/>
  <c r="M229" i="7" s="1"/>
  <c r="N229" i="7" s="1"/>
  <c r="J230" i="7" s="1"/>
  <c r="I112" i="7"/>
  <c r="G111" i="7"/>
  <c r="H111" i="7"/>
  <c r="Q111" i="7"/>
  <c r="R111" i="7" s="1"/>
  <c r="P112" i="7" s="1"/>
  <c r="I230" i="7"/>
  <c r="H229" i="7"/>
  <c r="G229" i="7"/>
  <c r="Q229" i="7"/>
  <c r="R229" i="7" s="1"/>
  <c r="P230" i="7" s="1"/>
  <c r="C232" i="7"/>
  <c r="D231" i="7"/>
  <c r="L231" i="7" s="1"/>
  <c r="C113" i="7"/>
  <c r="D112" i="7"/>
  <c r="N63" i="7"/>
  <c r="N110" i="7"/>
  <c r="J111" i="7" s="1"/>
  <c r="K111" i="7" s="1"/>
  <c r="K230" i="7" l="1"/>
  <c r="M230" i="7" s="1"/>
  <c r="N230" i="7" s="1"/>
  <c r="J231" i="7" s="1"/>
  <c r="I231" i="7"/>
  <c r="H230" i="7"/>
  <c r="G230" i="7"/>
  <c r="Q230" i="7"/>
  <c r="R230" i="7" s="1"/>
  <c r="P231" i="7" s="1"/>
  <c r="I113" i="7"/>
  <c r="H112" i="7"/>
  <c r="G112" i="7"/>
  <c r="Q112" i="7"/>
  <c r="R112" i="7" s="1"/>
  <c r="P113" i="7" s="1"/>
  <c r="L112" i="7"/>
  <c r="D113" i="7"/>
  <c r="L113" i="7" s="1"/>
  <c r="C114" i="7"/>
  <c r="D232" i="7"/>
  <c r="L232" i="7" s="1"/>
  <c r="C233" i="7"/>
  <c r="J64" i="7"/>
  <c r="M111" i="7"/>
  <c r="I114" i="7" l="1"/>
  <c r="G113" i="7"/>
  <c r="H113" i="7"/>
  <c r="Q113" i="7"/>
  <c r="R113" i="7" s="1"/>
  <c r="P114" i="7" s="1"/>
  <c r="I232" i="7"/>
  <c r="H231" i="7"/>
  <c r="G231" i="7"/>
  <c r="Q231" i="7"/>
  <c r="R231" i="7" s="1"/>
  <c r="P232" i="7" s="1"/>
  <c r="K231" i="7"/>
  <c r="M231" i="7" s="1"/>
  <c r="N231" i="7" s="1"/>
  <c r="J232" i="7" s="1"/>
  <c r="K232" i="7" s="1"/>
  <c r="M232" i="7" s="1"/>
  <c r="N232" i="7" s="1"/>
  <c r="J233" i="7" s="1"/>
  <c r="D233" i="7"/>
  <c r="L233" i="7" s="1"/>
  <c r="C234" i="7"/>
  <c r="D114" i="7"/>
  <c r="L114" i="7" s="1"/>
  <c r="C115" i="7"/>
  <c r="J65" i="7"/>
  <c r="K64" i="7"/>
  <c r="N111" i="7"/>
  <c r="J112" i="7" s="1"/>
  <c r="K112" i="7" s="1"/>
  <c r="I233" i="7" l="1"/>
  <c r="K233" i="7" s="1"/>
  <c r="M233" i="7" s="1"/>
  <c r="N233" i="7" s="1"/>
  <c r="J234" i="7" s="1"/>
  <c r="H232" i="7"/>
  <c r="G232" i="7"/>
  <c r="Q232" i="7"/>
  <c r="R232" i="7" s="1"/>
  <c r="P233" i="7" s="1"/>
  <c r="I115" i="7"/>
  <c r="H114" i="7"/>
  <c r="G114" i="7"/>
  <c r="Q114" i="7"/>
  <c r="R114" i="7" s="1"/>
  <c r="P115" i="7" s="1"/>
  <c r="D234" i="7"/>
  <c r="L234" i="7" s="1"/>
  <c r="C235" i="7"/>
  <c r="C116" i="7"/>
  <c r="D115" i="7"/>
  <c r="L115" i="7" s="1"/>
  <c r="N64" i="7"/>
  <c r="M64" i="7"/>
  <c r="J66" i="7"/>
  <c r="K65" i="7"/>
  <c r="M65" i="7" s="1"/>
  <c r="M112" i="7"/>
  <c r="I116" i="7" l="1"/>
  <c r="G115" i="7"/>
  <c r="H115" i="7"/>
  <c r="Q115" i="7"/>
  <c r="R115" i="7" s="1"/>
  <c r="P116" i="7" s="1"/>
  <c r="I234" i="7"/>
  <c r="H233" i="7"/>
  <c r="G233" i="7"/>
  <c r="Q233" i="7"/>
  <c r="R233" i="7" s="1"/>
  <c r="P234" i="7" s="1"/>
  <c r="D116" i="7"/>
  <c r="L116" i="7" s="1"/>
  <c r="C117" i="7"/>
  <c r="C236" i="7"/>
  <c r="D235" i="7"/>
  <c r="L235" i="7" s="1"/>
  <c r="N65" i="7"/>
  <c r="J67" i="7"/>
  <c r="K66" i="7"/>
  <c r="M66" i="7" s="1"/>
  <c r="N112" i="7"/>
  <c r="I235" i="7" l="1"/>
  <c r="H234" i="7"/>
  <c r="G234" i="7"/>
  <c r="Q234" i="7"/>
  <c r="R234" i="7" s="1"/>
  <c r="P235" i="7" s="1"/>
  <c r="I117" i="7"/>
  <c r="H116" i="7"/>
  <c r="G116" i="7"/>
  <c r="Q116" i="7"/>
  <c r="R116" i="7" s="1"/>
  <c r="P117" i="7" s="1"/>
  <c r="K234" i="7"/>
  <c r="M234" i="7" s="1"/>
  <c r="N234" i="7" s="1"/>
  <c r="J235" i="7" s="1"/>
  <c r="K235" i="7" s="1"/>
  <c r="M235" i="7" s="1"/>
  <c r="N235" i="7" s="1"/>
  <c r="J236" i="7" s="1"/>
  <c r="C237" i="7"/>
  <c r="D236" i="7"/>
  <c r="L236" i="7" s="1"/>
  <c r="C118" i="7"/>
  <c r="D117" i="7"/>
  <c r="L117" i="7" s="1"/>
  <c r="N66" i="7"/>
  <c r="K67" i="7"/>
  <c r="M67" i="7" s="1"/>
  <c r="J68" i="7"/>
  <c r="J113" i="7"/>
  <c r="K113" i="7" s="1"/>
  <c r="M113" i="7" s="1"/>
  <c r="N113" i="7" s="1"/>
  <c r="J114" i="7" s="1"/>
  <c r="K114" i="7" s="1"/>
  <c r="M114" i="7" s="1"/>
  <c r="N114" i="7" s="1"/>
  <c r="J115" i="7" s="1"/>
  <c r="K115" i="7" s="1"/>
  <c r="M115" i="7" s="1"/>
  <c r="N115" i="7" s="1"/>
  <c r="J116" i="7" s="1"/>
  <c r="K116" i="7" s="1"/>
  <c r="M116" i="7" s="1"/>
  <c r="N116" i="7" s="1"/>
  <c r="J117" i="7" s="1"/>
  <c r="K117" i="7" s="1"/>
  <c r="M117" i="7" s="1"/>
  <c r="N117" i="7" s="1"/>
  <c r="J118" i="7" s="1"/>
  <c r="I118" i="7" l="1"/>
  <c r="K118" i="7" s="1"/>
  <c r="G117" i="7"/>
  <c r="H117" i="7"/>
  <c r="Q117" i="7"/>
  <c r="R117" i="7" s="1"/>
  <c r="P118" i="7" s="1"/>
  <c r="I236" i="7"/>
  <c r="H235" i="7"/>
  <c r="G235" i="7"/>
  <c r="Q235" i="7"/>
  <c r="R235" i="7" s="1"/>
  <c r="P236" i="7" s="1"/>
  <c r="D118" i="7"/>
  <c r="L118" i="7" s="1"/>
  <c r="C119" i="7"/>
  <c r="D237" i="7"/>
  <c r="L237" i="7" s="1"/>
  <c r="C238" i="7"/>
  <c r="N67" i="7"/>
  <c r="K68" i="7"/>
  <c r="M118" i="7" l="1"/>
  <c r="N118" i="7" s="1"/>
  <c r="J119" i="7" s="1"/>
  <c r="I237" i="7"/>
  <c r="H236" i="7"/>
  <c r="G236" i="7"/>
  <c r="Q236" i="7"/>
  <c r="R236" i="7" s="1"/>
  <c r="P237" i="7" s="1"/>
  <c r="I119" i="7"/>
  <c r="H118" i="7"/>
  <c r="G118" i="7"/>
  <c r="Q118" i="7"/>
  <c r="R118" i="7" s="1"/>
  <c r="P119" i="7" s="1"/>
  <c r="K236" i="7"/>
  <c r="M236" i="7" s="1"/>
  <c r="N236" i="7" s="1"/>
  <c r="J237" i="7" s="1"/>
  <c r="K237" i="7" s="1"/>
  <c r="M237" i="7" s="1"/>
  <c r="N237" i="7" s="1"/>
  <c r="J238" i="7" s="1"/>
  <c r="D238" i="7"/>
  <c r="L238" i="7" s="1"/>
  <c r="C239" i="7"/>
  <c r="D119" i="7"/>
  <c r="L119" i="7" s="1"/>
  <c r="C120" i="7"/>
  <c r="N68" i="7"/>
  <c r="I120" i="7" l="1"/>
  <c r="G119" i="7"/>
  <c r="H119" i="7"/>
  <c r="Q119" i="7"/>
  <c r="R119" i="7" s="1"/>
  <c r="P120" i="7" s="1"/>
  <c r="I238" i="7"/>
  <c r="K238" i="7" s="1"/>
  <c r="M238" i="7" s="1"/>
  <c r="N238" i="7" s="1"/>
  <c r="J239" i="7" s="1"/>
  <c r="H237" i="7"/>
  <c r="G237" i="7"/>
  <c r="Q237" i="7"/>
  <c r="R237" i="7" s="1"/>
  <c r="P238" i="7" s="1"/>
  <c r="K119" i="7"/>
  <c r="M119" i="7" s="1"/>
  <c r="N119" i="7" s="1"/>
  <c r="J120" i="7" s="1"/>
  <c r="K120" i="7" s="1"/>
  <c r="C240" i="7"/>
  <c r="D239" i="7"/>
  <c r="L239" i="7" s="1"/>
  <c r="D120" i="7"/>
  <c r="L120" i="7" s="1"/>
  <c r="C121" i="7"/>
  <c r="M120" i="7" l="1"/>
  <c r="N120" i="7" s="1"/>
  <c r="J121" i="7" s="1"/>
  <c r="I239" i="7"/>
  <c r="K239" i="7" s="1"/>
  <c r="M239" i="7" s="1"/>
  <c r="N239" i="7" s="1"/>
  <c r="J240" i="7" s="1"/>
  <c r="H238" i="7"/>
  <c r="G238" i="7"/>
  <c r="Q238" i="7"/>
  <c r="R238" i="7" s="1"/>
  <c r="P239" i="7" s="1"/>
  <c r="I121" i="7"/>
  <c r="H120" i="7"/>
  <c r="G120" i="7"/>
  <c r="Q120" i="7"/>
  <c r="R120" i="7" s="1"/>
  <c r="P121" i="7" s="1"/>
  <c r="D121" i="7"/>
  <c r="L121" i="7" s="1"/>
  <c r="C122" i="7"/>
  <c r="C241" i="7"/>
  <c r="D240" i="7"/>
  <c r="L240" i="7" s="1"/>
  <c r="K121" i="7" l="1"/>
  <c r="I122" i="7"/>
  <c r="G121" i="7"/>
  <c r="H121" i="7"/>
  <c r="Q121" i="7"/>
  <c r="R121" i="7" s="1"/>
  <c r="P122" i="7" s="1"/>
  <c r="I240" i="7"/>
  <c r="H239" i="7"/>
  <c r="G239" i="7"/>
  <c r="Q239" i="7"/>
  <c r="R239" i="7" s="1"/>
  <c r="P240" i="7" s="1"/>
  <c r="M121" i="7"/>
  <c r="N121" i="7" s="1"/>
  <c r="J122" i="7" s="1"/>
  <c r="K122" i="7" s="1"/>
  <c r="C242" i="7"/>
  <c r="D241" i="7"/>
  <c r="L241" i="7" s="1"/>
  <c r="C123" i="7"/>
  <c r="D122" i="7"/>
  <c r="L122" i="7" s="1"/>
  <c r="I241" i="7" l="1"/>
  <c r="H240" i="7"/>
  <c r="G240" i="7"/>
  <c r="Q240" i="7"/>
  <c r="R240" i="7" s="1"/>
  <c r="P241" i="7" s="1"/>
  <c r="I123" i="7"/>
  <c r="H122" i="7"/>
  <c r="G122" i="7"/>
  <c r="Q122" i="7"/>
  <c r="R122" i="7" s="1"/>
  <c r="P123" i="7" s="1"/>
  <c r="M122" i="7"/>
  <c r="N122" i="7" s="1"/>
  <c r="J123" i="7" s="1"/>
  <c r="K240" i="7"/>
  <c r="M240" i="7" s="1"/>
  <c r="N240" i="7" s="1"/>
  <c r="J241" i="7" s="1"/>
  <c r="C124" i="7"/>
  <c r="D123" i="7"/>
  <c r="L123" i="7" s="1"/>
  <c r="C243" i="7"/>
  <c r="D242" i="7"/>
  <c r="L242" i="7" s="1"/>
  <c r="K241" i="7" l="1"/>
  <c r="M241" i="7" s="1"/>
  <c r="N241" i="7" s="1"/>
  <c r="J242" i="7" s="1"/>
  <c r="K123" i="7"/>
  <c r="M123" i="7" s="1"/>
  <c r="N123" i="7" s="1"/>
  <c r="J124" i="7" s="1"/>
  <c r="I124" i="7"/>
  <c r="G123" i="7"/>
  <c r="H123" i="7"/>
  <c r="Q123" i="7"/>
  <c r="R123" i="7" s="1"/>
  <c r="P124" i="7" s="1"/>
  <c r="I242" i="7"/>
  <c r="H241" i="7"/>
  <c r="G241" i="7"/>
  <c r="Q241" i="7"/>
  <c r="R241" i="7" s="1"/>
  <c r="P242" i="7" s="1"/>
  <c r="C244" i="7"/>
  <c r="D243" i="7"/>
  <c r="L243" i="7" s="1"/>
  <c r="C125" i="7"/>
  <c r="D124" i="7"/>
  <c r="L124" i="7" s="1"/>
  <c r="K124" i="7" l="1"/>
  <c r="M124" i="7" s="1"/>
  <c r="N124" i="7" s="1"/>
  <c r="J125" i="7" s="1"/>
  <c r="I243" i="7"/>
  <c r="H242" i="7"/>
  <c r="G242" i="7"/>
  <c r="Q242" i="7"/>
  <c r="R242" i="7" s="1"/>
  <c r="P243" i="7" s="1"/>
  <c r="I125" i="7"/>
  <c r="H124" i="7"/>
  <c r="G124" i="7"/>
  <c r="Q124" i="7"/>
  <c r="R124" i="7" s="1"/>
  <c r="P125" i="7" s="1"/>
  <c r="K242" i="7"/>
  <c r="M242" i="7" s="1"/>
  <c r="N242" i="7" s="1"/>
  <c r="J243" i="7" s="1"/>
  <c r="K243" i="7" s="1"/>
  <c r="M243" i="7" s="1"/>
  <c r="N243" i="7" s="1"/>
  <c r="J244" i="7" s="1"/>
  <c r="C126" i="7"/>
  <c r="D125" i="7"/>
  <c r="L125" i="7" s="1"/>
  <c r="C245" i="7"/>
  <c r="D244" i="7"/>
  <c r="L244" i="7" s="1"/>
  <c r="I126" i="7" l="1"/>
  <c r="G125" i="7"/>
  <c r="H125" i="7"/>
  <c r="Q125" i="7"/>
  <c r="R125" i="7" s="1"/>
  <c r="P126" i="7" s="1"/>
  <c r="I244" i="7"/>
  <c r="K244" i="7" s="1"/>
  <c r="M244" i="7" s="1"/>
  <c r="N244" i="7" s="1"/>
  <c r="J245" i="7" s="1"/>
  <c r="H243" i="7"/>
  <c r="G243" i="7"/>
  <c r="Q243" i="7"/>
  <c r="R243" i="7" s="1"/>
  <c r="P244" i="7" s="1"/>
  <c r="K125" i="7"/>
  <c r="M125" i="7" s="1"/>
  <c r="N125" i="7" s="1"/>
  <c r="J126" i="7" s="1"/>
  <c r="K126" i="7" s="1"/>
  <c r="C246" i="7"/>
  <c r="D246" i="7" s="1"/>
  <c r="L246" i="7" s="1"/>
  <c r="D245" i="7"/>
  <c r="L245" i="7" s="1"/>
  <c r="C127" i="7"/>
  <c r="D126" i="7"/>
  <c r="L126" i="7" s="1"/>
  <c r="I245" i="7" l="1"/>
  <c r="K245" i="7" s="1"/>
  <c r="M245" i="7" s="1"/>
  <c r="N245" i="7" s="1"/>
  <c r="J246" i="7" s="1"/>
  <c r="H244" i="7"/>
  <c r="G244" i="7"/>
  <c r="Q244" i="7"/>
  <c r="R244" i="7" s="1"/>
  <c r="P245" i="7" s="1"/>
  <c r="I127" i="7"/>
  <c r="H126" i="7"/>
  <c r="G126" i="7"/>
  <c r="Q126" i="7"/>
  <c r="R126" i="7" s="1"/>
  <c r="P127" i="7" s="1"/>
  <c r="M126" i="7"/>
  <c r="N126" i="7" s="1"/>
  <c r="J127" i="7" s="1"/>
  <c r="K127" i="7" s="1"/>
  <c r="C128" i="7"/>
  <c r="D127" i="7"/>
  <c r="L127" i="7" s="1"/>
  <c r="I246" i="7" l="1"/>
  <c r="K246" i="7" s="1"/>
  <c r="M246" i="7" s="1"/>
  <c r="N246" i="7" s="1"/>
  <c r="J247" i="7" s="1"/>
  <c r="H245" i="7"/>
  <c r="G245" i="7"/>
  <c r="Q245" i="7"/>
  <c r="R245" i="7" s="1"/>
  <c r="P246" i="7" s="1"/>
  <c r="M127" i="7"/>
  <c r="N127" i="7" s="1"/>
  <c r="J128" i="7" s="1"/>
  <c r="I128" i="7"/>
  <c r="G127" i="7"/>
  <c r="H127" i="7"/>
  <c r="Q127" i="7"/>
  <c r="R127" i="7" s="1"/>
  <c r="P128" i="7" s="1"/>
  <c r="C129" i="7"/>
  <c r="D128" i="7"/>
  <c r="L128" i="7" s="1"/>
  <c r="I129" i="7" l="1"/>
  <c r="H128" i="7"/>
  <c r="G128" i="7"/>
  <c r="Q128" i="7"/>
  <c r="R128" i="7" s="1"/>
  <c r="P129" i="7" s="1"/>
  <c r="K128" i="7"/>
  <c r="M128" i="7" s="1"/>
  <c r="N128" i="7" s="1"/>
  <c r="J129" i="7" s="1"/>
  <c r="K129" i="7" s="1"/>
  <c r="I247" i="7"/>
  <c r="H246" i="7"/>
  <c r="G246" i="7"/>
  <c r="Q246" i="7"/>
  <c r="R246" i="7" s="1"/>
  <c r="P247" i="7" s="1"/>
  <c r="C130" i="7"/>
  <c r="D129" i="7"/>
  <c r="L129" i="7" s="1"/>
  <c r="H247" i="7" l="1"/>
  <c r="G247" i="7"/>
  <c r="Q247" i="7"/>
  <c r="R247" i="7" s="1"/>
  <c r="K247" i="7"/>
  <c r="M247" i="7" s="1"/>
  <c r="N247" i="7" s="1"/>
  <c r="I130" i="7"/>
  <c r="G129" i="7"/>
  <c r="H129" i="7"/>
  <c r="Q129" i="7"/>
  <c r="R129" i="7" s="1"/>
  <c r="P130" i="7" s="1"/>
  <c r="M129" i="7"/>
  <c r="N129" i="7" s="1"/>
  <c r="J130" i="7" s="1"/>
  <c r="C131" i="7"/>
  <c r="D130" i="7"/>
  <c r="L130" i="7" s="1"/>
  <c r="K130" i="7" l="1"/>
  <c r="M130" i="7" s="1"/>
  <c r="N130" i="7" s="1"/>
  <c r="J131" i="7" s="1"/>
  <c r="I131" i="7"/>
  <c r="H130" i="7"/>
  <c r="G130" i="7"/>
  <c r="Q130" i="7"/>
  <c r="R130" i="7" s="1"/>
  <c r="P131" i="7" s="1"/>
  <c r="D131" i="7"/>
  <c r="L131" i="7" s="1"/>
  <c r="C132" i="7"/>
  <c r="K131" i="7" l="1"/>
  <c r="M131" i="7" s="1"/>
  <c r="N131" i="7" s="1"/>
  <c r="J132" i="7" s="1"/>
  <c r="I132" i="7"/>
  <c r="G131" i="7"/>
  <c r="H131" i="7"/>
  <c r="Q131" i="7"/>
  <c r="R131" i="7" s="1"/>
  <c r="P132" i="7" s="1"/>
  <c r="D132" i="7"/>
  <c r="L132" i="7" s="1"/>
  <c r="C133" i="7"/>
  <c r="K132" i="7" l="1"/>
  <c r="M132" i="7" s="1"/>
  <c r="N132" i="7" s="1"/>
  <c r="J133" i="7" s="1"/>
  <c r="I133" i="7"/>
  <c r="H132" i="7"/>
  <c r="G132" i="7"/>
  <c r="Q132" i="7"/>
  <c r="R132" i="7" s="1"/>
  <c r="P133" i="7" s="1"/>
  <c r="D133" i="7"/>
  <c r="L133" i="7" s="1"/>
  <c r="C134" i="7"/>
  <c r="K133" i="7" l="1"/>
  <c r="M133" i="7" s="1"/>
  <c r="N133" i="7" s="1"/>
  <c r="J134" i="7" s="1"/>
  <c r="I134" i="7"/>
  <c r="G133" i="7"/>
  <c r="H133" i="7"/>
  <c r="Q133" i="7"/>
  <c r="R133" i="7" s="1"/>
  <c r="P134" i="7" s="1"/>
  <c r="C135" i="7"/>
  <c r="D134" i="7"/>
  <c r="L134" i="7" s="1"/>
  <c r="K134" i="7" l="1"/>
  <c r="M134" i="7" s="1"/>
  <c r="N134" i="7" s="1"/>
  <c r="J135" i="7" s="1"/>
  <c r="I135" i="7"/>
  <c r="H134" i="7"/>
  <c r="G134" i="7"/>
  <c r="Q134" i="7"/>
  <c r="R134" i="7" s="1"/>
  <c r="P135" i="7" s="1"/>
  <c r="D135" i="7"/>
  <c r="L135" i="7" s="1"/>
  <c r="C136" i="7"/>
  <c r="K135" i="7" l="1"/>
  <c r="M135" i="7" s="1"/>
  <c r="N135" i="7" s="1"/>
  <c r="J136" i="7" s="1"/>
  <c r="I136" i="7"/>
  <c r="G135" i="7"/>
  <c r="H135" i="7"/>
  <c r="Q135" i="7"/>
  <c r="R135" i="7" s="1"/>
  <c r="P136" i="7" s="1"/>
  <c r="D136" i="7"/>
  <c r="L136" i="7" s="1"/>
  <c r="C137" i="7"/>
  <c r="I137" i="7" l="1"/>
  <c r="H136" i="7"/>
  <c r="G136" i="7"/>
  <c r="Q136" i="7"/>
  <c r="R136" i="7" s="1"/>
  <c r="P137" i="7" s="1"/>
  <c r="K136" i="7"/>
  <c r="M136" i="7" s="1"/>
  <c r="N136" i="7" s="1"/>
  <c r="J137" i="7" s="1"/>
  <c r="K137" i="7" s="1"/>
  <c r="D137" i="7"/>
  <c r="L137" i="7" s="1"/>
  <c r="C138" i="7"/>
  <c r="M137" i="7" l="1"/>
  <c r="N137" i="7" s="1"/>
  <c r="J138" i="7" s="1"/>
  <c r="I138" i="7"/>
  <c r="G137" i="7"/>
  <c r="H137" i="7"/>
  <c r="Q137" i="7"/>
  <c r="R137" i="7" s="1"/>
  <c r="P138" i="7" s="1"/>
  <c r="D138" i="7"/>
  <c r="L138" i="7" s="1"/>
  <c r="C139" i="7"/>
  <c r="K138" i="7" l="1"/>
  <c r="M138" i="7" s="1"/>
  <c r="N138" i="7" s="1"/>
  <c r="J139" i="7" s="1"/>
  <c r="I139" i="7"/>
  <c r="H138" i="7"/>
  <c r="G138" i="7"/>
  <c r="Q138" i="7"/>
  <c r="R138" i="7" s="1"/>
  <c r="P139" i="7" s="1"/>
  <c r="D139" i="7"/>
  <c r="L139" i="7" s="1"/>
  <c r="C140" i="7"/>
  <c r="I140" i="7" l="1"/>
  <c r="G139" i="7"/>
  <c r="H139" i="7"/>
  <c r="Q139" i="7"/>
  <c r="R139" i="7" s="1"/>
  <c r="P140" i="7" s="1"/>
  <c r="K139" i="7"/>
  <c r="M139" i="7" s="1"/>
  <c r="N139" i="7" s="1"/>
  <c r="J140" i="7" s="1"/>
  <c r="K140" i="7" s="1"/>
  <c r="D140" i="7"/>
  <c r="L140" i="7" s="1"/>
  <c r="C141" i="7"/>
  <c r="M140" i="7" l="1"/>
  <c r="N140" i="7" s="1"/>
  <c r="J141" i="7" s="1"/>
  <c r="I141" i="7"/>
  <c r="H140" i="7"/>
  <c r="G140" i="7"/>
  <c r="Q140" i="7"/>
  <c r="R140" i="7" s="1"/>
  <c r="P141" i="7" s="1"/>
  <c r="D141" i="7"/>
  <c r="L141" i="7" s="1"/>
  <c r="C142" i="7"/>
  <c r="K141" i="7" l="1"/>
  <c r="M141" i="7" s="1"/>
  <c r="N141" i="7" s="1"/>
  <c r="J142" i="7" s="1"/>
  <c r="I142" i="7"/>
  <c r="G141" i="7"/>
  <c r="H141" i="7"/>
  <c r="Q141" i="7"/>
  <c r="R141" i="7" s="1"/>
  <c r="P142" i="7" s="1"/>
  <c r="C143" i="7"/>
  <c r="D142" i="7"/>
  <c r="L142" i="7" s="1"/>
  <c r="K142" i="7" l="1"/>
  <c r="M142" i="7" s="1"/>
  <c r="N142" i="7" s="1"/>
  <c r="J143" i="7" s="1"/>
  <c r="I143" i="7"/>
  <c r="H142" i="7"/>
  <c r="G142" i="7"/>
  <c r="Q142" i="7"/>
  <c r="R142" i="7" s="1"/>
  <c r="P143" i="7" s="1"/>
  <c r="C144" i="7"/>
  <c r="D143" i="7"/>
  <c r="L143" i="7" s="1"/>
  <c r="K143" i="7" l="1"/>
  <c r="M143" i="7" s="1"/>
  <c r="N143" i="7" s="1"/>
  <c r="J144" i="7" s="1"/>
  <c r="I144" i="7"/>
  <c r="G143" i="7"/>
  <c r="H143" i="7"/>
  <c r="Q143" i="7"/>
  <c r="R143" i="7" s="1"/>
  <c r="P144" i="7" s="1"/>
  <c r="D144" i="7"/>
  <c r="L144" i="7" s="1"/>
  <c r="C145" i="7"/>
  <c r="K144" i="7" l="1"/>
  <c r="M144" i="7" s="1"/>
  <c r="N144" i="7" s="1"/>
  <c r="J145" i="7" s="1"/>
  <c r="I145" i="7"/>
  <c r="H144" i="7"/>
  <c r="G144" i="7"/>
  <c r="Q144" i="7"/>
  <c r="R144" i="7" s="1"/>
  <c r="P145" i="7" s="1"/>
  <c r="D145" i="7"/>
  <c r="L145" i="7" s="1"/>
  <c r="C146" i="7"/>
  <c r="I146" i="7" l="1"/>
  <c r="G145" i="7"/>
  <c r="H145" i="7"/>
  <c r="Q145" i="7"/>
  <c r="R145" i="7" s="1"/>
  <c r="P146" i="7" s="1"/>
  <c r="K145" i="7"/>
  <c r="M145" i="7" s="1"/>
  <c r="N145" i="7" s="1"/>
  <c r="J146" i="7" s="1"/>
  <c r="K146" i="7" s="1"/>
  <c r="D146" i="7"/>
  <c r="L146" i="7" s="1"/>
  <c r="C147" i="7"/>
  <c r="M146" i="7" l="1"/>
  <c r="N146" i="7" s="1"/>
  <c r="J147" i="7" s="1"/>
  <c r="I147" i="7"/>
  <c r="H146" i="7"/>
  <c r="G146" i="7"/>
  <c r="Q146" i="7"/>
  <c r="R146" i="7" s="1"/>
  <c r="P147" i="7" s="1"/>
  <c r="D147" i="7"/>
  <c r="L147" i="7" s="1"/>
  <c r="C148" i="7"/>
  <c r="K147" i="7" l="1"/>
  <c r="M147" i="7" s="1"/>
  <c r="N147" i="7" s="1"/>
  <c r="J148" i="7" s="1"/>
  <c r="I148" i="7"/>
  <c r="G147" i="7"/>
  <c r="H147" i="7"/>
  <c r="Q147" i="7"/>
  <c r="R147" i="7" s="1"/>
  <c r="P148" i="7" s="1"/>
  <c r="D148" i="7"/>
  <c r="L148" i="7" s="1"/>
  <c r="C149" i="7"/>
  <c r="I149" i="7" l="1"/>
  <c r="H148" i="7"/>
  <c r="G148" i="7"/>
  <c r="Q148" i="7"/>
  <c r="R148" i="7" s="1"/>
  <c r="P149" i="7" s="1"/>
  <c r="K148" i="7"/>
  <c r="M148" i="7" s="1"/>
  <c r="N148" i="7" s="1"/>
  <c r="J149" i="7" s="1"/>
  <c r="K149" i="7" s="1"/>
  <c r="D149" i="7"/>
  <c r="L149" i="7" s="1"/>
  <c r="C150" i="7"/>
  <c r="M149" i="7" l="1"/>
  <c r="N149" i="7" s="1"/>
  <c r="J150" i="7" s="1"/>
  <c r="I150" i="7"/>
  <c r="G149" i="7"/>
  <c r="H149" i="7"/>
  <c r="Q149" i="7"/>
  <c r="R149" i="7" s="1"/>
  <c r="P150" i="7" s="1"/>
  <c r="D150" i="7"/>
  <c r="L150" i="7" s="1"/>
  <c r="C151" i="7"/>
  <c r="I151" i="7" l="1"/>
  <c r="H150" i="7"/>
  <c r="G150" i="7"/>
  <c r="Q150" i="7"/>
  <c r="R150" i="7" s="1"/>
  <c r="P151" i="7" s="1"/>
  <c r="K150" i="7"/>
  <c r="M150" i="7" s="1"/>
  <c r="N150" i="7" s="1"/>
  <c r="J151" i="7" s="1"/>
  <c r="K151" i="7" s="1"/>
  <c r="D151" i="7"/>
  <c r="L151" i="7" s="1"/>
  <c r="C152" i="7"/>
  <c r="M151" i="7" l="1"/>
  <c r="N151" i="7" s="1"/>
  <c r="J152" i="7" s="1"/>
  <c r="I152" i="7"/>
  <c r="G151" i="7"/>
  <c r="H151" i="7"/>
  <c r="Q151" i="7"/>
  <c r="R151" i="7" s="1"/>
  <c r="P152" i="7" s="1"/>
  <c r="D152" i="7"/>
  <c r="L152" i="7" s="1"/>
  <c r="C153" i="7"/>
  <c r="D153" i="7" s="1"/>
  <c r="L153" i="7" s="1"/>
  <c r="I153" i="7" l="1"/>
  <c r="H152" i="7"/>
  <c r="G152" i="7"/>
  <c r="Q152" i="7"/>
  <c r="R152" i="7" s="1"/>
  <c r="P153" i="7" s="1"/>
  <c r="K152" i="7"/>
  <c r="M152" i="7" s="1"/>
  <c r="N152" i="7" s="1"/>
  <c r="J153" i="7" s="1"/>
  <c r="K153" i="7" s="1"/>
  <c r="M153" i="7" s="1"/>
  <c r="N153" i="7" s="1"/>
  <c r="J154" i="7" s="1"/>
  <c r="I154" i="7" l="1"/>
  <c r="K154" i="7" s="1"/>
  <c r="M154" i="7" s="1"/>
  <c r="N154" i="7" s="1"/>
  <c r="G153" i="7"/>
  <c r="H153" i="7"/>
  <c r="Q153" i="7"/>
  <c r="R153" i="7" s="1"/>
  <c r="P154" i="7" s="1"/>
  <c r="H154" i="7" l="1"/>
  <c r="G154" i="7"/>
  <c r="Q154" i="7"/>
  <c r="R154" i="7" s="1"/>
  <c r="E6" i="8" l="1"/>
  <c r="E16" i="8"/>
  <c r="E17" i="8" s="1"/>
  <c r="E7" i="8"/>
  <c r="E26" i="8"/>
  <c r="E25" i="8" s="1"/>
  <c r="E11" i="8" l="1"/>
  <c r="E12" i="8"/>
  <c r="E30" i="8"/>
  <c r="E8" i="8"/>
  <c r="E13" i="8" l="1"/>
  <c r="E21" i="8"/>
  <c r="E22" i="8"/>
  <c r="E29" i="8"/>
  <c r="E31" i="8" s="1"/>
  <c r="F31" i="8" s="1"/>
  <c r="H31" i="8" s="1"/>
  <c r="E20" i="8" l="1"/>
  <c r="F26" i="8" s="1"/>
  <c r="H26" i="8" s="1"/>
</calcChain>
</file>

<file path=xl/sharedStrings.xml><?xml version="1.0" encoding="utf-8"?>
<sst xmlns="http://schemas.openxmlformats.org/spreadsheetml/2006/main" count="230" uniqueCount="153">
  <si>
    <t>Number</t>
  </si>
  <si>
    <t>Name of the lessor</t>
  </si>
  <si>
    <t>Asset description</t>
  </si>
  <si>
    <t>Right -of- use asset category (leased asset type)</t>
  </si>
  <si>
    <t>Address for land or Building</t>
  </si>
  <si>
    <t>Contract status</t>
  </si>
  <si>
    <t>Contract commencement date</t>
  </si>
  <si>
    <t>Contract expiry date</t>
  </si>
  <si>
    <t>Lease Rental per Annum</t>
  </si>
  <si>
    <t>Is there any escalation for the Lease Rental?</t>
  </si>
  <si>
    <t>Escalation clause details (percentage or absolute terms)</t>
  </si>
  <si>
    <t>Lease Cancellation condition</t>
  </si>
  <si>
    <t>-</t>
  </si>
  <si>
    <t>Residential House</t>
  </si>
  <si>
    <t>Building</t>
  </si>
  <si>
    <t>Active</t>
  </si>
  <si>
    <t>Monthly rent</t>
  </si>
  <si>
    <t>Land</t>
  </si>
  <si>
    <t>Yes</t>
  </si>
  <si>
    <t>No</t>
  </si>
  <si>
    <t>36 M</t>
  </si>
  <si>
    <t>60 M</t>
  </si>
  <si>
    <t>65 M</t>
  </si>
  <si>
    <t>Office</t>
  </si>
  <si>
    <t>Lease payment frequency (monthly, quarterly, Half yearly, Yearly)</t>
  </si>
  <si>
    <t>Advance payment / on due date</t>
  </si>
  <si>
    <t>Grand Total</t>
  </si>
  <si>
    <t>Advance</t>
  </si>
  <si>
    <t>On due date</t>
  </si>
  <si>
    <t>Remarks</t>
  </si>
  <si>
    <t>Monthly</t>
  </si>
  <si>
    <t>Quarterly</t>
  </si>
  <si>
    <t>Half Yearly</t>
  </si>
  <si>
    <t>Yearly</t>
  </si>
  <si>
    <t>Done by</t>
  </si>
  <si>
    <t>Monthly Dist Rate</t>
  </si>
  <si>
    <t>Qtrly Dist Rate</t>
  </si>
  <si>
    <t>Half Yearly Dist Rate</t>
  </si>
  <si>
    <t>Total Dist Value</t>
  </si>
  <si>
    <t>108M</t>
  </si>
  <si>
    <t>Disc Rate</t>
  </si>
  <si>
    <t>Lease ID</t>
  </si>
  <si>
    <t>Days</t>
  </si>
  <si>
    <t>Rent for Month</t>
  </si>
  <si>
    <t>Total Rent</t>
  </si>
  <si>
    <t>End Date</t>
  </si>
  <si>
    <t>Financial Year</t>
  </si>
  <si>
    <t>Quarter</t>
  </si>
  <si>
    <t>Qtr Ending Dates</t>
  </si>
  <si>
    <t>Lease Liability</t>
  </si>
  <si>
    <t>Interest</t>
  </si>
  <si>
    <t>Principal</t>
  </si>
  <si>
    <t>Closing Lease Liability
(Lease liab. - Principal)</t>
  </si>
  <si>
    <t>Right To Use</t>
  </si>
  <si>
    <t>Depreciation
(SLM)</t>
  </si>
  <si>
    <t>Right To Use Closing</t>
  </si>
  <si>
    <t>Scheme of Entries</t>
  </si>
  <si>
    <t>Date</t>
  </si>
  <si>
    <t>FY</t>
  </si>
  <si>
    <t>Qtr</t>
  </si>
  <si>
    <t>Particulars</t>
  </si>
  <si>
    <t>Amount</t>
  </si>
  <si>
    <t>Opening Entry</t>
  </si>
  <si>
    <t>Retained Earning</t>
  </si>
  <si>
    <t>1-2</t>
  </si>
  <si>
    <t>Rent Expenses</t>
  </si>
  <si>
    <t>Depreciation</t>
  </si>
  <si>
    <t>New Lease Liability during the year</t>
  </si>
  <si>
    <t xml:space="preserve">Lease payment frequency </t>
  </si>
  <si>
    <t>Rent payment</t>
  </si>
  <si>
    <t>Sum of Lease Liability</t>
  </si>
  <si>
    <t>Sum of Principal</t>
  </si>
  <si>
    <t>Sum of Closing Lease Liability</t>
  </si>
  <si>
    <t>Values</t>
  </si>
  <si>
    <t>Sum of Interest</t>
  </si>
  <si>
    <t>Prepaid</t>
  </si>
  <si>
    <t>Interest accrual on Lease Liability</t>
  </si>
  <si>
    <t>Reversal of Prepaid Lease</t>
  </si>
  <si>
    <t>Prepaid Lease</t>
  </si>
  <si>
    <t>Sum of Total Rent</t>
  </si>
  <si>
    <t>Sum of Prepaid</t>
  </si>
  <si>
    <t>Knocking off of Lease liability against Rent Accrued</t>
  </si>
  <si>
    <t>Knocking off of Lease liability against Prepaid</t>
  </si>
  <si>
    <t>Amortisation of ROU</t>
  </si>
  <si>
    <t>Sum of Depreciation</t>
  </si>
  <si>
    <t>Sum of Right To Use Closing</t>
  </si>
  <si>
    <t>2019-2020</t>
  </si>
  <si>
    <t>Mandatory</t>
  </si>
  <si>
    <t>Optional</t>
  </si>
  <si>
    <t>Yearly Dist Rate
(Input)</t>
  </si>
  <si>
    <t>Business Area (If Co. is operating in different region or segments)</t>
  </si>
  <si>
    <t>General Instruction</t>
  </si>
  <si>
    <t>All the basic data w.r.t. lease needs to be filled in "Base Data" sheet.</t>
  </si>
  <si>
    <t>Colour coding wise data needs to be filled. All mandatory fields is required to be filled in either to perform calculation or to understand the data or for audit purpose.</t>
  </si>
  <si>
    <t>Optional fields are advisable to be filled in but not necessary.</t>
  </si>
  <si>
    <t>Please fill in annual discounting rate in "Cell W2" in "Base Data" which ideally should be your avg borrowing rate.</t>
  </si>
  <si>
    <t>Based on the Annual discounting rate, Monthly, Quarterly and Half yearly rate will automatically get filled in.</t>
  </si>
  <si>
    <t>Column U onwards in Row 6 represents the frequency of lease payment i.e. Monthly, Quarterly, Half yearly or yearly.</t>
  </si>
  <si>
    <t>Agreement period (in Months)</t>
  </si>
  <si>
    <t>MMM</t>
  </si>
  <si>
    <t>NNN</t>
  </si>
  <si>
    <t>AAA</t>
  </si>
  <si>
    <t>Ahmedabad</t>
  </si>
  <si>
    <t>Baroda</t>
  </si>
  <si>
    <t>Rajkot</t>
  </si>
  <si>
    <t>Delhi</t>
  </si>
  <si>
    <t>XYZ Ltd</t>
  </si>
  <si>
    <t>A</t>
  </si>
  <si>
    <t>B</t>
  </si>
  <si>
    <t>C</t>
  </si>
  <si>
    <t>D</t>
  </si>
  <si>
    <t>ABC LLP</t>
  </si>
  <si>
    <t>Sukhdev</t>
  </si>
  <si>
    <t>Rajguru</t>
  </si>
  <si>
    <t>Raj</t>
  </si>
  <si>
    <t>UP</t>
  </si>
  <si>
    <t>yyy</t>
  </si>
  <si>
    <t>CCC</t>
  </si>
  <si>
    <t>DDD</t>
  </si>
  <si>
    <t>BBB</t>
  </si>
  <si>
    <t>HHH</t>
  </si>
  <si>
    <t>E</t>
  </si>
  <si>
    <t>F</t>
  </si>
  <si>
    <t>G</t>
  </si>
  <si>
    <t>H</t>
  </si>
  <si>
    <t>Dharmendra</t>
  </si>
  <si>
    <t>Sunny</t>
  </si>
  <si>
    <t>Boby</t>
  </si>
  <si>
    <t>Punjab</t>
  </si>
  <si>
    <t>Chandigarh</t>
  </si>
  <si>
    <t>Mumbai</t>
  </si>
  <si>
    <t>Calculated or Formula based to be entered manually</t>
  </si>
  <si>
    <t>31-03-2019 Total</t>
  </si>
  <si>
    <t>01-04-2019 Total</t>
  </si>
  <si>
    <t>30-04-2019 Total</t>
  </si>
  <si>
    <t>20-05-2019 Total</t>
  </si>
  <si>
    <t>31-05-2019 Total</t>
  </si>
  <si>
    <t>15-06-2019 Total</t>
  </si>
  <si>
    <t>30-06-2019 Total</t>
  </si>
  <si>
    <t>27-07-2019 Total</t>
  </si>
  <si>
    <t>31-07-2019 Total</t>
  </si>
  <si>
    <t>31-08-2019 Total</t>
  </si>
  <si>
    <t>30-09-2019 Total</t>
  </si>
  <si>
    <t>Lease agreements dated after 31st March, 2019</t>
  </si>
  <si>
    <t>Depends on the lease payment frequency, discount rate to be selected i.e. for yearly payment of Lease, yearly rate will apply, for monthly payment of lease, monthly discount rate will apply and so on so forth.</t>
  </si>
  <si>
    <t>Formula to be copied from U column and needs to be extended based on the number of payments during the lease tenure i.e. for yearly lease payment of 3 years of lease only 3 columns require. Similarly for monthly payment of lease for 3 years of lease 36 columns require.</t>
  </si>
  <si>
    <t>In case of escalation clause, depends on the frequency of escalation base lease rent will increase, i.e. in case of yearly escalation of 10%, 1st year rent will increase by 10% in 2nd year (after 1st year in case of advance payment) and next year again 10% compare to previous year and so on so forth. In case of monthly payment and yearly increase after each 12 months gap. E.g. 10000 rent in year 0 or 1, will become 11000 in year 1 or 2 and 12100 in year 2 or 3 respectively.</t>
  </si>
  <si>
    <t>The above escalation needs to be adjusted manually in formula already plotted.</t>
  </si>
  <si>
    <t>Based on the base data sheet, Data working sheet will automatically will get populated. Rows needs to be added / deleted till the end of lease period date.</t>
  </si>
  <si>
    <t>Based on the data Prepaid working will also get populated. In cas prepaid accounting is not done same needs to be zero manually.</t>
  </si>
  <si>
    <t>Based on the Data working sheet Entries will be automatically populated including opening.</t>
  </si>
  <si>
    <t>Pivot table has also been inserted based on the data working sheet for cross check purpose.</t>
  </si>
  <si>
    <t>Entries will get auto populated based on the date entered, for e.g. if you require entries for 31st March, 2019 in date column. For P&amp;L entries, Qtr numbers needs to be entered.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</si>
</sst>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Red]&quot;₹&quot;\ \-#,##0"/>
    <numFmt numFmtId="8" formatCode="&quot;₹&quot;\ #,##0.00;[Red]&quot;₹&quot;\ \-#,##0.00"/>
    <numFmt numFmtId="42" formatCode="_ &quot;₹&quot;\ * #,##0_ ;_ &quot;₹&quot;\ * \-#,##0_ ;_ &quot;₹&quot;\ * &quot;-&quot;_ ;_ @_ "/>
    <numFmt numFmtId="41" formatCode="_ * #,##0_ ;_ * \-#,##0_ ;_ * &quot;-&quot;_ ;_ @_ "/>
    <numFmt numFmtId="43" formatCode="_ * #,##0.00_ ;_ * \-#,##0.00_ ;_ * &quot;-&quot;??_ ;_ @_ "/>
    <numFmt numFmtId="164" formatCode="_ * #,##0_ ;_ * \-#,##0_ ;_ * &quot;-&quot;??_ ;_ @_ "/>
    <numFmt numFmtId="166" formatCode="[$-F800]dddd\,\ mmmm\ dd\,\ yyyy"/>
    <numFmt numFmtId="168" formatCode="[$-14009]dd/mm/yyyy;@"/>
  </numFmts>
  <fonts count="5" x14ac:knownFonts="1">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name val="Verdana"/>
      <family val="2"/>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rgb="FFFFC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90">
    <xf numFmtId="0" fontId="0" fillId="0" borderId="0" xfId="0"/>
    <xf numFmtId="8"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0" xfId="0" applyFont="1"/>
    <xf numFmtId="0" fontId="2" fillId="0" borderId="0" xfId="0" applyFont="1" applyAlignment="1">
      <alignment horizontal="center" vertical="center"/>
    </xf>
    <xf numFmtId="0" fontId="2" fillId="6" borderId="0" xfId="0" applyFont="1" applyFill="1" applyAlignment="1">
      <alignment horizontal="center" vertical="center"/>
    </xf>
    <xf numFmtId="0" fontId="2" fillId="0" borderId="0" xfId="0" applyFont="1" applyAlignment="1">
      <alignment horizontal="center"/>
    </xf>
    <xf numFmtId="9" fontId="2" fillId="6" borderId="0" xfId="0" applyNumberFormat="1" applyFont="1" applyFill="1" applyAlignment="1">
      <alignment horizontal="center"/>
    </xf>
    <xf numFmtId="8" fontId="3" fillId="0" borderId="0" xfId="0" applyNumberFormat="1" applyFont="1"/>
    <xf numFmtId="164" fontId="3" fillId="0" borderId="0" xfId="1" applyNumberFormat="1" applyFont="1"/>
    <xf numFmtId="14" fontId="3" fillId="0" borderId="0" xfId="0" applyNumberFormat="1" applyFont="1"/>
    <xf numFmtId="0" fontId="3" fillId="0" borderId="0" xfId="0" applyNumberFormat="1" applyFont="1" applyAlignment="1">
      <alignment horizontal="center"/>
    </xf>
    <xf numFmtId="6" fontId="3" fillId="0" borderId="0" xfId="0" applyNumberFormat="1" applyFont="1"/>
    <xf numFmtId="164" fontId="3" fillId="0" borderId="0" xfId="0" applyNumberFormat="1" applyFont="1"/>
    <xf numFmtId="0" fontId="2" fillId="0" borderId="0" xfId="0" applyFont="1"/>
    <xf numFmtId="0" fontId="3" fillId="0" borderId="0" xfId="0" applyFont="1" applyAlignment="1">
      <alignment horizontal="center"/>
    </xf>
    <xf numFmtId="43" fontId="3" fillId="0" borderId="0" xfId="1" applyFont="1"/>
    <xf numFmtId="43" fontId="3" fillId="0" borderId="0" xfId="0" applyNumberFormat="1" applyFont="1"/>
    <xf numFmtId="0" fontId="3" fillId="0" borderId="0" xfId="0" quotePrefix="1" applyNumberFormat="1" applyFont="1" applyAlignment="1">
      <alignment horizontal="center"/>
    </xf>
    <xf numFmtId="164" fontId="3" fillId="0" borderId="0" xfId="1" applyNumberFormat="1" applyFont="1" applyAlignment="1">
      <alignment horizontal="center"/>
    </xf>
    <xf numFmtId="166" fontId="3" fillId="0" borderId="0" xfId="1" applyNumberFormat="1" applyFont="1" applyAlignment="1">
      <alignment horizontal="center"/>
    </xf>
    <xf numFmtId="166" fontId="3" fillId="0" borderId="0" xfId="1" applyNumberFormat="1" applyFont="1"/>
    <xf numFmtId="14" fontId="3" fillId="0" borderId="0" xfId="0" applyNumberFormat="1" applyFont="1" applyAlignment="1">
      <alignment horizontal="right"/>
    </xf>
    <xf numFmtId="0" fontId="3" fillId="0" borderId="0" xfId="0" applyNumberFormat="1" applyFont="1"/>
    <xf numFmtId="0" fontId="2" fillId="0" borderId="0" xfId="0" applyNumberFormat="1" applyFont="1" applyAlignment="1">
      <alignment horizontal="center"/>
    </xf>
    <xf numFmtId="0" fontId="3" fillId="0" borderId="0" xfId="0" applyFont="1" applyFill="1"/>
    <xf numFmtId="0" fontId="3" fillId="0" borderId="0" xfId="0" applyFont="1" applyAlignment="1">
      <alignment vertical="center"/>
    </xf>
    <xf numFmtId="0" fontId="2" fillId="0" borderId="0" xfId="0" applyFont="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164" fontId="3" fillId="0" borderId="1" xfId="1" applyNumberFormat="1" applyFont="1" applyBorder="1" applyAlignment="1">
      <alignment horizontal="center" vertical="center"/>
    </xf>
    <xf numFmtId="9" fontId="3" fillId="0" borderId="1" xfId="0" applyNumberFormat="1" applyFont="1" applyBorder="1" applyAlignment="1">
      <alignment horizontal="center" vertical="center"/>
    </xf>
    <xf numFmtId="0" fontId="3" fillId="0" borderId="1" xfId="0" applyFont="1" applyBorder="1" applyAlignment="1">
      <alignment vertical="center"/>
    </xf>
    <xf numFmtId="0" fontId="4" fillId="0" borderId="1" xfId="0" applyFont="1" applyFill="1" applyBorder="1" applyAlignment="1">
      <alignment horizontal="center" vertical="center"/>
    </xf>
    <xf numFmtId="0" fontId="4" fillId="0" borderId="1" xfId="0" applyFont="1" applyBorder="1" applyAlignment="1">
      <alignment horizontal="center" vertical="center" wrapText="1"/>
    </xf>
    <xf numFmtId="164" fontId="4" fillId="0" borderId="1" xfId="1" applyNumberFormat="1" applyFont="1" applyFill="1" applyBorder="1" applyAlignment="1">
      <alignment horizontal="center" vertical="center"/>
    </xf>
    <xf numFmtId="0" fontId="4" fillId="0" borderId="1" xfId="0" applyFont="1" applyFill="1" applyBorder="1" applyAlignment="1">
      <alignment horizontal="center" vertical="center" wrapText="1"/>
    </xf>
    <xf numFmtId="164" fontId="3" fillId="0" borderId="1" xfId="1" applyNumberFormat="1" applyFont="1" applyBorder="1" applyAlignment="1">
      <alignment horizontal="center" vertical="center" wrapText="1"/>
    </xf>
    <xf numFmtId="0" fontId="4" fillId="3" borderId="1" xfId="0" applyFont="1" applyFill="1" applyBorder="1" applyAlignment="1">
      <alignment horizontal="center" vertical="center" wrapText="1"/>
    </xf>
    <xf numFmtId="164" fontId="4" fillId="3" borderId="1" xfId="1" applyNumberFormat="1" applyFont="1" applyFill="1" applyBorder="1" applyAlignment="1">
      <alignment horizontal="center" vertical="center"/>
    </xf>
    <xf numFmtId="164" fontId="4" fillId="0" borderId="1" xfId="1" applyNumberFormat="1" applyFont="1" applyBorder="1" applyAlignment="1">
      <alignment horizontal="center" vertical="center"/>
    </xf>
    <xf numFmtId="0" fontId="3" fillId="0" borderId="1" xfId="0" applyFont="1" applyFill="1" applyBorder="1"/>
    <xf numFmtId="0" fontId="3" fillId="0" borderId="1" xfId="0" applyFont="1" applyBorder="1"/>
    <xf numFmtId="0" fontId="4" fillId="0" borderId="1" xfId="0" applyFont="1" applyBorder="1" applyAlignment="1">
      <alignment horizontal="center" vertical="center"/>
    </xf>
    <xf numFmtId="9" fontId="4" fillId="0" borderId="1" xfId="0" applyNumberFormat="1" applyFont="1" applyBorder="1" applyAlignment="1">
      <alignment horizontal="center" vertical="center"/>
    </xf>
    <xf numFmtId="164" fontId="3" fillId="0" borderId="1" xfId="1" applyNumberFormat="1" applyFont="1" applyFill="1" applyBorder="1" applyAlignment="1">
      <alignment horizontal="center" vertical="center"/>
    </xf>
    <xf numFmtId="164" fontId="3" fillId="0" borderId="1" xfId="1" applyNumberFormat="1" applyFont="1" applyBorder="1"/>
    <xf numFmtId="9" fontId="3" fillId="0" borderId="1" xfId="0" applyNumberFormat="1" applyFont="1" applyBorder="1"/>
    <xf numFmtId="164" fontId="3" fillId="0" borderId="1" xfId="1" applyNumberFormat="1" applyFont="1" applyFill="1" applyBorder="1"/>
    <xf numFmtId="9" fontId="3" fillId="0" borderId="1" xfId="0" applyNumberFormat="1" applyFont="1" applyFill="1" applyBorder="1"/>
    <xf numFmtId="14" fontId="3" fillId="0" borderId="1" xfId="0" applyNumberFormat="1" applyFont="1" applyFill="1" applyBorder="1" applyAlignment="1">
      <alignment horizontal="center" vertical="center"/>
    </xf>
    <xf numFmtId="0" fontId="3" fillId="0" borderId="0" xfId="0" pivotButton="1" applyFont="1"/>
    <xf numFmtId="42" fontId="3" fillId="0" borderId="0" xfId="0" applyNumberFormat="1" applyFont="1"/>
    <xf numFmtId="41" fontId="3" fillId="0" borderId="0" xfId="0" applyNumberFormat="1" applyFont="1"/>
    <xf numFmtId="0" fontId="2" fillId="6" borderId="0" xfId="0" applyFont="1" applyFill="1" applyAlignment="1">
      <alignment horizontal="center" vertical="center" wrapText="1"/>
    </xf>
    <xf numFmtId="0" fontId="2" fillId="4" borderId="0" xfId="0" applyFont="1" applyFill="1" applyAlignment="1">
      <alignment horizontal="center" vertical="center" wrapText="1"/>
    </xf>
    <xf numFmtId="0" fontId="2" fillId="7" borderId="0" xfId="0" applyFont="1" applyFill="1" applyAlignment="1">
      <alignment horizontal="center" vertical="center" wrapText="1"/>
    </xf>
    <xf numFmtId="0" fontId="2" fillId="6" borderId="1" xfId="0" applyFont="1" applyFill="1" applyBorder="1" applyAlignment="1">
      <alignment horizontal="center" vertical="center"/>
    </xf>
    <xf numFmtId="0" fontId="2" fillId="7"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Continuous" vertical="justify"/>
    </xf>
    <xf numFmtId="0" fontId="3" fillId="0" borderId="0" xfId="0" applyFont="1" applyAlignment="1">
      <alignment horizontal="centerContinuous" vertical="justify"/>
    </xf>
    <xf numFmtId="0" fontId="3" fillId="0" borderId="0" xfId="0" applyFont="1" applyAlignment="1">
      <alignment horizontal="left" vertical="justify"/>
    </xf>
    <xf numFmtId="0" fontId="2" fillId="6" borderId="0" xfId="0" applyFont="1" applyFill="1" applyAlignment="1">
      <alignment horizontal="right" vertical="center" wrapText="1"/>
    </xf>
    <xf numFmtId="0" fontId="2" fillId="4" borderId="0" xfId="0" applyFont="1" applyFill="1" applyAlignment="1">
      <alignment vertical="center" wrapText="1"/>
    </xf>
    <xf numFmtId="43" fontId="3" fillId="0" borderId="1" xfId="1" applyFont="1" applyBorder="1" applyAlignment="1">
      <alignment horizontal="center" vertical="center"/>
    </xf>
    <xf numFmtId="8" fontId="3" fillId="0" borderId="1" xfId="0" applyNumberFormat="1" applyFont="1" applyBorder="1" applyAlignment="1">
      <alignment vertical="center"/>
    </xf>
    <xf numFmtId="8" fontId="3" fillId="0" borderId="1" xfId="1" applyNumberFormat="1" applyFont="1" applyBorder="1" applyAlignment="1">
      <alignment vertical="center"/>
    </xf>
    <xf numFmtId="0" fontId="2" fillId="5" borderId="2" xfId="0" applyFont="1" applyFill="1" applyBorder="1" applyAlignment="1">
      <alignment horizontal="center" vertical="center" wrapText="1"/>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2" xfId="0" applyFont="1" applyFill="1" applyBorder="1" applyAlignment="1">
      <alignment vertical="center"/>
    </xf>
    <xf numFmtId="8" fontId="3" fillId="0" borderId="6" xfId="0" applyNumberFormat="1" applyFont="1" applyBorder="1" applyAlignment="1">
      <alignment vertical="center"/>
    </xf>
    <xf numFmtId="8" fontId="3" fillId="0" borderId="7" xfId="0" applyNumberFormat="1" applyFont="1" applyBorder="1" applyAlignment="1">
      <alignment vertical="center"/>
    </xf>
    <xf numFmtId="0" fontId="3" fillId="0" borderId="7" xfId="0" applyFont="1" applyBorder="1" applyAlignment="1">
      <alignment vertical="center"/>
    </xf>
    <xf numFmtId="0" fontId="3" fillId="0" borderId="7" xfId="0" applyFont="1" applyBorder="1"/>
    <xf numFmtId="0" fontId="3" fillId="0" borderId="7" xfId="0" applyFont="1" applyFill="1" applyBorder="1"/>
    <xf numFmtId="0" fontId="3" fillId="0" borderId="8" xfId="0" applyFont="1" applyBorder="1" applyAlignment="1">
      <alignment vertical="center"/>
    </xf>
    <xf numFmtId="0" fontId="3" fillId="0" borderId="9" xfId="0" applyFont="1" applyBorder="1"/>
    <xf numFmtId="0" fontId="3" fillId="0" borderId="10" xfId="0" applyFont="1" applyBorder="1"/>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5" xfId="0" applyFont="1" applyFill="1" applyBorder="1" applyAlignment="1">
      <alignment horizontal="center" vertical="center"/>
    </xf>
    <xf numFmtId="8" fontId="3" fillId="0" borderId="6" xfId="0" applyNumberFormat="1" applyFont="1" applyFill="1" applyBorder="1" applyAlignment="1">
      <alignment vertical="center"/>
    </xf>
    <xf numFmtId="168" fontId="3" fillId="0" borderId="0" xfId="1" applyNumberFormat="1" applyFont="1"/>
    <xf numFmtId="6" fontId="3" fillId="2" borderId="0" xfId="0" applyNumberFormat="1" applyFont="1" applyFill="1"/>
  </cellXfs>
  <cellStyles count="2">
    <cellStyle name="Comma" xfId="1" builtinId="3"/>
    <cellStyle name="Normal" xfId="0" builtinId="0"/>
  </cellStyles>
  <dxfs count="7">
    <dxf>
      <fill>
        <patternFill>
          <bgColor rgb="FF92D050"/>
        </patternFill>
      </fill>
    </dxf>
    <dxf>
      <fill>
        <patternFill>
          <bgColor rgb="FF92D050"/>
        </patternFill>
      </fill>
    </dxf>
    <dxf>
      <fill>
        <patternFill>
          <bgColor rgb="FF92D050"/>
        </patternFill>
      </fill>
    </dxf>
    <dxf>
      <font>
        <name val="Verdana"/>
        <scheme val="none"/>
      </font>
    </dxf>
    <dxf>
      <font>
        <sz val="10"/>
      </font>
    </dxf>
    <dxf>
      <font>
        <sz val="10"/>
      </font>
    </dxf>
    <dxf>
      <font>
        <name val="Verdana"/>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3919.7192125" createdVersion="4" refreshedVersion="4" minRefreshableVersion="3" recordCount="915">
  <cacheSource type="worksheet">
    <worksheetSource ref="A3:R1048576" sheet="Data Working"/>
  </cacheSource>
  <cacheFields count="18">
    <cacheField name="Lease ID" numFmtId="0">
      <sharedItems containsString="0" containsBlank="1" containsNumber="1" containsInteger="1" minValue="1001" maxValue="1008" count="9">
        <n v="1001"/>
        <m/>
        <n v="1002"/>
        <n v="1003"/>
        <n v="1004"/>
        <n v="1005"/>
        <n v="1006"/>
        <n v="1007"/>
        <n v="1008"/>
      </sharedItems>
    </cacheField>
    <cacheField name="Days" numFmtId="0">
      <sharedItems containsString="0" containsBlank="1" containsNumber="1" containsInteger="1" minValue="15" maxValue="92"/>
    </cacheField>
    <cacheField name="Rent for Month" numFmtId="0">
      <sharedItems containsString="0" containsBlank="1" containsNumber="1" minValue="20000" maxValue="1013416.0651100929"/>
    </cacheField>
    <cacheField name="Total Rent" numFmtId="0">
      <sharedItems containsString="0" containsBlank="1" containsNumber="1" minValue="0" maxValue="3056861.5734468373"/>
    </cacheField>
    <cacheField name="Lease payment frequency " numFmtId="0">
      <sharedItems containsBlank="1"/>
    </cacheField>
    <cacheField name="End Date" numFmtId="0">
      <sharedItems containsNonDate="0" containsDate="1" containsString="0" containsBlank="1" minDate="2021-04-19T00:00:00" maxDate="2028-04-01T00:00:00"/>
    </cacheField>
    <cacheField name="Financial Year" numFmtId="0">
      <sharedItems containsBlank="1"/>
    </cacheField>
    <cacheField name="Quarter" numFmtId="0">
      <sharedItems containsString="0" containsBlank="1" containsNumber="1" containsInteger="1" minValue="1" maxValue="4"/>
    </cacheField>
    <cacheField name="Qtr Ending Dates" numFmtId="0">
      <sharedItems containsNonDate="0" containsDate="1" containsString="0" containsBlank="1" minDate="2017-07-27T00:00:00" maxDate="2028-04-01T00:00:00" count="152">
        <d v="2019-04-01T00:00:00"/>
        <d v="2019-06-30T00:00:00"/>
        <d v="2019-09-30T00:00:00"/>
        <d v="2019-12-31T00:00:00"/>
        <d v="2020-03-31T00:00:00"/>
        <d v="2020-06-30T00:00:00"/>
        <d v="2020-09-30T00:00:00"/>
        <d v="2020-12-31T00:00:00"/>
        <d v="2021-03-31T00:00:00"/>
        <d v="2021-06-30T00:00:00"/>
        <d v="2021-09-30T00:00:00"/>
        <d v="2021-12-31T00:00:00"/>
        <d v="2022-03-31T00:00:00"/>
        <d v="2022-06-30T00:00:00"/>
        <d v="2022-09-30T00:00:00"/>
        <d v="2022-12-31T00:00:00"/>
        <d v="2023-03-31T00:00:00"/>
        <d v="2023-06-30T00:00:00"/>
        <d v="2023-09-30T00:00:00"/>
        <d v="2023-12-31T00:00:00"/>
        <d v="2024-03-31T00:00:00"/>
        <d v="2024-06-30T00:00:00"/>
        <d v="2024-09-30T00:00:00"/>
        <d v="2024-12-31T00:00:00"/>
        <d v="2025-03-31T00:00:00"/>
        <d v="2025-06-30T00:00:00"/>
        <d v="2025-09-30T00:00:00"/>
        <d v="2025-12-31T00:00:00"/>
        <d v="2026-03-31T00:00:00"/>
        <d v="2026-06-30T00:00:00"/>
        <d v="2026-09-30T00:00:00"/>
        <d v="2026-12-31T00:00:00"/>
        <d v="2027-03-31T00:00:00"/>
        <d v="2027-06-30T00:00:00"/>
        <d v="2027-09-30T00:00:00"/>
        <d v="2027-12-31T00:00:00"/>
        <d v="2028-03-31T00:00:00"/>
        <m/>
        <d v="2017-07-27T00:00:00"/>
        <d v="2017-09-30T00:00:00"/>
        <d v="2017-12-31T00:00:00"/>
        <d v="2018-03-31T00:00:00"/>
        <d v="2018-06-30T00:00:00"/>
        <d v="2018-07-27T00:00:00"/>
        <d v="2018-09-30T00:00:00"/>
        <d v="2018-12-31T00:00:00"/>
        <d v="2019-03-31T00:00:00"/>
        <d v="2019-07-27T00:00:00"/>
        <d v="2020-07-27T00:00:00"/>
        <d v="2021-07-27T00:00:00"/>
        <d v="2022-07-27T00:00:00"/>
        <d v="2018-11-06T00:00:00"/>
        <d v="2019-11-06T00:00:00"/>
        <d v="2020-11-06T00:00:00"/>
        <d v="2021-11-06T00:00:00"/>
        <d v="2017-11-01T00:00:00"/>
        <d v="2017-11-30T00:00:00"/>
        <d v="2018-01-31T00:00:00"/>
        <d v="2018-02-28T00:00:00"/>
        <d v="2018-04-30T00:00:00"/>
        <d v="2018-05-31T00:00:00"/>
        <d v="2018-07-31T00:00:00"/>
        <d v="2018-08-31T00:00:00"/>
        <d v="2018-10-31T00:00:00"/>
        <d v="2018-11-30T00:00:00"/>
        <d v="2019-01-31T00:00:00"/>
        <d v="2019-02-28T00:00:00"/>
        <d v="2019-04-30T00:00:00"/>
        <d v="2019-05-31T00:00:00"/>
        <d v="2019-07-31T00:00:00"/>
        <d v="2019-08-31T00:00:00"/>
        <d v="2019-10-31T00:00:00"/>
        <d v="2019-11-30T00:00:00"/>
        <d v="2020-01-31T00:00:00"/>
        <d v="2020-02-29T00:00:00"/>
        <d v="2020-04-30T00:00:00"/>
        <d v="2020-05-31T00:00:00"/>
        <d v="2020-07-31T00:00:00"/>
        <d v="2020-08-31T00:00:00"/>
        <d v="2020-10-31T00:00:00"/>
        <d v="2020-11-30T00:00:00"/>
        <d v="2021-01-31T00:00:00"/>
        <d v="2021-02-28T00:00:00"/>
        <d v="2021-04-30T00:00:00"/>
        <d v="2021-05-31T00:00:00"/>
        <d v="2021-07-31T00:00:00"/>
        <d v="2021-08-31T00:00:00"/>
        <d v="2021-10-31T00:00:00"/>
        <d v="2021-11-30T00:00:00"/>
        <d v="2022-01-31T00:00:00"/>
        <d v="2022-02-28T00:00:00"/>
        <d v="2022-04-30T00:00:00"/>
        <d v="2022-05-31T00:00:00"/>
        <d v="2022-07-31T00:00:00"/>
        <d v="2022-08-31T00:00:00"/>
        <d v="2022-10-31T00:00:00"/>
        <d v="2022-11-30T00:00:00"/>
        <d v="2023-01-31T00:00:00"/>
        <d v="2023-02-28T00:00:00"/>
        <d v="2018-12-05T00:00:00"/>
        <d v="2019-12-05T00:00:00"/>
        <d v="2020-12-05T00:00:00"/>
        <d v="2021-12-05T00:00:00"/>
        <d v="2018-05-20T00:00:00"/>
        <d v="2019-05-20T00:00:00"/>
        <d v="2020-05-20T00:00:00"/>
        <d v="2021-04-19T00:00:00"/>
        <d v="2018-06-15T00:00:00"/>
        <d v="2019-06-15T00:00:00"/>
        <d v="2020-06-15T00:00:00"/>
        <d v="2021-06-14T00:00:00"/>
        <d v="2018-06-01T00:00:00"/>
        <d v="2023-11-30T00:00:00" u="1"/>
        <d v="2023-05-31T00:00:00" u="1"/>
        <d v="2024-11-30T00:00:00" u="1"/>
        <d v="2024-05-31T00:00:00" u="1"/>
        <d v="2025-11-30T00:00:00" u="1"/>
        <d v="2025-05-31T00:00:00" u="1"/>
        <d v="2026-11-30T00:00:00" u="1"/>
        <d v="2026-05-31T00:00:00" u="1"/>
        <d v="2027-11-30T00:00:00" u="1"/>
        <d v="2025-02-28T00:00:00" u="1"/>
        <d v="2027-05-31T00:00:00" u="1"/>
        <d v="2026-02-28T00:00:00" u="1"/>
        <d v="2027-02-28T00:00:00" u="1"/>
        <d v="2024-01-31T00:00:00" u="1"/>
        <d v="2025-01-31T00:00:00" u="1"/>
        <d v="2026-01-31T00:00:00" u="1"/>
        <d v="2027-01-31T00:00:00" u="1"/>
        <d v="2024-02-29T00:00:00" u="1"/>
        <d v="2028-01-31T00:00:00" u="1"/>
        <d v="2023-10-31T00:00:00" u="1"/>
        <d v="2024-10-31T00:00:00" u="1"/>
        <d v="2028-02-29T00:00:00" u="1"/>
        <d v="2025-10-31T00:00:00" u="1"/>
        <d v="2026-10-31T00:00:00" u="1"/>
        <d v="2027-10-31T00:00:00" u="1"/>
        <d v="2023-04-30T00:00:00" u="1"/>
        <d v="2024-04-30T00:00:00" u="1"/>
        <d v="2023-08-31T00:00:00" u="1"/>
        <d v="2025-04-30T00:00:00" u="1"/>
        <d v="2024-08-31T00:00:00" u="1"/>
        <d v="2026-04-30T00:00:00" u="1"/>
        <d v="2025-08-31T00:00:00" u="1"/>
        <d v="2027-04-30T00:00:00" u="1"/>
        <d v="2026-08-31T00:00:00" u="1"/>
        <d v="2027-08-31T00:00:00" u="1"/>
        <d v="2023-07-31T00:00:00" u="1"/>
        <d v="2024-07-31T00:00:00" u="1"/>
        <d v="2025-07-31T00:00:00" u="1"/>
        <d v="2026-07-31T00:00:00" u="1"/>
        <d v="2027-07-31T00:00:00" u="1"/>
      </sharedItems>
    </cacheField>
    <cacheField name="Lease Liability" numFmtId="0">
      <sharedItems containsString="0" containsBlank="1" containsNumber="1" minValue="-0.35843254858627915" maxValue="65519205.285927117"/>
    </cacheField>
    <cacheField name="Interest" numFmtId="0">
      <sharedItems containsString="0" containsBlank="1" containsNumber="1" minValue="-8.1310178145051811E-3" maxValue="1466126.4789391886"/>
    </cacheField>
    <cacheField name="Rent payment" numFmtId="0">
      <sharedItems containsString="0" containsBlank="1" containsNumber="1" minValue="0" maxValue="3056861.5734468373"/>
    </cacheField>
    <cacheField name="Principal" numFmtId="0">
      <sharedItems containsString="0" containsBlank="1" containsNumber="1" minValue="-156909.04219762399" maxValue="3592477.5363803324"/>
    </cacheField>
    <cacheField name="Closing Lease Liability_x000a_(Lease liab. - Principal)" numFmtId="0">
      <sharedItems containsString="0" containsBlank="1" containsNumber="1" minValue="-0.42964206170290709" maxValue="65519205.285927117"/>
    </cacheField>
    <cacheField name="Prepaid" numFmtId="0">
      <sharedItems containsBlank="1" containsMixedTypes="1" containsNumber="1" minValue="-6.8618010329664685" maxValue="2474475.2243600003"/>
    </cacheField>
    <cacheField name="Right To Use" numFmtId="0">
      <sharedItems containsString="0" containsBlank="1" containsNumber="1" minValue="19680.375218546927" maxValue="65519205.285927117"/>
    </cacheField>
    <cacheField name="Depreciation_x000a_(SLM)" numFmtId="0">
      <sharedItems containsString="0" containsBlank="1" containsNumber="1" minValue="0" maxValue="1833820.1662017934"/>
    </cacheField>
    <cacheField name="Right To Use Closing" numFmtId="0">
      <sharedItems containsString="0" containsBlank="1" containsNumber="1" minValue="-1.4551915228366852E-10" maxValue="65519205.28592711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15">
  <r>
    <x v="0"/>
    <m/>
    <n v="800000"/>
    <n v="0"/>
    <s v="Monthly"/>
    <d v="2028-03-31T00:00:00"/>
    <s v="2019-2020"/>
    <n v="1"/>
    <x v="0"/>
    <n v="65519205.285927117"/>
    <n v="0"/>
    <n v="0"/>
    <n v="0"/>
    <n v="65519205.285927117"/>
    <s v=""/>
    <n v="65519205.285927117"/>
    <n v="0"/>
    <n v="65519205.285927117"/>
  </r>
  <r>
    <x v="0"/>
    <n v="91"/>
    <n v="800000"/>
    <n v="2386885.2459016396"/>
    <s v="Monthly"/>
    <d v="2028-03-31T00:00:00"/>
    <s v="2019-2020"/>
    <n v="1"/>
    <x v="1"/>
    <n v="65519205.285927117"/>
    <n v="1466126.4789391886"/>
    <n v="2386885.2459016396"/>
    <n v="920758.76696245093"/>
    <n v="64598446.518964663"/>
    <s v=""/>
    <n v="65519205.285927117"/>
    <n v="1793954.5104147978"/>
    <n v="63725250.775512323"/>
  </r>
  <r>
    <x v="0"/>
    <n v="92"/>
    <n v="800000"/>
    <n v="2413114.7540983609"/>
    <s v="Monthly"/>
    <d v="2028-03-31T00:00:00"/>
    <s v="2019-2020"/>
    <n v="2"/>
    <x v="2"/>
    <n v="64598446.518964663"/>
    <n v="1461407.4786257581"/>
    <n v="2413114.7540983609"/>
    <n v="951707.27547260281"/>
    <n v="63646739.243492059"/>
    <s v=""/>
    <n v="63725250.775512323"/>
    <n v="1833820.1662017934"/>
    <n v="61891430.60931053"/>
  </r>
  <r>
    <x v="0"/>
    <n v="92"/>
    <n v="800000"/>
    <n v="2413114.7540983609"/>
    <s v="Monthly"/>
    <d v="2028-03-31T00:00:00"/>
    <s v="2019-2020"/>
    <n v="3"/>
    <x v="3"/>
    <n v="63646739.243492059"/>
    <n v="1439877.0517380172"/>
    <n v="2413114.7540983609"/>
    <n v="973237.70236034365"/>
    <n v="62673501.541131712"/>
    <s v=""/>
    <n v="61891430.60931053"/>
    <n v="1833820.1662017934"/>
    <n v="60057610.443108737"/>
  </r>
  <r>
    <x v="0"/>
    <n v="91"/>
    <n v="800000"/>
    <n v="2386885.2459016396"/>
    <s v="Monthly"/>
    <d v="2028-03-31T00:00:00"/>
    <s v="2019-2020"/>
    <n v="4"/>
    <x v="4"/>
    <n v="62673501.541131712"/>
    <n v="1402448.0262892589"/>
    <n v="2386885.2459016396"/>
    <n v="984437.21961238072"/>
    <n v="61689064.32151933"/>
    <s v=""/>
    <n v="60057610.443108737"/>
    <n v="1813887.3383082955"/>
    <n v="58243723.10480044"/>
  </r>
  <r>
    <x v="0"/>
    <n v="91"/>
    <n v="824000"/>
    <n v="2465227.3972602743"/>
    <s v="Monthly"/>
    <d v="2028-03-31T00:00:00"/>
    <s v="2020-2021"/>
    <n v="1"/>
    <x v="5"/>
    <n v="61689064.32151933"/>
    <n v="1380419.2262110473"/>
    <n v="2465227.3972602743"/>
    <n v="1084808.171049227"/>
    <n v="60604256.1504701"/>
    <s v=""/>
    <n v="58243723.10480044"/>
    <n v="1813887.3383082955"/>
    <n v="56429835.766492143"/>
  </r>
  <r>
    <x v="0"/>
    <n v="92"/>
    <n v="824000"/>
    <n v="2492317.8082191781"/>
    <s v="Monthly"/>
    <d v="2028-03-31T00:00:00"/>
    <s v="2020-2021"/>
    <n v="2"/>
    <x v="6"/>
    <n v="60604256.1504701"/>
    <n v="1371047.1063548971"/>
    <n v="2492317.8082191781"/>
    <n v="1121270.701864281"/>
    <n v="59482985.448605821"/>
    <s v=""/>
    <n v="56429835.766492143"/>
    <n v="1833820.1662017934"/>
    <n v="54596015.600290351"/>
  </r>
  <r>
    <x v="0"/>
    <n v="92"/>
    <n v="824000"/>
    <n v="2492317.8082191781"/>
    <s v="Monthly"/>
    <d v="2028-03-31T00:00:00"/>
    <s v="2020-2021"/>
    <n v="3"/>
    <x v="7"/>
    <n v="59482985.448605821"/>
    <n v="1345680.6544110824"/>
    <n v="2492317.8082191781"/>
    <n v="1146637.1538080957"/>
    <n v="58336348.294797726"/>
    <s v=""/>
    <n v="54596015.600290351"/>
    <n v="1833820.1662017934"/>
    <n v="52762195.434088558"/>
  </r>
  <r>
    <x v="0"/>
    <n v="90"/>
    <n v="824000"/>
    <n v="2438136.98630137"/>
    <s v="Monthly"/>
    <d v="2028-03-31T00:00:00"/>
    <s v="2020-2021"/>
    <n v="4"/>
    <x v="8"/>
    <n v="58336348.294797726"/>
    <n v="1291050.331114376"/>
    <n v="2438136.98630137"/>
    <n v="1147086.655186994"/>
    <n v="57189261.63961073"/>
    <s v=""/>
    <n v="52762195.434088558"/>
    <n v="1793954.5104147978"/>
    <n v="50968240.923673764"/>
  </r>
  <r>
    <x v="0"/>
    <n v="91"/>
    <n v="848720"/>
    <n v="2539184.219178082"/>
    <s v="Monthly"/>
    <d v="2028-03-31T00:00:00"/>
    <s v="2021-2022"/>
    <n v="1"/>
    <x v="9"/>
    <n v="57189261.63961073"/>
    <n v="1279726.9202962073"/>
    <n v="2539184.219178082"/>
    <n v="1259457.2988818747"/>
    <n v="55929804.340728857"/>
    <s v=""/>
    <n v="50968240.923673764"/>
    <n v="1813887.3383082955"/>
    <n v="49154353.585365467"/>
  </r>
  <r>
    <x v="0"/>
    <n v="92"/>
    <n v="848720"/>
    <n v="2567087.3424657532"/>
    <s v="Monthly"/>
    <d v="2028-03-31T00:00:00"/>
    <s v="2021-2022"/>
    <n v="2"/>
    <x v="10"/>
    <n v="55929804.340728857"/>
    <n v="1265297.2129541938"/>
    <n v="2567087.3424657532"/>
    <n v="1301790.1295115594"/>
    <n v="54628014.211217299"/>
    <s v=""/>
    <n v="49154353.585365467"/>
    <n v="1833820.1662017934"/>
    <n v="47320533.419163674"/>
  </r>
  <r>
    <x v="0"/>
    <n v="92"/>
    <n v="848720"/>
    <n v="2567087.3424657532"/>
    <s v="Monthly"/>
    <d v="2028-03-31T00:00:00"/>
    <s v="2021-2022"/>
    <n v="3"/>
    <x v="11"/>
    <n v="54628014.211217299"/>
    <n v="1235846.8788767192"/>
    <n v="2567087.3424657532"/>
    <n v="1331240.463589034"/>
    <n v="53296773.747628264"/>
    <s v=""/>
    <n v="47320533.419163674"/>
    <n v="1833820.1662017934"/>
    <n v="45486713.252961881"/>
  </r>
  <r>
    <x v="0"/>
    <n v="90"/>
    <n v="848720"/>
    <n v="2511281.0958904107"/>
    <s v="Monthly"/>
    <d v="2028-03-31T00:00:00"/>
    <s v="2021-2022"/>
    <n v="4"/>
    <x v="12"/>
    <n v="53296773.747628264"/>
    <n v="1179518.763267183"/>
    <n v="2511281.0958904107"/>
    <n v="1331762.3326232277"/>
    <n v="51965011.415005036"/>
    <s v=""/>
    <n v="45486713.252961881"/>
    <n v="1793954.5104147978"/>
    <n v="43692758.74254708"/>
  </r>
  <r>
    <x v="0"/>
    <n v="91"/>
    <n v="874181.6"/>
    <n v="2615359.7457534247"/>
    <s v="Monthly"/>
    <d v="2028-03-31T00:00:00"/>
    <s v="2022-2023"/>
    <n v="1"/>
    <x v="13"/>
    <n v="51965011.415005036"/>
    <n v="1166009.4342161403"/>
    <n v="2615359.7457534247"/>
    <n v="1449350.3115372844"/>
    <n v="50515661.103467748"/>
    <s v=""/>
    <n v="43692758.74254708"/>
    <n v="1813887.3383082955"/>
    <n v="41878871.404238783"/>
  </r>
  <r>
    <x v="0"/>
    <n v="92"/>
    <n v="874181.6"/>
    <n v="2644099.9627397261"/>
    <s v="Monthly"/>
    <d v="2028-03-31T00:00:00"/>
    <s v="2022-2023"/>
    <n v="2"/>
    <x v="14"/>
    <n v="50515661.103467748"/>
    <n v="1145944.3121553781"/>
    <n v="2644099.9627397261"/>
    <n v="1498155.650584348"/>
    <n v="49017505.4528834"/>
    <s v=""/>
    <n v="41878871.404238783"/>
    <n v="1833820.1662017934"/>
    <n v="40045051.23803699"/>
  </r>
  <r>
    <x v="0"/>
    <n v="92"/>
    <n v="874181.6"/>
    <n v="2644099.9627397261"/>
    <s v="Monthly"/>
    <d v="2028-03-31T00:00:00"/>
    <s v="2022-2023"/>
    <n v="3"/>
    <x v="15"/>
    <n v="49017505.4528834"/>
    <n v="1111958.7538352727"/>
    <n v="2644099.9627397261"/>
    <n v="1532141.2089044533"/>
    <n v="47485364.243978947"/>
    <s v=""/>
    <n v="40045051.23803699"/>
    <n v="1833820.1662017934"/>
    <n v="38211231.071835198"/>
  </r>
  <r>
    <x v="0"/>
    <n v="90"/>
    <n v="874181.6"/>
    <n v="2586619.5287671234"/>
    <s v="Monthly"/>
    <d v="2028-03-31T00:00:00"/>
    <s v="2022-2023"/>
    <n v="4"/>
    <x v="16"/>
    <n v="47485364.243978947"/>
    <n v="1053784.7955513136"/>
    <n v="2586619.5287671234"/>
    <n v="1532834.7332158098"/>
    <n v="45952529.510763139"/>
    <s v=""/>
    <n v="38211231.071835198"/>
    <n v="1793954.5104147978"/>
    <n v="36417276.561420396"/>
  </r>
  <r>
    <x v="0"/>
    <n v="91"/>
    <n v="900407.04799999995"/>
    <n v="2686460.3727213112"/>
    <s v="Monthly"/>
    <d v="2028-03-31T00:00:00"/>
    <s v="2023-2024"/>
    <n v="1"/>
    <x v="17"/>
    <n v="45952529.510763139"/>
    <n v="1031099.2238168496"/>
    <n v="2686460.3727213112"/>
    <n v="1655361.1489044614"/>
    <n v="44297168.361858681"/>
    <s v=""/>
    <n v="36417276.561420396"/>
    <n v="1813887.3383082955"/>
    <n v="34603389.223112099"/>
  </r>
  <r>
    <x v="0"/>
    <n v="92"/>
    <n v="900407.04799999995"/>
    <n v="2715981.9152786885"/>
    <s v="Monthly"/>
    <d v="2028-03-31T00:00:00"/>
    <s v="2023-2024"/>
    <n v="2"/>
    <x v="18"/>
    <n v="44297168.361858681"/>
    <n v="1004878.2302361365"/>
    <n v="2715981.9152786885"/>
    <n v="1711103.6850425522"/>
    <n v="42586064.676816128"/>
    <s v=""/>
    <n v="34603389.223112099"/>
    <n v="1833820.1662017934"/>
    <n v="32769569.056910306"/>
  </r>
  <r>
    <x v="0"/>
    <n v="92"/>
    <n v="900407.04799999995"/>
    <n v="2715981.9152786885"/>
    <s v="Monthly"/>
    <d v="2028-03-31T00:00:00"/>
    <s v="2023-2024"/>
    <n v="3"/>
    <x v="19"/>
    <n v="42586064.676816128"/>
    <n v="966061.96033982886"/>
    <n v="2715981.9152786885"/>
    <n v="1749919.9549388597"/>
    <n v="40836144.721877269"/>
    <s v=""/>
    <n v="32769569.056910306"/>
    <n v="1833820.1662017934"/>
    <n v="30935748.890708514"/>
  </r>
  <r>
    <x v="0"/>
    <n v="91"/>
    <n v="900407.04799999995"/>
    <n v="2686460.3727213112"/>
    <s v="Monthly"/>
    <d v="2028-03-31T00:00:00"/>
    <s v="2023-2024"/>
    <n v="4"/>
    <x v="20"/>
    <n v="40836144.721877269"/>
    <n v="916295.95964979415"/>
    <n v="2686460.3727213112"/>
    <n v="1770164.4130715169"/>
    <n v="39065980.308805749"/>
    <s v=""/>
    <n v="30935748.890708514"/>
    <n v="1813887.3383082955"/>
    <n v="29121861.552400216"/>
  </r>
  <r>
    <x v="0"/>
    <n v="91"/>
    <n v="927419.25943999994"/>
    <n v="2774635.154269808"/>
    <s v="Monthly"/>
    <d v="2028-03-31T00:00:00"/>
    <s v="2024-2025"/>
    <n v="1"/>
    <x v="21"/>
    <n v="39065980.308805749"/>
    <n v="876576.38007977826"/>
    <n v="2774635.154269808"/>
    <n v="1898058.7741900296"/>
    <n v="37167921.534615718"/>
    <s v=""/>
    <n v="29121861.552400216"/>
    <n v="1813887.3383082955"/>
    <n v="27307974.214091919"/>
  </r>
  <r>
    <x v="0"/>
    <n v="92"/>
    <n v="927419.25943999994"/>
    <n v="2805125.6504705749"/>
    <s v="Monthly"/>
    <d v="2028-03-31T00:00:00"/>
    <s v="2024-2025"/>
    <n v="2"/>
    <x v="22"/>
    <n v="37167921.534615718"/>
    <n v="843151.75426470733"/>
    <n v="2805125.6504705749"/>
    <n v="1961973.8962058676"/>
    <n v="35205947.638409853"/>
    <s v=""/>
    <n v="27307974.214091919"/>
    <n v="1833820.1662017934"/>
    <n v="25474154.047890127"/>
  </r>
  <r>
    <x v="0"/>
    <n v="92"/>
    <n v="927419.25943999994"/>
    <n v="2805125.6504705749"/>
    <s v="Monthly"/>
    <d v="2028-03-31T00:00:00"/>
    <s v="2024-2025"/>
    <n v="3"/>
    <x v="23"/>
    <n v="35205947.638409853"/>
    <n v="798644.510811051"/>
    <n v="2805125.6504705749"/>
    <n v="2006481.139659524"/>
    <n v="33199466.498750329"/>
    <s v=""/>
    <n v="25474154.047890127"/>
    <n v="1833820.1662017934"/>
    <n v="23640333.881688334"/>
  </r>
  <r>
    <x v="0"/>
    <n v="90"/>
    <n v="927419.25943999994"/>
    <n v="2744144.6580690406"/>
    <s v="Monthly"/>
    <d v="2028-03-31T00:00:00"/>
    <s v="2024-2025"/>
    <n v="4"/>
    <x v="24"/>
    <n v="33199466.498750329"/>
    <n v="736755.28394487035"/>
    <n v="2744144.6580690406"/>
    <n v="2007389.3741241703"/>
    <n v="31192077.12462616"/>
    <s v=""/>
    <n v="23640333.881688334"/>
    <n v="1793954.5104147978"/>
    <n v="21846379.371273536"/>
  </r>
  <r>
    <x v="0"/>
    <n v="91"/>
    <n v="955241.83722320001"/>
    <n v="2857874.2088979022"/>
    <s v="Monthly"/>
    <d v="2028-03-31T00:00:00"/>
    <s v="2025-2026"/>
    <n v="1"/>
    <x v="25"/>
    <n v="31192077.12462616"/>
    <n v="699898.93602928286"/>
    <n v="2857874.2088979022"/>
    <n v="2157975.2728686193"/>
    <n v="29034101.851757541"/>
    <s v=""/>
    <n v="21846379.371273536"/>
    <n v="1813887.3383082955"/>
    <n v="20032492.032965239"/>
  </r>
  <r>
    <x v="0"/>
    <n v="92"/>
    <n v="955241.83722320001"/>
    <n v="2889279.4199846927"/>
    <s v="Monthly"/>
    <d v="2028-03-31T00:00:00"/>
    <s v="2025-2026"/>
    <n v="2"/>
    <x v="26"/>
    <n v="29034101.851757541"/>
    <n v="658636.61187000666"/>
    <n v="2889279.4199846927"/>
    <n v="2230642.808114686"/>
    <n v="26803459.043642856"/>
    <s v=""/>
    <n v="20032492.032965239"/>
    <n v="1833820.1662017934"/>
    <n v="18198671.866763446"/>
  </r>
  <r>
    <x v="0"/>
    <n v="92"/>
    <n v="955241.83722320001"/>
    <n v="2889279.4199846927"/>
    <s v="Monthly"/>
    <d v="2028-03-31T00:00:00"/>
    <s v="2025-2026"/>
    <n v="3"/>
    <x v="27"/>
    <n v="26803459.043642856"/>
    <n v="608034.63255167904"/>
    <n v="2889279.4199846927"/>
    <n v="2281244.7874330138"/>
    <n v="24522214.256209843"/>
    <s v=""/>
    <n v="18198671.866763446"/>
    <n v="1833820.1662017934"/>
    <n v="16364851.700561654"/>
  </r>
  <r>
    <x v="0"/>
    <n v="90"/>
    <n v="955241.83722320001"/>
    <n v="2826468.9978111121"/>
    <s v="Monthly"/>
    <d v="2028-03-31T00:00:00"/>
    <s v="2025-2026"/>
    <n v="4"/>
    <x v="28"/>
    <n v="24522214.256209843"/>
    <n v="544191.60404191702"/>
    <n v="2826468.9978111121"/>
    <n v="2282277.3937691953"/>
    <n v="22239936.862440646"/>
    <s v=""/>
    <n v="16364851.700561654"/>
    <n v="1793954.5104147978"/>
    <n v="14570897.190146856"/>
  </r>
  <r>
    <x v="0"/>
    <n v="91"/>
    <n v="983899.09233989601"/>
    <n v="2943610.4351648395"/>
    <s v="Monthly"/>
    <d v="2028-03-31T00:00:00"/>
    <s v="2026-2027"/>
    <n v="1"/>
    <x v="29"/>
    <n v="22239936.862440646"/>
    <n v="499027.62439284631"/>
    <n v="2943610.4351648395"/>
    <n v="2444582.8107719934"/>
    <n v="19795354.051668651"/>
    <s v=""/>
    <n v="14570897.190146856"/>
    <n v="1813887.3383082955"/>
    <n v="12757009.851838561"/>
  </r>
  <r>
    <x v="0"/>
    <n v="92"/>
    <n v="983899.09233989601"/>
    <n v="2975957.8025842332"/>
    <s v="Monthly"/>
    <d v="2028-03-31T00:00:00"/>
    <s v="2026-2027"/>
    <n v="2"/>
    <x v="30"/>
    <n v="19795354.051668651"/>
    <n v="449056.25081593543"/>
    <n v="2975957.8025842332"/>
    <n v="2526901.5517682978"/>
    <n v="17268452.499900352"/>
    <s v=""/>
    <n v="12757009.851838561"/>
    <n v="1833820.1662017934"/>
    <n v="10923189.685636768"/>
  </r>
  <r>
    <x v="0"/>
    <n v="92"/>
    <n v="983899.09233989601"/>
    <n v="2975957.8025842332"/>
    <s v="Monthly"/>
    <d v="2028-03-31T00:00:00"/>
    <s v="2026-2027"/>
    <n v="3"/>
    <x v="31"/>
    <n v="17268452.499900352"/>
    <n v="391733.66218952031"/>
    <n v="2975957.8025842332"/>
    <n v="2584224.1403947128"/>
    <n v="14684228.359505638"/>
    <s v=""/>
    <n v="10923189.685636768"/>
    <n v="1833820.1662017934"/>
    <n v="9089369.5194349755"/>
  </r>
  <r>
    <x v="0"/>
    <n v="90"/>
    <n v="983899.09233989601"/>
    <n v="2911263.0677454453"/>
    <s v="Monthly"/>
    <d v="2028-03-31T00:00:00"/>
    <s v="2026-2027"/>
    <n v="4"/>
    <x v="32"/>
    <n v="14684228.359505638"/>
    <n v="325869.17729313881"/>
    <n v="2911263.0677454453"/>
    <n v="2585393.8904523067"/>
    <n v="12098834.469053332"/>
    <s v=""/>
    <n v="9089369.5194349755"/>
    <n v="1793954.5104147978"/>
    <n v="7295415.0090201776"/>
  </r>
  <r>
    <x v="0"/>
    <n v="91"/>
    <n v="1013416.0651100929"/>
    <n v="3023634.8172137197"/>
    <s v="Monthly"/>
    <d v="2028-03-31T00:00:00"/>
    <s v="2027-2028"/>
    <n v="1"/>
    <x v="33"/>
    <n v="12098834.469053332"/>
    <n v="271477.95699053915"/>
    <n v="3023634.8172137197"/>
    <n v="2752156.8602231806"/>
    <n v="9346677.6088301502"/>
    <s v=""/>
    <n v="7295415.0090201776"/>
    <n v="1813887.3383082955"/>
    <n v="5481527.6707118824"/>
  </r>
  <r>
    <x v="0"/>
    <n v="92"/>
    <n v="1013416.0651100929"/>
    <n v="3056861.5734468373"/>
    <s v="Monthly"/>
    <d v="2028-03-31T00:00:00"/>
    <s v="2027-2028"/>
    <n v="2"/>
    <x v="34"/>
    <n v="9346677.6088301502"/>
    <n v="212028.74137291405"/>
    <n v="3056861.5734468373"/>
    <n v="2844832.8320739232"/>
    <n v="6501844.776756227"/>
    <s v=""/>
    <n v="5481527.6707118824"/>
    <n v="1833820.1662017934"/>
    <n v="3647707.5045100888"/>
  </r>
  <r>
    <x v="0"/>
    <n v="92"/>
    <n v="1013416.0651100929"/>
    <n v="3056861.5734468373"/>
    <s v="Monthly"/>
    <d v="2028-03-31T00:00:00"/>
    <s v="2027-2028"/>
    <n v="3"/>
    <x v="35"/>
    <n v="6501844.776756227"/>
    <n v="147493.90342888099"/>
    <n v="3056861.5734468373"/>
    <n v="2909367.6700179563"/>
    <n v="3592477.1067382707"/>
    <s v=""/>
    <n v="3647707.5045100888"/>
    <n v="1833820.1662017934"/>
    <n v="1813887.3383082955"/>
  </r>
  <r>
    <x v="0"/>
    <n v="91"/>
    <n v="1013416.0651100929"/>
    <n v="3023634.8172137197"/>
    <s v="Monthly"/>
    <d v="2028-03-31T00:00:00"/>
    <s v="2027-2028"/>
    <n v="4"/>
    <x v="36"/>
    <n v="3592477.1067382707"/>
    <n v="80609.280833387485"/>
    <n v="3023634.8172137197"/>
    <n v="3592477.5363803324"/>
    <n v="-0.42964206170290709"/>
    <s v=""/>
    <n v="1813887.3383082955"/>
    <n v="1813887.3383082955"/>
    <n v="0"/>
  </r>
  <r>
    <x v="1"/>
    <m/>
    <m/>
    <m/>
    <m/>
    <m/>
    <m/>
    <m/>
    <x v="37"/>
    <m/>
    <m/>
    <m/>
    <m/>
    <m/>
    <m/>
    <m/>
    <m/>
    <m/>
  </r>
  <r>
    <x v="1"/>
    <m/>
    <m/>
    <m/>
    <m/>
    <m/>
    <m/>
    <m/>
    <x v="37"/>
    <m/>
    <m/>
    <m/>
    <m/>
    <m/>
    <m/>
    <m/>
    <m/>
    <m/>
  </r>
  <r>
    <x v="2"/>
    <m/>
    <n v="140841.67000000001"/>
    <n v="0"/>
    <s v="Yearly"/>
    <d v="2022-07-27T00:00:00"/>
    <s v="2017-2018"/>
    <n v="2"/>
    <x v="38"/>
    <n v="8606984.1065377723"/>
    <n v="0"/>
    <n v="1690100"/>
    <n v="1690100"/>
    <n v="6916884.1065377723"/>
    <n v="1690100"/>
    <n v="8606984.1065377723"/>
    <n v="0"/>
    <n v="8606984.1065377723"/>
  </r>
  <r>
    <x v="2"/>
    <n v="65"/>
    <n v="140841.67000000001"/>
    <n v="300976.71945205482"/>
    <s v="Yearly"/>
    <d v="2022-07-27T00:00:00"/>
    <s v="2017-2018"/>
    <n v="2"/>
    <x v="39"/>
    <n v="6916884.1065377723"/>
    <n v="110859.64937875608"/>
    <n v="0"/>
    <n v="-110859.64937875608"/>
    <n v="7027743.7559165284"/>
    <n v="1389123.2805479453"/>
    <n v="8606984.1065377723"/>
    <n v="306382.23818453192"/>
    <n v="8300601.8683532402"/>
  </r>
  <r>
    <x v="2"/>
    <n v="92"/>
    <n v="140841.67000000001"/>
    <n v="425997.8183013699"/>
    <s v="Yearly"/>
    <d v="2022-07-27T00:00:00"/>
    <s v="2017-2018"/>
    <n v="3"/>
    <x v="40"/>
    <n v="6916884.1065377723"/>
    <n v="156909.04219762399"/>
    <n v="0"/>
    <n v="-156909.04219762399"/>
    <n v="7184652.7981141526"/>
    <n v="963125.46224657539"/>
    <n v="8300601.8683532402"/>
    <n v="433648.70635349129"/>
    <n v="7866953.161999749"/>
  </r>
  <r>
    <x v="2"/>
    <n v="90"/>
    <n v="140841.67000000001"/>
    <n v="416736.9961643836"/>
    <s v="Yearly"/>
    <d v="2022-07-27T00:00:00"/>
    <s v="2017-2018"/>
    <n v="4"/>
    <x v="41"/>
    <n v="6916884.1065377723"/>
    <n v="153497.97606289302"/>
    <n v="0"/>
    <n v="-153497.97606289302"/>
    <n v="7338150.7741770456"/>
    <n v="546388.46608219179"/>
    <n v="7866953.161999749"/>
    <n v="424221.560563198"/>
    <n v="7442731.6014365507"/>
  </r>
  <r>
    <x v="2"/>
    <n v="91"/>
    <n v="140841.67000000001"/>
    <n v="421367.40723287675"/>
    <s v="Yearly"/>
    <d v="2022-07-27T00:00:00"/>
    <s v="2018-2019"/>
    <n v="1"/>
    <x v="42"/>
    <n v="6916884.1065377723"/>
    <n v="155203.50913025849"/>
    <n v="0"/>
    <n v="-155203.50913025849"/>
    <n v="7493354.2833073037"/>
    <n v="125021.05884931504"/>
    <n v="7442731.6014365507"/>
    <n v="428935.13345834462"/>
    <n v="7013796.4679782065"/>
  </r>
  <r>
    <x v="2"/>
    <n v="27"/>
    <n v="140841.67000000001"/>
    <n v="125021.09884931508"/>
    <s v="Yearly"/>
    <d v="2022-07-27T00:00:00"/>
    <s v="2018-2019"/>
    <n v="2"/>
    <x v="43"/>
    <n v="6916884.1065377723"/>
    <n v="46049.392818867906"/>
    <n v="1859110.0000000002"/>
    <n v="1236590.4304116007"/>
    <n v="5680293.6761261718"/>
    <n v="1859109.9600000002"/>
    <n v="7013796.4679782065"/>
    <n v="127266.4681689594"/>
    <n v="6886529.9998092474"/>
  </r>
  <r>
    <x v="2"/>
    <n v="65"/>
    <n v="154925.83700000003"/>
    <n v="331074.3913972603"/>
    <s v="Yearly"/>
    <d v="2022-07-27T00:00:00"/>
    <s v="2018-2019"/>
    <n v="2"/>
    <x v="44"/>
    <n v="5680293.6761261718"/>
    <n v="91040.323302296165"/>
    <n v="0"/>
    <n v="-91040.323302296165"/>
    <n v="5771333.9994284678"/>
    <n v="1528035.5686027398"/>
    <n v="6886529.9998092474"/>
    <n v="306382.23818453192"/>
    <n v="6580147.7616247153"/>
  </r>
  <r>
    <x v="2"/>
    <n v="92"/>
    <n v="154925.83700000003"/>
    <n v="468597.60013150686"/>
    <s v="Yearly"/>
    <d v="2022-07-27T00:00:00"/>
    <s v="2018-2019"/>
    <n v="3"/>
    <x v="45"/>
    <n v="5680293.6761261718"/>
    <n v="128857.07298171151"/>
    <n v="0"/>
    <n v="-128857.07298171151"/>
    <n v="5900191.0724101793"/>
    <n v="1059437.968471233"/>
    <n v="6580147.7616247153"/>
    <n v="433648.70635349129"/>
    <n v="6146499.0552712241"/>
  </r>
  <r>
    <x v="2"/>
    <n v="90"/>
    <n v="154925.83700000003"/>
    <n v="458410.69578082196"/>
    <s v="Yearly"/>
    <d v="2022-07-27T00:00:00"/>
    <s v="2018-2019"/>
    <n v="4"/>
    <x v="46"/>
    <n v="5680293.6761261718"/>
    <n v="125711.41742246445"/>
    <n v="0"/>
    <n v="-125711.41742246445"/>
    <n v="6025902.4898326434"/>
    <n v="601027.27269041108"/>
    <n v="6146499.0552712241"/>
    <n v="424221.560563198"/>
    <n v="5722277.4947080258"/>
  </r>
  <r>
    <x v="2"/>
    <n v="91"/>
    <n v="154925.83700000003"/>
    <n v="463504.14795616444"/>
    <s v="Yearly"/>
    <d v="2022-07-27T00:00:00"/>
    <s v="2019-2020"/>
    <n v="1"/>
    <x v="1"/>
    <n v="5680293.6761261718"/>
    <n v="127108.21094938072"/>
    <n v="0"/>
    <n v="-127108.21094938072"/>
    <n v="6153010.7007820243"/>
    <n v="137523.12473424664"/>
    <n v="5722277.4947080258"/>
    <n v="428935.13345834462"/>
    <n v="5293342.3612496816"/>
  </r>
  <r>
    <x v="2"/>
    <n v="27"/>
    <n v="154925.83700000003"/>
    <n v="137523.20873424658"/>
    <s v="Yearly"/>
    <d v="2022-07-27T00:00:00"/>
    <s v="2019-2020"/>
    <n v="2"/>
    <x v="47"/>
    <n v="5680293.6761261718"/>
    <n v="37713.425226739339"/>
    <n v="2045021.0000000005"/>
    <n v="1534590.5501174084"/>
    <n v="4145703.1260087634"/>
    <n v="2045020.9160000004"/>
    <n v="5293342.3612496816"/>
    <n v="127266.4681689594"/>
    <n v="5166075.8930807225"/>
  </r>
  <r>
    <x v="2"/>
    <n v="65"/>
    <n v="170418.42070000005"/>
    <n v="363186.79821311485"/>
    <s v="Yearly"/>
    <d v="2022-07-27T00:00:00"/>
    <s v="2019-2020"/>
    <n v="2"/>
    <x v="2"/>
    <n v="4145703.1260087634"/>
    <n v="66263.287669812198"/>
    <n v="0"/>
    <n v="-66263.287669812198"/>
    <n v="4211966.4136785753"/>
    <n v="1681834.1177868857"/>
    <n v="5166075.8930807225"/>
    <n v="306382.23818453192"/>
    <n v="4859693.6548961904"/>
  </r>
  <r>
    <x v="2"/>
    <n v="92"/>
    <n v="170418.42070000005"/>
    <n v="514049.0067016395"/>
    <s v="Yearly"/>
    <d v="2022-07-27T00:00:00"/>
    <s v="2019-2020"/>
    <n v="3"/>
    <x v="3"/>
    <n v="4145703.1260087634"/>
    <n v="94044.991461239901"/>
    <n v="0"/>
    <n v="-94044.991461239901"/>
    <n v="4306011.4051398151"/>
    <n v="1167785.1110852463"/>
    <n v="4859693.6548961904"/>
    <n v="433648.70635349129"/>
    <n v="4426044.9485426992"/>
  </r>
  <r>
    <x v="2"/>
    <n v="91"/>
    <n v="170418.42070000005"/>
    <n v="508461.51749836083"/>
    <s v="Yearly"/>
    <d v="2022-07-27T00:00:00"/>
    <s v="2019-2020"/>
    <n v="4"/>
    <x v="4"/>
    <n v="4145703.1260087634"/>
    <n v="93022.763293182943"/>
    <n v="0"/>
    <n v="-93022.763293182943"/>
    <n v="4399034.1684329975"/>
    <n v="659323.59358688549"/>
    <n v="4426044.9485426992"/>
    <n v="428935.13345834462"/>
    <n v="3997109.8150843545"/>
  </r>
  <r>
    <x v="2"/>
    <n v="91"/>
    <n v="170418.42070000005"/>
    <n v="508461.51749836083"/>
    <s v="Yearly"/>
    <d v="2022-07-27T00:00:00"/>
    <s v="2020-2021"/>
    <n v="1"/>
    <x v="5"/>
    <n v="4145703.1260087634"/>
    <n v="93022.763293182943"/>
    <n v="0"/>
    <n v="-93022.763293182943"/>
    <n v="4492056.93172618"/>
    <n v="150862.07608852466"/>
    <n v="3997109.8150843545"/>
    <n v="428935.13345834462"/>
    <n v="3568174.6816260098"/>
  </r>
  <r>
    <x v="2"/>
    <n v="27"/>
    <n v="170418.42070000005"/>
    <n v="150862.20848852463"/>
    <s v="Yearly"/>
    <d v="2022-07-27T00:00:00"/>
    <s v="2020-2021"/>
    <n v="2"/>
    <x v="48"/>
    <n v="4145703.1260087634"/>
    <n v="27600.160537537795"/>
    <n v="2249523.1000000006"/>
    <n v="1875569.1337450449"/>
    <n v="2270133.9922637176"/>
    <n v="2249522.9676000006"/>
    <n v="3568174.6816260098"/>
    <n v="127266.4681689594"/>
    <n v="3440908.2134570503"/>
  </r>
  <r>
    <x v="2"/>
    <n v="65"/>
    <n v="187460.26277000009"/>
    <n v="400600.01359068509"/>
    <s v="Yearly"/>
    <d v="2022-07-27T00:00:00"/>
    <s v="2020-2021"/>
    <n v="2"/>
    <x v="6"/>
    <n v="2270133.9922637176"/>
    <n v="36384.33932806232"/>
    <n v="0"/>
    <n v="-36384.33932806232"/>
    <n v="2306518.3315917798"/>
    <n v="1848922.9540093155"/>
    <n v="3440908.2134570503"/>
    <n v="306382.23818453192"/>
    <n v="3134525.9752725186"/>
  </r>
  <r>
    <x v="2"/>
    <n v="92"/>
    <n v="187460.26277000009"/>
    <n v="567003.09615912347"/>
    <s v="Yearly"/>
    <d v="2022-07-27T00:00:00"/>
    <s v="2020-2021"/>
    <n v="3"/>
    <x v="7"/>
    <n v="2270133.9922637176"/>
    <n v="51497.834125872818"/>
    <n v="0"/>
    <n v="-51497.834125872818"/>
    <n v="2358016.1657176525"/>
    <n v="1281919.8578501921"/>
    <n v="3134525.9752725186"/>
    <n v="433648.70635349129"/>
    <n v="2700877.2689190274"/>
  </r>
  <r>
    <x v="2"/>
    <n v="90"/>
    <n v="187460.26277000009"/>
    <n v="554676.9418947947"/>
    <s v="Yearly"/>
    <d v="2022-07-27T00:00:00"/>
    <s v="2020-2021"/>
    <n v="4"/>
    <x v="8"/>
    <n v="2270133.9922637176"/>
    <n v="50378.315992701675"/>
    <n v="0"/>
    <n v="-50378.315992701675"/>
    <n v="2408394.4817103543"/>
    <n v="727242.91595539742"/>
    <n v="2700877.2689190274"/>
    <n v="424221.560563198"/>
    <n v="2276655.7083558296"/>
  </r>
  <r>
    <x v="2"/>
    <n v="91"/>
    <n v="187460.26277000009"/>
    <n v="560840.01902695908"/>
    <s v="Yearly"/>
    <d v="2022-07-27T00:00:00"/>
    <s v="2021-2022"/>
    <n v="1"/>
    <x v="9"/>
    <n v="2270133.9922637176"/>
    <n v="50938.07505928725"/>
    <n v="0"/>
    <n v="-50938.07505928725"/>
    <n v="2459332.5567696416"/>
    <n v="166402.89692843833"/>
    <n v="2276655.7083558296"/>
    <n v="428935.13345834462"/>
    <n v="1847720.5748974849"/>
  </r>
  <r>
    <x v="2"/>
    <n v="27"/>
    <n v="187460.26277000009"/>
    <n v="166403.08256843843"/>
    <s v="Yearly"/>
    <d v="2022-07-27T00:00:00"/>
    <s v="2021-2022"/>
    <n v="2"/>
    <x v="49"/>
    <n v="2270133.9922637176"/>
    <n v="15142.494797810501"/>
    <n v="2474475.4100000006"/>
    <n v="2270134.3506962662"/>
    <n v="-0.35843254858627915"/>
    <n v="2474475.2243600003"/>
    <n v="1847720.5748974849"/>
    <n v="127266.4681689594"/>
    <n v="1720454.1067285254"/>
  </r>
  <r>
    <x v="2"/>
    <n v="65"/>
    <n v="206206.28904700009"/>
    <n v="440660.01494975359"/>
    <s v="Yearly"/>
    <d v="2022-07-27T00:00:00"/>
    <s v="2021-2022"/>
    <n v="2"/>
    <x v="10"/>
    <n v="-0.35843254858627915"/>
    <n v="-8.1310178145051811E-3"/>
    <n v="0"/>
    <n v="8.1310178145051811E-3"/>
    <n v="-0.36656356640078436"/>
    <n v="2033815.2094102467"/>
    <n v="1720454.1067285254"/>
    <n v="306382.23818453192"/>
    <n v="1414071.8685439934"/>
  </r>
  <r>
    <x v="2"/>
    <n v="92"/>
    <n v="206206.28904700009"/>
    <n v="623703.40577503585"/>
    <s v="Yearly"/>
    <d v="2022-07-27T00:00:00"/>
    <s v="2021-2022"/>
    <n v="3"/>
    <x v="11"/>
    <n v="-0.35843254858627915"/>
    <n v="-8.1310178145051811E-3"/>
    <n v="0"/>
    <n v="8.1310178145051811E-3"/>
    <n v="-0.37469458421528956"/>
    <n v="1410111.8036352107"/>
    <n v="1414071.8685439934"/>
    <n v="433648.70635349129"/>
    <n v="980423.16219050216"/>
  </r>
  <r>
    <x v="2"/>
    <n v="90"/>
    <n v="206206.28904700009"/>
    <n v="610144.63608427416"/>
    <s v="Yearly"/>
    <d v="2022-07-27T00:00:00"/>
    <s v="2021-2022"/>
    <n v="4"/>
    <x v="12"/>
    <n v="-0.35843254858627915"/>
    <n v="-7.9542565576681129E-3"/>
    <n v="0"/>
    <n v="7.9542565576681129E-3"/>
    <n v="-0.38264884077295769"/>
    <n v="799967.16755093657"/>
    <n v="980423.16219050216"/>
    <n v="424221.560563198"/>
    <n v="556201.60162730422"/>
  </r>
  <r>
    <x v="2"/>
    <n v="91"/>
    <n v="206206.28904700009"/>
    <n v="616924.02092965494"/>
    <s v="Yearly"/>
    <d v="2022-07-27T00:00:00"/>
    <s v="2022-2023"/>
    <n v="1"/>
    <x v="13"/>
    <n v="-0.35843254858627915"/>
    <n v="-8.0426371860866461E-3"/>
    <n v="0"/>
    <n v="8.0426371860866461E-3"/>
    <n v="-0.39069147795904435"/>
    <n v="183043.14662128163"/>
    <n v="556201.60162730422"/>
    <n v="428935.13345834462"/>
    <n v="127266.4681689596"/>
  </r>
  <r>
    <x v="2"/>
    <n v="27"/>
    <n v="206206.28904700009"/>
    <n v="183043.39082528226"/>
    <s v="Yearly"/>
    <d v="2022-07-27T00:00:00"/>
    <s v="2022-2023"/>
    <n v="2"/>
    <x v="50"/>
    <n v="-0.35843254858627915"/>
    <n v="-2.3862769673004339E-3"/>
    <n v="0"/>
    <m/>
    <n v="-0.39307775492634478"/>
    <n v="-0.24420400062808767"/>
    <n v="127266.4681689596"/>
    <n v="127266.4681689594"/>
    <n v="2.0372681319713593E-10"/>
  </r>
  <r>
    <x v="1"/>
    <m/>
    <m/>
    <m/>
    <m/>
    <m/>
    <m/>
    <m/>
    <x v="37"/>
    <m/>
    <m/>
    <m/>
    <m/>
    <m/>
    <m/>
    <m/>
    <m/>
    <m/>
  </r>
  <r>
    <x v="1"/>
    <m/>
    <m/>
    <m/>
    <m/>
    <m/>
    <m/>
    <m/>
    <x v="37"/>
    <m/>
    <m/>
    <m/>
    <m/>
    <m/>
    <m/>
    <m/>
    <m/>
    <m/>
  </r>
  <r>
    <x v="3"/>
    <m/>
    <n v="76389"/>
    <n v="0"/>
    <s v="Yearly"/>
    <d v="2021-11-06T00:00:00"/>
    <s v="2018-2019"/>
    <n v="3"/>
    <x v="51"/>
    <n v="2529188.9325814322"/>
    <n v="0"/>
    <n v="916668"/>
    <n v="916668"/>
    <n v="1612520.9325814322"/>
    <n v="916668"/>
    <n v="2529188.9325814322"/>
    <n v="0"/>
    <n v="2529188.9325814322"/>
  </r>
  <r>
    <x v="3"/>
    <n v="55"/>
    <n v="76389"/>
    <n v="138128.05479452055"/>
    <s v="Yearly"/>
    <d v="2021-11-06T00:00:00"/>
    <s v="2018-2019"/>
    <n v="3"/>
    <x v="45"/>
    <n v="1612520.9325814322"/>
    <n v="21868.43456514545"/>
    <n v="0"/>
    <n v="-21868.43456514545"/>
    <n v="1634389.3671465777"/>
    <n v="778539.94520547939"/>
    <n v="2529188.9325814322"/>
    <n v="126920.97745618501"/>
    <n v="2402267.9551252471"/>
  </r>
  <r>
    <x v="3"/>
    <n v="90"/>
    <n v="76389"/>
    <n v="226027.72602739724"/>
    <s v="Yearly"/>
    <d v="2021-11-06T00:00:00"/>
    <s v="2018-2019"/>
    <n v="4"/>
    <x v="46"/>
    <n v="1612520.9325814322"/>
    <n v="35784.711106601644"/>
    <n v="0"/>
    <n v="-35784.711106601644"/>
    <n v="1670174.0782531793"/>
    <n v="552512.21917808219"/>
    <n v="2402267.9551252471"/>
    <n v="207688.87220103003"/>
    <n v="2194579.082924217"/>
  </r>
  <r>
    <x v="3"/>
    <n v="91"/>
    <n v="76389"/>
    <n v="228539.14520547944"/>
    <s v="Yearly"/>
    <d v="2021-11-06T00:00:00"/>
    <s v="2019-2020"/>
    <n v="1"/>
    <x v="1"/>
    <n v="1612520.9325814322"/>
    <n v="36182.319007786107"/>
    <n v="0"/>
    <n v="-36182.319007786107"/>
    <n v="1706356.3972609653"/>
    <n v="323973.07397260272"/>
    <n v="2194579.082924217"/>
    <n v="209996.52633659702"/>
    <n v="1984582.5565876199"/>
  </r>
  <r>
    <x v="3"/>
    <n v="92"/>
    <n v="76389"/>
    <n v="231050.56438356164"/>
    <s v="Yearly"/>
    <d v="2021-11-06T00:00:00"/>
    <s v="2019-2020"/>
    <n v="2"/>
    <x v="2"/>
    <n v="1612520.9325814322"/>
    <n v="36579.92690897057"/>
    <n v="0"/>
    <n v="-36579.92690897057"/>
    <n v="1742936.3241699359"/>
    <n v="92922.509589041088"/>
    <n v="1984582.5565876199"/>
    <n v="212304.18047216401"/>
    <n v="1772278.376115456"/>
  </r>
  <r>
    <x v="3"/>
    <n v="37"/>
    <n v="76389"/>
    <n v="92922.509589041088"/>
    <s v="Yearly"/>
    <d v="2021-11-06T00:00:00"/>
    <s v="2019-2020"/>
    <n v="3"/>
    <x v="52"/>
    <n v="1612520.9325814322"/>
    <n v="14711.492343825121"/>
    <n v="916668"/>
    <n v="771541.1160676711"/>
    <n v="840979.81651376095"/>
    <n v="916668"/>
    <n v="1772278.376115456"/>
    <n v="85383.203015979001"/>
    <n v="1686895.1730994771"/>
  </r>
  <r>
    <x v="3"/>
    <n v="55"/>
    <n v="76389"/>
    <n v="138128.05479452055"/>
    <s v="Yearly"/>
    <d v="2021-11-06T00:00:00"/>
    <s v="2019-2020"/>
    <n v="3"/>
    <x v="3"/>
    <n v="840979.81651376095"/>
    <n v="11405.068744501688"/>
    <n v="0"/>
    <n v="-11405.068744501688"/>
    <n v="852384.88525826263"/>
    <n v="778539.94520547939"/>
    <n v="1686895.1730994771"/>
    <n v="126920.97745618501"/>
    <n v="1559974.195643292"/>
  </r>
  <r>
    <x v="3"/>
    <n v="91"/>
    <n v="76389"/>
    <n v="228539.14520547944"/>
    <s v="Yearly"/>
    <d v="2021-11-06T00:00:00"/>
    <s v="2019-2020"/>
    <n v="4"/>
    <x v="4"/>
    <n v="840979.81651376095"/>
    <n v="18870.204649993702"/>
    <n v="0"/>
    <n v="-18870.204649993702"/>
    <n v="871255.08990825631"/>
    <n v="550000.79999999993"/>
    <n v="1559974.195643292"/>
    <n v="209996.52633659702"/>
    <n v="1349977.669306695"/>
  </r>
  <r>
    <x v="3"/>
    <n v="91"/>
    <n v="76389"/>
    <n v="228539.14520547944"/>
    <s v="Yearly"/>
    <d v="2021-11-06T00:00:00"/>
    <s v="2020-2021"/>
    <n v="1"/>
    <x v="5"/>
    <n v="840979.81651376095"/>
    <n v="18870.204649993702"/>
    <n v="0"/>
    <n v="-18870.204649993702"/>
    <n v="890125.29455825"/>
    <n v="321461.65479452047"/>
    <n v="1349977.669306695"/>
    <n v="209996.52633659702"/>
    <n v="1139981.1429700979"/>
  </r>
  <r>
    <x v="3"/>
    <n v="92"/>
    <n v="76389"/>
    <n v="231050.56438356164"/>
    <s v="Yearly"/>
    <d v="2021-11-06T00:00:00"/>
    <s v="2020-2021"/>
    <n v="2"/>
    <x v="6"/>
    <n v="840979.81651376095"/>
    <n v="19077.569536257372"/>
    <n v="0"/>
    <n v="-19077.569536257372"/>
    <n v="909202.86409450741"/>
    <n v="90411.09041095883"/>
    <n v="1139981.1429700979"/>
    <n v="212304.18047216401"/>
    <n v="927676.962497934"/>
  </r>
  <r>
    <x v="3"/>
    <n v="37"/>
    <n v="76389"/>
    <n v="92922.509589041088"/>
    <s v="Yearly"/>
    <d v="2021-11-06T00:00:00"/>
    <s v="2020-2021"/>
    <n v="3"/>
    <x v="53"/>
    <n v="840979.81651376095"/>
    <n v="7465.5007917556813"/>
    <n v="916668"/>
    <n v="840979.45162749779"/>
    <n v="0.36488626315258443"/>
    <n v="914156.58082191774"/>
    <n v="927676.962497934"/>
    <n v="85383.203015979001"/>
    <n v="842293.75948195497"/>
  </r>
  <r>
    <x v="3"/>
    <n v="55"/>
    <n v="76389"/>
    <n v="137750.65573770492"/>
    <s v="Yearly"/>
    <d v="2021-11-06T00:00:00"/>
    <s v="2020-2021"/>
    <n v="3"/>
    <x v="7"/>
    <n v="0.36488626315258443"/>
    <n v="4.9484575413843643E-3"/>
    <n v="0"/>
    <n v="-4.9484575413843643E-3"/>
    <n v="0.36983472069396878"/>
    <n v="776405.92508421279"/>
    <n v="842293.75948195497"/>
    <n v="126920.97745618501"/>
    <n v="715372.78202576993"/>
  </r>
  <r>
    <x v="3"/>
    <n v="90"/>
    <n v="76389"/>
    <n v="225410.16393442621"/>
    <s v="Yearly"/>
    <d v="2021-11-06T00:00:00"/>
    <s v="2020-2021"/>
    <n v="4"/>
    <x v="8"/>
    <n v="0.36488626315258443"/>
    <n v="8.0974759768107779E-3"/>
    <n v="0"/>
    <n v="-8.0974759768107779E-3"/>
    <n v="0.37793219667077954"/>
    <n v="550995.76114978665"/>
    <n v="715372.78202576993"/>
    <n v="207688.87220103003"/>
    <n v="507683.90982473991"/>
  </r>
  <r>
    <x v="3"/>
    <n v="91"/>
    <n v="76389"/>
    <n v="227914.72131147538"/>
    <s v="Yearly"/>
    <d v="2021-11-06T00:00:00"/>
    <s v="2021-2022"/>
    <n v="1"/>
    <x v="9"/>
    <n v="0.36488626315258443"/>
    <n v="8.1874479321086754E-3"/>
    <n v="0"/>
    <n v="-8.1874479321086754E-3"/>
    <n v="0.38611964460288822"/>
    <n v="323081.03983831126"/>
    <n v="507683.90982473991"/>
    <n v="209996.52633659702"/>
    <n v="297687.38348814286"/>
  </r>
  <r>
    <x v="3"/>
    <n v="92"/>
    <n v="76389"/>
    <n v="230419.27868852456"/>
    <s v="Yearly"/>
    <d v="2021-11-06T00:00:00"/>
    <s v="2021-2022"/>
    <n v="2"/>
    <x v="10"/>
    <n v="0.36488626315258443"/>
    <n v="8.277419887406573E-3"/>
    <n v="0"/>
    <n v="-8.277419887406573E-3"/>
    <n v="0.39439706449029477"/>
    <n v="92661.761149786704"/>
    <n v="297687.38348814286"/>
    <n v="212304.18047216401"/>
    <n v="85383.203015978856"/>
  </r>
  <r>
    <x v="3"/>
    <n v="37"/>
    <n v="76389"/>
    <n v="92668.62295081967"/>
    <s v="Yearly"/>
    <d v="2021-11-06T00:00:00"/>
    <s v="2021-2022"/>
    <n v="3"/>
    <x v="54"/>
    <n v="0.36488626315258443"/>
    <n v="3.3289623460222087E-3"/>
    <n v="0"/>
    <n v="-3.2839763683732599E-2"/>
    <n v="0.39772602683631697"/>
    <n v="-6.8618010329664685"/>
    <n v="85383.203015978856"/>
    <n v="85383.203015979001"/>
    <n v="-1.4551915228366852E-10"/>
  </r>
  <r>
    <x v="1"/>
    <m/>
    <m/>
    <m/>
    <m/>
    <m/>
    <m/>
    <m/>
    <x v="37"/>
    <m/>
    <m/>
    <m/>
    <m/>
    <m/>
    <m/>
    <m/>
    <m/>
    <m/>
  </r>
  <r>
    <x v="1"/>
    <m/>
    <m/>
    <m/>
    <m/>
    <m/>
    <m/>
    <m/>
    <x v="37"/>
    <m/>
    <m/>
    <m/>
    <m/>
    <m/>
    <m/>
    <m/>
    <m/>
    <m/>
  </r>
  <r>
    <x v="4"/>
    <m/>
    <n v="75000"/>
    <n v="75000"/>
    <s v="Monthly"/>
    <d v="2023-03-31T00:00:00"/>
    <s v="2017-2018"/>
    <n v="3"/>
    <x v="55"/>
    <n v="4749489.7180785537"/>
    <n v="0"/>
    <n v="75000"/>
    <n v="75000"/>
    <n v="4674489.7180785537"/>
    <s v=""/>
    <n v="4749489.7180785537"/>
    <n v="0"/>
    <n v="4749489.7180785537"/>
  </r>
  <r>
    <x v="4"/>
    <n v="30"/>
    <n v="75000"/>
    <n v="75000"/>
    <s v="Monthly"/>
    <d v="2023-03-31T00:00:00"/>
    <s v="2017-2018"/>
    <n v="3"/>
    <x v="56"/>
    <n v="4674489.7180785537"/>
    <n v="33334.475858429025"/>
    <n v="75000"/>
    <n v="41665.524141570975"/>
    <n v="4632824.1939369831"/>
    <s v=""/>
    <n v="4749489.7180785537"/>
    <n v="69704.049506213589"/>
    <n v="4679785.6685723402"/>
  </r>
  <r>
    <x v="4"/>
    <n v="31"/>
    <n v="75000"/>
    <n v="75000"/>
    <s v="Monthly"/>
    <d v="2023-03-31T00:00:00"/>
    <s v="2017-2018"/>
    <n v="3"/>
    <x v="40"/>
    <n v="4632824.1939369831"/>
    <n v="35315.790986568805"/>
    <n v="75000"/>
    <n v="39684.209013431195"/>
    <n v="4593139.9849235518"/>
    <s v=""/>
    <n v="4679785.6685723402"/>
    <n v="74511.225334228322"/>
    <n v="4605274.4432381121"/>
  </r>
  <r>
    <x v="4"/>
    <n v="31"/>
    <n v="75000"/>
    <n v="75000"/>
    <s v="Monthly"/>
    <d v="2023-03-31T00:00:00"/>
    <s v="2017-2018"/>
    <n v="4"/>
    <x v="57"/>
    <n v="4593139.9849235518"/>
    <n v="35013.280212941827"/>
    <n v="75000"/>
    <n v="39986.719787058173"/>
    <n v="4553153.2651364934"/>
    <s v=""/>
    <n v="4605274.4432381121"/>
    <n v="74511.225334228322"/>
    <n v="4530763.2179038841"/>
  </r>
  <r>
    <x v="4"/>
    <n v="28"/>
    <n v="75000"/>
    <n v="75000"/>
    <s v="Monthly"/>
    <d v="2023-03-31T00:00:00"/>
    <s v="2017-2018"/>
    <n v="4"/>
    <x v="58"/>
    <n v="4553153.2651364934"/>
    <n v="31349.57985831684"/>
    <n v="75000"/>
    <n v="43650.420141683164"/>
    <n v="4509502.8449948104"/>
    <s v=""/>
    <n v="4530763.2179038841"/>
    <n v="67300.461592206222"/>
    <n v="4463462.7563116783"/>
  </r>
  <r>
    <x v="4"/>
    <n v="31"/>
    <n v="75000"/>
    <n v="75000"/>
    <s v="Monthly"/>
    <d v="2023-03-31T00:00:00"/>
    <s v="2017-2018"/>
    <n v="4"/>
    <x v="41"/>
    <n v="4509502.8449948104"/>
    <n v="34375.718408566994"/>
    <n v="75000"/>
    <n v="40624.281591433006"/>
    <n v="4468878.5634033773"/>
    <s v=""/>
    <n v="4463462.7563116783"/>
    <n v="74511.225334228322"/>
    <n v="4388951.5309774503"/>
  </r>
  <r>
    <x v="4"/>
    <n v="30"/>
    <n v="75000"/>
    <n v="75000"/>
    <s v="Monthly"/>
    <d v="2023-03-31T00:00:00"/>
    <s v="2018-2019"/>
    <n v="1"/>
    <x v="59"/>
    <n v="4468878.5634033773"/>
    <n v="32967.136943139667"/>
    <n v="75000"/>
    <n v="42032.863056860333"/>
    <n v="4426845.7003465174"/>
    <s v=""/>
    <n v="4388951.5309774503"/>
    <n v="72107.637420220955"/>
    <n v="4316843.8935572291"/>
  </r>
  <r>
    <x v="4"/>
    <n v="31"/>
    <n v="75000"/>
    <n v="75000"/>
    <s v="Monthly"/>
    <d v="2023-03-31T00:00:00"/>
    <s v="2018-2019"/>
    <n v="1"/>
    <x v="60"/>
    <n v="4426845.7003465174"/>
    <n v="33745.627060018538"/>
    <n v="75000"/>
    <n v="41254.372939981462"/>
    <n v="4385591.3274065359"/>
    <s v=""/>
    <n v="4316843.8935572291"/>
    <n v="74511.225334228322"/>
    <n v="4242332.6682230011"/>
  </r>
  <r>
    <x v="4"/>
    <n v="30"/>
    <n v="75000"/>
    <n v="75000"/>
    <s v="Monthly"/>
    <d v="2023-03-31T00:00:00"/>
    <s v="2018-2019"/>
    <n v="1"/>
    <x v="42"/>
    <n v="4385591.3274065359"/>
    <n v="32352.722907097392"/>
    <n v="75000"/>
    <n v="42647.277092902608"/>
    <n v="4342944.0503136329"/>
    <s v=""/>
    <n v="4242332.6682230011"/>
    <n v="72107.637420220955"/>
    <n v="4170225.0308027803"/>
  </r>
  <r>
    <x v="4"/>
    <n v="31"/>
    <n v="75000"/>
    <n v="75000"/>
    <s v="Monthly"/>
    <d v="2023-03-31T00:00:00"/>
    <s v="2018-2019"/>
    <n v="2"/>
    <x v="61"/>
    <n v="4342944.0503136329"/>
    <n v="33106.048908128512"/>
    <n v="75000"/>
    <n v="41893.951091871488"/>
    <n v="4301050.0992217613"/>
    <s v=""/>
    <n v="4170225.0308027803"/>
    <n v="74511.225334228322"/>
    <n v="4095713.8054685518"/>
  </r>
  <r>
    <x v="4"/>
    <n v="31"/>
    <n v="75000"/>
    <n v="75000"/>
    <s v="Monthly"/>
    <d v="2023-03-31T00:00:00"/>
    <s v="2018-2019"/>
    <n v="2"/>
    <x v="62"/>
    <n v="4301050.0992217613"/>
    <n v="32786.69337931343"/>
    <n v="75000"/>
    <n v="42213.30662068657"/>
    <n v="4258836.792601075"/>
    <s v=""/>
    <n v="4095713.8054685518"/>
    <n v="74511.225334228322"/>
    <n v="4021202.5801343233"/>
  </r>
  <r>
    <x v="4"/>
    <n v="30"/>
    <n v="75000"/>
    <n v="75000"/>
    <s v="Monthly"/>
    <d v="2023-03-31T00:00:00"/>
    <s v="2018-2019"/>
    <n v="2"/>
    <x v="44"/>
    <n v="4258836.792601075"/>
    <n v="31417.648470007931"/>
    <n v="75000"/>
    <n v="43582.351529992069"/>
    <n v="4215254.4410710828"/>
    <s v=""/>
    <n v="4021202.5801343233"/>
    <n v="72107.637420220955"/>
    <n v="3949094.9427141026"/>
  </r>
  <r>
    <x v="4"/>
    <n v="31"/>
    <n v="82500"/>
    <n v="82500"/>
    <s v="Monthly"/>
    <d v="2023-03-31T00:00:00"/>
    <s v="2018-2019"/>
    <n v="3"/>
    <x v="63"/>
    <n v="4215254.4410710828"/>
    <n v="32132.677296689399"/>
    <n v="82500"/>
    <n v="50367.322703310601"/>
    <n v="4164887.1183677721"/>
    <s v=""/>
    <n v="3949094.9427141026"/>
    <n v="74511.225334228322"/>
    <n v="3874583.7173798741"/>
  </r>
  <r>
    <x v="4"/>
    <n v="30"/>
    <n v="82500"/>
    <n v="82500"/>
    <s v="Monthly"/>
    <d v="2023-03-31T00:00:00"/>
    <s v="2018-2019"/>
    <n v="3"/>
    <x v="64"/>
    <n v="4164887.1183677721"/>
    <n v="30808.754026282146"/>
    <n v="82500"/>
    <n v="51691.245973717858"/>
    <n v="4113195.8723940542"/>
    <s v=""/>
    <n v="3874583.7173798741"/>
    <n v="72107.637420220955"/>
    <n v="3802476.0799596533"/>
  </r>
  <r>
    <x v="4"/>
    <n v="31"/>
    <n v="82500"/>
    <n v="82500"/>
    <s v="Monthly"/>
    <d v="2023-03-31T00:00:00"/>
    <s v="2018-2019"/>
    <n v="3"/>
    <x v="45"/>
    <n v="4113195.8723940542"/>
    <n v="31440.593106792905"/>
    <n v="82500"/>
    <n v="51059.406893207095"/>
    <n v="4062136.465500847"/>
    <s v=""/>
    <n v="3802476.0799596533"/>
    <n v="74511.225334228322"/>
    <n v="3727964.8546254248"/>
  </r>
  <r>
    <x v="4"/>
    <n v="31"/>
    <n v="82500"/>
    <n v="82500"/>
    <s v="Monthly"/>
    <d v="2023-03-31T00:00:00"/>
    <s v="2018-2019"/>
    <n v="4"/>
    <x v="65"/>
    <n v="4062136.465500847"/>
    <n v="31050.303393828392"/>
    <n v="82500"/>
    <n v="51449.696606171608"/>
    <n v="4010686.7688946752"/>
    <s v=""/>
    <n v="3727964.8546254248"/>
    <n v="74511.225334228322"/>
    <n v="3653453.6292911964"/>
  </r>
  <r>
    <x v="4"/>
    <n v="28"/>
    <n v="82500"/>
    <n v="82500"/>
    <s v="Monthly"/>
    <d v="2023-03-31T00:00:00"/>
    <s v="2018-2019"/>
    <n v="4"/>
    <x v="66"/>
    <n v="4010686.7688946752"/>
    <n v="27690.220979765974"/>
    <n v="82500"/>
    <n v="54809.779020234026"/>
    <n v="3955876.9898744412"/>
    <s v=""/>
    <n v="3653453.6292911964"/>
    <n v="67300.461592206222"/>
    <n v="3586153.1676989901"/>
  </r>
  <r>
    <x v="4"/>
    <n v="31"/>
    <n v="82500"/>
    <n v="82500"/>
    <s v="Monthly"/>
    <d v="2023-03-31T00:00:00"/>
    <s v="2018-2019"/>
    <n v="4"/>
    <x v="46"/>
    <n v="3955876.9898744412"/>
    <n v="30238.073429451208"/>
    <n v="82500"/>
    <n v="52261.926570548792"/>
    <n v="3903615.0633038925"/>
    <s v=""/>
    <n v="3586153.1676989901"/>
    <n v="74511.225334228322"/>
    <n v="3511641.9423647616"/>
  </r>
  <r>
    <x v="4"/>
    <n v="30"/>
    <n v="82500"/>
    <n v="82500"/>
    <s v="Monthly"/>
    <d v="2023-03-31T00:00:00"/>
    <s v="2019-2020"/>
    <n v="1"/>
    <x v="67"/>
    <n v="3903615.0633038925"/>
    <n v="28876.056632658929"/>
    <n v="82500"/>
    <n v="53623.943367341068"/>
    <n v="3849991.1199365514"/>
    <s v=""/>
    <n v="3511641.9423647616"/>
    <n v="72107.637420220955"/>
    <n v="3439534.3049445408"/>
  </r>
  <r>
    <x v="4"/>
    <n v="31"/>
    <n v="82500"/>
    <n v="82500"/>
    <s v="Monthly"/>
    <d v="2023-03-31T00:00:00"/>
    <s v="2019-2020"/>
    <n v="1"/>
    <x v="68"/>
    <n v="3849991.1199365514"/>
    <n v="29428.699245542404"/>
    <n v="82500"/>
    <n v="53071.300754457596"/>
    <n v="3796919.8191820937"/>
    <s v=""/>
    <n v="3439534.3049445408"/>
    <n v="74511.225334228322"/>
    <n v="3365023.0796103124"/>
  </r>
  <r>
    <x v="4"/>
    <n v="30"/>
    <n v="82500"/>
    <n v="82500"/>
    <s v="Monthly"/>
    <d v="2023-03-31T00:00:00"/>
    <s v="2019-2020"/>
    <n v="1"/>
    <x v="1"/>
    <n v="3796919.8191820937"/>
    <n v="28086.80414189494"/>
    <n v="82500"/>
    <n v="54413.195858105057"/>
    <n v="3742506.6233239886"/>
    <s v=""/>
    <n v="3365023.0796103124"/>
    <n v="72107.637420220955"/>
    <n v="3292915.4421900916"/>
  </r>
  <r>
    <x v="4"/>
    <n v="31"/>
    <n v="82500"/>
    <n v="82500"/>
    <s v="Monthly"/>
    <d v="2023-03-31T00:00:00"/>
    <s v="2019-2020"/>
    <n v="2"/>
    <x v="69"/>
    <n v="3742506.6233239886"/>
    <n v="28607.105422120352"/>
    <n v="82500"/>
    <n v="53892.894577879648"/>
    <n v="3688613.7287461092"/>
    <s v=""/>
    <n v="3292915.4421900916"/>
    <n v="74511.225334228322"/>
    <n v="3218404.2168558631"/>
  </r>
  <r>
    <x v="4"/>
    <n v="31"/>
    <n v="82500"/>
    <n v="82500"/>
    <s v="Monthly"/>
    <d v="2023-03-31T00:00:00"/>
    <s v="2019-2020"/>
    <n v="2"/>
    <x v="70"/>
    <n v="3688613.7287461092"/>
    <n v="28195.156995072997"/>
    <n v="82500"/>
    <n v="54304.843004927003"/>
    <n v="3634308.8857411821"/>
    <s v=""/>
    <n v="3218404.2168558631"/>
    <n v="74511.225334228322"/>
    <n v="3143892.9915216346"/>
  </r>
  <r>
    <x v="4"/>
    <n v="30"/>
    <n v="82500"/>
    <n v="82500"/>
    <s v="Monthly"/>
    <d v="2023-03-31T00:00:00"/>
    <s v="2019-2020"/>
    <n v="2"/>
    <x v="2"/>
    <n v="3634308.8857411821"/>
    <n v="26883.928743838882"/>
    <n v="82500"/>
    <n v="55616.071256161114"/>
    <n v="3578692.8144850209"/>
    <s v=""/>
    <n v="3143892.9915216346"/>
    <n v="72107.637420220955"/>
    <n v="3071785.3541014139"/>
  </r>
  <r>
    <x v="4"/>
    <n v="31"/>
    <n v="90750.000000000015"/>
    <n v="90750.000000000015"/>
    <s v="Monthly"/>
    <d v="2023-03-31T00:00:00"/>
    <s v="2019-2020"/>
    <n v="3"/>
    <x v="71"/>
    <n v="3578692.8144850209"/>
    <n v="27354.939595652624"/>
    <n v="90750.000000000015"/>
    <n v="63395.060404347387"/>
    <n v="3515297.7540806737"/>
    <s v=""/>
    <n v="3071785.3541014139"/>
    <n v="74511.225334228322"/>
    <n v="2997274.1287671854"/>
  </r>
  <r>
    <x v="4"/>
    <n v="30"/>
    <n v="90750.000000000015"/>
    <n v="90750.000000000015"/>
    <s v="Monthly"/>
    <d v="2023-03-31T00:00:00"/>
    <s v="2019-2020"/>
    <n v="3"/>
    <x v="72"/>
    <n v="3515297.7540806737"/>
    <n v="26003.572427446081"/>
    <n v="90750.000000000015"/>
    <n v="64746.427572553934"/>
    <n v="3450551.3265081197"/>
    <s v=""/>
    <n v="2997274.1287671854"/>
    <n v="72107.637420220955"/>
    <n v="2925166.4913469646"/>
  </r>
  <r>
    <x v="4"/>
    <n v="31"/>
    <n v="90750.000000000015"/>
    <n v="90750.000000000015"/>
    <s v="Monthly"/>
    <d v="2023-03-31T00:00:00"/>
    <s v="2019-2020"/>
    <n v="3"/>
    <x v="3"/>
    <n v="3450551.3265081197"/>
    <n v="26375.447125911378"/>
    <n v="90750.000000000015"/>
    <n v="64374.552874088637"/>
    <n v="3386176.7736340309"/>
    <s v=""/>
    <n v="2925166.4913469646"/>
    <n v="74511.225334228322"/>
    <n v="2850655.2660127361"/>
  </r>
  <r>
    <x v="4"/>
    <n v="31"/>
    <n v="90750.000000000015"/>
    <n v="90750.000000000015"/>
    <s v="Monthly"/>
    <d v="2023-03-31T00:00:00"/>
    <s v="2019-2020"/>
    <n v="4"/>
    <x v="73"/>
    <n v="3386176.7736340309"/>
    <n v="25883.378625860129"/>
    <n v="90750.000000000015"/>
    <n v="64866.621374139882"/>
    <n v="3321310.1522598909"/>
    <s v=""/>
    <n v="2850655.2660127361"/>
    <n v="74511.225334228322"/>
    <n v="2776144.0406785076"/>
  </r>
  <r>
    <x v="4"/>
    <n v="29"/>
    <n v="90750.000000000015"/>
    <n v="90750.000000000015"/>
    <s v="Monthly"/>
    <d v="2023-03-31T00:00:00"/>
    <s v="2019-2020"/>
    <n v="4"/>
    <x v="74"/>
    <n v="3321310.1522598909"/>
    <n v="23749.64245862552"/>
    <n v="90750.000000000015"/>
    <n v="67000.357541374498"/>
    <n v="3254309.7947185165"/>
    <s v=""/>
    <n v="2776144.0406785076"/>
    <n v="69704.049506213589"/>
    <n v="2706439.9911722941"/>
  </r>
  <r>
    <x v="4"/>
    <n v="31"/>
    <n v="90750.000000000015"/>
    <n v="90750.000000000015"/>
    <s v="Monthly"/>
    <d v="2023-03-31T00:00:00"/>
    <s v="2019-2020"/>
    <n v="4"/>
    <x v="4"/>
    <n v="3254309.7947185165"/>
    <n v="24875.409115793595"/>
    <n v="90750.000000000015"/>
    <n v="65874.590884206424"/>
    <n v="3188435.2038343102"/>
    <s v=""/>
    <n v="2706439.9911722941"/>
    <n v="74511.225334228322"/>
    <n v="2631928.7658380657"/>
  </r>
  <r>
    <x v="4"/>
    <n v="30"/>
    <n v="90750.000000000015"/>
    <n v="90750.000000000015"/>
    <s v="Monthly"/>
    <d v="2023-03-31T00:00:00"/>
    <s v="2020-2021"/>
    <n v="1"/>
    <x v="75"/>
    <n v="3188435.2038343102"/>
    <n v="23585.685069459279"/>
    <n v="90750.000000000015"/>
    <n v="67164.314930540742"/>
    <n v="3121270.8889037697"/>
    <s v=""/>
    <n v="2631928.7658380657"/>
    <n v="72107.637420220955"/>
    <n v="2559821.1284178449"/>
  </r>
  <r>
    <x v="4"/>
    <n v="31"/>
    <n v="90750.000000000015"/>
    <n v="90750.000000000015"/>
    <s v="Monthly"/>
    <d v="2023-03-31T00:00:00"/>
    <s v="2020-2021"/>
    <n v="1"/>
    <x v="76"/>
    <n v="3121270.8889037697"/>
    <n v="23858.481589154842"/>
    <n v="90750.000000000015"/>
    <n v="66891.518410845165"/>
    <n v="3054379.3704929245"/>
    <s v=""/>
    <n v="2559821.1284178449"/>
    <n v="74511.225334228322"/>
    <n v="2485309.9030836164"/>
  </r>
  <r>
    <x v="4"/>
    <n v="30"/>
    <n v="90750.000000000015"/>
    <n v="90750.000000000015"/>
    <s v="Monthly"/>
    <d v="2023-03-31T00:00:00"/>
    <s v="2020-2021"/>
    <n v="1"/>
    <x v="5"/>
    <n v="3054379.3704929245"/>
    <n v="22594.039178988754"/>
    <n v="90750.000000000015"/>
    <n v="68155.960821011264"/>
    <n v="2986223.4096719134"/>
    <s v=""/>
    <n v="2485309.9030836164"/>
    <n v="72107.637420220955"/>
    <n v="2413202.2656633956"/>
  </r>
  <r>
    <x v="4"/>
    <n v="31"/>
    <n v="90750.000000000015"/>
    <n v="90750.000000000015"/>
    <s v="Monthly"/>
    <d v="2023-03-31T00:00:00"/>
    <s v="2020-2021"/>
    <n v="2"/>
    <x v="77"/>
    <n v="2986223.4096719134"/>
    <n v="22826.20085749216"/>
    <n v="90750.000000000015"/>
    <n v="67923.799142507851"/>
    <n v="2918299.6105294055"/>
    <s v=""/>
    <n v="2413202.2656633956"/>
    <n v="74511.225334228322"/>
    <n v="2338691.0403291672"/>
  </r>
  <r>
    <x v="4"/>
    <n v="31"/>
    <n v="90750.000000000015"/>
    <n v="90750.000000000015"/>
    <s v="Monthly"/>
    <d v="2023-03-31T00:00:00"/>
    <s v="2020-2021"/>
    <n v="2"/>
    <x v="78"/>
    <n v="2918299.6105294055"/>
    <n v="22307.002502402851"/>
    <n v="90750.000000000015"/>
    <n v="68442.997497597156"/>
    <n v="2849856.6130318083"/>
    <s v=""/>
    <n v="2338691.0403291672"/>
    <n v="74511.225334228322"/>
    <n v="2264179.8149949387"/>
  </r>
  <r>
    <x v="4"/>
    <n v="30"/>
    <n v="90750.000000000015"/>
    <n v="90750.000000000015"/>
    <s v="Monthly"/>
    <d v="2023-03-31T00:00:00"/>
    <s v="2020-2021"/>
    <n v="2"/>
    <x v="6"/>
    <n v="2849856.6130318083"/>
    <n v="21081.131110098304"/>
    <n v="90750.000000000015"/>
    <n v="69668.868889901714"/>
    <n v="2780187.7441419065"/>
    <s v=""/>
    <n v="2264179.8149949387"/>
    <n v="72107.637420220955"/>
    <n v="2192072.1775747179"/>
  </r>
  <r>
    <x v="4"/>
    <n v="31"/>
    <n v="99825.000000000029"/>
    <n v="99825.000000000029"/>
    <s v="Monthly"/>
    <d v="2023-03-31T00:00:00"/>
    <s v="2020-2021"/>
    <n v="3"/>
    <x v="79"/>
    <n v="2780187.7441419065"/>
    <n v="21251.298099057312"/>
    <n v="99825.000000000029"/>
    <n v="78573.701900942717"/>
    <n v="2701614.0422409638"/>
    <s v=""/>
    <n v="2192072.1775747179"/>
    <n v="74511.225334228322"/>
    <n v="2117560.9522404894"/>
  </r>
  <r>
    <x v="4"/>
    <n v="30"/>
    <n v="99825.000000000029"/>
    <n v="99825.000000000029"/>
    <s v="Monthly"/>
    <d v="2023-03-31T00:00:00"/>
    <s v="2020-2021"/>
    <n v="3"/>
    <x v="80"/>
    <n v="2701614.0422409638"/>
    <n v="19984.542230275623"/>
    <n v="99825.000000000029"/>
    <n v="79840.457769724409"/>
    <n v="2621773.5844712392"/>
    <s v=""/>
    <n v="2117560.9522404894"/>
    <n v="72107.637420220955"/>
    <n v="2045453.3148202684"/>
  </r>
  <r>
    <x v="4"/>
    <n v="31"/>
    <n v="99825.000000000029"/>
    <n v="99825.000000000029"/>
    <s v="Monthly"/>
    <d v="2023-03-31T00:00:00"/>
    <s v="2020-2021"/>
    <n v="3"/>
    <x v="7"/>
    <n v="2621773.5844712392"/>
    <n v="20040.406303218511"/>
    <n v="99825.000000000029"/>
    <n v="79784.593696781521"/>
    <n v="2541988.9907744578"/>
    <s v=""/>
    <n v="2045453.3148202684"/>
    <n v="74511.225334228322"/>
    <n v="1970942.0894860402"/>
  </r>
  <r>
    <x v="4"/>
    <n v="31"/>
    <n v="99825.000000000029"/>
    <n v="99825.000000000029"/>
    <s v="Monthly"/>
    <d v="2023-03-31T00:00:00"/>
    <s v="2020-2021"/>
    <n v="4"/>
    <x v="81"/>
    <n v="2541988.9907744578"/>
    <n v="19430.545984275992"/>
    <n v="99825.000000000029"/>
    <n v="80394.454015724041"/>
    <n v="2461594.5367587339"/>
    <s v=""/>
    <n v="1970942.0894860402"/>
    <n v="74511.225334228322"/>
    <n v="1896430.8641518119"/>
  </r>
  <r>
    <x v="4"/>
    <n v="28"/>
    <n v="99825.000000000029"/>
    <n v="99825.000000000029"/>
    <s v="Monthly"/>
    <d v="2023-03-31T00:00:00"/>
    <s v="2020-2021"/>
    <n v="4"/>
    <x v="82"/>
    <n v="2461594.5367587339"/>
    <n v="16995.11844556715"/>
    <n v="99825.000000000029"/>
    <n v="82829.881554432883"/>
    <n v="2378764.6552043012"/>
    <s v=""/>
    <n v="1896430.8641518119"/>
    <n v="67300.461592206222"/>
    <n v="1829130.4025596057"/>
  </r>
  <r>
    <x v="4"/>
    <n v="31"/>
    <n v="99825.000000000029"/>
    <n v="99825.000000000029"/>
    <s v="Monthly"/>
    <d v="2023-03-31T00:00:00"/>
    <s v="2020-2021"/>
    <n v="4"/>
    <x v="8"/>
    <n v="2378764.6552043012"/>
    <n v="18182.885994575343"/>
    <n v="99825.000000000029"/>
    <n v="81642.114005424693"/>
    <n v="2297122.5411988767"/>
    <s v=""/>
    <n v="1829130.4025596057"/>
    <n v="74511.225334228322"/>
    <n v="1754619.1772253774"/>
  </r>
  <r>
    <x v="4"/>
    <n v="30"/>
    <n v="99825.000000000029"/>
    <n v="99825.000000000029"/>
    <s v="Monthly"/>
    <d v="2023-03-31T00:00:00"/>
    <s v="2021-2022"/>
    <n v="1"/>
    <x v="83"/>
    <n v="2297122.5411988767"/>
    <n v="16992.413318457446"/>
    <n v="99825.000000000029"/>
    <n v="82832.586681542583"/>
    <n v="2214289.9545173342"/>
    <s v=""/>
    <n v="1754619.1772253774"/>
    <n v="72107.637420220955"/>
    <n v="1682511.5398051564"/>
  </r>
  <r>
    <x v="4"/>
    <n v="31"/>
    <n v="99825.000000000029"/>
    <n v="99825.000000000029"/>
    <s v="Monthly"/>
    <d v="2023-03-31T00:00:00"/>
    <s v="2021-2022"/>
    <n v="1"/>
    <x v="84"/>
    <n v="2214289.9545173342"/>
    <n v="16925.668419461268"/>
    <n v="99825.000000000029"/>
    <n v="82899.331580538768"/>
    <n v="2131390.6229367955"/>
    <s v=""/>
    <n v="1682511.5398051564"/>
    <n v="74511.225334228322"/>
    <n v="1608000.3144709282"/>
  </r>
  <r>
    <x v="4"/>
    <n v="30"/>
    <n v="99825.000000000029"/>
    <n v="99825.000000000029"/>
    <s v="Monthly"/>
    <d v="2023-03-31T00:00:00"/>
    <s v="2021-2022"/>
    <n v="1"/>
    <x v="9"/>
    <n v="2131390.6229367955"/>
    <n v="15766.451183368077"/>
    <n v="99825.000000000029"/>
    <n v="84058.548816631956"/>
    <n v="2047332.0741201635"/>
    <s v=""/>
    <n v="1608000.3144709282"/>
    <n v="72107.637420220955"/>
    <n v="1535892.6770507072"/>
  </r>
  <r>
    <x v="4"/>
    <n v="31"/>
    <n v="99825.000000000029"/>
    <n v="99825.000000000029"/>
    <s v="Monthly"/>
    <d v="2023-03-31T00:00:00"/>
    <s v="2021-2022"/>
    <n v="2"/>
    <x v="85"/>
    <n v="2047332.0741201635"/>
    <n v="15649.469826836317"/>
    <n v="99825.000000000029"/>
    <n v="84175.530173163716"/>
    <n v="1963156.5439469998"/>
    <s v=""/>
    <n v="1535892.6770507072"/>
    <n v="74511.225334228322"/>
    <n v="1461381.4517164789"/>
  </r>
  <r>
    <x v="4"/>
    <n v="31"/>
    <n v="99825.000000000029"/>
    <n v="99825.000000000029"/>
    <s v="Monthly"/>
    <d v="2023-03-31T00:00:00"/>
    <s v="2021-2022"/>
    <n v="2"/>
    <x v="86"/>
    <n v="1963156.5439469998"/>
    <n v="15006.045911266106"/>
    <n v="99825.000000000029"/>
    <n v="84818.954088733924"/>
    <n v="1878337.5898582658"/>
    <s v=""/>
    <n v="1461381.4517164789"/>
    <n v="74511.225334228322"/>
    <n v="1386870.2263822507"/>
  </r>
  <r>
    <x v="4"/>
    <n v="30"/>
    <n v="99825.000000000029"/>
    <n v="99825.000000000029"/>
    <s v="Monthly"/>
    <d v="2023-03-31T00:00:00"/>
    <s v="2021-2022"/>
    <n v="2"/>
    <x v="10"/>
    <n v="1878337.5898582658"/>
    <n v="13894.552034567992"/>
    <n v="99825.000000000029"/>
    <n v="85930.447965432031"/>
    <n v="1792407.1418928339"/>
    <s v=""/>
    <n v="1386870.2263822507"/>
    <n v="72107.637420220955"/>
    <n v="1314762.5889620297"/>
  </r>
  <r>
    <x v="4"/>
    <n v="31"/>
    <n v="109807.50000000004"/>
    <n v="109807.50000000004"/>
    <s v="Monthly"/>
    <d v="2023-03-31T00:00:00"/>
    <s v="2021-2022"/>
    <n v="3"/>
    <x v="87"/>
    <n v="1792407.1418928339"/>
    <n v="13700.865550358922"/>
    <n v="109807.50000000004"/>
    <n v="96106.634449641118"/>
    <n v="1696300.5074431926"/>
    <s v=""/>
    <n v="1314762.5889620297"/>
    <n v="74511.225334228322"/>
    <n v="1240251.3636278014"/>
  </r>
  <r>
    <x v="4"/>
    <n v="30"/>
    <n v="109807.50000000004"/>
    <n v="109807.50000000004"/>
    <s v="Monthly"/>
    <d v="2023-03-31T00:00:00"/>
    <s v="2021-2022"/>
    <n v="3"/>
    <x v="88"/>
    <n v="1696300.5074431926"/>
    <n v="12513.692268023551"/>
    <n v="109807.50000000004"/>
    <n v="97293.8077319765"/>
    <n v="1599006.6997112161"/>
    <s v=""/>
    <n v="1240251.3636278014"/>
    <n v="72107.637420220955"/>
    <n v="1168143.7262075804"/>
  </r>
  <r>
    <x v="4"/>
    <n v="31"/>
    <n v="109807.50000000004"/>
    <n v="109807.50000000004"/>
    <s v="Monthly"/>
    <d v="2023-03-31T00:00:00"/>
    <s v="2021-2022"/>
    <n v="3"/>
    <x v="11"/>
    <n v="1599006.6997112161"/>
    <n v="12189.149432224844"/>
    <n v="109807.50000000004"/>
    <n v="97618.350567775196"/>
    <n v="1501388.3491434408"/>
    <s v=""/>
    <n v="1168143.7262075804"/>
    <n v="74511.225334228322"/>
    <n v="1093632.5008733522"/>
  </r>
  <r>
    <x v="4"/>
    <n v="31"/>
    <n v="109807.50000000004"/>
    <n v="109807.50000000004"/>
    <s v="Monthly"/>
    <d v="2023-03-31T00:00:00"/>
    <s v="2021-2022"/>
    <n v="4"/>
    <x v="89"/>
    <n v="1501388.3491434408"/>
    <n v="11445.009546749181"/>
    <n v="109807.50000000004"/>
    <n v="98362.490453250866"/>
    <n v="1403025.8586901899"/>
    <s v=""/>
    <n v="1093632.5008733522"/>
    <n v="74511.225334228322"/>
    <n v="1019121.2755391238"/>
  </r>
  <r>
    <x v="4"/>
    <n v="28"/>
    <n v="109807.50000000004"/>
    <n v="109807.50000000004"/>
    <s v="Monthly"/>
    <d v="2023-03-31T00:00:00"/>
    <s v="2021-2022"/>
    <n v="4"/>
    <x v="90"/>
    <n v="1403025.8586901899"/>
    <n v="9660.1780434406519"/>
    <n v="109807.50000000004"/>
    <n v="100147.32195655939"/>
    <n v="1302878.5367336306"/>
    <s v=""/>
    <n v="1019121.2755391238"/>
    <n v="67300.461592206222"/>
    <n v="951820.81394691754"/>
  </r>
  <r>
    <x v="4"/>
    <n v="31"/>
    <n v="109807.50000000004"/>
    <n v="109807.50000000004"/>
    <s v="Monthly"/>
    <d v="2023-03-31T00:00:00"/>
    <s v="2021-2022"/>
    <n v="4"/>
    <x v="12"/>
    <n v="1302878.5367336306"/>
    <n v="9931.7790095268556"/>
    <n v="109807.50000000004"/>
    <n v="99875.720990473186"/>
    <n v="1203002.8157431574"/>
    <s v=""/>
    <n v="951820.81394691754"/>
    <n v="74511.225334228322"/>
    <n v="877309.58861268917"/>
  </r>
  <r>
    <x v="4"/>
    <n v="30"/>
    <n v="109807.50000000004"/>
    <n v="109807.50000000004"/>
    <s v="Monthly"/>
    <d v="2023-03-31T00:00:00"/>
    <s v="2022-2023"/>
    <n v="1"/>
    <x v="91"/>
    <n v="1203002.8157431574"/>
    <n v="8874.6109358101767"/>
    <n v="109807.50000000004"/>
    <n v="100932.88906418986"/>
    <n v="1102069.9266789677"/>
    <s v=""/>
    <n v="877309.58861268917"/>
    <n v="72107.637420220955"/>
    <n v="805201.95119246817"/>
  </r>
  <r>
    <x v="4"/>
    <n v="31"/>
    <n v="109807.50000000004"/>
    <n v="109807.50000000004"/>
    <s v="Monthly"/>
    <d v="2023-03-31T00:00:00"/>
    <s v="2022-2023"/>
    <n v="1"/>
    <x v="92"/>
    <n v="1102069.9266789677"/>
    <n v="8401.0248509134417"/>
    <n v="109807.50000000004"/>
    <n v="101406.4751490866"/>
    <n v="1000663.4515298811"/>
    <s v=""/>
    <n v="805201.95119246817"/>
    <n v="74511.225334228322"/>
    <n v="730690.72585823981"/>
  </r>
  <r>
    <x v="4"/>
    <n v="30"/>
    <n v="109807.50000000004"/>
    <n v="109807.50000000004"/>
    <s v="Monthly"/>
    <d v="2023-03-31T00:00:00"/>
    <s v="2022-2023"/>
    <n v="1"/>
    <x v="13"/>
    <n v="1000663.4515298811"/>
    <n v="7381.9434948925655"/>
    <n v="109807.50000000004"/>
    <n v="102425.55650510748"/>
    <n v="898237.89502477366"/>
    <s v=""/>
    <n v="730690.72585823981"/>
    <n v="72107.637420220955"/>
    <n v="658583.08843801881"/>
  </r>
  <r>
    <x v="4"/>
    <n v="31"/>
    <n v="109807.50000000004"/>
    <n v="109807.50000000004"/>
    <s v="Monthly"/>
    <d v="2023-03-31T00:00:00"/>
    <s v="2022-2023"/>
    <n v="2"/>
    <x v="93"/>
    <n v="898237.89502477366"/>
    <n v="6847.2232981396683"/>
    <n v="109807.50000000004"/>
    <n v="102960.27670186038"/>
    <n v="795277.6183229133"/>
    <s v=""/>
    <n v="658583.08843801881"/>
    <n v="74511.225334228322"/>
    <n v="584071.86310379044"/>
  </r>
  <r>
    <x v="4"/>
    <n v="31"/>
    <n v="109807.50000000004"/>
    <n v="109807.50000000004"/>
    <s v="Monthly"/>
    <d v="2023-03-31T00:00:00"/>
    <s v="2022-2023"/>
    <n v="2"/>
    <x v="94"/>
    <n v="795277.6183229133"/>
    <n v="6062.3621724615514"/>
    <n v="109807.50000000004"/>
    <n v="103745.13782753849"/>
    <n v="691532.48049537477"/>
    <s v=""/>
    <n v="584071.86310379044"/>
    <n v="74511.225334228322"/>
    <n v="509560.63776956213"/>
  </r>
  <r>
    <x v="4"/>
    <n v="30"/>
    <n v="109807.50000000004"/>
    <n v="109807.50000000004"/>
    <s v="Monthly"/>
    <d v="2023-03-31T00:00:00"/>
    <s v="2022-2023"/>
    <n v="2"/>
    <x v="14"/>
    <n v="691532.48049537477"/>
    <n v="5101.4691184085023"/>
    <n v="109807.50000000004"/>
    <n v="104706.03088159155"/>
    <n v="586826.44961378328"/>
    <s v=""/>
    <n v="509560.63776956213"/>
    <n v="72107.637420220955"/>
    <n v="437453.00034934119"/>
  </r>
  <r>
    <x v="4"/>
    <n v="31"/>
    <n v="120788.25000000006"/>
    <n v="120788.25000000006"/>
    <s v="Monthly"/>
    <d v="2023-03-31T00:00:00"/>
    <s v="2022-2023"/>
    <n v="3"/>
    <x v="95"/>
    <n v="586826.44961378328"/>
    <n v="4473.3491650886754"/>
    <n v="120788.25000000006"/>
    <n v="116314.90083491139"/>
    <n v="470511.54877887189"/>
    <s v=""/>
    <n v="437453.00034934119"/>
    <n v="74511.225334228322"/>
    <n v="362941.77501511289"/>
  </r>
  <r>
    <x v="4"/>
    <n v="30"/>
    <n v="120788.25000000006"/>
    <n v="120788.25000000006"/>
    <s v="Monthly"/>
    <d v="2023-03-31T00:00:00"/>
    <s v="2022-2023"/>
    <n v="3"/>
    <x v="96"/>
    <n v="470511.54877887189"/>
    <n v="3480.4963882272714"/>
    <n v="120788.25000000006"/>
    <n v="117307.75361177279"/>
    <n v="353203.7951670991"/>
    <s v=""/>
    <n v="362941.77501511289"/>
    <n v="72107.637420220955"/>
    <n v="290834.13759489194"/>
  </r>
  <r>
    <x v="4"/>
    <n v="31"/>
    <n v="120788.25000000006"/>
    <n v="120788.25000000006"/>
    <s v="Monthly"/>
    <d v="2023-03-31T00:00:00"/>
    <s v="2022-2023"/>
    <n v="3"/>
    <x v="15"/>
    <n v="353203.7951670991"/>
    <n v="2699.83174935947"/>
    <n v="120788.25000000006"/>
    <n v="118088.41825064059"/>
    <n v="235115.37691645851"/>
    <s v=""/>
    <n v="290834.13759489194"/>
    <n v="74511.225334228322"/>
    <n v="216322.91226066364"/>
  </r>
  <r>
    <x v="4"/>
    <n v="31"/>
    <n v="120788.25000000006"/>
    <n v="120788.25000000006"/>
    <s v="Monthly"/>
    <d v="2023-03-31T00:00:00"/>
    <s v="2022-2023"/>
    <n v="4"/>
    <x v="97"/>
    <n v="235115.37691645851"/>
    <n v="1797.1832920463542"/>
    <n v="120788.25000000006"/>
    <n v="118991.06670795371"/>
    <n v="116124.3102085048"/>
    <s v=""/>
    <n v="216322.91226066364"/>
    <n v="74511.225334228322"/>
    <n v="141811.68692643533"/>
  </r>
  <r>
    <x v="4"/>
    <n v="28"/>
    <n v="120788.25000000006"/>
    <n v="120788.25000000006"/>
    <s v="Monthly"/>
    <d v="2023-03-31T00:00:00"/>
    <s v="2022-2023"/>
    <n v="4"/>
    <x v="98"/>
    <n v="116124.3102085048"/>
    <n v="801.73496363132085"/>
    <n v="120788.25000000006"/>
    <n v="116124.51503636874"/>
    <n v="-0.20482786394131836"/>
    <s v=""/>
    <n v="141811.68692643533"/>
    <n v="67300.461592206222"/>
    <n v="74511.225334229108"/>
  </r>
  <r>
    <x v="4"/>
    <n v="31"/>
    <m/>
    <m/>
    <s v="Monthly"/>
    <d v="2023-03-31T00:00:00"/>
    <s v="2022-2023"/>
    <n v="4"/>
    <x v="16"/>
    <n v="-0.20482786394131836"/>
    <n v="-1.565670521633639E-3"/>
    <m/>
    <n v="1.565670521633639E-3"/>
    <n v="-0.206393534462952"/>
    <s v=""/>
    <n v="74511.225334229108"/>
    <n v="74511.225334228322"/>
    <n v="7.8580342233181E-10"/>
  </r>
  <r>
    <x v="1"/>
    <m/>
    <m/>
    <m/>
    <m/>
    <m/>
    <m/>
    <m/>
    <x v="37"/>
    <m/>
    <m/>
    <m/>
    <m/>
    <m/>
    <m/>
    <m/>
    <m/>
    <m/>
  </r>
  <r>
    <x v="1"/>
    <m/>
    <m/>
    <m/>
    <m/>
    <m/>
    <m/>
    <m/>
    <x v="37"/>
    <m/>
    <m/>
    <m/>
    <m/>
    <m/>
    <m/>
    <m/>
    <m/>
    <m/>
  </r>
  <r>
    <x v="5"/>
    <m/>
    <n v="59201"/>
    <n v="0"/>
    <s v="Yearly"/>
    <d v="2021-12-05T00:00:00"/>
    <s v="2018-2019"/>
    <n v="3"/>
    <x v="99"/>
    <n v="1960105.6958168503"/>
    <n v="0"/>
    <n v="710412"/>
    <n v="710412"/>
    <n v="1249693.6958168503"/>
    <n v="710412"/>
    <n v="1960105.6958168503"/>
    <n v="0"/>
    <n v="1960105.6958168503"/>
  </r>
  <r>
    <x v="5"/>
    <n v="26"/>
    <n v="59201"/>
    <n v="50604.690410958901"/>
    <s v="Yearly"/>
    <d v="2021-12-05T00:00:00"/>
    <s v="2018-2019"/>
    <n v="3"/>
    <x v="45"/>
    <n v="1249693.6958168503"/>
    <n v="8011.7349266066567"/>
    <n v="0"/>
    <n v="-8011.7349266066567"/>
    <n v="1257705.4307434571"/>
    <n v="659807.30958904105"/>
    <n v="1960105.6958168503"/>
    <n v="46498.857747480026"/>
    <n v="1913606.8380693702"/>
  </r>
  <r>
    <x v="5"/>
    <n v="90"/>
    <n v="59201"/>
    <n v="175170.08219178082"/>
    <s v="Yearly"/>
    <d v="2021-12-05T00:00:00"/>
    <s v="2018-2019"/>
    <n v="4"/>
    <x v="46"/>
    <n v="1249693.6958168503"/>
    <n v="27732.928592099965"/>
    <n v="0"/>
    <n v="-27732.928592099965"/>
    <n v="1285438.3593355571"/>
    <n v="484637.22739726026"/>
    <n v="1913606.8380693702"/>
    <n v="160957.58451050776"/>
    <n v="1752649.2535588625"/>
  </r>
  <r>
    <x v="5"/>
    <n v="91"/>
    <n v="59201"/>
    <n v="177116.41643835616"/>
    <s v="Yearly"/>
    <d v="2021-12-05T00:00:00"/>
    <s v="2019-2020"/>
    <n v="1"/>
    <x v="1"/>
    <n v="1249693.6958168503"/>
    <n v="28041.072243123297"/>
    <n v="0"/>
    <n v="-28041.072243123297"/>
    <n v="1313479.4315786804"/>
    <n v="307520.8109589041"/>
    <n v="1752649.2535588625"/>
    <n v="162746.00211618008"/>
    <n v="1589903.2514426825"/>
  </r>
  <r>
    <x v="5"/>
    <n v="92"/>
    <n v="59201"/>
    <n v="179062.7506849315"/>
    <s v="Yearly"/>
    <d v="2021-12-05T00:00:00"/>
    <s v="2019-2020"/>
    <n v="2"/>
    <x v="2"/>
    <n v="1249693.6958168503"/>
    <n v="28349.215894146633"/>
    <n v="0"/>
    <n v="-28349.215894146633"/>
    <n v="1341828.647472827"/>
    <n v="128458.0602739726"/>
    <n v="1589903.2514426825"/>
    <n v="164534.41972185238"/>
    <n v="1425368.8317208302"/>
  </r>
  <r>
    <x v="5"/>
    <n v="66"/>
    <n v="59201"/>
    <n v="128458.0602739726"/>
    <s v="Yearly"/>
    <d v="2021-12-05T00:00:00"/>
    <s v="2019-2020"/>
    <n v="3"/>
    <x v="100"/>
    <n v="1249693.6958168503"/>
    <n v="20337.480967539974"/>
    <n v="710412"/>
    <n v="597939.56737648346"/>
    <n v="651754.12844036706"/>
    <n v="710412"/>
    <n v="1425368.8317208302"/>
    <n v="118035.56197437237"/>
    <n v="1307333.2697464577"/>
  </r>
  <r>
    <x v="5"/>
    <n v="26"/>
    <n v="59201"/>
    <n v="50604.690410958901"/>
    <s v="Yearly"/>
    <d v="2021-12-05T00:00:00"/>
    <s v="2019-2020"/>
    <n v="3"/>
    <x v="3"/>
    <n v="651754.12844036706"/>
    <n v="4178.3689330149564"/>
    <n v="0"/>
    <n v="-4178.3689330149564"/>
    <n v="655932.49737338198"/>
    <n v="659807.30958904105"/>
    <n v="1307333.2697464577"/>
    <n v="46498.857747480026"/>
    <n v="1260834.4119989777"/>
  </r>
  <r>
    <x v="5"/>
    <n v="91"/>
    <n v="59201"/>
    <n v="177116.41643835616"/>
    <s v="Yearly"/>
    <d v="2021-12-05T00:00:00"/>
    <s v="2019-2020"/>
    <n v="4"/>
    <x v="4"/>
    <n v="651754.12844036706"/>
    <n v="14624.291265552347"/>
    <n v="0"/>
    <n v="-14624.291265552347"/>
    <n v="670556.78863893438"/>
    <n v="482690.89315068489"/>
    <n v="1260834.4119989777"/>
    <n v="162746.00211618008"/>
    <n v="1098088.4098827976"/>
  </r>
  <r>
    <x v="5"/>
    <n v="91"/>
    <n v="59201"/>
    <n v="177116.41643835616"/>
    <s v="Yearly"/>
    <d v="2021-12-05T00:00:00"/>
    <s v="2020-2021"/>
    <n v="1"/>
    <x v="5"/>
    <n v="651754.12844036706"/>
    <n v="14624.291265552347"/>
    <n v="0"/>
    <n v="-14624.291265552347"/>
    <n v="685181.07990448677"/>
    <n v="305574.47671232873"/>
    <n v="1098088.4098827976"/>
    <n v="162746.00211618008"/>
    <n v="935342.4077666176"/>
  </r>
  <r>
    <x v="5"/>
    <n v="92"/>
    <n v="59201"/>
    <n v="179062.7506849315"/>
    <s v="Yearly"/>
    <d v="2021-12-05T00:00:00"/>
    <s v="2020-2021"/>
    <n v="2"/>
    <x v="6"/>
    <n v="651754.12844036706"/>
    <n v="14784.997762976"/>
    <n v="0"/>
    <n v="-14784.997762976"/>
    <n v="699966.07766746276"/>
    <n v="126511.72602739724"/>
    <n v="935342.4077666176"/>
    <n v="164534.41972185238"/>
    <n v="770807.9880447652"/>
  </r>
  <r>
    <x v="5"/>
    <n v="66"/>
    <n v="59201"/>
    <n v="128458.0602739726"/>
    <s v="Yearly"/>
    <d v="2021-12-05T00:00:00"/>
    <s v="2020-2021"/>
    <n v="3"/>
    <x v="101"/>
    <n v="651754.12844036706"/>
    <n v="10445.628829961042"/>
    <n v="710412"/>
    <n v="651754.42194294324"/>
    <n v="-0.29350257618352771"/>
    <n v="708465.66575342463"/>
    <n v="770807.9880447652"/>
    <n v="118035.56197437237"/>
    <n v="652772.42607039283"/>
  </r>
  <r>
    <x v="5"/>
    <n v="26"/>
    <n v="59201"/>
    <n v="50466.426229508201"/>
    <s v="Yearly"/>
    <d v="2021-12-05T00:00:00"/>
    <s v="2020-2021"/>
    <n v="3"/>
    <x v="7"/>
    <n v="-0.29350257618352771"/>
    <n v="-1.88163295416289E-3"/>
    <n v="0"/>
    <n v="1.88163295416289E-3"/>
    <n v="-0.29538420913769059"/>
    <n v="657999.23952391639"/>
    <n v="652772.42607039283"/>
    <n v="46498.857747480026"/>
    <n v="606273.56832291279"/>
  </r>
  <r>
    <x v="5"/>
    <n v="90"/>
    <n v="59201"/>
    <n v="174691.47540983607"/>
    <s v="Yearly"/>
    <d v="2021-12-05T00:00:00"/>
    <s v="2020-2021"/>
    <n v="4"/>
    <x v="8"/>
    <n v="-0.29350257618352771"/>
    <n v="-6.5133448413330804E-3"/>
    <n v="0"/>
    <n v="6.5133448413330804E-3"/>
    <n v="-0.30189755397902368"/>
    <n v="483307.76411408035"/>
    <n v="606273.56832291279"/>
    <n v="160957.58451050776"/>
    <n v="445315.98381240503"/>
  </r>
  <r>
    <x v="5"/>
    <n v="91"/>
    <n v="59201"/>
    <n v="176632.49180327868"/>
    <s v="Yearly"/>
    <d v="2021-12-05T00:00:00"/>
    <s v="2021-2022"/>
    <n v="1"/>
    <x v="9"/>
    <n v="-0.29350257618352771"/>
    <n v="-6.5857153395701149E-3"/>
    <n v="0"/>
    <n v="6.5857153395701149E-3"/>
    <n v="-0.30848326931859382"/>
    <n v="306675.27231080167"/>
    <n v="445315.98381240503"/>
    <n v="162746.00211618008"/>
    <n v="282569.98169622495"/>
  </r>
  <r>
    <x v="5"/>
    <n v="92"/>
    <n v="59201"/>
    <n v="178573.50819672132"/>
    <s v="Yearly"/>
    <d v="2021-12-05T00:00:00"/>
    <s v="2021-2022"/>
    <n v="2"/>
    <x v="10"/>
    <n v="-0.29350257618352771"/>
    <n v="-6.6580858378071494E-3"/>
    <n v="0"/>
    <n v="6.6580858378071494E-3"/>
    <n v="-0.31514135515640096"/>
    <n v="128101.76411408035"/>
    <n v="282569.98169622495"/>
    <n v="164534.41972185238"/>
    <n v="118035.56197437257"/>
  </r>
  <r>
    <x v="5"/>
    <n v="66"/>
    <n v="59201"/>
    <n v="128107.08196721312"/>
    <s v="Yearly"/>
    <d v="2021-12-05T00:00:00"/>
    <s v="2021-2022"/>
    <n v="3"/>
    <x v="102"/>
    <n v="-0.29350257618352771"/>
    <n v="-4.7764528836442589E-3"/>
    <n v="0"/>
    <n v="2.6415231856517497E-2"/>
    <n v="-0.31991780804004522"/>
    <n v="-5.317853132772143"/>
    <n v="118035.56197437257"/>
    <n v="118035.56197437237"/>
    <n v="2.0372681319713593E-10"/>
  </r>
  <r>
    <x v="1"/>
    <m/>
    <m/>
    <m/>
    <m/>
    <m/>
    <m/>
    <m/>
    <x v="37"/>
    <m/>
    <m/>
    <m/>
    <m/>
    <m/>
    <m/>
    <m/>
    <m/>
    <m/>
  </r>
  <r>
    <x v="1"/>
    <m/>
    <m/>
    <m/>
    <m/>
    <m/>
    <m/>
    <m/>
    <x v="37"/>
    <m/>
    <m/>
    <m/>
    <m/>
    <m/>
    <m/>
    <m/>
    <m/>
    <m/>
  </r>
  <r>
    <x v="6"/>
    <m/>
    <n v="34333"/>
    <n v="0"/>
    <s v="Yearly"/>
    <d v="2021-04-19T00:00:00"/>
    <s v="2018-2019"/>
    <n v="1"/>
    <x v="103"/>
    <n v="1136753.8086019694"/>
    <n v="0"/>
    <n v="412000"/>
    <n v="412000"/>
    <n v="724753.80860196939"/>
    <n v="412000"/>
    <n v="1136753.8086019694"/>
    <n v="0"/>
    <n v="1136753.8086019694"/>
  </r>
  <r>
    <x v="6"/>
    <n v="41"/>
    <n v="34333"/>
    <n v="46279.002739726027"/>
    <s v="Yearly"/>
    <d v="2021-04-19T00:00:00"/>
    <s v="2018-2019"/>
    <n v="1"/>
    <x v="42"/>
    <n v="724753.80860196939"/>
    <n v="7326.9631609349781"/>
    <n v="0"/>
    <n v="-7326.9631609349781"/>
    <n v="732080.77176290436"/>
    <n v="365720.99726027396"/>
    <n v="1136753.8086019694"/>
    <n v="43762.353195005395"/>
    <n v="1092991.4554069641"/>
  </r>
  <r>
    <x v="6"/>
    <n v="92"/>
    <n v="34333"/>
    <n v="103845.56712328766"/>
    <s v="Yearly"/>
    <d v="2021-04-19T00:00:00"/>
    <s v="2018-2019"/>
    <n v="2"/>
    <x v="44"/>
    <n v="724753.80860196939"/>
    <n v="16440.990507463852"/>
    <n v="0"/>
    <n v="-16440.990507463852"/>
    <n v="748521.76227036817"/>
    <n v="261875.43013698631"/>
    <n v="1092991.4554069641"/>
    <n v="98198.451071719421"/>
    <n v="994793.00433524465"/>
  </r>
  <r>
    <x v="6"/>
    <n v="92"/>
    <n v="34333"/>
    <n v="103845.56712328766"/>
    <s v="Yearly"/>
    <d v="2021-04-19T00:00:00"/>
    <s v="2018-2019"/>
    <n v="3"/>
    <x v="45"/>
    <n v="724753.80860196939"/>
    <n v="16440.990507463852"/>
    <n v="0"/>
    <n v="-16440.990507463852"/>
    <n v="764962.75277783198"/>
    <n v="158029.86301369866"/>
    <n v="994793.00433524465"/>
    <n v="98198.451071719421"/>
    <n v="896594.55326352525"/>
  </r>
  <r>
    <x v="6"/>
    <n v="90"/>
    <n v="34333"/>
    <n v="101588.05479452055"/>
    <s v="Yearly"/>
    <d v="2021-04-19T00:00:00"/>
    <s v="2018-2019"/>
    <n v="4"/>
    <x v="46"/>
    <n v="724753.80860196939"/>
    <n v="16083.577670345074"/>
    <n v="0"/>
    <n v="-16083.577670345074"/>
    <n v="781046.33044817706"/>
    <n v="56441.808219178114"/>
    <n v="896594.55326352525"/>
    <n v="96063.702135377695"/>
    <n v="800530.85112814757"/>
  </r>
  <r>
    <x v="6"/>
    <n v="50"/>
    <n v="34333"/>
    <n v="56283.606557377047"/>
    <s v="Yearly"/>
    <d v="2021-04-19T00:00:00"/>
    <s v="2019-2020"/>
    <n v="1"/>
    <x v="104"/>
    <n v="724753.80860196939"/>
    <n v="8935.3209279694856"/>
    <n v="412000"/>
    <n v="346772.15722582274"/>
    <n v="377981.65137614659"/>
    <n v="412158.20166180108"/>
    <n v="800530.85112814757"/>
    <n v="53368.72340854317"/>
    <n v="747162.12771960441"/>
  </r>
  <r>
    <x v="6"/>
    <n v="41"/>
    <n v="34333"/>
    <n v="46152.557377049183"/>
    <s v="Yearly"/>
    <d v="2021-04-19T00:00:00"/>
    <s v="2019-2020"/>
    <n v="1"/>
    <x v="1"/>
    <n v="377981.65137614659"/>
    <n v="3821.2391604876188"/>
    <n v="0"/>
    <n v="-3821.2391604876188"/>
    <n v="381802.89053663419"/>
    <n v="366005.64428475191"/>
    <n v="747162.12771960441"/>
    <n v="43762.353195005395"/>
    <n v="703399.77452459896"/>
  </r>
  <r>
    <x v="6"/>
    <n v="92"/>
    <n v="34333"/>
    <n v="103561.83606557378"/>
    <s v="Yearly"/>
    <d v="2021-04-19T00:00:00"/>
    <s v="2019-2020"/>
    <n v="2"/>
    <x v="2"/>
    <n v="377981.65137614659"/>
    <n v="8574.4878723136808"/>
    <n v="0"/>
    <n v="-8574.4878723136808"/>
    <n v="390377.3784089479"/>
    <n v="262443.80821917811"/>
    <n v="703399.77452459896"/>
    <n v="98198.451071719421"/>
    <n v="605201.32345287956"/>
  </r>
  <r>
    <x v="6"/>
    <n v="92"/>
    <n v="34333"/>
    <n v="103561.83606557378"/>
    <s v="Yearly"/>
    <d v="2021-04-19T00:00:00"/>
    <s v="2019-2020"/>
    <n v="3"/>
    <x v="3"/>
    <n v="377981.65137614659"/>
    <n v="8574.4878723136808"/>
    <n v="0"/>
    <n v="-8574.4878723136808"/>
    <n v="398951.86628126161"/>
    <n v="158881.97215360432"/>
    <n v="605201.32345287956"/>
    <n v="98198.451071719421"/>
    <n v="507002.87238116015"/>
  </r>
  <r>
    <x v="6"/>
    <n v="91"/>
    <n v="34333"/>
    <n v="102436.16393442624"/>
    <s v="Yearly"/>
    <d v="2021-04-19T00:00:00"/>
    <s v="2019-2020"/>
    <n v="4"/>
    <x v="4"/>
    <n v="377981.65137614659"/>
    <n v="8481.2869171798375"/>
    <n v="0"/>
    <n v="-8481.2869171798375"/>
    <n v="407433.15319844143"/>
    <n v="56445.808219178085"/>
    <n v="507002.87238116015"/>
    <n v="97131.076603548558"/>
    <n v="409871.79577761161"/>
  </r>
  <r>
    <x v="6"/>
    <n v="50"/>
    <n v="34333"/>
    <n v="56283.606557377047"/>
    <s v="Yearly"/>
    <d v="2021-04-19T00:00:00"/>
    <s v="2020-2021"/>
    <n v="1"/>
    <x v="105"/>
    <n v="377981.65137614659"/>
    <n v="4567.0477566922182"/>
    <n v="412000"/>
    <n v="377981.45042101294"/>
    <n v="0.20095513365231454"/>
    <n v="412162.20166180102"/>
    <n v="409871.79577761161"/>
    <n v="53368.72340854317"/>
    <n v="356503.07236906845"/>
  </r>
  <r>
    <x v="6"/>
    <n v="41"/>
    <n v="34333"/>
    <n v="46279.002739726027"/>
    <s v="Yearly"/>
    <d v="2021-04-19T00:00:00"/>
    <s v="2020-2021"/>
    <n v="1"/>
    <x v="5"/>
    <n v="0.20095513365231454"/>
    <n v="2.0315738169233988E-3"/>
    <n v="0"/>
    <n v="-2.0315738169233988E-3"/>
    <n v="0.20298670746923794"/>
    <n v="365883.19892207498"/>
    <n v="356503.07236906845"/>
    <n v="43762.353195005395"/>
    <n v="312740.71917406307"/>
  </r>
  <r>
    <x v="6"/>
    <n v="92"/>
    <n v="34333"/>
    <n v="103845.56712328766"/>
    <s v="Yearly"/>
    <d v="2021-04-19T00:00:00"/>
    <s v="2020-2021"/>
    <n v="2"/>
    <x v="6"/>
    <n v="0.20095513365231454"/>
    <n v="4.5586534428525049E-3"/>
    <n v="0"/>
    <n v="-4.5586534428525049E-3"/>
    <n v="0.20754536091209044"/>
    <n v="262037.63179878733"/>
    <n v="312740.71917406307"/>
    <n v="98198.451071719421"/>
    <n v="214542.26810234366"/>
  </r>
  <r>
    <x v="6"/>
    <n v="92"/>
    <n v="34333"/>
    <n v="103845.56712328766"/>
    <s v="Yearly"/>
    <d v="2021-04-19T00:00:00"/>
    <s v="2020-2021"/>
    <n v="3"/>
    <x v="7"/>
    <n v="0.20095513365231454"/>
    <n v="4.5586534428525049E-3"/>
    <n v="0"/>
    <n v="-4.5586534428525049E-3"/>
    <n v="0.21210401435494294"/>
    <n v="158192.06467549969"/>
    <n v="214542.26810234366"/>
    <n v="98198.451071719421"/>
    <n v="116343.81703062424"/>
  </r>
  <r>
    <x v="6"/>
    <n v="90"/>
    <n v="34333"/>
    <n v="101588.05479452055"/>
    <s v="Yearly"/>
    <d v="2021-04-19T00:00:00"/>
    <s v="2020-2021"/>
    <n v="4"/>
    <x v="8"/>
    <n v="0.20095513365231454"/>
    <n v="4.4595522810513639E-3"/>
    <n v="0"/>
    <n v="-4.4595522810513639E-3"/>
    <n v="0.2165635666359943"/>
    <n v="56604.009880979138"/>
    <n v="116343.81703062424"/>
    <n v="96063.702135377695"/>
    <n v="20280.114895246545"/>
  </r>
  <r>
    <x v="6"/>
    <n v="19"/>
    <n v="34333"/>
    <n v="56604.367123287666"/>
    <s v="Yearly"/>
    <d v="2021-04-19T00:00:00"/>
    <s v="2021-2022"/>
    <n v="1"/>
    <x v="106"/>
    <n v="0.20095513365231454"/>
    <n v="9.4146103711084347E-4"/>
    <n v="0"/>
    <n v="-1.6549894020790615E-2"/>
    <n v="0.21750502767310514"/>
    <n v="-0.35724230852792971"/>
    <n v="20280.114895246545"/>
    <n v="20280.114895246403"/>
    <n v="1.4188117347657681E-10"/>
  </r>
  <r>
    <x v="1"/>
    <m/>
    <m/>
    <m/>
    <m/>
    <m/>
    <m/>
    <m/>
    <x v="37"/>
    <m/>
    <m/>
    <m/>
    <m/>
    <m/>
    <m/>
    <m/>
    <m/>
    <m/>
  </r>
  <r>
    <x v="1"/>
    <m/>
    <m/>
    <m/>
    <m/>
    <m/>
    <m/>
    <m/>
    <x v="37"/>
    <m/>
    <m/>
    <m/>
    <m/>
    <m/>
    <m/>
    <m/>
    <m/>
    <m/>
  </r>
  <r>
    <x v="7"/>
    <m/>
    <n v="32083.33"/>
    <n v="0"/>
    <s v="Yearly"/>
    <d v="2021-06-14T00:00:00"/>
    <s v="2018-2019"/>
    <n v="1"/>
    <x v="107"/>
    <n v="1275480.5992761552"/>
    <n v="0"/>
    <n v="385000"/>
    <n v="385000"/>
    <n v="890480.59927615523"/>
    <n v="385000"/>
    <n v="1275480.5992761552"/>
    <n v="0"/>
    <n v="1275480.5992761552"/>
  </r>
  <r>
    <x v="7"/>
    <n v="15"/>
    <n v="32083.33"/>
    <n v="15821.916164383561"/>
    <s v="Yearly"/>
    <d v="2021-06-14T00:00:00"/>
    <s v="2018-2019"/>
    <n v="1"/>
    <x v="42"/>
    <n v="890480.59927615523"/>
    <n v="3293.5583808844094"/>
    <n v="0"/>
    <n v="-3293.5583808844094"/>
    <n v="893774.15765703958"/>
    <n v="369178.08383561642"/>
    <n v="1275480.5992761552"/>
    <n v="17472.336976385686"/>
    <n v="1258008.2622997696"/>
  </r>
  <r>
    <x v="7"/>
    <n v="92"/>
    <n v="32083.33"/>
    <n v="97041.085808219184"/>
    <s v="Yearly"/>
    <d v="2021-06-14T00:00:00"/>
    <s v="2018-2019"/>
    <n v="2"/>
    <x v="44"/>
    <n v="890480.59927615523"/>
    <n v="20200.491402757711"/>
    <n v="0"/>
    <n v="-20200.491402757711"/>
    <n v="913974.64905979729"/>
    <n v="272136.9980273972"/>
    <n v="1258008.2622997696"/>
    <n v="107163.66678849889"/>
    <n v="1150844.5955112707"/>
  </r>
  <r>
    <x v="7"/>
    <n v="92"/>
    <n v="32083.33"/>
    <n v="97041.085808219184"/>
    <s v="Yearly"/>
    <d v="2021-06-14T00:00:00"/>
    <s v="2018-2019"/>
    <n v="3"/>
    <x v="45"/>
    <n v="890480.59927615523"/>
    <n v="20200.491402757711"/>
    <n v="0"/>
    <n v="-20200.491402757711"/>
    <n v="934175.14046255499"/>
    <n v="175095.91221917802"/>
    <n v="1150844.5955112707"/>
    <n v="107163.66678849889"/>
    <n v="1043680.9287227718"/>
  </r>
  <r>
    <x v="7"/>
    <n v="90"/>
    <n v="32083.33"/>
    <n v="94931.496986301368"/>
    <s v="Yearly"/>
    <d v="2021-06-14T00:00:00"/>
    <s v="2018-2019"/>
    <n v="4"/>
    <x v="46"/>
    <n v="890480.59927615523"/>
    <n v="19761.350285306456"/>
    <n v="0"/>
    <n v="-19761.350285306456"/>
    <n v="953936.49074786145"/>
    <n v="80164.41523287665"/>
    <n v="1043680.9287227718"/>
    <n v="104834.02185831412"/>
    <n v="938846.90686445765"/>
  </r>
  <r>
    <x v="7"/>
    <n v="76"/>
    <n v="32083.33"/>
    <n v="80164.375232876715"/>
    <s v="Yearly"/>
    <d v="2021-06-14T00:00:00"/>
    <s v="2019-2020"/>
    <n v="1"/>
    <x v="108"/>
    <n v="890480.59927615523"/>
    <n v="16687.362463147674"/>
    <n v="462000"/>
    <n v="381856.74606514606"/>
    <n v="508623.85321100918"/>
    <n v="462000.03999999992"/>
    <n v="938846.90686445765"/>
    <n v="88526.507347020815"/>
    <n v="850320.39951743686"/>
  </r>
  <r>
    <x v="7"/>
    <n v="15"/>
    <n v="38499.995999999999"/>
    <n v="18934.424262295081"/>
    <s v="Yearly"/>
    <d v="2021-06-14T00:00:00"/>
    <s v="2019-2020"/>
    <n v="1"/>
    <x v="1"/>
    <n v="508623.85321100918"/>
    <n v="1881.2115118763354"/>
    <n v="0"/>
    <n v="-1881.2115118763354"/>
    <n v="510505.06472288549"/>
    <n v="443065.61573770485"/>
    <n v="850320.39951743686"/>
    <n v="17472.336976385686"/>
    <n v="832848.06254105119"/>
  </r>
  <r>
    <x v="7"/>
    <n v="92"/>
    <n v="38499.995999999999"/>
    <n v="116131.13547540983"/>
    <s v="Yearly"/>
    <d v="2021-06-14T00:00:00"/>
    <s v="2019-2020"/>
    <n v="2"/>
    <x v="2"/>
    <n v="508623.85321100918"/>
    <n v="11538.097272841524"/>
    <n v="0"/>
    <n v="-11538.097272841524"/>
    <n v="522043.16199572704"/>
    <n v="326934.48026229499"/>
    <n v="832848.06254105119"/>
    <n v="107163.66678849889"/>
    <n v="725684.39575255231"/>
  </r>
  <r>
    <x v="7"/>
    <n v="92"/>
    <n v="38499.995999999999"/>
    <n v="116131.13547540983"/>
    <s v="Yearly"/>
    <d v="2021-06-14T00:00:00"/>
    <s v="2019-2020"/>
    <n v="3"/>
    <x v="3"/>
    <n v="508623.85321100918"/>
    <n v="11538.097272841524"/>
    <n v="0"/>
    <n v="-11538.097272841524"/>
    <n v="533581.2592685686"/>
    <n v="210803.34478688517"/>
    <n v="725684.39575255231"/>
    <n v="107163.66678849889"/>
    <n v="618520.72896405344"/>
  </r>
  <r>
    <x v="7"/>
    <n v="91"/>
    <n v="38499.995999999999"/>
    <n v="114868.84052459015"/>
    <s v="Yearly"/>
    <d v="2021-06-14T00:00:00"/>
    <s v="2019-2020"/>
    <n v="4"/>
    <x v="4"/>
    <n v="508623.85321100918"/>
    <n v="11412.683172049767"/>
    <n v="0"/>
    <n v="-11412.683172049767"/>
    <n v="544993.94244061841"/>
    <n v="95934.504262295013"/>
    <n v="618520.72896405344"/>
    <n v="105998.84432340651"/>
    <n v="512521.88464064692"/>
  </r>
  <r>
    <x v="7"/>
    <n v="76"/>
    <n v="38499.995999999999"/>
    <n v="95934.416262295083"/>
    <s v="Yearly"/>
    <d v="2021-06-14T00:00:00"/>
    <s v="2020-2021"/>
    <n v="1"/>
    <x v="109"/>
    <n v="508623.85321100918"/>
    <n v="9406.4716601734326"/>
    <n v="554400"/>
    <n v="508623.43911021744"/>
    <n v="0.4141007917933166"/>
    <n v="554400.08799999999"/>
    <n v="512521.88464064692"/>
    <n v="88526.507347020815"/>
    <n v="423995.37729362608"/>
  </r>
  <r>
    <x v="7"/>
    <n v="15"/>
    <n v="46199.995199999998"/>
    <n v="22783.559276712323"/>
    <s v="Yearly"/>
    <d v="2021-06-14T00:00:00"/>
    <s v="2020-2021"/>
    <n v="1"/>
    <x v="5"/>
    <n v="0.4141007917933166"/>
    <n v="1.5316056682766505E-3"/>
    <n v="0"/>
    <n v="-1.5316056682766505E-3"/>
    <n v="0.41563239746159325"/>
    <n v="531616.52872328763"/>
    <n v="423995.37729362608"/>
    <n v="17472.336976385686"/>
    <n v="406523.0403172404"/>
  </r>
  <r>
    <x v="7"/>
    <n v="92"/>
    <n v="46199.995199999998"/>
    <n v="139739.16356383558"/>
    <s v="Yearly"/>
    <d v="2021-06-14T00:00:00"/>
    <s v="2020-2021"/>
    <n v="2"/>
    <x v="6"/>
    <n v="0.4141007917933166"/>
    <n v="9.3938480987634555E-3"/>
    <n v="0"/>
    <n v="-9.3938480987634555E-3"/>
    <n v="0.42502624556035673"/>
    <n v="391877.36515945208"/>
    <n v="406523.0403172404"/>
    <n v="107163.66678849889"/>
    <n v="299359.37352874153"/>
  </r>
  <r>
    <x v="7"/>
    <n v="92"/>
    <n v="46199.995199999998"/>
    <n v="139739.16356383558"/>
    <s v="Yearly"/>
    <d v="2021-06-14T00:00:00"/>
    <s v="2020-2021"/>
    <n v="3"/>
    <x v="7"/>
    <n v="0.4141007917933166"/>
    <n v="9.3938480987634555E-3"/>
    <n v="0"/>
    <n v="-9.3938480987634555E-3"/>
    <n v="0.43442009365912021"/>
    <n v="252138.2015956165"/>
    <n v="299359.37352874153"/>
    <n v="107163.66678849889"/>
    <n v="192195.70674024266"/>
  </r>
  <r>
    <x v="7"/>
    <n v="90"/>
    <n v="46199.995199999998"/>
    <n v="136701.35566027396"/>
    <s v="Yearly"/>
    <d v="2021-06-14T00:00:00"/>
    <s v="2020-2021"/>
    <n v="4"/>
    <x v="8"/>
    <n v="0.4141007917933166"/>
    <n v="9.1896340096599034E-3"/>
    <n v="0"/>
    <n v="-9.1896340096599034E-3"/>
    <n v="0.4436097276687801"/>
    <n v="115436.84593534254"/>
    <n v="192195.70674024266"/>
    <n v="104834.02185831412"/>
    <n v="87361.684881928537"/>
  </r>
  <r>
    <x v="7"/>
    <n v="75"/>
    <n v="46199.995199999998"/>
    <n v="115436.79638356162"/>
    <s v="Yearly"/>
    <d v="2021-06-14T00:00:00"/>
    <s v="2021-2022"/>
    <n v="1"/>
    <x v="110"/>
    <n v="0.4141007917933166"/>
    <n v="7.6580283413832523E-3"/>
    <n v="0"/>
    <n v="-3.7166964216846718E-2"/>
    <n v="0.45126775601016333"/>
    <n v="4.9551780917681754E-2"/>
    <n v="87361.684881928537"/>
    <n v="87361.684881928435"/>
    <n v="0"/>
  </r>
  <r>
    <x v="1"/>
    <m/>
    <m/>
    <m/>
    <m/>
    <m/>
    <m/>
    <m/>
    <x v="37"/>
    <m/>
    <m/>
    <m/>
    <m/>
    <m/>
    <m/>
    <m/>
    <m/>
    <m/>
  </r>
  <r>
    <x v="1"/>
    <m/>
    <m/>
    <m/>
    <m/>
    <m/>
    <m/>
    <m/>
    <x v="37"/>
    <m/>
    <m/>
    <m/>
    <m/>
    <m/>
    <m/>
    <m/>
    <m/>
    <m/>
  </r>
  <r>
    <x v="8"/>
    <m/>
    <n v="20000"/>
    <n v="20000"/>
    <s v="Monthly"/>
    <d v="2021-05-31T00:00:00"/>
    <s v="2018-2019"/>
    <n v="1"/>
    <x v="111"/>
    <n v="695161.64078416093"/>
    <n v="0"/>
    <n v="20000"/>
    <n v="20000"/>
    <n v="675161.64078416093"/>
    <s v=""/>
    <n v="695161.64078416093"/>
    <n v="0"/>
    <n v="695161.64078416093"/>
  </r>
  <r>
    <x v="8"/>
    <n v="30"/>
    <n v="20000"/>
    <n v="20000"/>
    <s v="Monthly"/>
    <d v="2021-05-31T00:00:00"/>
    <s v="2018-2019"/>
    <n v="1"/>
    <x v="42"/>
    <n v="675161.64078416093"/>
    <n v="4827.8681710867395"/>
    <n v="20000"/>
    <n v="15172.131828913261"/>
    <n v="659989.5089552477"/>
    <s v=""/>
    <n v="695161.64078416093"/>
    <n v="18410.673591543989"/>
    <n v="676750.9671926169"/>
  </r>
  <r>
    <x v="8"/>
    <n v="31"/>
    <n v="20000"/>
    <n v="20000"/>
    <s v="Monthly"/>
    <d v="2021-05-31T00:00:00"/>
    <s v="2018-2019"/>
    <n v="2"/>
    <x v="61"/>
    <n v="659989.5089552477"/>
    <n v="5044.851315027784"/>
    <n v="20000"/>
    <n v="14955.148684972217"/>
    <n v="645034.3602702755"/>
    <s v=""/>
    <n v="676750.9671926169"/>
    <n v="19680.375218547022"/>
    <n v="657070.59197406983"/>
  </r>
  <r>
    <x v="8"/>
    <n v="31"/>
    <n v="20000"/>
    <n v="20000"/>
    <s v="Monthly"/>
    <d v="2021-05-31T00:00:00"/>
    <s v="2018-2019"/>
    <n v="2"/>
    <x v="62"/>
    <n v="645034.3602702755"/>
    <n v="4930.5366168604614"/>
    <n v="20000"/>
    <n v="15069.463383139539"/>
    <n v="629964.89688713592"/>
    <s v=""/>
    <n v="657070.59197406983"/>
    <n v="19680.375218547022"/>
    <n v="637390.21675552276"/>
  </r>
  <r>
    <x v="8"/>
    <n v="30"/>
    <n v="20000"/>
    <n v="20000"/>
    <s v="Monthly"/>
    <d v="2021-05-31T00:00:00"/>
    <s v="2018-2019"/>
    <n v="2"/>
    <x v="44"/>
    <n v="629964.89688713592"/>
    <n v="4660.0143057404566"/>
    <n v="20000"/>
    <n v="15339.985694259543"/>
    <n v="614624.9111928764"/>
    <s v=""/>
    <n v="637390.21675552276"/>
    <n v="19045.524405045508"/>
    <n v="618344.69235047721"/>
  </r>
  <r>
    <x v="8"/>
    <n v="31"/>
    <n v="20000"/>
    <n v="20000"/>
    <s v="Monthly"/>
    <d v="2021-05-31T00:00:00"/>
    <s v="2018-2019"/>
    <n v="3"/>
    <x v="63"/>
    <n v="614624.9111928764"/>
    <n v="4698.0917869263703"/>
    <n v="20000"/>
    <n v="15301.90821307363"/>
    <n v="599323.00297980278"/>
    <s v=""/>
    <n v="618344.69235047721"/>
    <n v="19680.375218547022"/>
    <n v="598664.31713193015"/>
  </r>
  <r>
    <x v="8"/>
    <n v="30"/>
    <n v="20000"/>
    <n v="20000"/>
    <s v="Monthly"/>
    <d v="2021-05-31T00:00:00"/>
    <s v="2018-2019"/>
    <n v="3"/>
    <x v="64"/>
    <n v="599323.00297980278"/>
    <n v="4433.3482412204585"/>
    <n v="20000"/>
    <n v="15566.651758779542"/>
    <n v="583756.35122102324"/>
    <s v=""/>
    <n v="598664.31713193015"/>
    <n v="19045.524405045508"/>
    <n v="579618.7927268846"/>
  </r>
  <r>
    <x v="8"/>
    <n v="31"/>
    <n v="20000"/>
    <n v="20000"/>
    <s v="Monthly"/>
    <d v="2021-05-31T00:00:00"/>
    <s v="2018-2019"/>
    <n v="3"/>
    <x v="45"/>
    <n v="583756.35122102324"/>
    <n v="4462.1375887853555"/>
    <n v="20000"/>
    <n v="15537.862411214644"/>
    <n v="568218.48880980862"/>
    <s v=""/>
    <n v="579618.7927268846"/>
    <n v="19680.375218547022"/>
    <n v="559938.41750833753"/>
  </r>
  <r>
    <x v="8"/>
    <n v="31"/>
    <n v="20000"/>
    <n v="20000"/>
    <s v="Monthly"/>
    <d v="2021-05-31T00:00:00"/>
    <s v="2018-2019"/>
    <n v="4"/>
    <x v="65"/>
    <n v="568218.48880980862"/>
    <n v="4343.3687226831944"/>
    <n v="20000"/>
    <n v="15656.631277316807"/>
    <n v="552561.85753249179"/>
    <s v=""/>
    <n v="559938.41750833753"/>
    <n v="19680.375218547022"/>
    <n v="540258.04228979046"/>
  </r>
  <r>
    <x v="8"/>
    <n v="28"/>
    <n v="20000"/>
    <n v="20000"/>
    <s v="Monthly"/>
    <d v="2021-05-31T00:00:00"/>
    <s v="2018-2019"/>
    <n v="4"/>
    <x v="66"/>
    <n v="552561.85753249179"/>
    <n v="3814.9476191284366"/>
    <n v="20000"/>
    <n v="16185.052380871562"/>
    <n v="536376.80515162018"/>
    <s v=""/>
    <n v="540258.04228979046"/>
    <n v="17775.822778042471"/>
    <n v="522482.219511748"/>
  </r>
  <r>
    <x v="8"/>
    <n v="31"/>
    <n v="20000"/>
    <n v="20000"/>
    <s v="Monthly"/>
    <d v="2021-05-31T00:00:00"/>
    <s v="2018-2019"/>
    <n v="4"/>
    <x v="46"/>
    <n v="536376.80515162018"/>
    <n v="4099.97612704937"/>
    <n v="20000"/>
    <n v="15900.023872950631"/>
    <n v="520476.78127866954"/>
    <s v=""/>
    <n v="522482.219511748"/>
    <n v="19680.375218547022"/>
    <n v="502801.84429320099"/>
  </r>
  <r>
    <x v="8"/>
    <n v="30"/>
    <n v="20000"/>
    <n v="20000"/>
    <s v="Monthly"/>
    <d v="2021-05-31T00:00:00"/>
    <s v="2019-2020"/>
    <n v="1"/>
    <x v="67"/>
    <n v="520476.78127866954"/>
    <n v="3839.582812711496"/>
    <n v="20000"/>
    <n v="16160.417187288504"/>
    <n v="504316.36409138102"/>
    <s v=""/>
    <n v="502801.84429320099"/>
    <n v="19045.524405045508"/>
    <n v="483756.3198881555"/>
  </r>
  <r>
    <x v="8"/>
    <n v="31"/>
    <n v="22000"/>
    <n v="22000"/>
    <s v="Monthly"/>
    <d v="2021-05-31T00:00:00"/>
    <s v="2019-2020"/>
    <n v="1"/>
    <x v="68"/>
    <n v="504316.36409138102"/>
    <n v="3844.3788410244615"/>
    <n v="22000"/>
    <n v="18155.62115897554"/>
    <n v="486160.7429324055"/>
    <s v=""/>
    <n v="483756.3198881555"/>
    <n v="19680.375218547022"/>
    <n v="464075.94466960849"/>
  </r>
  <r>
    <x v="8"/>
    <n v="30"/>
    <n v="22000"/>
    <n v="22000"/>
    <s v="Monthly"/>
    <d v="2021-05-31T00:00:00"/>
    <s v="2019-2020"/>
    <n v="1"/>
    <x v="1"/>
    <n v="486160.7429324055"/>
    <n v="3586.43171015709"/>
    <n v="22000"/>
    <n v="18413.568289842911"/>
    <n v="467747.17464256258"/>
    <s v=""/>
    <n v="464075.94466960849"/>
    <n v="19045.524405045508"/>
    <n v="445030.420264563"/>
  </r>
  <r>
    <x v="8"/>
    <n v="31"/>
    <n v="22000"/>
    <n v="22000"/>
    <s v="Monthly"/>
    <d v="2021-05-31T00:00:00"/>
    <s v="2019-2020"/>
    <n v="2"/>
    <x v="69"/>
    <n v="467747.17464256258"/>
    <n v="3565.6137083408453"/>
    <n v="22000"/>
    <n v="18434.386291659153"/>
    <n v="449312.78835090343"/>
    <s v=""/>
    <n v="445030.420264563"/>
    <n v="19680.375218547022"/>
    <n v="425350.04504601599"/>
  </r>
  <r>
    <x v="8"/>
    <n v="31"/>
    <n v="22000"/>
    <n v="22000"/>
    <s v="Monthly"/>
    <d v="2021-05-31T00:00:00"/>
    <s v="2019-2020"/>
    <n v="2"/>
    <x v="70"/>
    <n v="449312.78835090343"/>
    <n v="3425.0892882486901"/>
    <n v="22000"/>
    <n v="18574.910711751309"/>
    <n v="430737.87763915211"/>
    <s v=""/>
    <n v="425350.04504601599"/>
    <n v="19680.375218547022"/>
    <n v="405669.66982746898"/>
  </r>
  <r>
    <x v="8"/>
    <n v="30"/>
    <n v="22000"/>
    <n v="22000"/>
    <s v="Monthly"/>
    <d v="2021-05-31T00:00:00"/>
    <s v="2019-2020"/>
    <n v="2"/>
    <x v="2"/>
    <n v="430737.87763915211"/>
    <n v="3177.574507174073"/>
    <n v="22000"/>
    <n v="18822.425492825925"/>
    <n v="411915.45214632619"/>
    <s v=""/>
    <n v="405669.66982746898"/>
    <n v="19045.524405045508"/>
    <n v="386624.14542242349"/>
  </r>
  <r>
    <x v="8"/>
    <n v="31"/>
    <n v="22000"/>
    <n v="22000"/>
    <s v="Monthly"/>
    <d v="2021-05-31T00:00:00"/>
    <s v="2019-2020"/>
    <n v="3"/>
    <x v="71"/>
    <n v="411915.45214632619"/>
    <n v="3140.0112335744539"/>
    <n v="22000"/>
    <n v="18859.988766425548"/>
    <n v="393055.46337990067"/>
    <s v=""/>
    <n v="386624.14542242349"/>
    <n v="19680.375218547022"/>
    <n v="366943.77020387648"/>
  </r>
  <r>
    <x v="8"/>
    <n v="30"/>
    <n v="22000"/>
    <n v="22000"/>
    <s v="Monthly"/>
    <d v="2021-05-31T00:00:00"/>
    <s v="2019-2020"/>
    <n v="3"/>
    <x v="72"/>
    <n v="393055.46337990067"/>
    <n v="2899.5894839500866"/>
    <n v="22000"/>
    <n v="19100.410516049913"/>
    <n v="373955.05286385078"/>
    <s v=""/>
    <n v="366943.77020387648"/>
    <n v="19045.524405045508"/>
    <n v="347898.24579883099"/>
  </r>
  <r>
    <x v="8"/>
    <n v="31"/>
    <n v="22000"/>
    <n v="22000"/>
    <s v="Monthly"/>
    <d v="2021-05-31T00:00:00"/>
    <s v="2019-2020"/>
    <n v="3"/>
    <x v="3"/>
    <n v="373955.05286385078"/>
    <n v="2850.6409767490268"/>
    <n v="22000"/>
    <n v="19149.359023250974"/>
    <n v="354805.69384059979"/>
    <s v=""/>
    <n v="347898.24579883099"/>
    <n v="19680.375218547022"/>
    <n v="328217.87058028398"/>
  </r>
  <r>
    <x v="8"/>
    <n v="31"/>
    <n v="22000"/>
    <n v="22000"/>
    <s v="Monthly"/>
    <d v="2021-05-31T00:00:00"/>
    <s v="2019-2020"/>
    <n v="4"/>
    <x v="73"/>
    <n v="354805.69384059979"/>
    <n v="2704.6663546865393"/>
    <n v="22000"/>
    <n v="19295.333645313462"/>
    <n v="335510.36019528634"/>
    <s v=""/>
    <n v="328217.87058028398"/>
    <n v="19680.375218547022"/>
    <n v="308537.49536173698"/>
  </r>
  <r>
    <x v="8"/>
    <n v="29"/>
    <n v="22000"/>
    <n v="22000"/>
    <s v="Monthly"/>
    <d v="2021-05-31T00:00:00"/>
    <s v="2019-2020"/>
    <n v="4"/>
    <x v="74"/>
    <n v="335510.36019528634"/>
    <n v="2392.57388008114"/>
    <n v="22000"/>
    <n v="19607.426119918859"/>
    <n v="315902.93407536746"/>
    <s v=""/>
    <n v="308537.49536173698"/>
    <n v="18410.673591543989"/>
    <n v="290126.821770193"/>
  </r>
  <r>
    <x v="8"/>
    <n v="31"/>
    <n v="22000"/>
    <n v="22000"/>
    <s v="Monthly"/>
    <d v="2021-05-31T00:00:00"/>
    <s v="2019-2020"/>
    <n v="4"/>
    <x v="4"/>
    <n v="315902.93407536746"/>
    <n v="2408.1125302466535"/>
    <n v="22000"/>
    <n v="19591.887469753347"/>
    <n v="296311.04660561413"/>
    <s v=""/>
    <n v="290126.821770193"/>
    <n v="19680.375218547022"/>
    <n v="270446.44655164599"/>
  </r>
  <r>
    <x v="8"/>
    <n v="30"/>
    <n v="22000"/>
    <n v="22000"/>
    <s v="Monthly"/>
    <d v="2021-05-31T00:00:00"/>
    <s v="2020-2021"/>
    <n v="1"/>
    <x v="75"/>
    <n v="296311.04660561413"/>
    <n v="2191.8899337949538"/>
    <n v="22000"/>
    <n v="19808.110066205045"/>
    <n v="276502.9365394091"/>
    <s v=""/>
    <n v="270446.44655164599"/>
    <n v="19045.524405045508"/>
    <n v="251400.9221466005"/>
  </r>
  <r>
    <x v="8"/>
    <n v="31"/>
    <n v="24200.000000000004"/>
    <n v="24200.000000000004"/>
    <s v="Monthly"/>
    <d v="2021-05-31T00:00:00"/>
    <s v="2020-2021"/>
    <n v="1"/>
    <x v="76"/>
    <n v="276502.9365394091"/>
    <n v="2113.54299436973"/>
    <n v="24200.000000000004"/>
    <n v="22086.457005630273"/>
    <n v="254416.47953377882"/>
    <s v=""/>
    <n v="251400.9221466005"/>
    <n v="19680.375218547022"/>
    <n v="231720.54692805349"/>
  </r>
  <r>
    <x v="8"/>
    <n v="30"/>
    <n v="24200.000000000004"/>
    <n v="24200.000000000004"/>
    <s v="Monthly"/>
    <d v="2021-05-31T00:00:00"/>
    <s v="2020-2021"/>
    <n v="1"/>
    <x v="5"/>
    <n v="254416.47953377882"/>
    <n v="1881.9849170991859"/>
    <n v="24200.000000000004"/>
    <n v="22318.015082900816"/>
    <n v="232098.464450878"/>
    <s v=""/>
    <n v="231720.54692805349"/>
    <n v="19045.524405045508"/>
    <n v="212675.022523008"/>
  </r>
  <r>
    <x v="8"/>
    <n v="31"/>
    <n v="24200.000000000004"/>
    <n v="24200.000000000004"/>
    <s v="Monthly"/>
    <d v="2021-05-31T00:00:00"/>
    <s v="2020-2021"/>
    <n v="2"/>
    <x v="77"/>
    <n v="232098.464450878"/>
    <n v="1774.1225090902728"/>
    <n v="24200.000000000004"/>
    <n v="22425.87749090973"/>
    <n v="209672.58695996826"/>
    <s v=""/>
    <n v="212675.022523008"/>
    <n v="19680.375218547022"/>
    <n v="192994.64730446099"/>
  </r>
  <r>
    <x v="8"/>
    <n v="31"/>
    <n v="24200.000000000004"/>
    <n v="24200.000000000004"/>
    <s v="Monthly"/>
    <d v="2021-05-31T00:00:00"/>
    <s v="2020-2021"/>
    <n v="2"/>
    <x v="78"/>
    <n v="209672.58695996826"/>
    <n v="1602.7027879953737"/>
    <n v="24200.000000000004"/>
    <n v="22597.297212004629"/>
    <n v="187075.28974796363"/>
    <s v=""/>
    <n v="192994.64730446099"/>
    <n v="19680.375218547022"/>
    <n v="173314.27208591398"/>
  </r>
  <r>
    <x v="8"/>
    <n v="30"/>
    <n v="24200.000000000004"/>
    <n v="24200.000000000004"/>
    <s v="Monthly"/>
    <d v="2021-05-31T00:00:00"/>
    <s v="2020-2021"/>
    <n v="2"/>
    <x v="6"/>
    <n v="187075.28974796363"/>
    <n v="1383.8446090945254"/>
    <n v="24200.000000000004"/>
    <n v="22816.155390905478"/>
    <n v="164259.13435705815"/>
    <s v=""/>
    <n v="173314.27208591398"/>
    <n v="19045.524405045508"/>
    <n v="154268.74768086849"/>
  </r>
  <r>
    <x v="8"/>
    <n v="31"/>
    <n v="24200.000000000004"/>
    <n v="24200.000000000004"/>
    <s v="Monthly"/>
    <d v="2021-05-31T00:00:00"/>
    <s v="2020-2021"/>
    <n v="3"/>
    <x v="79"/>
    <n v="164259.13435705815"/>
    <n v="1255.5698215238144"/>
    <n v="24200.000000000004"/>
    <n v="22944.430178476188"/>
    <n v="141314.70417858197"/>
    <s v=""/>
    <n v="154268.74768086849"/>
    <n v="19680.375218547022"/>
    <n v="134588.37246232148"/>
  </r>
  <r>
    <x v="8"/>
    <n v="30"/>
    <n v="24200.000000000004"/>
    <n v="24200.000000000004"/>
    <s v="Monthly"/>
    <d v="2021-05-31T00:00:00"/>
    <s v="2020-2021"/>
    <n v="3"/>
    <x v="80"/>
    <n v="141314.70417858197"/>
    <n v="1045.3416473484144"/>
    <n v="24200.000000000004"/>
    <n v="23154.65835265159"/>
    <n v="118160.04582593039"/>
    <s v=""/>
    <n v="134588.37246232148"/>
    <n v="19045.524405045508"/>
    <n v="115542.84805727597"/>
  </r>
  <r>
    <x v="8"/>
    <n v="31"/>
    <n v="24200.000000000004"/>
    <n v="24200.000000000004"/>
    <s v="Monthly"/>
    <d v="2021-05-31T00:00:00"/>
    <s v="2020-2021"/>
    <n v="3"/>
    <x v="7"/>
    <n v="118160.04582593039"/>
    <n v="903.19596672423506"/>
    <n v="24200.000000000004"/>
    <n v="23296.80403327577"/>
    <n v="94863.241792654619"/>
    <s v=""/>
    <n v="115542.84805727597"/>
    <n v="19680.375218547022"/>
    <n v="95862.472838728951"/>
  </r>
  <r>
    <x v="8"/>
    <n v="31"/>
    <n v="24200.000000000004"/>
    <n v="24200.000000000004"/>
    <s v="Monthly"/>
    <d v="2021-05-31T00:00:00"/>
    <s v="2020-2021"/>
    <n v="4"/>
    <x v="81"/>
    <n v="94863.241792654619"/>
    <n v="725.11902630549707"/>
    <n v="24200.000000000004"/>
    <n v="23474.880973694508"/>
    <n v="71388.360818960107"/>
    <s v=""/>
    <n v="95862.472838728951"/>
    <n v="19680.375218547022"/>
    <n v="76182.097620181929"/>
  </r>
  <r>
    <x v="8"/>
    <n v="28"/>
    <n v="24200.000000000004"/>
    <n v="24200.000000000004"/>
    <s v="Monthly"/>
    <d v="2021-05-31T00:00:00"/>
    <s v="2020-2021"/>
    <n v="4"/>
    <x v="82"/>
    <n v="71388.360818960107"/>
    <n v="492.87306647610819"/>
    <n v="24200.000000000004"/>
    <n v="23707.126933523894"/>
    <n v="47681.233885436217"/>
    <s v=""/>
    <n v="76182.097620181929"/>
    <n v="17775.822778042471"/>
    <n v="58406.274842139457"/>
  </r>
  <r>
    <x v="8"/>
    <n v="31"/>
    <n v="24200.000000000004"/>
    <n v="24200.000000000004"/>
    <s v="Monthly"/>
    <d v="2021-05-31T00:00:00"/>
    <s v="2020-2021"/>
    <n v="4"/>
    <x v="8"/>
    <n v="47681.233885436217"/>
    <n v="364.46751380922478"/>
    <n v="24200.000000000004"/>
    <n v="23835.532486190779"/>
    <n v="23845.701399245438"/>
    <s v=""/>
    <n v="58406.274842139457"/>
    <n v="19680.375218547022"/>
    <n v="38725.899623592435"/>
  </r>
  <r>
    <x v="8"/>
    <n v="30"/>
    <n v="24200.000000000004"/>
    <n v="24200.000000000004"/>
    <s v="Monthly"/>
    <d v="2021-05-31T00:00:00"/>
    <s v="2021-2022"/>
    <n v="1"/>
    <x v="83"/>
    <n v="23845.701399245438"/>
    <n v="176.39285966565117"/>
    <n v="24200.000000000004"/>
    <n v="23845.607140334352"/>
    <n v="9.4258911085489672E-2"/>
    <s v=""/>
    <n v="38725.899623592435"/>
    <n v="19045.524405045508"/>
    <n v="19680.375218546927"/>
  </r>
  <r>
    <x v="8"/>
    <n v="31"/>
    <m/>
    <n v="0"/>
    <s v="Monthly"/>
    <d v="2021-05-31T00:00:00"/>
    <s v="2021-2022"/>
    <n v="1"/>
    <x v="84"/>
    <n v="9.4258911085489672E-2"/>
    <n v="7.2049962172196209E-4"/>
    <n v="0"/>
    <n v="-7.2049962172196209E-4"/>
    <n v="9.4979410707211637E-2"/>
    <s v=""/>
    <n v="19680.375218546927"/>
    <n v="19680.375218547022"/>
    <n v="-9.4587448984384537E-11"/>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r>
    <x v="1"/>
    <m/>
    <m/>
    <m/>
    <m/>
    <m/>
    <m/>
    <m/>
    <x v="37"/>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6" applyNumberFormats="0" applyBorderFormats="0" applyFontFormats="0" applyPatternFormats="0" applyAlignmentFormats="0" applyWidthHeightFormats="1" dataCaption="Values" updatedVersion="4" minRefreshableVersion="3" useAutoFormatting="1" itemPrintTitles="1" createdVersion="5" indent="0" compact="0" compactData="0" gridDropZones="1" multipleFieldFilters="0">
  <location ref="A3:J51" firstHeaderRow="1" firstDataRow="2" firstDataCol="2"/>
  <pivotFields count="18">
    <pivotField axis="axisRow" compact="0" outline="0" showAll="0">
      <items count="10">
        <item x="0"/>
        <item x="2"/>
        <item x="3"/>
        <item x="4"/>
        <item x="5"/>
        <item x="6"/>
        <item x="7"/>
        <item x="8"/>
        <item x="1"/>
        <item t="default"/>
      </items>
    </pivotField>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axis="axisRow" compact="0" outline="0" showAll="0">
      <items count="153">
        <item h="1" x="38"/>
        <item h="1" x="39"/>
        <item h="1" x="55"/>
        <item h="1" x="56"/>
        <item h="1" x="40"/>
        <item h="1" x="57"/>
        <item h="1" x="58"/>
        <item h="1" x="41"/>
        <item h="1" x="59"/>
        <item h="1" x="103"/>
        <item h="1" x="60"/>
        <item h="1" x="111"/>
        <item h="1" x="107"/>
        <item h="1" x="42"/>
        <item h="1" x="43"/>
        <item h="1" x="61"/>
        <item h="1" x="62"/>
        <item h="1" x="44"/>
        <item h="1" x="63"/>
        <item h="1" x="51"/>
        <item h="1" x="64"/>
        <item h="1" x="99"/>
        <item h="1" x="45"/>
        <item h="1" x="65"/>
        <item h="1" x="66"/>
        <item x="46"/>
        <item x="0"/>
        <item x="67"/>
        <item x="104"/>
        <item x="68"/>
        <item x="108"/>
        <item x="1"/>
        <item x="47"/>
        <item x="69"/>
        <item x="70"/>
        <item x="2"/>
        <item h="1" x="71"/>
        <item h="1" x="52"/>
        <item h="1" x="72"/>
        <item h="1" x="100"/>
        <item h="1" x="3"/>
        <item h="1" x="73"/>
        <item h="1" x="74"/>
        <item h="1" x="4"/>
        <item h="1" x="75"/>
        <item h="1" x="105"/>
        <item h="1" x="76"/>
        <item h="1" x="109"/>
        <item h="1" x="5"/>
        <item h="1" x="48"/>
        <item h="1" x="77"/>
        <item h="1" x="78"/>
        <item h="1" x="6"/>
        <item h="1" x="79"/>
        <item h="1" x="53"/>
        <item h="1" x="80"/>
        <item h="1" x="101"/>
        <item h="1" x="7"/>
        <item h="1" x="81"/>
        <item h="1" x="82"/>
        <item h="1" x="8"/>
        <item h="1" x="106"/>
        <item h="1" x="83"/>
        <item h="1" x="84"/>
        <item h="1" x="110"/>
        <item h="1" x="9"/>
        <item h="1" x="49"/>
        <item h="1" x="85"/>
        <item h="1" x="86"/>
        <item h="1" x="10"/>
        <item h="1" x="87"/>
        <item h="1" x="54"/>
        <item h="1" x="88"/>
        <item h="1" x="102"/>
        <item h="1" x="11"/>
        <item h="1" x="89"/>
        <item h="1" x="90"/>
        <item h="1" x="12"/>
        <item h="1" x="91"/>
        <item h="1" x="92"/>
        <item h="1" x="13"/>
        <item h="1" x="50"/>
        <item h="1" x="93"/>
        <item h="1" x="94"/>
        <item h="1" x="14"/>
        <item h="1" x="95"/>
        <item h="1" x="96"/>
        <item h="1" x="15"/>
        <item h="1" x="97"/>
        <item h="1" x="98"/>
        <item h="1" x="16"/>
        <item h="1" m="1" x="137"/>
        <item h="1" m="1" x="113"/>
        <item h="1" x="17"/>
        <item h="1" m="1" x="147"/>
        <item h="1" m="1" x="139"/>
        <item h="1" x="18"/>
        <item h="1" m="1" x="131"/>
        <item h="1" m="1" x="112"/>
        <item h="1" x="19"/>
        <item h="1" m="1" x="125"/>
        <item h="1" m="1" x="129"/>
        <item h="1" x="20"/>
        <item h="1" m="1" x="138"/>
        <item h="1" m="1" x="115"/>
        <item h="1" x="21"/>
        <item h="1" m="1" x="148"/>
        <item h="1" m="1" x="141"/>
        <item h="1" x="22"/>
        <item h="1" m="1" x="132"/>
        <item h="1" m="1" x="114"/>
        <item h="1" x="23"/>
        <item h="1" m="1" x="126"/>
        <item h="1" m="1" x="121"/>
        <item h="1" x="24"/>
        <item h="1" m="1" x="140"/>
        <item h="1" m="1" x="117"/>
        <item h="1" x="25"/>
        <item h="1" m="1" x="149"/>
        <item h="1" m="1" x="143"/>
        <item h="1" x="26"/>
        <item h="1" m="1" x="134"/>
        <item h="1" m="1" x="116"/>
        <item h="1" x="27"/>
        <item h="1" m="1" x="127"/>
        <item h="1" m="1" x="123"/>
        <item h="1" x="28"/>
        <item h="1" m="1" x="142"/>
        <item h="1" m="1" x="119"/>
        <item h="1" x="29"/>
        <item h="1" m="1" x="150"/>
        <item h="1" m="1" x="145"/>
        <item h="1" x="30"/>
        <item h="1" m="1" x="135"/>
        <item h="1" m="1" x="118"/>
        <item h="1" x="31"/>
        <item h="1" m="1" x="128"/>
        <item h="1" m="1" x="124"/>
        <item h="1" x="32"/>
        <item h="1" m="1" x="144"/>
        <item h="1" m="1" x="122"/>
        <item h="1" x="33"/>
        <item h="1" m="1" x="151"/>
        <item h="1" m="1" x="146"/>
        <item h="1" x="34"/>
        <item h="1" m="1" x="136"/>
        <item h="1" m="1" x="120"/>
        <item h="1" x="35"/>
        <item h="1" m="1" x="130"/>
        <item h="1" m="1" x="133"/>
        <item h="1" x="36"/>
        <item h="1" x="37"/>
        <item t="default"/>
      </items>
    </pivotField>
    <pivotField dataField="1" compact="0" outline="0" showAll="0"/>
    <pivotField dataField="1" compact="0" outline="0" showAll="0"/>
    <pivotField compact="0" outline="0" showAll="0"/>
    <pivotField dataField="1" compact="0" outline="0" showAll="0"/>
    <pivotField dataField="1" compact="0" outline="0" showAll="0"/>
    <pivotField dataField="1" compact="0" outline="0" showAll="0" defaultSubtotal="0"/>
    <pivotField compact="0" outline="0" showAll="0"/>
    <pivotField dataField="1" compact="0" outline="0" showAll="0"/>
    <pivotField dataField="1" compact="0" outline="0" showAll="0"/>
  </pivotFields>
  <rowFields count="2">
    <field x="8"/>
    <field x="0"/>
  </rowFields>
  <rowItems count="47">
    <i>
      <x v="25"/>
      <x v="1"/>
    </i>
    <i r="1">
      <x v="2"/>
    </i>
    <i r="1">
      <x v="3"/>
    </i>
    <i r="1">
      <x v="4"/>
    </i>
    <i r="1">
      <x v="5"/>
    </i>
    <i r="1">
      <x v="6"/>
    </i>
    <i r="1">
      <x v="7"/>
    </i>
    <i t="default">
      <x v="25"/>
    </i>
    <i>
      <x v="26"/>
      <x/>
    </i>
    <i t="default">
      <x v="26"/>
    </i>
    <i>
      <x v="27"/>
      <x v="3"/>
    </i>
    <i r="1">
      <x v="7"/>
    </i>
    <i t="default">
      <x v="27"/>
    </i>
    <i>
      <x v="28"/>
      <x v="5"/>
    </i>
    <i t="default">
      <x v="28"/>
    </i>
    <i>
      <x v="29"/>
      <x v="3"/>
    </i>
    <i r="1">
      <x v="7"/>
    </i>
    <i t="default">
      <x v="29"/>
    </i>
    <i>
      <x v="30"/>
      <x v="6"/>
    </i>
    <i t="default">
      <x v="30"/>
    </i>
    <i>
      <x v="31"/>
      <x/>
    </i>
    <i r="1">
      <x v="1"/>
    </i>
    <i r="1">
      <x v="2"/>
    </i>
    <i r="1">
      <x v="3"/>
    </i>
    <i r="1">
      <x v="4"/>
    </i>
    <i r="1">
      <x v="5"/>
    </i>
    <i r="1">
      <x v="6"/>
    </i>
    <i r="1">
      <x v="7"/>
    </i>
    <i t="default">
      <x v="31"/>
    </i>
    <i>
      <x v="32"/>
      <x v="1"/>
    </i>
    <i t="default">
      <x v="32"/>
    </i>
    <i>
      <x v="33"/>
      <x v="3"/>
    </i>
    <i r="1">
      <x v="7"/>
    </i>
    <i t="default">
      <x v="33"/>
    </i>
    <i>
      <x v="34"/>
      <x v="3"/>
    </i>
    <i r="1">
      <x v="7"/>
    </i>
    <i t="default">
      <x v="34"/>
    </i>
    <i>
      <x v="35"/>
      <x/>
    </i>
    <i r="1">
      <x v="1"/>
    </i>
    <i r="1">
      <x v="2"/>
    </i>
    <i r="1">
      <x v="3"/>
    </i>
    <i r="1">
      <x v="4"/>
    </i>
    <i r="1">
      <x v="5"/>
    </i>
    <i r="1">
      <x v="6"/>
    </i>
    <i r="1">
      <x v="7"/>
    </i>
    <i t="default">
      <x v="35"/>
    </i>
    <i t="grand">
      <x/>
    </i>
  </rowItems>
  <colFields count="1">
    <field x="-2"/>
  </colFields>
  <colItems count="8">
    <i>
      <x/>
    </i>
    <i i="1">
      <x v="1"/>
    </i>
    <i i="2">
      <x v="2"/>
    </i>
    <i i="3">
      <x v="3"/>
    </i>
    <i i="4">
      <x v="4"/>
    </i>
    <i i="5">
      <x v="5"/>
    </i>
    <i i="6">
      <x v="6"/>
    </i>
    <i i="7">
      <x v="7"/>
    </i>
  </colItems>
  <dataFields count="8">
    <dataField name="Sum of Lease Liability" fld="9" baseField="8" baseItem="44" numFmtId="42"/>
    <dataField name="Sum of Interest" fld="10" baseField="8" baseItem="44" numFmtId="42"/>
    <dataField name="Sum of Principal" fld="12" baseField="8" baseItem="44" numFmtId="41"/>
    <dataField name="Sum of Closing Lease Liability" fld="13" baseField="8" baseItem="44" numFmtId="42"/>
    <dataField name="Sum of Total Rent" fld="3" baseField="0" baseItem="6" numFmtId="42"/>
    <dataField name="Sum of Prepaid" fld="14" baseField="0" baseItem="6" numFmtId="41"/>
    <dataField name="Sum of Depreciation" fld="16" baseField="8" baseItem="31" numFmtId="42"/>
    <dataField name="Sum of Right To Use Closing" fld="17" baseField="8" baseItem="31" numFmtId="42"/>
  </dataFields>
  <formats count="2">
    <format dxfId="6">
      <pivotArea type="all" dataOnly="0" outline="0" fieldPosition="0"/>
    </format>
    <format dxfId="5">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workbookViewId="0">
      <selection activeCell="B3" sqref="B3:K3"/>
    </sheetView>
  </sheetViews>
  <sheetFormatPr defaultRowHeight="12.75" x14ac:dyDescent="0.2"/>
  <cols>
    <col min="1" max="1" width="8.140625" style="3" customWidth="1"/>
    <col min="2" max="16384" width="9.140625" style="3"/>
  </cols>
  <sheetData>
    <row r="1" spans="1:11" x14ac:dyDescent="0.2">
      <c r="A1" s="64" t="s">
        <v>91</v>
      </c>
      <c r="B1" s="65"/>
      <c r="C1" s="65"/>
      <c r="D1" s="65"/>
      <c r="E1" s="65"/>
      <c r="F1" s="65"/>
      <c r="G1" s="65"/>
      <c r="H1" s="65"/>
      <c r="I1" s="65"/>
      <c r="J1" s="65"/>
      <c r="K1" s="65"/>
    </row>
    <row r="3" spans="1:11" x14ac:dyDescent="0.2">
      <c r="A3" s="15">
        <v>1</v>
      </c>
      <c r="B3" s="66" t="s">
        <v>92</v>
      </c>
      <c r="C3" s="66"/>
      <c r="D3" s="66"/>
      <c r="E3" s="66"/>
      <c r="F3" s="66"/>
      <c r="G3" s="66"/>
      <c r="H3" s="66"/>
      <c r="I3" s="66"/>
      <c r="J3" s="66"/>
      <c r="K3" s="66"/>
    </row>
    <row r="4" spans="1:11" ht="28.5" customHeight="1" x14ac:dyDescent="0.2">
      <c r="A4" s="63">
        <v>2</v>
      </c>
      <c r="B4" s="66" t="s">
        <v>93</v>
      </c>
      <c r="C4" s="66"/>
      <c r="D4" s="66"/>
      <c r="E4" s="66"/>
      <c r="F4" s="66"/>
      <c r="G4" s="66"/>
      <c r="H4" s="66"/>
      <c r="I4" s="66"/>
      <c r="J4" s="66"/>
      <c r="K4" s="66"/>
    </row>
    <row r="5" spans="1:11" x14ac:dyDescent="0.2">
      <c r="A5" s="15">
        <v>3</v>
      </c>
      <c r="B5" s="66" t="s">
        <v>94</v>
      </c>
      <c r="C5" s="66"/>
      <c r="D5" s="66"/>
      <c r="E5" s="66"/>
      <c r="F5" s="66"/>
      <c r="G5" s="66"/>
      <c r="H5" s="66"/>
      <c r="I5" s="66"/>
      <c r="J5" s="66"/>
      <c r="K5" s="66"/>
    </row>
    <row r="6" spans="1:11" ht="27.75" customHeight="1" x14ac:dyDescent="0.2">
      <c r="A6" s="63">
        <v>4</v>
      </c>
      <c r="B6" s="66" t="s">
        <v>95</v>
      </c>
      <c r="C6" s="66"/>
      <c r="D6" s="66"/>
      <c r="E6" s="66"/>
      <c r="F6" s="66"/>
      <c r="G6" s="66"/>
      <c r="H6" s="66"/>
      <c r="I6" s="66"/>
      <c r="J6" s="66"/>
      <c r="K6" s="66"/>
    </row>
    <row r="7" spans="1:11" ht="28.5" customHeight="1" x14ac:dyDescent="0.2">
      <c r="A7" s="63">
        <v>5</v>
      </c>
      <c r="B7" s="66" t="s">
        <v>96</v>
      </c>
      <c r="C7" s="66"/>
      <c r="D7" s="66"/>
      <c r="E7" s="66"/>
      <c r="F7" s="66"/>
      <c r="G7" s="66"/>
      <c r="H7" s="66"/>
      <c r="I7" s="66"/>
      <c r="J7" s="66"/>
      <c r="K7" s="66"/>
    </row>
    <row r="8" spans="1:11" ht="27.75" customHeight="1" x14ac:dyDescent="0.2">
      <c r="A8" s="63">
        <v>6</v>
      </c>
      <c r="B8" s="66" t="s">
        <v>97</v>
      </c>
      <c r="C8" s="66"/>
      <c r="D8" s="66"/>
      <c r="E8" s="66"/>
      <c r="F8" s="66"/>
      <c r="G8" s="66"/>
      <c r="H8" s="66"/>
      <c r="I8" s="66"/>
      <c r="J8" s="66"/>
      <c r="K8" s="66"/>
    </row>
    <row r="9" spans="1:11" ht="43.5" customHeight="1" x14ac:dyDescent="0.2">
      <c r="A9" s="63">
        <v>7</v>
      </c>
      <c r="B9" s="66" t="s">
        <v>144</v>
      </c>
      <c r="C9" s="66"/>
      <c r="D9" s="66"/>
      <c r="E9" s="66"/>
      <c r="F9" s="66"/>
      <c r="G9" s="66"/>
      <c r="H9" s="66"/>
      <c r="I9" s="66"/>
      <c r="J9" s="66"/>
      <c r="K9" s="66"/>
    </row>
    <row r="10" spans="1:11" ht="39.75" customHeight="1" x14ac:dyDescent="0.2">
      <c r="A10" s="63">
        <v>8</v>
      </c>
      <c r="B10" s="66" t="s">
        <v>145</v>
      </c>
      <c r="C10" s="66"/>
      <c r="D10" s="66"/>
      <c r="E10" s="66"/>
      <c r="F10" s="66"/>
      <c r="G10" s="66"/>
      <c r="H10" s="66"/>
      <c r="I10" s="66"/>
      <c r="J10" s="66"/>
      <c r="K10" s="66"/>
    </row>
    <row r="11" spans="1:11" ht="82.5" customHeight="1" x14ac:dyDescent="0.2">
      <c r="A11" s="63">
        <v>9</v>
      </c>
      <c r="B11" s="66" t="s">
        <v>146</v>
      </c>
      <c r="C11" s="66"/>
      <c r="D11" s="66"/>
      <c r="E11" s="66"/>
      <c r="F11" s="66"/>
      <c r="G11" s="66"/>
      <c r="H11" s="66"/>
      <c r="I11" s="66"/>
      <c r="J11" s="66"/>
      <c r="K11" s="66"/>
    </row>
    <row r="12" spans="1:11" x14ac:dyDescent="0.2">
      <c r="A12" s="63">
        <v>10</v>
      </c>
      <c r="B12" s="66" t="s">
        <v>147</v>
      </c>
      <c r="C12" s="66"/>
      <c r="D12" s="66"/>
      <c r="E12" s="66"/>
      <c r="F12" s="66"/>
      <c r="G12" s="66"/>
      <c r="H12" s="66"/>
      <c r="I12" s="66"/>
      <c r="J12" s="66"/>
      <c r="K12" s="66"/>
    </row>
    <row r="13" spans="1:11" ht="25.5" customHeight="1" x14ac:dyDescent="0.2">
      <c r="A13" s="63">
        <v>11</v>
      </c>
      <c r="B13" s="66" t="s">
        <v>148</v>
      </c>
      <c r="C13" s="66"/>
      <c r="D13" s="66"/>
      <c r="E13" s="66"/>
      <c r="F13" s="66"/>
      <c r="G13" s="66"/>
      <c r="H13" s="66"/>
      <c r="I13" s="66"/>
      <c r="J13" s="66"/>
      <c r="K13" s="66"/>
    </row>
    <row r="14" spans="1:11" ht="24.75" customHeight="1" x14ac:dyDescent="0.2">
      <c r="A14" s="63">
        <v>12</v>
      </c>
      <c r="B14" s="66" t="s">
        <v>149</v>
      </c>
      <c r="C14" s="66"/>
      <c r="D14" s="66"/>
      <c r="E14" s="66"/>
      <c r="F14" s="66"/>
      <c r="G14" s="66"/>
      <c r="H14" s="66"/>
      <c r="I14" s="66"/>
      <c r="J14" s="66"/>
      <c r="K14" s="66"/>
    </row>
    <row r="15" spans="1:11" x14ac:dyDescent="0.2">
      <c r="A15" s="63">
        <v>13</v>
      </c>
      <c r="B15" s="66" t="s">
        <v>150</v>
      </c>
      <c r="C15" s="66"/>
      <c r="D15" s="66"/>
      <c r="E15" s="66"/>
      <c r="F15" s="66"/>
      <c r="G15" s="66"/>
      <c r="H15" s="66"/>
      <c r="I15" s="66"/>
      <c r="J15" s="66"/>
      <c r="K15" s="66"/>
    </row>
    <row r="16" spans="1:11" ht="27" customHeight="1" x14ac:dyDescent="0.2">
      <c r="A16" s="63">
        <v>14</v>
      </c>
      <c r="B16" s="66" t="s">
        <v>152</v>
      </c>
      <c r="C16" s="66"/>
      <c r="D16" s="66"/>
      <c r="E16" s="66"/>
      <c r="F16" s="66"/>
      <c r="G16" s="66"/>
      <c r="H16" s="66"/>
      <c r="I16" s="66"/>
      <c r="J16" s="66"/>
      <c r="K16" s="66"/>
    </row>
    <row r="17" spans="1:11" x14ac:dyDescent="0.2">
      <c r="A17" s="63">
        <v>15</v>
      </c>
      <c r="B17" s="66" t="s">
        <v>151</v>
      </c>
      <c r="C17" s="66"/>
      <c r="D17" s="66"/>
      <c r="E17" s="66"/>
      <c r="F17" s="66"/>
      <c r="G17" s="66"/>
      <c r="H17" s="66"/>
      <c r="I17" s="66"/>
      <c r="J17" s="66"/>
      <c r="K17" s="66"/>
    </row>
    <row r="18" spans="1:11" x14ac:dyDescent="0.2">
      <c r="A18" s="63"/>
    </row>
    <row r="19" spans="1:11" x14ac:dyDescent="0.2">
      <c r="A19" s="63"/>
    </row>
    <row r="20" spans="1:11" x14ac:dyDescent="0.2">
      <c r="A20" s="63"/>
    </row>
    <row r="21" spans="1:11" x14ac:dyDescent="0.2">
      <c r="A21" s="63"/>
    </row>
    <row r="22" spans="1:11" x14ac:dyDescent="0.2">
      <c r="A22" s="15"/>
    </row>
    <row r="23" spans="1:11" x14ac:dyDescent="0.2">
      <c r="A23" s="15"/>
    </row>
    <row r="24" spans="1:11" x14ac:dyDescent="0.2">
      <c r="A24" s="15"/>
    </row>
    <row r="25" spans="1:11" x14ac:dyDescent="0.2">
      <c r="A25" s="15"/>
    </row>
    <row r="26" spans="1:11" x14ac:dyDescent="0.2">
      <c r="A26" s="15"/>
    </row>
    <row r="27" spans="1:11" x14ac:dyDescent="0.2">
      <c r="A27" s="15"/>
    </row>
    <row r="28" spans="1:11" x14ac:dyDescent="0.2">
      <c r="A28" s="15"/>
    </row>
    <row r="29" spans="1:11" x14ac:dyDescent="0.2">
      <c r="A29" s="15"/>
    </row>
    <row r="30" spans="1:11" x14ac:dyDescent="0.2">
      <c r="A30" s="15"/>
    </row>
    <row r="31" spans="1:11" x14ac:dyDescent="0.2">
      <c r="A31" s="15"/>
    </row>
  </sheetData>
  <mergeCells count="15">
    <mergeCell ref="B15:K15"/>
    <mergeCell ref="B17:K17"/>
    <mergeCell ref="B16:K16"/>
    <mergeCell ref="B9:K9"/>
    <mergeCell ref="B10:K10"/>
    <mergeCell ref="B11:K11"/>
    <mergeCell ref="B12:K12"/>
    <mergeCell ref="B13:K13"/>
    <mergeCell ref="B14:K14"/>
    <mergeCell ref="B3:K3"/>
    <mergeCell ref="B4:K4"/>
    <mergeCell ref="B5:K5"/>
    <mergeCell ref="B6:K6"/>
    <mergeCell ref="B7:K7"/>
    <mergeCell ref="B8:K8"/>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46"/>
  <sheetViews>
    <sheetView showGridLines="0" topLeftCell="M1" zoomScale="85" zoomScaleNormal="85" workbookViewId="0">
      <selection activeCell="M7" sqref="M7"/>
    </sheetView>
  </sheetViews>
  <sheetFormatPr defaultRowHeight="12.75" x14ac:dyDescent="0.2"/>
  <cols>
    <col min="1" max="1" width="13" style="3" bestFit="1" customWidth="1"/>
    <col min="2" max="2" width="12.85546875" style="3" bestFit="1" customWidth="1"/>
    <col min="3" max="3" width="19.5703125" style="3" customWidth="1"/>
    <col min="4" max="4" width="40" style="25" customWidth="1"/>
    <col min="5" max="5" width="20.140625" style="3" bestFit="1" customWidth="1"/>
    <col min="6" max="6" width="20.85546875" style="3" bestFit="1" customWidth="1"/>
    <col min="7" max="7" width="39.5703125" style="3" bestFit="1" customWidth="1"/>
    <col min="8" max="8" width="13.28515625" style="3" bestFit="1" customWidth="1"/>
    <col min="9" max="9" width="23.42578125" style="3" bestFit="1" customWidth="1"/>
    <col min="10" max="10" width="18.5703125" style="3" bestFit="1" customWidth="1"/>
    <col min="11" max="12" width="17.140625" style="9" bestFit="1" customWidth="1"/>
    <col min="13" max="13" width="18.140625" style="3" bestFit="1" customWidth="1"/>
    <col min="14" max="15" width="17" style="3" bestFit="1" customWidth="1"/>
    <col min="16" max="16" width="19" style="3" bestFit="1" customWidth="1"/>
    <col min="17" max="17" width="16.28515625" style="3" bestFit="1" customWidth="1"/>
    <col min="18" max="18" width="15.42578125" style="3" bestFit="1" customWidth="1"/>
    <col min="19" max="19" width="13.140625" style="26" bestFit="1" customWidth="1"/>
    <col min="20" max="20" width="21.7109375" style="26" bestFit="1" customWidth="1"/>
    <col min="21" max="129" width="18.7109375" style="3" bestFit="1" customWidth="1"/>
    <col min="130" max="16384" width="9.140625" style="3"/>
  </cols>
  <sheetData>
    <row r="1" spans="1:129" ht="25.5" x14ac:dyDescent="0.2">
      <c r="A1" s="57"/>
      <c r="B1" s="27" t="s">
        <v>87</v>
      </c>
      <c r="M1" s="63" t="s">
        <v>30</v>
      </c>
      <c r="N1" s="3" t="s">
        <v>27</v>
      </c>
      <c r="T1" s="1" t="s">
        <v>35</v>
      </c>
      <c r="U1" s="1" t="s">
        <v>36</v>
      </c>
      <c r="V1" s="2" t="s">
        <v>37</v>
      </c>
      <c r="W1" s="2" t="s">
        <v>89</v>
      </c>
    </row>
    <row r="2" spans="1:129" x14ac:dyDescent="0.2">
      <c r="A2" s="58"/>
      <c r="B2" s="27" t="s">
        <v>131</v>
      </c>
      <c r="M2" s="63" t="s">
        <v>31</v>
      </c>
      <c r="N2" s="3" t="s">
        <v>28</v>
      </c>
      <c r="T2" s="68">
        <f>W2/12</f>
        <v>7.4999999999999997E-3</v>
      </c>
      <c r="U2" s="68">
        <f>W2/4</f>
        <v>2.2499999999999999E-2</v>
      </c>
      <c r="V2" s="68">
        <f>W2/2</f>
        <v>4.4999999999999998E-2</v>
      </c>
      <c r="W2" s="67">
        <f>0.09/1</f>
        <v>0.09</v>
      </c>
    </row>
    <row r="3" spans="1:129" x14ac:dyDescent="0.2">
      <c r="A3" s="59"/>
      <c r="B3" s="14" t="s">
        <v>88</v>
      </c>
      <c r="M3" s="63" t="s">
        <v>32</v>
      </c>
    </row>
    <row r="4" spans="1:129" x14ac:dyDescent="0.2">
      <c r="M4" s="63" t="s">
        <v>33</v>
      </c>
    </row>
    <row r="5" spans="1:129" ht="13.5" thickBot="1" x14ac:dyDescent="0.25"/>
    <row r="6" spans="1:129" ht="63.75" x14ac:dyDescent="0.2">
      <c r="A6" s="60" t="s">
        <v>0</v>
      </c>
      <c r="B6" s="61" t="s">
        <v>34</v>
      </c>
      <c r="C6" s="61" t="s">
        <v>90</v>
      </c>
      <c r="D6" s="60" t="s">
        <v>1</v>
      </c>
      <c r="E6" s="61" t="s">
        <v>2</v>
      </c>
      <c r="F6" s="62" t="s">
        <v>3</v>
      </c>
      <c r="G6" s="62" t="s">
        <v>4</v>
      </c>
      <c r="H6" s="62" t="s">
        <v>5</v>
      </c>
      <c r="I6" s="62" t="s">
        <v>6</v>
      </c>
      <c r="J6" s="62" t="s">
        <v>7</v>
      </c>
      <c r="K6" s="62" t="s">
        <v>16</v>
      </c>
      <c r="L6" s="62" t="s">
        <v>8</v>
      </c>
      <c r="M6" s="62" t="s">
        <v>24</v>
      </c>
      <c r="N6" s="62" t="s">
        <v>25</v>
      </c>
      <c r="O6" s="62" t="s">
        <v>9</v>
      </c>
      <c r="P6" s="62" t="s">
        <v>10</v>
      </c>
      <c r="Q6" s="62" t="s">
        <v>11</v>
      </c>
      <c r="R6" s="62" t="s">
        <v>98</v>
      </c>
      <c r="S6" s="72" t="s">
        <v>29</v>
      </c>
      <c r="T6" s="84" t="s">
        <v>38</v>
      </c>
      <c r="U6" s="85">
        <v>0</v>
      </c>
      <c r="V6" s="85">
        <f>+U6+1</f>
        <v>1</v>
      </c>
      <c r="W6" s="85">
        <f t="shared" ref="W6:CI6" si="0">+V6+1</f>
        <v>2</v>
      </c>
      <c r="X6" s="85">
        <f t="shared" si="0"/>
        <v>3</v>
      </c>
      <c r="Y6" s="85">
        <f t="shared" si="0"/>
        <v>4</v>
      </c>
      <c r="Z6" s="85">
        <f t="shared" si="0"/>
        <v>5</v>
      </c>
      <c r="AA6" s="85">
        <f t="shared" si="0"/>
        <v>6</v>
      </c>
      <c r="AB6" s="85">
        <f t="shared" si="0"/>
        <v>7</v>
      </c>
      <c r="AC6" s="85">
        <f t="shared" si="0"/>
        <v>8</v>
      </c>
      <c r="AD6" s="85">
        <f t="shared" si="0"/>
        <v>9</v>
      </c>
      <c r="AE6" s="85">
        <f t="shared" si="0"/>
        <v>10</v>
      </c>
      <c r="AF6" s="85">
        <f t="shared" si="0"/>
        <v>11</v>
      </c>
      <c r="AG6" s="85">
        <f t="shared" si="0"/>
        <v>12</v>
      </c>
      <c r="AH6" s="85">
        <f t="shared" si="0"/>
        <v>13</v>
      </c>
      <c r="AI6" s="85">
        <f t="shared" si="0"/>
        <v>14</v>
      </c>
      <c r="AJ6" s="85">
        <f t="shared" si="0"/>
        <v>15</v>
      </c>
      <c r="AK6" s="85">
        <f t="shared" si="0"/>
        <v>16</v>
      </c>
      <c r="AL6" s="85">
        <f t="shared" si="0"/>
        <v>17</v>
      </c>
      <c r="AM6" s="85">
        <f t="shared" si="0"/>
        <v>18</v>
      </c>
      <c r="AN6" s="85">
        <f t="shared" si="0"/>
        <v>19</v>
      </c>
      <c r="AO6" s="85">
        <f t="shared" si="0"/>
        <v>20</v>
      </c>
      <c r="AP6" s="85">
        <f t="shared" si="0"/>
        <v>21</v>
      </c>
      <c r="AQ6" s="85">
        <f t="shared" si="0"/>
        <v>22</v>
      </c>
      <c r="AR6" s="85">
        <f t="shared" si="0"/>
        <v>23</v>
      </c>
      <c r="AS6" s="85">
        <f t="shared" si="0"/>
        <v>24</v>
      </c>
      <c r="AT6" s="85">
        <f t="shared" si="0"/>
        <v>25</v>
      </c>
      <c r="AU6" s="85">
        <f t="shared" si="0"/>
        <v>26</v>
      </c>
      <c r="AV6" s="85">
        <f t="shared" si="0"/>
        <v>27</v>
      </c>
      <c r="AW6" s="85">
        <f t="shared" si="0"/>
        <v>28</v>
      </c>
      <c r="AX6" s="85">
        <f t="shared" si="0"/>
        <v>29</v>
      </c>
      <c r="AY6" s="85">
        <f t="shared" si="0"/>
        <v>30</v>
      </c>
      <c r="AZ6" s="85">
        <f t="shared" si="0"/>
        <v>31</v>
      </c>
      <c r="BA6" s="85">
        <f t="shared" si="0"/>
        <v>32</v>
      </c>
      <c r="BB6" s="85">
        <f t="shared" si="0"/>
        <v>33</v>
      </c>
      <c r="BC6" s="85">
        <f t="shared" si="0"/>
        <v>34</v>
      </c>
      <c r="BD6" s="85">
        <f t="shared" si="0"/>
        <v>35</v>
      </c>
      <c r="BE6" s="85">
        <f t="shared" si="0"/>
        <v>36</v>
      </c>
      <c r="BF6" s="85">
        <f t="shared" si="0"/>
        <v>37</v>
      </c>
      <c r="BG6" s="85">
        <f t="shared" si="0"/>
        <v>38</v>
      </c>
      <c r="BH6" s="85">
        <f t="shared" si="0"/>
        <v>39</v>
      </c>
      <c r="BI6" s="85">
        <f t="shared" si="0"/>
        <v>40</v>
      </c>
      <c r="BJ6" s="85">
        <f t="shared" si="0"/>
        <v>41</v>
      </c>
      <c r="BK6" s="85">
        <f t="shared" si="0"/>
        <v>42</v>
      </c>
      <c r="BL6" s="85">
        <f t="shared" si="0"/>
        <v>43</v>
      </c>
      <c r="BM6" s="85">
        <f t="shared" si="0"/>
        <v>44</v>
      </c>
      <c r="BN6" s="85">
        <f t="shared" si="0"/>
        <v>45</v>
      </c>
      <c r="BO6" s="85">
        <f t="shared" si="0"/>
        <v>46</v>
      </c>
      <c r="BP6" s="85">
        <f t="shared" si="0"/>
        <v>47</v>
      </c>
      <c r="BQ6" s="85">
        <f t="shared" si="0"/>
        <v>48</v>
      </c>
      <c r="BR6" s="85">
        <f t="shared" si="0"/>
        <v>49</v>
      </c>
      <c r="BS6" s="85">
        <f t="shared" si="0"/>
        <v>50</v>
      </c>
      <c r="BT6" s="85">
        <f t="shared" si="0"/>
        <v>51</v>
      </c>
      <c r="BU6" s="85">
        <f t="shared" si="0"/>
        <v>52</v>
      </c>
      <c r="BV6" s="85">
        <f t="shared" si="0"/>
        <v>53</v>
      </c>
      <c r="BW6" s="85">
        <f t="shared" si="0"/>
        <v>54</v>
      </c>
      <c r="BX6" s="85">
        <f t="shared" si="0"/>
        <v>55</v>
      </c>
      <c r="BY6" s="85">
        <f t="shared" si="0"/>
        <v>56</v>
      </c>
      <c r="BZ6" s="85">
        <f t="shared" si="0"/>
        <v>57</v>
      </c>
      <c r="CA6" s="85">
        <f t="shared" si="0"/>
        <v>58</v>
      </c>
      <c r="CB6" s="85">
        <f t="shared" si="0"/>
        <v>59</v>
      </c>
      <c r="CC6" s="85">
        <f t="shared" si="0"/>
        <v>60</v>
      </c>
      <c r="CD6" s="85">
        <f t="shared" si="0"/>
        <v>61</v>
      </c>
      <c r="CE6" s="85">
        <f t="shared" si="0"/>
        <v>62</v>
      </c>
      <c r="CF6" s="85">
        <f t="shared" si="0"/>
        <v>63</v>
      </c>
      <c r="CG6" s="85">
        <f t="shared" si="0"/>
        <v>64</v>
      </c>
      <c r="CH6" s="85">
        <f t="shared" si="0"/>
        <v>65</v>
      </c>
      <c r="CI6" s="85">
        <f t="shared" si="0"/>
        <v>66</v>
      </c>
      <c r="CJ6" s="85">
        <f t="shared" ref="CJ6:DY6" si="1">+CI6+1</f>
        <v>67</v>
      </c>
      <c r="CK6" s="85">
        <f t="shared" si="1"/>
        <v>68</v>
      </c>
      <c r="CL6" s="85">
        <f t="shared" si="1"/>
        <v>69</v>
      </c>
      <c r="CM6" s="85">
        <f t="shared" si="1"/>
        <v>70</v>
      </c>
      <c r="CN6" s="85">
        <f t="shared" si="1"/>
        <v>71</v>
      </c>
      <c r="CO6" s="85">
        <f t="shared" si="1"/>
        <v>72</v>
      </c>
      <c r="CP6" s="85">
        <f t="shared" si="1"/>
        <v>73</v>
      </c>
      <c r="CQ6" s="85">
        <f t="shared" si="1"/>
        <v>74</v>
      </c>
      <c r="CR6" s="85">
        <f t="shared" si="1"/>
        <v>75</v>
      </c>
      <c r="CS6" s="85">
        <f t="shared" si="1"/>
        <v>76</v>
      </c>
      <c r="CT6" s="85">
        <f t="shared" si="1"/>
        <v>77</v>
      </c>
      <c r="CU6" s="85">
        <f t="shared" si="1"/>
        <v>78</v>
      </c>
      <c r="CV6" s="85">
        <f t="shared" si="1"/>
        <v>79</v>
      </c>
      <c r="CW6" s="85">
        <f t="shared" si="1"/>
        <v>80</v>
      </c>
      <c r="CX6" s="85">
        <f t="shared" si="1"/>
        <v>81</v>
      </c>
      <c r="CY6" s="85">
        <f t="shared" si="1"/>
        <v>82</v>
      </c>
      <c r="CZ6" s="85">
        <f t="shared" si="1"/>
        <v>83</v>
      </c>
      <c r="DA6" s="85">
        <f t="shared" si="1"/>
        <v>84</v>
      </c>
      <c r="DB6" s="85">
        <f t="shared" si="1"/>
        <v>85</v>
      </c>
      <c r="DC6" s="85">
        <f t="shared" si="1"/>
        <v>86</v>
      </c>
      <c r="DD6" s="85">
        <f t="shared" si="1"/>
        <v>87</v>
      </c>
      <c r="DE6" s="85">
        <f t="shared" si="1"/>
        <v>88</v>
      </c>
      <c r="DF6" s="85">
        <f t="shared" si="1"/>
        <v>89</v>
      </c>
      <c r="DG6" s="85">
        <f t="shared" si="1"/>
        <v>90</v>
      </c>
      <c r="DH6" s="85">
        <f t="shared" si="1"/>
        <v>91</v>
      </c>
      <c r="DI6" s="85">
        <f t="shared" si="1"/>
        <v>92</v>
      </c>
      <c r="DJ6" s="85">
        <f t="shared" si="1"/>
        <v>93</v>
      </c>
      <c r="DK6" s="85">
        <f t="shared" si="1"/>
        <v>94</v>
      </c>
      <c r="DL6" s="85">
        <f t="shared" si="1"/>
        <v>95</v>
      </c>
      <c r="DM6" s="85">
        <f t="shared" si="1"/>
        <v>96</v>
      </c>
      <c r="DN6" s="85">
        <f t="shared" si="1"/>
        <v>97</v>
      </c>
      <c r="DO6" s="85">
        <f t="shared" si="1"/>
        <v>98</v>
      </c>
      <c r="DP6" s="85">
        <f t="shared" si="1"/>
        <v>99</v>
      </c>
      <c r="DQ6" s="85">
        <f t="shared" si="1"/>
        <v>100</v>
      </c>
      <c r="DR6" s="85">
        <f t="shared" si="1"/>
        <v>101</v>
      </c>
      <c r="DS6" s="85">
        <f t="shared" si="1"/>
        <v>102</v>
      </c>
      <c r="DT6" s="85">
        <f t="shared" si="1"/>
        <v>103</v>
      </c>
      <c r="DU6" s="85">
        <f t="shared" si="1"/>
        <v>104</v>
      </c>
      <c r="DV6" s="85">
        <f t="shared" si="1"/>
        <v>105</v>
      </c>
      <c r="DW6" s="85">
        <f t="shared" si="1"/>
        <v>106</v>
      </c>
      <c r="DX6" s="85">
        <f t="shared" si="1"/>
        <v>107</v>
      </c>
      <c r="DY6" s="86">
        <f t="shared" si="1"/>
        <v>108</v>
      </c>
    </row>
    <row r="7" spans="1:129" s="26" customFormat="1" x14ac:dyDescent="0.25">
      <c r="A7" s="28">
        <v>1001</v>
      </c>
      <c r="B7" s="28" t="s">
        <v>100</v>
      </c>
      <c r="C7" s="29" t="s">
        <v>107</v>
      </c>
      <c r="D7" s="29" t="s">
        <v>106</v>
      </c>
      <c r="E7" s="30" t="s">
        <v>23</v>
      </c>
      <c r="F7" s="30" t="s">
        <v>14</v>
      </c>
      <c r="G7" s="31" t="s">
        <v>102</v>
      </c>
      <c r="H7" s="30" t="s">
        <v>15</v>
      </c>
      <c r="I7" s="32">
        <v>43556</v>
      </c>
      <c r="J7" s="32">
        <v>46843</v>
      </c>
      <c r="K7" s="33">
        <v>800000</v>
      </c>
      <c r="L7" s="33">
        <f>+K7*12</f>
        <v>9600000</v>
      </c>
      <c r="M7" s="30" t="s">
        <v>30</v>
      </c>
      <c r="N7" s="30"/>
      <c r="O7" s="30" t="s">
        <v>18</v>
      </c>
      <c r="P7" s="34">
        <v>0.03</v>
      </c>
      <c r="Q7" s="30"/>
      <c r="R7" s="28" t="s">
        <v>39</v>
      </c>
      <c r="S7" s="73"/>
      <c r="T7" s="76">
        <f>SUM(U7:DY7)</f>
        <v>65519205.285927117</v>
      </c>
      <c r="U7" s="70"/>
      <c r="V7" s="70">
        <f t="shared" ref="V7:AG7" si="2">PV($T$2,V$6,,-$K7)</f>
        <v>794044.66501240688</v>
      </c>
      <c r="W7" s="70">
        <f t="shared" si="2"/>
        <v>788133.66254333174</v>
      </c>
      <c r="X7" s="70">
        <f t="shared" si="2"/>
        <v>782266.6625740265</v>
      </c>
      <c r="Y7" s="70">
        <f t="shared" si="2"/>
        <v>776443.33754245809</v>
      </c>
      <c r="Z7" s="70">
        <f t="shared" si="2"/>
        <v>770663.36232502037</v>
      </c>
      <c r="AA7" s="70">
        <f t="shared" si="2"/>
        <v>764926.41421838233</v>
      </c>
      <c r="AB7" s="70">
        <f t="shared" si="2"/>
        <v>759232.17292147118</v>
      </c>
      <c r="AC7" s="70">
        <f t="shared" si="2"/>
        <v>753580.32051758934</v>
      </c>
      <c r="AD7" s="70">
        <f t="shared" si="2"/>
        <v>747970.54145666433</v>
      </c>
      <c r="AE7" s="70">
        <f t="shared" si="2"/>
        <v>742402.52253763191</v>
      </c>
      <c r="AF7" s="70">
        <f t="shared" si="2"/>
        <v>736875.95289094979</v>
      </c>
      <c r="AG7" s="70">
        <f t="shared" si="2"/>
        <v>731390.52396124031</v>
      </c>
      <c r="AH7" s="70">
        <f t="shared" ref="AH7:AS7" si="3">PV($T$2,AH$6,,-$K7*1.03)</f>
        <v>747724.30737476691</v>
      </c>
      <c r="AI7" s="70">
        <f t="shared" si="3"/>
        <v>742158.12146378821</v>
      </c>
      <c r="AJ7" s="70">
        <f t="shared" si="3"/>
        <v>736633.37117993855</v>
      </c>
      <c r="AK7" s="70">
        <f t="shared" si="3"/>
        <v>731149.74806941801</v>
      </c>
      <c r="AL7" s="70">
        <f t="shared" si="3"/>
        <v>725706.94597460842</v>
      </c>
      <c r="AM7" s="70">
        <f t="shared" si="3"/>
        <v>720304.66101698088</v>
      </c>
      <c r="AN7" s="70">
        <f t="shared" si="3"/>
        <v>714942.59158012993</v>
      </c>
      <c r="AO7" s="70">
        <f t="shared" si="3"/>
        <v>709620.43829293281</v>
      </c>
      <c r="AP7" s="70">
        <f t="shared" si="3"/>
        <v>704337.90401283663</v>
      </c>
      <c r="AQ7" s="70">
        <f t="shared" si="3"/>
        <v>699094.6938092669</v>
      </c>
      <c r="AR7" s="70">
        <f t="shared" si="3"/>
        <v>693890.51494716317</v>
      </c>
      <c r="AS7" s="70">
        <f t="shared" si="3"/>
        <v>688725.07687063341</v>
      </c>
      <c r="AT7" s="70">
        <f t="shared" ref="AT7:BE7" si="4">PV($T$2,AT$6,,-$K7*1.03^2)</f>
        <v>704106.03392233478</v>
      </c>
      <c r="AU7" s="70">
        <f t="shared" si="4"/>
        <v>698864.54979884345</v>
      </c>
      <c r="AV7" s="70">
        <f t="shared" si="4"/>
        <v>693662.08416758652</v>
      </c>
      <c r="AW7" s="70">
        <f t="shared" si="4"/>
        <v>688498.3465683239</v>
      </c>
      <c r="AX7" s="70">
        <f t="shared" si="4"/>
        <v>683373.04870305117</v>
      </c>
      <c r="AY7" s="70">
        <f t="shared" si="4"/>
        <v>678285.90441990166</v>
      </c>
      <c r="AZ7" s="70">
        <f t="shared" si="4"/>
        <v>673236.62969717279</v>
      </c>
      <c r="BA7" s="70">
        <f t="shared" si="4"/>
        <v>668224.94262746687</v>
      </c>
      <c r="BB7" s="70">
        <f t="shared" si="4"/>
        <v>663250.56340195227</v>
      </c>
      <c r="BC7" s="70">
        <f t="shared" si="4"/>
        <v>658313.21429474151</v>
      </c>
      <c r="BD7" s="70">
        <f t="shared" si="4"/>
        <v>653412.61964738602</v>
      </c>
      <c r="BE7" s="70">
        <f t="shared" si="4"/>
        <v>648548.50585348497</v>
      </c>
      <c r="BF7" s="70">
        <f t="shared" ref="BF7:BQ7" si="5">PV($T$2,BF$6,,-$K7*1.03^3)</f>
        <v>663032.21938371158</v>
      </c>
      <c r="BG7" s="70">
        <f t="shared" si="5"/>
        <v>658096.49566621485</v>
      </c>
      <c r="BH7" s="70">
        <f t="shared" si="5"/>
        <v>653197.51430889801</v>
      </c>
      <c r="BI7" s="70">
        <f t="shared" si="5"/>
        <v>648335.0017954323</v>
      </c>
      <c r="BJ7" s="70">
        <f t="shared" si="5"/>
        <v>643508.68664559035</v>
      </c>
      <c r="BK7" s="70">
        <f t="shared" si="5"/>
        <v>638718.29940008954</v>
      </c>
      <c r="BL7" s="70">
        <f t="shared" si="5"/>
        <v>633963.57260554784</v>
      </c>
      <c r="BM7" s="70">
        <f t="shared" si="5"/>
        <v>629244.24079955113</v>
      </c>
      <c r="BN7" s="70">
        <f t="shared" si="5"/>
        <v>624560.04049583245</v>
      </c>
      <c r="BO7" s="70">
        <f t="shared" si="5"/>
        <v>619910.71016956063</v>
      </c>
      <c r="BP7" s="70">
        <f t="shared" si="5"/>
        <v>615295.99024274002</v>
      </c>
      <c r="BQ7" s="70">
        <f t="shared" si="5"/>
        <v>610715.62306971708</v>
      </c>
      <c r="BR7" s="70">
        <f t="shared" ref="BR7:CC7" si="6">PV($T$2,BR$6,,-$K7*1.03^4)</f>
        <v>624354.43351047998</v>
      </c>
      <c r="BS7" s="70">
        <f t="shared" si="6"/>
        <v>619706.63375730009</v>
      </c>
      <c r="BT7" s="70">
        <f t="shared" si="6"/>
        <v>615093.43300972716</v>
      </c>
      <c r="BU7" s="70">
        <f t="shared" si="6"/>
        <v>610514.57370692503</v>
      </c>
      <c r="BV7" s="70">
        <f t="shared" si="6"/>
        <v>605969.80020538473</v>
      </c>
      <c r="BW7" s="70">
        <f t="shared" si="6"/>
        <v>601458.85876464972</v>
      </c>
      <c r="BX7" s="70">
        <f t="shared" si="6"/>
        <v>596981.49753315106</v>
      </c>
      <c r="BY7" s="70">
        <f t="shared" si="6"/>
        <v>592537.46653414494</v>
      </c>
      <c r="BZ7" s="70">
        <f t="shared" si="6"/>
        <v>588126.51765175676</v>
      </c>
      <c r="CA7" s="70">
        <f t="shared" si="6"/>
        <v>583748.4046171282</v>
      </c>
      <c r="CB7" s="70">
        <f t="shared" si="6"/>
        <v>579402.88299466821</v>
      </c>
      <c r="CC7" s="70">
        <f t="shared" si="6"/>
        <v>575089.71016840497</v>
      </c>
      <c r="CD7" s="70">
        <f t="shared" ref="CD7:CO7" si="7">PV($T$2,CD$6,,-$K7*1.03^5)</f>
        <v>587932.90468829498</v>
      </c>
      <c r="CE7" s="70">
        <f t="shared" si="7"/>
        <v>583556.23294123553</v>
      </c>
      <c r="CF7" s="70">
        <f t="shared" si="7"/>
        <v>579212.14187715668</v>
      </c>
      <c r="CG7" s="70">
        <f t="shared" si="7"/>
        <v>574900.38895995717</v>
      </c>
      <c r="CH7" s="70">
        <f t="shared" si="7"/>
        <v>570620.73345901456</v>
      </c>
      <c r="CI7" s="70">
        <f t="shared" si="7"/>
        <v>566372.93643574638</v>
      </c>
      <c r="CJ7" s="70">
        <f t="shared" si="7"/>
        <v>562156.76073026925</v>
      </c>
      <c r="CK7" s="70">
        <f t="shared" si="7"/>
        <v>557971.97094815806</v>
      </c>
      <c r="CL7" s="70">
        <f t="shared" si="7"/>
        <v>553818.33344730327</v>
      </c>
      <c r="CM7" s="70">
        <f t="shared" si="7"/>
        <v>549695.61632486666</v>
      </c>
      <c r="CN7" s="70">
        <f t="shared" si="7"/>
        <v>545603.58940433408</v>
      </c>
      <c r="CO7" s="70">
        <f t="shared" si="7"/>
        <v>541542.02422266407</v>
      </c>
      <c r="CP7" s="70">
        <f t="shared" ref="CP7:DA7" si="8">PV($T$2,CP$6,,-$K7*1.03^6)</f>
        <v>553636.01483805862</v>
      </c>
      <c r="CQ7" s="70">
        <f t="shared" si="8"/>
        <v>549514.65492611274</v>
      </c>
      <c r="CR7" s="70">
        <f t="shared" si="8"/>
        <v>545423.97511276684</v>
      </c>
      <c r="CS7" s="70">
        <f t="shared" si="8"/>
        <v>541363.74701019039</v>
      </c>
      <c r="CT7" s="70">
        <f t="shared" si="8"/>
        <v>537333.74393071013</v>
      </c>
      <c r="CU7" s="70">
        <f t="shared" si="8"/>
        <v>533333.74087415379</v>
      </c>
      <c r="CV7" s="70">
        <f t="shared" si="8"/>
        <v>529363.51451528911</v>
      </c>
      <c r="CW7" s="70">
        <f t="shared" si="8"/>
        <v>525422.84319135395</v>
      </c>
      <c r="CX7" s="70">
        <f t="shared" si="8"/>
        <v>521511.50688968127</v>
      </c>
      <c r="CY7" s="70">
        <f t="shared" si="8"/>
        <v>517629.2872354156</v>
      </c>
      <c r="CZ7" s="70">
        <f t="shared" si="8"/>
        <v>513775.96747932071</v>
      </c>
      <c r="DA7" s="70">
        <f t="shared" si="8"/>
        <v>509951.33248567802</v>
      </c>
      <c r="DB7" s="70">
        <f t="shared" ref="DB7:DM7" si="9">PV($T$2,DB$6,,-$K7*1.03^7)</f>
        <v>521339.82378188433</v>
      </c>
      <c r="DC7" s="70">
        <f t="shared" si="9"/>
        <v>517458.88216564181</v>
      </c>
      <c r="DD7" s="70">
        <f t="shared" si="9"/>
        <v>513606.83093363955</v>
      </c>
      <c r="DE7" s="70">
        <f t="shared" si="9"/>
        <v>509783.45502098219</v>
      </c>
      <c r="DF7" s="70">
        <f t="shared" si="9"/>
        <v>505988.54096375394</v>
      </c>
      <c r="DG7" s="70">
        <f t="shared" si="9"/>
        <v>502221.87688710063</v>
      </c>
      <c r="DH7" s="70">
        <f t="shared" si="9"/>
        <v>498483.25249340013</v>
      </c>
      <c r="DI7" s="70">
        <f t="shared" si="9"/>
        <v>494772.45905052108</v>
      </c>
      <c r="DJ7" s="70">
        <f t="shared" si="9"/>
        <v>491089.28938016988</v>
      </c>
      <c r="DK7" s="70">
        <f t="shared" si="9"/>
        <v>487433.53784632229</v>
      </c>
      <c r="DL7" s="70">
        <f t="shared" si="9"/>
        <v>483805.00034374418</v>
      </c>
      <c r="DM7" s="70">
        <f t="shared" si="9"/>
        <v>480203.47428659484</v>
      </c>
      <c r="DN7" s="70">
        <f t="shared" ref="DN7:DY7" si="10">PV($T$2,DN$6,,-$K7*1.03^8)</f>
        <v>490927.62135502981</v>
      </c>
      <c r="DO7" s="70">
        <f t="shared" si="10"/>
        <v>487273.07330524037</v>
      </c>
      <c r="DP7" s="70">
        <f t="shared" si="10"/>
        <v>483645.73032778199</v>
      </c>
      <c r="DQ7" s="70">
        <f t="shared" si="10"/>
        <v>480045.38990350574</v>
      </c>
      <c r="DR7" s="70">
        <f t="shared" si="10"/>
        <v>476471.85102084931</v>
      </c>
      <c r="DS7" s="70">
        <f t="shared" si="10"/>
        <v>472924.91416461463</v>
      </c>
      <c r="DT7" s="70">
        <f t="shared" si="10"/>
        <v>469404.38130482839</v>
      </c>
      <c r="DU7" s="70">
        <f t="shared" si="10"/>
        <v>465910.05588568572</v>
      </c>
      <c r="DV7" s="70">
        <f t="shared" si="10"/>
        <v>462441.74281457643</v>
      </c>
      <c r="DW7" s="70">
        <f t="shared" si="10"/>
        <v>458999.2484511924</v>
      </c>
      <c r="DX7" s="70">
        <f t="shared" si="10"/>
        <v>455582.38059671695</v>
      </c>
      <c r="DY7" s="77">
        <f t="shared" si="10"/>
        <v>452190.9484830937</v>
      </c>
    </row>
    <row r="8" spans="1:129" s="26" customFormat="1" x14ac:dyDescent="0.25">
      <c r="A8" s="28">
        <f t="shared" ref="A8:A29" si="11">+A7+1</f>
        <v>1002</v>
      </c>
      <c r="B8" s="28" t="s">
        <v>99</v>
      </c>
      <c r="C8" s="36" t="s">
        <v>108</v>
      </c>
      <c r="D8" s="36" t="s">
        <v>111</v>
      </c>
      <c r="E8" s="30" t="s">
        <v>17</v>
      </c>
      <c r="F8" s="30" t="s">
        <v>17</v>
      </c>
      <c r="G8" s="37" t="s">
        <v>103</v>
      </c>
      <c r="H8" s="30" t="s">
        <v>15</v>
      </c>
      <c r="I8" s="32">
        <v>42943</v>
      </c>
      <c r="J8" s="32">
        <v>44769</v>
      </c>
      <c r="K8" s="38">
        <v>140841.67000000001</v>
      </c>
      <c r="L8" s="33">
        <v>1690100</v>
      </c>
      <c r="M8" s="30" t="s">
        <v>33</v>
      </c>
      <c r="N8" s="30" t="s">
        <v>27</v>
      </c>
      <c r="O8" s="30" t="s">
        <v>18</v>
      </c>
      <c r="P8" s="34">
        <v>0.1</v>
      </c>
      <c r="Q8" s="30" t="s">
        <v>12</v>
      </c>
      <c r="R8" s="28" t="s">
        <v>21</v>
      </c>
      <c r="S8" s="73"/>
      <c r="T8" s="76">
        <f t="shared" ref="T8:T27" si="12">SUM(U8:CH8)</f>
        <v>8606984.1065377723</v>
      </c>
      <c r="U8" s="71">
        <f>+PV($W$2,U$6,,-$L8)</f>
        <v>1690100</v>
      </c>
      <c r="V8" s="71">
        <f>+PV($W$2,V$6,,-$L8*1.1)</f>
        <v>1705605.504587156</v>
      </c>
      <c r="W8" s="71">
        <f>+PV($W$2,W$6,,-$L8*1.1^2)</f>
        <v>1721253.2615099738</v>
      </c>
      <c r="X8" s="71">
        <f>+PV($W$2,X$6,,-$L8*1.1^3)</f>
        <v>1737044.5758357537</v>
      </c>
      <c r="Y8" s="71">
        <f>+PV($W$2,Y$6,,-$L8*1.1^4)</f>
        <v>1752980.7646048889</v>
      </c>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78"/>
    </row>
    <row r="9" spans="1:129" s="26" customFormat="1" x14ac:dyDescent="0.25">
      <c r="A9" s="28">
        <f t="shared" si="11"/>
        <v>1003</v>
      </c>
      <c r="B9" s="28" t="s">
        <v>101</v>
      </c>
      <c r="C9" s="39" t="s">
        <v>109</v>
      </c>
      <c r="D9" s="29" t="s">
        <v>112</v>
      </c>
      <c r="E9" s="30" t="s">
        <v>17</v>
      </c>
      <c r="F9" s="30" t="s">
        <v>17</v>
      </c>
      <c r="G9" s="31" t="s">
        <v>104</v>
      </c>
      <c r="H9" s="30" t="s">
        <v>15</v>
      </c>
      <c r="I9" s="32">
        <v>43410</v>
      </c>
      <c r="J9" s="32">
        <v>44506</v>
      </c>
      <c r="K9" s="40">
        <v>76389</v>
      </c>
      <c r="L9" s="40">
        <v>916668</v>
      </c>
      <c r="M9" s="30" t="s">
        <v>33</v>
      </c>
      <c r="N9" s="30" t="s">
        <v>27</v>
      </c>
      <c r="O9" s="30" t="s">
        <v>19</v>
      </c>
      <c r="P9" s="69">
        <f>IF(O9="No",0,"Ërror")</f>
        <v>0</v>
      </c>
      <c r="Q9" s="30" t="s">
        <v>12</v>
      </c>
      <c r="R9" s="28" t="s">
        <v>20</v>
      </c>
      <c r="S9" s="73"/>
      <c r="T9" s="76">
        <f t="shared" si="12"/>
        <v>2529188.9325814322</v>
      </c>
      <c r="U9" s="71">
        <f>+PV($W$2,U$6,,-$L9)</f>
        <v>916668</v>
      </c>
      <c r="V9" s="71">
        <f>+PV($W$2,V$6,,-$L9)</f>
        <v>840979.81651376141</v>
      </c>
      <c r="W9" s="71">
        <f>+PV($W$2,W$6,,-$L9)</f>
        <v>771541.11606767098</v>
      </c>
      <c r="X9" s="71"/>
      <c r="Y9" s="71"/>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78"/>
    </row>
    <row r="10" spans="1:129" s="26" customFormat="1" x14ac:dyDescent="0.25">
      <c r="A10" s="28">
        <f t="shared" si="11"/>
        <v>1004</v>
      </c>
      <c r="B10" s="28" t="s">
        <v>116</v>
      </c>
      <c r="C10" s="29" t="s">
        <v>110</v>
      </c>
      <c r="D10" s="29" t="s">
        <v>113</v>
      </c>
      <c r="E10" s="30" t="s">
        <v>13</v>
      </c>
      <c r="F10" s="30" t="s">
        <v>14</v>
      </c>
      <c r="G10" s="31" t="s">
        <v>105</v>
      </c>
      <c r="H10" s="30" t="s">
        <v>15</v>
      </c>
      <c r="I10" s="32">
        <v>43040</v>
      </c>
      <c r="J10" s="32">
        <v>45016</v>
      </c>
      <c r="K10" s="33">
        <v>75000</v>
      </c>
      <c r="L10" s="33">
        <v>900000</v>
      </c>
      <c r="M10" s="30" t="s">
        <v>30</v>
      </c>
      <c r="N10" s="30" t="s">
        <v>27</v>
      </c>
      <c r="O10" s="30" t="s">
        <v>18</v>
      </c>
      <c r="P10" s="34">
        <v>0.1</v>
      </c>
      <c r="Q10" s="30" t="s">
        <v>12</v>
      </c>
      <c r="R10" s="28" t="s">
        <v>22</v>
      </c>
      <c r="S10" s="73"/>
      <c r="T10" s="76">
        <f t="shared" si="12"/>
        <v>4749489.7180785537</v>
      </c>
      <c r="U10" s="70">
        <f t="shared" ref="U10:AF10" si="13">PV($T$2,U$6,,-$K10)</f>
        <v>75000</v>
      </c>
      <c r="V10" s="70">
        <f t="shared" si="13"/>
        <v>74441.687344913153</v>
      </c>
      <c r="W10" s="70">
        <f t="shared" si="13"/>
        <v>73887.53086343735</v>
      </c>
      <c r="X10" s="70">
        <f t="shared" si="13"/>
        <v>73337.499616314992</v>
      </c>
      <c r="Y10" s="70">
        <f t="shared" si="13"/>
        <v>72791.562894605435</v>
      </c>
      <c r="Z10" s="70">
        <f t="shared" si="13"/>
        <v>72249.690217970667</v>
      </c>
      <c r="AA10" s="70">
        <f t="shared" si="13"/>
        <v>71711.85133297334</v>
      </c>
      <c r="AB10" s="70">
        <f t="shared" si="13"/>
        <v>71178.01621138792</v>
      </c>
      <c r="AC10" s="70">
        <f t="shared" si="13"/>
        <v>70648.155048524</v>
      </c>
      <c r="AD10" s="70">
        <f t="shared" si="13"/>
        <v>70122.238261562277</v>
      </c>
      <c r="AE10" s="70">
        <f t="shared" si="13"/>
        <v>69600.236487902992</v>
      </c>
      <c r="AF10" s="70">
        <f t="shared" si="13"/>
        <v>69082.120583526543</v>
      </c>
      <c r="AG10" s="70">
        <f t="shared" ref="AG10:AR10" si="14">PV($T$2,AG$6,,-$K10*1.1)</f>
        <v>75424.647783502907</v>
      </c>
      <c r="AH10" s="70">
        <f t="shared" si="14"/>
        <v>74863.173978662948</v>
      </c>
      <c r="AI10" s="70">
        <f t="shared" si="14"/>
        <v>74305.879879566171</v>
      </c>
      <c r="AJ10" s="70">
        <f t="shared" si="14"/>
        <v>73752.734371777828</v>
      </c>
      <c r="AK10" s="70">
        <f t="shared" si="14"/>
        <v>73203.70657248421</v>
      </c>
      <c r="AL10" s="70">
        <f t="shared" si="14"/>
        <v>72658.765828768446</v>
      </c>
      <c r="AM10" s="70">
        <f t="shared" si="14"/>
        <v>72117.881715899188</v>
      </c>
      <c r="AN10" s="70">
        <f t="shared" si="14"/>
        <v>71581.024035631941</v>
      </c>
      <c r="AO10" s="70">
        <f t="shared" si="14"/>
        <v>71048.162814523006</v>
      </c>
      <c r="AP10" s="70">
        <f t="shared" si="14"/>
        <v>70519.268302256096</v>
      </c>
      <c r="AQ10" s="70">
        <f t="shared" si="14"/>
        <v>69994.310969981219</v>
      </c>
      <c r="AR10" s="70">
        <f t="shared" si="14"/>
        <v>69473.261508666212</v>
      </c>
      <c r="AS10" s="70">
        <f t="shared" ref="AS10:BD10" si="15">PV($T$2,AS$6,,-$K10*1.1^2)</f>
        <v>75851.699910206298</v>
      </c>
      <c r="AT10" s="70">
        <f t="shared" si="15"/>
        <v>75287.047057276723</v>
      </c>
      <c r="AU10" s="70">
        <f t="shared" si="15"/>
        <v>74726.59757546075</v>
      </c>
      <c r="AV10" s="70">
        <f t="shared" si="15"/>
        <v>74170.320174154593</v>
      </c>
      <c r="AW10" s="70">
        <f t="shared" si="15"/>
        <v>73618.183795686928</v>
      </c>
      <c r="AX10" s="70">
        <f t="shared" si="15"/>
        <v>73070.157613585048</v>
      </c>
      <c r="AY10" s="70">
        <f t="shared" si="15"/>
        <v>72526.211030853621</v>
      </c>
      <c r="AZ10" s="70">
        <f t="shared" si="15"/>
        <v>71986.313678266612</v>
      </c>
      <c r="BA10" s="70">
        <f t="shared" si="15"/>
        <v>71450.435412671592</v>
      </c>
      <c r="BB10" s="70">
        <f t="shared" si="15"/>
        <v>70918.546315306783</v>
      </c>
      <c r="BC10" s="70">
        <f t="shared" si="15"/>
        <v>70390.616690130788</v>
      </c>
      <c r="BD10" s="70">
        <f t="shared" si="15"/>
        <v>69866.617062164543</v>
      </c>
      <c r="BE10" s="70">
        <f t="shared" ref="BE10:BP10" si="16">PV($T$2,BE$6,,-$K10*1.1^3)</f>
        <v>76281.169993430289</v>
      </c>
      <c r="BF10" s="70">
        <f t="shared" si="16"/>
        <v>75713.320092734779</v>
      </c>
      <c r="BG10" s="70">
        <f t="shared" si="16"/>
        <v>75149.697362515886</v>
      </c>
      <c r="BH10" s="70">
        <f t="shared" si="16"/>
        <v>74590.270335003355</v>
      </c>
      <c r="BI10" s="70">
        <f t="shared" si="16"/>
        <v>74035.007776678263</v>
      </c>
      <c r="BJ10" s="70">
        <f t="shared" si="16"/>
        <v>73483.878686529293</v>
      </c>
      <c r="BK10" s="70">
        <f t="shared" si="16"/>
        <v>72936.85229432187</v>
      </c>
      <c r="BL10" s="70">
        <f t="shared" si="16"/>
        <v>72393.898058880251</v>
      </c>
      <c r="BM10" s="70">
        <f t="shared" si="16"/>
        <v>71854.985666382374</v>
      </c>
      <c r="BN10" s="70">
        <f t="shared" si="16"/>
        <v>71320.085028667381</v>
      </c>
      <c r="BO10" s="70">
        <f t="shared" si="16"/>
        <v>70789.166281555692</v>
      </c>
      <c r="BP10" s="70">
        <f t="shared" si="16"/>
        <v>70262.199783181815</v>
      </c>
      <c r="BQ10" s="70">
        <f t="shared" ref="BQ10:CB10" si="17">PV($T$2,BQ$6,,-$K10*1.1^4)</f>
        <v>76713.071723573201</v>
      </c>
      <c r="BR10" s="70">
        <f t="shared" si="17"/>
        <v>76142.006673521799</v>
      </c>
      <c r="BS10" s="70">
        <f t="shared" si="17"/>
        <v>75575.192728061316</v>
      </c>
      <c r="BT10" s="70">
        <f t="shared" si="17"/>
        <v>75012.598241251922</v>
      </c>
      <c r="BU10" s="70">
        <f t="shared" si="17"/>
        <v>74454.191802731424</v>
      </c>
      <c r="BV10" s="70">
        <f t="shared" si="17"/>
        <v>73899.942235961717</v>
      </c>
      <c r="BW10" s="70">
        <f t="shared" si="17"/>
        <v>73349.818596488039</v>
      </c>
      <c r="BX10" s="70">
        <f t="shared" si="17"/>
        <v>72803.790170211447</v>
      </c>
      <c r="BY10" s="70">
        <f t="shared" si="17"/>
        <v>72261.826471673892</v>
      </c>
      <c r="BZ10" s="70">
        <f t="shared" si="17"/>
        <v>71723.897242356208</v>
      </c>
      <c r="CA10" s="70">
        <f t="shared" si="17"/>
        <v>71189.972448988789</v>
      </c>
      <c r="CB10" s="70">
        <f t="shared" si="17"/>
        <v>70660.022281874728</v>
      </c>
      <c r="CC10" s="70">
        <f>PV($T$2,CC$6,,-$K10*1.1^5)</f>
        <v>77147.418868548077</v>
      </c>
      <c r="CD10" s="70">
        <f>PV($T$2,CD$6,,-$K10*1.1^5)</f>
        <v>76573.120465060143</v>
      </c>
      <c r="CE10" s="70">
        <f>PV($T$2,CE$6,,-$K10*1.1^5)</f>
        <v>76003.097235791676</v>
      </c>
      <c r="CF10" s="70">
        <f>PV($T$2,CF$6,,-$K10*1.1^5)</f>
        <v>75437.317355624473</v>
      </c>
      <c r="CG10" s="70">
        <f>PV($T$2,CG$6,,-$K10*1.1^5)</f>
        <v>74875.749236351854</v>
      </c>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7"/>
    </row>
    <row r="11" spans="1:129" s="26" customFormat="1" x14ac:dyDescent="0.25">
      <c r="A11" s="28">
        <f t="shared" si="11"/>
        <v>1005</v>
      </c>
      <c r="B11" s="28" t="s">
        <v>117</v>
      </c>
      <c r="C11" s="39" t="s">
        <v>121</v>
      </c>
      <c r="D11" s="29" t="s">
        <v>114</v>
      </c>
      <c r="E11" s="30" t="s">
        <v>17</v>
      </c>
      <c r="F11" s="30" t="s">
        <v>17</v>
      </c>
      <c r="G11" s="31" t="s">
        <v>115</v>
      </c>
      <c r="H11" s="30" t="s">
        <v>15</v>
      </c>
      <c r="I11" s="32">
        <v>43439</v>
      </c>
      <c r="J11" s="32">
        <v>44535</v>
      </c>
      <c r="K11" s="40">
        <v>59201</v>
      </c>
      <c r="L11" s="33">
        <v>710412</v>
      </c>
      <c r="M11" s="30" t="s">
        <v>33</v>
      </c>
      <c r="N11" s="30" t="s">
        <v>27</v>
      </c>
      <c r="O11" s="30" t="s">
        <v>19</v>
      </c>
      <c r="P11" s="30" t="s">
        <v>12</v>
      </c>
      <c r="Q11" s="30" t="s">
        <v>12</v>
      </c>
      <c r="R11" s="28" t="s">
        <v>20</v>
      </c>
      <c r="S11" s="73"/>
      <c r="T11" s="76">
        <f t="shared" si="12"/>
        <v>1960105.6958168503</v>
      </c>
      <c r="U11" s="71">
        <f t="shared" ref="U11:W12" si="18">+PV($W$2,U$6,,-$L11)</f>
        <v>710412</v>
      </c>
      <c r="V11" s="71">
        <f t="shared" si="18"/>
        <v>651754.12844036694</v>
      </c>
      <c r="W11" s="71">
        <f t="shared" si="18"/>
        <v>597939.56737648335</v>
      </c>
      <c r="X11" s="71"/>
      <c r="Y11" s="71"/>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78"/>
    </row>
    <row r="12" spans="1:129" s="26" customFormat="1" x14ac:dyDescent="0.25">
      <c r="A12" s="28">
        <f t="shared" si="11"/>
        <v>1006</v>
      </c>
      <c r="B12" s="28" t="s">
        <v>118</v>
      </c>
      <c r="C12" s="36" t="s">
        <v>122</v>
      </c>
      <c r="D12" s="28" t="s">
        <v>125</v>
      </c>
      <c r="E12" s="30" t="s">
        <v>17</v>
      </c>
      <c r="F12" s="30" t="s">
        <v>17</v>
      </c>
      <c r="G12" s="31" t="s">
        <v>128</v>
      </c>
      <c r="H12" s="30" t="s">
        <v>15</v>
      </c>
      <c r="I12" s="32">
        <v>43240</v>
      </c>
      <c r="J12" s="32">
        <v>44305</v>
      </c>
      <c r="K12" s="33">
        <v>34333</v>
      </c>
      <c r="L12" s="33">
        <v>412000</v>
      </c>
      <c r="M12" s="30" t="s">
        <v>33</v>
      </c>
      <c r="N12" s="30" t="s">
        <v>27</v>
      </c>
      <c r="O12" s="30" t="s">
        <v>19</v>
      </c>
      <c r="P12" s="30" t="s">
        <v>12</v>
      </c>
      <c r="Q12" s="30" t="s">
        <v>12</v>
      </c>
      <c r="R12" s="30" t="s">
        <v>20</v>
      </c>
      <c r="S12" s="73"/>
      <c r="T12" s="76">
        <f t="shared" si="12"/>
        <v>1136753.8086019694</v>
      </c>
      <c r="U12" s="71">
        <f t="shared" si="18"/>
        <v>412000</v>
      </c>
      <c r="V12" s="71">
        <f t="shared" si="18"/>
        <v>377981.65137614676</v>
      </c>
      <c r="W12" s="71">
        <f t="shared" si="18"/>
        <v>346772.15722582268</v>
      </c>
      <c r="X12" s="71"/>
      <c r="Y12" s="71"/>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78"/>
    </row>
    <row r="13" spans="1:129" s="26" customFormat="1" x14ac:dyDescent="0.25">
      <c r="A13" s="28">
        <f t="shared" si="11"/>
        <v>1007</v>
      </c>
      <c r="B13" s="28" t="s">
        <v>119</v>
      </c>
      <c r="C13" s="36" t="s">
        <v>123</v>
      </c>
      <c r="D13" s="39" t="s">
        <v>126</v>
      </c>
      <c r="E13" s="30" t="s">
        <v>17</v>
      </c>
      <c r="F13" s="30" t="s">
        <v>17</v>
      </c>
      <c r="G13" s="39" t="s">
        <v>129</v>
      </c>
      <c r="H13" s="30" t="s">
        <v>15</v>
      </c>
      <c r="I13" s="32">
        <v>43266</v>
      </c>
      <c r="J13" s="32">
        <v>44361</v>
      </c>
      <c r="K13" s="38">
        <v>32083.33</v>
      </c>
      <c r="L13" s="33">
        <v>385000</v>
      </c>
      <c r="M13" s="30" t="s">
        <v>33</v>
      </c>
      <c r="N13" s="30" t="s">
        <v>27</v>
      </c>
      <c r="O13" s="30" t="s">
        <v>18</v>
      </c>
      <c r="P13" s="34">
        <v>0.2</v>
      </c>
      <c r="Q13" s="30" t="s">
        <v>12</v>
      </c>
      <c r="R13" s="28" t="s">
        <v>20</v>
      </c>
      <c r="S13" s="73"/>
      <c r="T13" s="76">
        <f t="shared" si="12"/>
        <v>1275480.5992761552</v>
      </c>
      <c r="U13" s="71">
        <f>+PV($W$2,U$6,,-$L13)</f>
        <v>385000</v>
      </c>
      <c r="V13" s="71">
        <f>+PV($W$2,V$6,,-$L13*1.2)</f>
        <v>423853.21100917429</v>
      </c>
      <c r="W13" s="71">
        <f>+PV($W$2,W$6,,-$L13*1.2^2)</f>
        <v>466627.38826698082</v>
      </c>
      <c r="X13" s="71"/>
      <c r="Y13" s="71"/>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78"/>
    </row>
    <row r="14" spans="1:129" s="26" customFormat="1" x14ac:dyDescent="0.25">
      <c r="A14" s="28">
        <f t="shared" si="11"/>
        <v>1008</v>
      </c>
      <c r="B14" s="28" t="s">
        <v>120</v>
      </c>
      <c r="C14" s="36" t="s">
        <v>124</v>
      </c>
      <c r="D14" s="39" t="s">
        <v>127</v>
      </c>
      <c r="E14" s="30" t="s">
        <v>13</v>
      </c>
      <c r="F14" s="30" t="s">
        <v>14</v>
      </c>
      <c r="G14" s="41" t="s">
        <v>130</v>
      </c>
      <c r="H14" s="30" t="s">
        <v>15</v>
      </c>
      <c r="I14" s="32">
        <v>43252</v>
      </c>
      <c r="J14" s="32">
        <v>44347</v>
      </c>
      <c r="K14" s="42">
        <v>20000</v>
      </c>
      <c r="L14" s="33">
        <v>240000</v>
      </c>
      <c r="M14" s="30" t="s">
        <v>30</v>
      </c>
      <c r="N14" s="30" t="s">
        <v>27</v>
      </c>
      <c r="O14" s="30" t="s">
        <v>18</v>
      </c>
      <c r="P14" s="34">
        <v>0.1</v>
      </c>
      <c r="Q14" s="30" t="s">
        <v>18</v>
      </c>
      <c r="R14" s="28" t="s">
        <v>20</v>
      </c>
      <c r="S14" s="73"/>
      <c r="T14" s="76">
        <f t="shared" si="12"/>
        <v>695161.64078416093</v>
      </c>
      <c r="U14" s="70">
        <f t="shared" ref="U14:AF14" si="19">PV($T$2,U$6,,-$K14)</f>
        <v>20000</v>
      </c>
      <c r="V14" s="70">
        <f t="shared" si="19"/>
        <v>19851.116625310173</v>
      </c>
      <c r="W14" s="70">
        <f t="shared" si="19"/>
        <v>19703.341563583293</v>
      </c>
      <c r="X14" s="70">
        <f t="shared" si="19"/>
        <v>19556.666564350664</v>
      </c>
      <c r="Y14" s="70">
        <f t="shared" si="19"/>
        <v>19411.083438561451</v>
      </c>
      <c r="Z14" s="70">
        <f t="shared" si="19"/>
        <v>19266.584058125511</v>
      </c>
      <c r="AA14" s="70">
        <f t="shared" si="19"/>
        <v>19123.16035545956</v>
      </c>
      <c r="AB14" s="70">
        <f t="shared" si="19"/>
        <v>18980.80432303678</v>
      </c>
      <c r="AC14" s="70">
        <f t="shared" si="19"/>
        <v>18839.508012939732</v>
      </c>
      <c r="AD14" s="70">
        <f t="shared" si="19"/>
        <v>18699.263536416609</v>
      </c>
      <c r="AE14" s="70">
        <f t="shared" si="19"/>
        <v>18560.063063440801</v>
      </c>
      <c r="AF14" s="70">
        <f t="shared" si="19"/>
        <v>18421.898822273743</v>
      </c>
      <c r="AG14" s="70">
        <f t="shared" ref="AG14:AR14" si="20">PV($T$2,AG$6,,-$K14*1.1)</f>
        <v>20113.239408934111</v>
      </c>
      <c r="AH14" s="70">
        <f t="shared" si="20"/>
        <v>19963.513060976784</v>
      </c>
      <c r="AI14" s="70">
        <f t="shared" si="20"/>
        <v>19814.901301217647</v>
      </c>
      <c r="AJ14" s="70">
        <f t="shared" si="20"/>
        <v>19667.395832474089</v>
      </c>
      <c r="AK14" s="70">
        <f t="shared" si="20"/>
        <v>19520.988419329122</v>
      </c>
      <c r="AL14" s="70">
        <f t="shared" si="20"/>
        <v>19375.670887671586</v>
      </c>
      <c r="AM14" s="70">
        <f t="shared" si="20"/>
        <v>19231.435124239782</v>
      </c>
      <c r="AN14" s="70">
        <f t="shared" si="20"/>
        <v>19088.27307616852</v>
      </c>
      <c r="AO14" s="70">
        <f t="shared" si="20"/>
        <v>18946.176750539467</v>
      </c>
      <c r="AP14" s="70">
        <f t="shared" si="20"/>
        <v>18805.138213934959</v>
      </c>
      <c r="AQ14" s="70">
        <f t="shared" si="20"/>
        <v>18665.149591994988</v>
      </c>
      <c r="AR14" s="70">
        <f t="shared" si="20"/>
        <v>18526.203068977658</v>
      </c>
      <c r="AS14" s="70">
        <f t="shared" ref="AS14:BD14" si="21">PV($T$2,AS$6,,-$K14*1.1^2)</f>
        <v>20227.119976055015</v>
      </c>
      <c r="AT14" s="70">
        <f t="shared" si="21"/>
        <v>20076.545881940459</v>
      </c>
      <c r="AU14" s="70">
        <f t="shared" si="21"/>
        <v>19927.092686789532</v>
      </c>
      <c r="AV14" s="70">
        <f t="shared" si="21"/>
        <v>19778.752046441223</v>
      </c>
      <c r="AW14" s="70">
        <f t="shared" si="21"/>
        <v>19631.515678849846</v>
      </c>
      <c r="AX14" s="70">
        <f t="shared" si="21"/>
        <v>19485.375363622679</v>
      </c>
      <c r="AY14" s="70">
        <f t="shared" si="21"/>
        <v>19340.322941560964</v>
      </c>
      <c r="AZ14" s="70">
        <f t="shared" si="21"/>
        <v>19196.350314204428</v>
      </c>
      <c r="BA14" s="70">
        <f t="shared" si="21"/>
        <v>19053.44944337909</v>
      </c>
      <c r="BB14" s="70">
        <f t="shared" si="21"/>
        <v>18911.612350748477</v>
      </c>
      <c r="BC14" s="70">
        <f t="shared" si="21"/>
        <v>18770.831117368209</v>
      </c>
      <c r="BD14" s="70">
        <f t="shared" si="21"/>
        <v>18631.097883243878</v>
      </c>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78"/>
    </row>
    <row r="15" spans="1:129" s="26" customFormat="1" x14ac:dyDescent="0.25">
      <c r="A15" s="28"/>
      <c r="B15" s="28"/>
      <c r="C15" s="39"/>
      <c r="D15" s="29"/>
      <c r="E15" s="30"/>
      <c r="F15" s="30"/>
      <c r="G15" s="31"/>
      <c r="H15" s="30"/>
      <c r="I15" s="32"/>
      <c r="J15" s="32"/>
      <c r="K15" s="40"/>
      <c r="L15" s="33"/>
      <c r="M15" s="30"/>
      <c r="N15" s="30"/>
      <c r="O15" s="30"/>
      <c r="P15" s="30"/>
      <c r="Q15" s="30"/>
      <c r="R15" s="28"/>
      <c r="S15" s="73"/>
      <c r="T15" s="76"/>
      <c r="U15" s="71"/>
      <c r="V15" s="71"/>
      <c r="W15" s="71"/>
      <c r="X15" s="71"/>
      <c r="Y15" s="71"/>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78"/>
    </row>
    <row r="16" spans="1:129" s="26" customFormat="1" x14ac:dyDescent="0.25">
      <c r="A16" s="28"/>
      <c r="B16" s="28"/>
      <c r="C16" s="36"/>
      <c r="D16" s="39"/>
      <c r="E16" s="30"/>
      <c r="F16" s="30"/>
      <c r="G16" s="37"/>
      <c r="H16" s="30"/>
      <c r="I16" s="32"/>
      <c r="J16" s="32"/>
      <c r="K16" s="43"/>
      <c r="L16" s="33"/>
      <c r="M16" s="30"/>
      <c r="N16" s="30"/>
      <c r="O16" s="30"/>
      <c r="P16" s="30"/>
      <c r="Q16" s="30"/>
      <c r="R16" s="28"/>
      <c r="S16" s="73"/>
      <c r="T16" s="76"/>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78"/>
    </row>
    <row r="17" spans="1:129" s="26" customFormat="1" x14ac:dyDescent="0.25">
      <c r="A17" s="28"/>
      <c r="B17" s="28"/>
      <c r="C17" s="36"/>
      <c r="D17" s="39"/>
      <c r="E17" s="30"/>
      <c r="F17" s="30"/>
      <c r="G17" s="37"/>
      <c r="H17" s="30"/>
      <c r="I17" s="32"/>
      <c r="J17" s="32"/>
      <c r="K17" s="43"/>
      <c r="L17" s="33"/>
      <c r="M17" s="30"/>
      <c r="N17" s="30"/>
      <c r="O17" s="30"/>
      <c r="P17" s="30"/>
      <c r="Q17" s="30"/>
      <c r="R17" s="28"/>
      <c r="S17" s="73"/>
      <c r="T17" s="76"/>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78"/>
    </row>
    <row r="18" spans="1:129" s="26" customFormat="1" x14ac:dyDescent="0.25">
      <c r="A18" s="28"/>
      <c r="B18" s="28"/>
      <c r="C18" s="36"/>
      <c r="D18" s="39"/>
      <c r="E18" s="30"/>
      <c r="F18" s="30"/>
      <c r="G18" s="37"/>
      <c r="H18" s="30"/>
      <c r="I18" s="32"/>
      <c r="J18" s="32"/>
      <c r="K18" s="43"/>
      <c r="L18" s="33"/>
      <c r="M18" s="30"/>
      <c r="N18" s="30"/>
      <c r="O18" s="30"/>
      <c r="P18" s="30"/>
      <c r="Q18" s="30"/>
      <c r="R18" s="28"/>
      <c r="S18" s="73"/>
      <c r="T18" s="76"/>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78"/>
    </row>
    <row r="19" spans="1:129" s="26" customFormat="1" x14ac:dyDescent="0.25">
      <c r="A19" s="28"/>
      <c r="B19" s="28"/>
      <c r="C19" s="36"/>
      <c r="D19" s="39"/>
      <c r="E19" s="30"/>
      <c r="F19" s="30"/>
      <c r="G19" s="41"/>
      <c r="H19" s="30"/>
      <c r="I19" s="32"/>
      <c r="J19" s="32"/>
      <c r="K19" s="42"/>
      <c r="L19" s="33"/>
      <c r="M19" s="30"/>
      <c r="N19" s="30"/>
      <c r="O19" s="30"/>
      <c r="P19" s="34"/>
      <c r="Q19" s="30"/>
      <c r="R19" s="28"/>
      <c r="S19" s="73"/>
      <c r="T19" s="76"/>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78"/>
    </row>
    <row r="20" spans="1:129" s="26" customFormat="1" x14ac:dyDescent="0.25">
      <c r="A20" s="28"/>
      <c r="B20" s="28"/>
      <c r="C20" s="39"/>
      <c r="D20" s="29"/>
      <c r="E20" s="30"/>
      <c r="F20" s="30"/>
      <c r="G20" s="31"/>
      <c r="H20" s="30"/>
      <c r="I20" s="32"/>
      <c r="J20" s="32"/>
      <c r="K20" s="40"/>
      <c r="L20" s="33"/>
      <c r="M20" s="30"/>
      <c r="N20" s="30"/>
      <c r="O20" s="30"/>
      <c r="P20" s="34"/>
      <c r="Q20" s="30"/>
      <c r="R20" s="28"/>
      <c r="S20" s="73"/>
      <c r="T20" s="76"/>
      <c r="U20" s="71"/>
      <c r="V20" s="71"/>
      <c r="W20" s="71"/>
      <c r="X20" s="71"/>
      <c r="Y20" s="71"/>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78"/>
    </row>
    <row r="21" spans="1:129" s="26" customFormat="1" x14ac:dyDescent="0.25">
      <c r="A21" s="28"/>
      <c r="B21" s="28"/>
      <c r="C21" s="39"/>
      <c r="D21" s="29"/>
      <c r="E21" s="30"/>
      <c r="F21" s="30"/>
      <c r="G21" s="31"/>
      <c r="H21" s="30"/>
      <c r="I21" s="32"/>
      <c r="J21" s="32"/>
      <c r="K21" s="40"/>
      <c r="L21" s="33"/>
      <c r="M21" s="30"/>
      <c r="N21" s="30"/>
      <c r="O21" s="30"/>
      <c r="P21" s="34"/>
      <c r="Q21" s="30"/>
      <c r="R21" s="28"/>
      <c r="S21" s="73"/>
      <c r="T21" s="76"/>
      <c r="U21" s="71"/>
      <c r="V21" s="71"/>
      <c r="W21" s="71"/>
      <c r="X21" s="71"/>
      <c r="Y21" s="71"/>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78"/>
    </row>
    <row r="22" spans="1:129" s="26" customFormat="1" x14ac:dyDescent="0.25">
      <c r="A22" s="28"/>
      <c r="B22" s="28"/>
      <c r="C22" s="36"/>
      <c r="D22" s="28"/>
      <c r="E22" s="30"/>
      <c r="F22" s="30"/>
      <c r="G22" s="31"/>
      <c r="H22" s="30"/>
      <c r="I22" s="32"/>
      <c r="J22" s="32"/>
      <c r="K22" s="33"/>
      <c r="L22" s="33"/>
      <c r="M22" s="30"/>
      <c r="N22" s="30"/>
      <c r="O22" s="30"/>
      <c r="P22" s="30"/>
      <c r="Q22" s="30"/>
      <c r="R22" s="30"/>
      <c r="S22" s="73"/>
      <c r="T22" s="76"/>
      <c r="U22" s="71"/>
      <c r="V22" s="71"/>
      <c r="W22" s="71"/>
      <c r="X22" s="71"/>
      <c r="Y22" s="71"/>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78"/>
    </row>
    <row r="23" spans="1:129" s="26" customFormat="1" x14ac:dyDescent="0.25">
      <c r="A23" s="28"/>
      <c r="B23" s="28"/>
      <c r="C23" s="36"/>
      <c r="D23" s="39"/>
      <c r="E23" s="30"/>
      <c r="F23" s="30"/>
      <c r="G23" s="41"/>
      <c r="H23" s="30"/>
      <c r="I23" s="32"/>
      <c r="J23" s="32"/>
      <c r="K23" s="42"/>
      <c r="L23" s="33"/>
      <c r="M23" s="30"/>
      <c r="N23" s="30"/>
      <c r="O23" s="30"/>
      <c r="P23" s="34"/>
      <c r="Q23" s="30"/>
      <c r="R23" s="28"/>
      <c r="S23" s="73"/>
      <c r="T23" s="76"/>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78"/>
    </row>
    <row r="24" spans="1:129" s="26" customFormat="1" x14ac:dyDescent="0.25">
      <c r="A24" s="28"/>
      <c r="B24" s="28"/>
      <c r="C24" s="36"/>
      <c r="D24" s="39"/>
      <c r="E24" s="30"/>
      <c r="F24" s="30"/>
      <c r="G24" s="39"/>
      <c r="H24" s="30"/>
      <c r="I24" s="32"/>
      <c r="J24" s="32"/>
      <c r="K24" s="38"/>
      <c r="L24" s="33"/>
      <c r="M24" s="30"/>
      <c r="N24" s="30"/>
      <c r="O24" s="30"/>
      <c r="P24" s="34"/>
      <c r="Q24" s="30"/>
      <c r="R24" s="28"/>
      <c r="S24" s="73"/>
      <c r="T24" s="76"/>
      <c r="U24" s="71"/>
      <c r="V24" s="71"/>
      <c r="W24" s="71"/>
      <c r="X24" s="71"/>
      <c r="Y24" s="71"/>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78"/>
    </row>
    <row r="25" spans="1:129" s="26" customFormat="1" x14ac:dyDescent="0.25">
      <c r="A25" s="28"/>
      <c r="B25" s="28"/>
      <c r="C25" s="36"/>
      <c r="D25" s="28"/>
      <c r="E25" s="30"/>
      <c r="F25" s="30"/>
      <c r="G25" s="31"/>
      <c r="H25" s="30"/>
      <c r="I25" s="32"/>
      <c r="J25" s="32"/>
      <c r="K25" s="33"/>
      <c r="L25" s="33"/>
      <c r="M25" s="30"/>
      <c r="N25" s="30"/>
      <c r="O25" s="30"/>
      <c r="P25" s="34"/>
      <c r="Q25" s="30"/>
      <c r="R25" s="28"/>
      <c r="S25" s="73"/>
      <c r="T25" s="76"/>
      <c r="U25" s="71"/>
      <c r="V25" s="71"/>
      <c r="W25" s="71"/>
      <c r="X25" s="71"/>
      <c r="Y25" s="71"/>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78"/>
    </row>
    <row r="26" spans="1:129" s="26" customFormat="1" x14ac:dyDescent="0.25">
      <c r="A26" s="28"/>
      <c r="B26" s="28"/>
      <c r="C26" s="36"/>
      <c r="D26" s="39"/>
      <c r="E26" s="30"/>
      <c r="F26" s="30"/>
      <c r="G26" s="39"/>
      <c r="H26" s="30"/>
      <c r="I26" s="32"/>
      <c r="J26" s="32"/>
      <c r="K26" s="38"/>
      <c r="L26" s="33"/>
      <c r="M26" s="30"/>
      <c r="N26" s="30"/>
      <c r="O26" s="30"/>
      <c r="P26" s="34"/>
      <c r="Q26" s="30"/>
      <c r="R26" s="28"/>
      <c r="S26" s="73"/>
      <c r="T26" s="76"/>
      <c r="U26" s="71"/>
      <c r="V26" s="71"/>
      <c r="W26" s="71"/>
      <c r="X26" s="71"/>
      <c r="Y26" s="71"/>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78"/>
    </row>
    <row r="27" spans="1:129" s="26" customFormat="1" x14ac:dyDescent="0.25">
      <c r="A27" s="28"/>
      <c r="B27" s="28"/>
      <c r="C27" s="36"/>
      <c r="D27" s="39"/>
      <c r="E27" s="30"/>
      <c r="F27" s="30"/>
      <c r="G27" s="39"/>
      <c r="H27" s="30"/>
      <c r="I27" s="32"/>
      <c r="J27" s="32"/>
      <c r="K27" s="38"/>
      <c r="L27" s="33"/>
      <c r="M27" s="30"/>
      <c r="N27" s="30"/>
      <c r="O27" s="30"/>
      <c r="P27" s="34"/>
      <c r="Q27" s="30"/>
      <c r="R27" s="28"/>
      <c r="S27" s="73"/>
      <c r="T27" s="87"/>
      <c r="U27" s="71"/>
      <c r="V27" s="71"/>
      <c r="W27" s="71"/>
      <c r="X27" s="71"/>
      <c r="Y27" s="71"/>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78"/>
    </row>
    <row r="28" spans="1:129" s="26" customFormat="1" x14ac:dyDescent="0.25">
      <c r="A28" s="28"/>
      <c r="B28" s="28"/>
      <c r="C28" s="36"/>
      <c r="D28" s="36"/>
      <c r="E28" s="30"/>
      <c r="F28" s="30"/>
      <c r="G28" s="41"/>
      <c r="H28" s="30"/>
      <c r="I28" s="32"/>
      <c r="J28" s="32"/>
      <c r="K28" s="38"/>
      <c r="L28" s="33"/>
      <c r="M28" s="30"/>
      <c r="N28" s="30"/>
      <c r="O28" s="30"/>
      <c r="P28" s="34"/>
      <c r="Q28" s="30"/>
      <c r="R28" s="28"/>
      <c r="S28" s="73"/>
      <c r="T28" s="76"/>
      <c r="U28" s="71"/>
      <c r="V28" s="71"/>
      <c r="W28" s="71"/>
      <c r="X28" s="71"/>
      <c r="Y28" s="71"/>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78"/>
    </row>
    <row r="29" spans="1:129" s="26" customFormat="1" x14ac:dyDescent="0.25">
      <c r="A29" s="28"/>
      <c r="B29" s="28"/>
      <c r="C29" s="36"/>
      <c r="D29" s="36"/>
      <c r="E29" s="30"/>
      <c r="F29" s="30"/>
      <c r="G29" s="41"/>
      <c r="H29" s="30"/>
      <c r="I29" s="32"/>
      <c r="J29" s="32"/>
      <c r="K29" s="38"/>
      <c r="L29" s="33"/>
      <c r="M29" s="30"/>
      <c r="N29" s="30"/>
      <c r="O29" s="30"/>
      <c r="P29" s="34"/>
      <c r="Q29" s="30"/>
      <c r="R29" s="28"/>
      <c r="S29" s="73"/>
      <c r="T29" s="76"/>
      <c r="U29" s="71"/>
      <c r="V29" s="71"/>
      <c r="W29" s="71"/>
      <c r="X29" s="71"/>
      <c r="Y29" s="71"/>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78"/>
    </row>
    <row r="30" spans="1:129" s="26" customFormat="1" x14ac:dyDescent="0.25">
      <c r="A30" s="28"/>
      <c r="B30" s="28"/>
      <c r="C30" s="36"/>
      <c r="D30" s="36"/>
      <c r="E30" s="30"/>
      <c r="F30" s="30"/>
      <c r="G30" s="41"/>
      <c r="H30" s="30"/>
      <c r="I30" s="32"/>
      <c r="J30" s="32"/>
      <c r="K30" s="38"/>
      <c r="L30" s="33"/>
      <c r="M30" s="30"/>
      <c r="N30" s="30"/>
      <c r="O30" s="30"/>
      <c r="P30" s="34"/>
      <c r="Q30" s="30"/>
      <c r="R30" s="28"/>
      <c r="S30" s="73"/>
      <c r="T30" s="76"/>
      <c r="U30" s="71"/>
      <c r="V30" s="71"/>
      <c r="W30" s="71"/>
      <c r="X30" s="71"/>
      <c r="Y30" s="71"/>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78"/>
    </row>
    <row r="31" spans="1:129" s="26" customFormat="1" x14ac:dyDescent="0.25">
      <c r="A31" s="28"/>
      <c r="B31" s="28"/>
      <c r="C31" s="36"/>
      <c r="D31" s="36"/>
      <c r="E31" s="30"/>
      <c r="F31" s="30"/>
      <c r="G31" s="41"/>
      <c r="H31" s="30"/>
      <c r="I31" s="32"/>
      <c r="J31" s="32"/>
      <c r="K31" s="38"/>
      <c r="L31" s="33"/>
      <c r="M31" s="30"/>
      <c r="N31" s="30"/>
      <c r="O31" s="30"/>
      <c r="P31" s="34"/>
      <c r="Q31" s="30"/>
      <c r="R31" s="28"/>
      <c r="S31" s="73"/>
      <c r="T31" s="76"/>
      <c r="U31" s="71"/>
      <c r="V31" s="71"/>
      <c r="W31" s="71"/>
      <c r="X31" s="71"/>
      <c r="Y31" s="71"/>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78"/>
    </row>
    <row r="32" spans="1:129" x14ac:dyDescent="0.2">
      <c r="A32" s="28"/>
      <c r="B32" s="28"/>
      <c r="C32" s="36"/>
      <c r="D32" s="44"/>
      <c r="E32" s="30"/>
      <c r="F32" s="30"/>
      <c r="G32" s="45"/>
      <c r="H32" s="30"/>
      <c r="I32" s="32"/>
      <c r="J32" s="32"/>
      <c r="K32" s="38"/>
      <c r="L32" s="38"/>
      <c r="M32" s="30"/>
      <c r="N32" s="30"/>
      <c r="O32" s="30"/>
      <c r="P32" s="34"/>
      <c r="Q32" s="30"/>
      <c r="R32" s="28"/>
      <c r="S32" s="73"/>
      <c r="T32" s="76"/>
      <c r="U32" s="71"/>
      <c r="V32" s="71"/>
      <c r="W32" s="71"/>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c r="CR32" s="45"/>
      <c r="CS32" s="45"/>
      <c r="CT32" s="45"/>
      <c r="CU32" s="45"/>
      <c r="CV32" s="45"/>
      <c r="CW32" s="45"/>
      <c r="CX32" s="45"/>
      <c r="CY32" s="45"/>
      <c r="CZ32" s="45"/>
      <c r="DA32" s="45"/>
      <c r="DB32" s="45"/>
      <c r="DC32" s="45"/>
      <c r="DD32" s="45"/>
      <c r="DE32" s="45"/>
      <c r="DF32" s="45"/>
      <c r="DG32" s="45"/>
      <c r="DH32" s="45"/>
      <c r="DI32" s="45"/>
      <c r="DJ32" s="45"/>
      <c r="DK32" s="45"/>
      <c r="DL32" s="45"/>
      <c r="DM32" s="45"/>
      <c r="DN32" s="45"/>
      <c r="DO32" s="45"/>
      <c r="DP32" s="45"/>
      <c r="DQ32" s="45"/>
      <c r="DR32" s="45"/>
      <c r="DS32" s="45"/>
      <c r="DT32" s="45"/>
      <c r="DU32" s="45"/>
      <c r="DV32" s="45"/>
      <c r="DW32" s="45"/>
      <c r="DX32" s="45"/>
      <c r="DY32" s="79"/>
    </row>
    <row r="33" spans="1:129" x14ac:dyDescent="0.2">
      <c r="A33" s="28"/>
      <c r="B33" s="28"/>
      <c r="C33" s="36"/>
      <c r="D33" s="44"/>
      <c r="E33" s="30"/>
      <c r="F33" s="30"/>
      <c r="G33" s="45"/>
      <c r="H33" s="30"/>
      <c r="I33" s="32"/>
      <c r="J33" s="32"/>
      <c r="K33" s="38"/>
      <c r="L33" s="38"/>
      <c r="M33" s="30"/>
      <c r="N33" s="30"/>
      <c r="O33" s="30"/>
      <c r="P33" s="34"/>
      <c r="Q33" s="30"/>
      <c r="R33" s="28"/>
      <c r="S33" s="73"/>
      <c r="T33" s="76"/>
      <c r="U33" s="71"/>
      <c r="V33" s="71"/>
      <c r="W33" s="71"/>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c r="DO33" s="45"/>
      <c r="DP33" s="45"/>
      <c r="DQ33" s="45"/>
      <c r="DR33" s="45"/>
      <c r="DS33" s="45"/>
      <c r="DT33" s="45"/>
      <c r="DU33" s="45"/>
      <c r="DV33" s="45"/>
      <c r="DW33" s="45"/>
      <c r="DX33" s="45"/>
      <c r="DY33" s="79"/>
    </row>
    <row r="34" spans="1:129" x14ac:dyDescent="0.2">
      <c r="A34" s="28"/>
      <c r="B34" s="28"/>
      <c r="C34" s="36"/>
      <c r="D34" s="44"/>
      <c r="E34" s="30"/>
      <c r="F34" s="30"/>
      <c r="G34" s="45"/>
      <c r="H34" s="30"/>
      <c r="I34" s="32"/>
      <c r="J34" s="32"/>
      <c r="K34" s="38"/>
      <c r="L34" s="38"/>
      <c r="M34" s="30"/>
      <c r="N34" s="30"/>
      <c r="O34" s="30"/>
      <c r="P34" s="34"/>
      <c r="Q34" s="30"/>
      <c r="R34" s="28"/>
      <c r="S34" s="73"/>
      <c r="T34" s="76"/>
      <c r="U34" s="71"/>
      <c r="V34" s="71"/>
      <c r="W34" s="71"/>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c r="DD34" s="45"/>
      <c r="DE34" s="45"/>
      <c r="DF34" s="45"/>
      <c r="DG34" s="45"/>
      <c r="DH34" s="45"/>
      <c r="DI34" s="45"/>
      <c r="DJ34" s="45"/>
      <c r="DK34" s="45"/>
      <c r="DL34" s="45"/>
      <c r="DM34" s="45"/>
      <c r="DN34" s="45"/>
      <c r="DO34" s="45"/>
      <c r="DP34" s="45"/>
      <c r="DQ34" s="45"/>
      <c r="DR34" s="45"/>
      <c r="DS34" s="45"/>
      <c r="DT34" s="45"/>
      <c r="DU34" s="45"/>
      <c r="DV34" s="45"/>
      <c r="DW34" s="45"/>
      <c r="DX34" s="45"/>
      <c r="DY34" s="79"/>
    </row>
    <row r="35" spans="1:129" x14ac:dyDescent="0.2">
      <c r="A35" s="28"/>
      <c r="B35" s="28"/>
      <c r="C35" s="36"/>
      <c r="D35" s="44"/>
      <c r="E35" s="30"/>
      <c r="F35" s="30"/>
      <c r="H35" s="30"/>
      <c r="I35" s="32"/>
      <c r="J35" s="32"/>
      <c r="K35" s="38"/>
      <c r="L35" s="38"/>
      <c r="M35" s="30"/>
      <c r="N35" s="30"/>
      <c r="O35" s="46"/>
      <c r="P35" s="47"/>
      <c r="Q35" s="30"/>
      <c r="R35" s="30"/>
      <c r="S35" s="74"/>
      <c r="T35" s="76"/>
      <c r="U35" s="71"/>
      <c r="V35" s="71"/>
      <c r="W35" s="71"/>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45"/>
      <c r="DD35" s="45"/>
      <c r="DE35" s="45"/>
      <c r="DF35" s="45"/>
      <c r="DG35" s="45"/>
      <c r="DH35" s="45"/>
      <c r="DI35" s="45"/>
      <c r="DJ35" s="45"/>
      <c r="DK35" s="45"/>
      <c r="DL35" s="45"/>
      <c r="DM35" s="45"/>
      <c r="DN35" s="45"/>
      <c r="DO35" s="45"/>
      <c r="DP35" s="45"/>
      <c r="DQ35" s="45"/>
      <c r="DR35" s="45"/>
      <c r="DS35" s="45"/>
      <c r="DT35" s="45"/>
      <c r="DU35" s="45"/>
      <c r="DV35" s="45"/>
      <c r="DW35" s="45"/>
      <c r="DX35" s="45"/>
      <c r="DY35" s="79"/>
    </row>
    <row r="36" spans="1:129" x14ac:dyDescent="0.2">
      <c r="A36" s="28"/>
      <c r="B36" s="28"/>
      <c r="C36" s="36"/>
      <c r="D36" s="44"/>
      <c r="E36" s="30"/>
      <c r="F36" s="30"/>
      <c r="H36" s="30"/>
      <c r="I36" s="32"/>
      <c r="J36" s="32"/>
      <c r="K36" s="38"/>
      <c r="L36" s="38"/>
      <c r="M36" s="30"/>
      <c r="N36" s="30"/>
      <c r="O36" s="46"/>
      <c r="P36" s="46"/>
      <c r="Q36" s="30"/>
      <c r="R36" s="30"/>
      <c r="S36" s="74"/>
      <c r="T36" s="76"/>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c r="DD36" s="45"/>
      <c r="DE36" s="45"/>
      <c r="DF36" s="45"/>
      <c r="DG36" s="45"/>
      <c r="DH36" s="45"/>
      <c r="DI36" s="45"/>
      <c r="DJ36" s="45"/>
      <c r="DK36" s="45"/>
      <c r="DL36" s="45"/>
      <c r="DM36" s="45"/>
      <c r="DN36" s="45"/>
      <c r="DO36" s="45"/>
      <c r="DP36" s="45"/>
      <c r="DQ36" s="45"/>
      <c r="DR36" s="45"/>
      <c r="DS36" s="45"/>
      <c r="DT36" s="45"/>
      <c r="DU36" s="45"/>
      <c r="DV36" s="45"/>
      <c r="DW36" s="45"/>
      <c r="DX36" s="45"/>
      <c r="DY36" s="79"/>
    </row>
    <row r="37" spans="1:129" x14ac:dyDescent="0.2">
      <c r="A37" s="28"/>
      <c r="B37" s="28"/>
      <c r="C37" s="36"/>
      <c r="D37" s="44"/>
      <c r="E37" s="30"/>
      <c r="F37" s="30"/>
      <c r="H37" s="30"/>
      <c r="I37" s="32"/>
      <c r="J37" s="32"/>
      <c r="K37" s="38"/>
      <c r="L37" s="38"/>
      <c r="M37" s="30"/>
      <c r="N37" s="30"/>
      <c r="O37" s="46"/>
      <c r="P37" s="47"/>
      <c r="Q37" s="30"/>
      <c r="R37" s="30"/>
      <c r="S37" s="74"/>
      <c r="T37" s="76"/>
      <c r="U37" s="71"/>
      <c r="V37" s="71"/>
      <c r="W37" s="71"/>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c r="DD37" s="45"/>
      <c r="DE37" s="45"/>
      <c r="DF37" s="45"/>
      <c r="DG37" s="45"/>
      <c r="DH37" s="45"/>
      <c r="DI37" s="45"/>
      <c r="DJ37" s="45"/>
      <c r="DK37" s="45"/>
      <c r="DL37" s="45"/>
      <c r="DM37" s="45"/>
      <c r="DN37" s="45"/>
      <c r="DO37" s="45"/>
      <c r="DP37" s="45"/>
      <c r="DQ37" s="45"/>
      <c r="DR37" s="45"/>
      <c r="DS37" s="45"/>
      <c r="DT37" s="45"/>
      <c r="DU37" s="45"/>
      <c r="DV37" s="45"/>
      <c r="DW37" s="45"/>
      <c r="DX37" s="45"/>
      <c r="DY37" s="79"/>
    </row>
    <row r="38" spans="1:129" x14ac:dyDescent="0.2">
      <c r="A38" s="28"/>
      <c r="B38" s="28"/>
      <c r="C38" s="36"/>
      <c r="D38" s="44"/>
      <c r="E38" s="28"/>
      <c r="F38" s="28"/>
      <c r="G38" s="44"/>
      <c r="H38" s="30"/>
      <c r="I38" s="32"/>
      <c r="J38" s="32"/>
      <c r="K38" s="48"/>
      <c r="L38" s="33"/>
      <c r="M38" s="30"/>
      <c r="N38" s="30"/>
      <c r="O38" s="30"/>
      <c r="P38" s="47"/>
      <c r="Q38" s="30"/>
      <c r="R38" s="28"/>
      <c r="S38" s="74"/>
      <c r="T38" s="76"/>
      <c r="U38" s="71"/>
      <c r="V38" s="71"/>
      <c r="W38" s="71"/>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c r="DD38" s="45"/>
      <c r="DE38" s="45"/>
      <c r="DF38" s="45"/>
      <c r="DG38" s="45"/>
      <c r="DH38" s="45"/>
      <c r="DI38" s="45"/>
      <c r="DJ38" s="45"/>
      <c r="DK38" s="45"/>
      <c r="DL38" s="45"/>
      <c r="DM38" s="45"/>
      <c r="DN38" s="45"/>
      <c r="DO38" s="45"/>
      <c r="DP38" s="45"/>
      <c r="DQ38" s="45"/>
      <c r="DR38" s="45"/>
      <c r="DS38" s="45"/>
      <c r="DT38" s="45"/>
      <c r="DU38" s="45"/>
      <c r="DV38" s="45"/>
      <c r="DW38" s="45"/>
      <c r="DX38" s="45"/>
      <c r="DY38" s="79"/>
    </row>
    <row r="39" spans="1:129" x14ac:dyDescent="0.2">
      <c r="A39" s="28"/>
      <c r="B39" s="28"/>
      <c r="C39" s="36"/>
      <c r="D39" s="44"/>
      <c r="E39" s="28"/>
      <c r="F39" s="28"/>
      <c r="G39" s="44"/>
      <c r="H39" s="30"/>
      <c r="I39" s="32"/>
      <c r="J39" s="32"/>
      <c r="K39" s="49"/>
      <c r="L39" s="48"/>
      <c r="M39" s="28"/>
      <c r="N39" s="28"/>
      <c r="O39" s="28"/>
      <c r="P39" s="50"/>
      <c r="Q39" s="45"/>
      <c r="R39" s="28"/>
      <c r="S39" s="73"/>
      <c r="T39" s="76"/>
      <c r="U39" s="71"/>
      <c r="V39" s="71"/>
      <c r="W39" s="71"/>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c r="DW39" s="45"/>
      <c r="DX39" s="45"/>
      <c r="DY39" s="79"/>
    </row>
    <row r="40" spans="1:129" x14ac:dyDescent="0.2">
      <c r="A40" s="28"/>
      <c r="B40" s="28"/>
      <c r="C40" s="36"/>
      <c r="D40" s="44"/>
      <c r="E40" s="28"/>
      <c r="F40" s="28"/>
      <c r="G40" s="44"/>
      <c r="H40" s="30"/>
      <c r="I40" s="32"/>
      <c r="J40" s="32"/>
      <c r="K40" s="49"/>
      <c r="L40" s="48"/>
      <c r="M40" s="28"/>
      <c r="N40" s="28"/>
      <c r="O40" s="28"/>
      <c r="P40" s="50"/>
      <c r="Q40" s="45"/>
      <c r="R40" s="28"/>
      <c r="S40" s="73"/>
      <c r="T40" s="76"/>
      <c r="U40" s="71"/>
      <c r="V40" s="71"/>
      <c r="W40" s="71"/>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c r="DW40" s="45"/>
      <c r="DX40" s="45"/>
      <c r="DY40" s="79"/>
    </row>
    <row r="41" spans="1:129" s="25" customFormat="1" x14ac:dyDescent="0.2">
      <c r="A41" s="28"/>
      <c r="B41" s="28"/>
      <c r="C41" s="36"/>
      <c r="D41" s="44"/>
      <c r="E41" s="28"/>
      <c r="F41" s="28"/>
      <c r="G41" s="44"/>
      <c r="H41" s="28"/>
      <c r="I41" s="32"/>
      <c r="J41" s="32"/>
      <c r="K41" s="51"/>
      <c r="L41" s="48"/>
      <c r="M41" s="28"/>
      <c r="N41" s="28"/>
      <c r="O41" s="28"/>
      <c r="P41" s="52"/>
      <c r="Q41" s="44"/>
      <c r="R41" s="28"/>
      <c r="S41" s="75"/>
      <c r="T41" s="76"/>
      <c r="U41" s="71"/>
      <c r="V41" s="71"/>
      <c r="W41" s="71"/>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80"/>
    </row>
    <row r="42" spans="1:129" x14ac:dyDescent="0.2">
      <c r="A42" s="28"/>
      <c r="B42" s="28"/>
      <c r="C42" s="36"/>
      <c r="D42" s="44"/>
      <c r="E42" s="28"/>
      <c r="F42" s="28"/>
      <c r="G42" s="44"/>
      <c r="H42" s="30"/>
      <c r="I42" s="32"/>
      <c r="J42" s="32"/>
      <c r="K42" s="49"/>
      <c r="L42" s="48"/>
      <c r="M42" s="28"/>
      <c r="N42" s="28"/>
      <c r="O42" s="28"/>
      <c r="P42" s="50"/>
      <c r="Q42" s="45"/>
      <c r="R42" s="28"/>
      <c r="S42" s="73"/>
      <c r="T42" s="76"/>
      <c r="U42" s="71"/>
      <c r="V42" s="71"/>
      <c r="W42" s="71"/>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79"/>
    </row>
    <row r="43" spans="1:129" x14ac:dyDescent="0.2">
      <c r="A43" s="28"/>
      <c r="B43" s="28"/>
      <c r="C43" s="36"/>
      <c r="D43" s="44"/>
      <c r="E43" s="28"/>
      <c r="F43" s="28"/>
      <c r="G43" s="44"/>
      <c r="H43" s="30"/>
      <c r="I43" s="32"/>
      <c r="J43" s="32"/>
      <c r="K43" s="49"/>
      <c r="L43" s="49"/>
      <c r="M43" s="28"/>
      <c r="N43" s="28"/>
      <c r="O43" s="28"/>
      <c r="P43" s="50"/>
      <c r="Q43" s="45"/>
      <c r="R43" s="28"/>
      <c r="S43" s="73"/>
      <c r="T43" s="76"/>
      <c r="U43" s="71"/>
      <c r="V43" s="71"/>
      <c r="W43" s="71"/>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c r="DW43" s="45"/>
      <c r="DX43" s="45"/>
      <c r="DY43" s="79"/>
    </row>
    <row r="44" spans="1:129" x14ac:dyDescent="0.2">
      <c r="A44" s="28"/>
      <c r="B44" s="28"/>
      <c r="C44" s="36"/>
      <c r="D44" s="44"/>
      <c r="E44" s="28"/>
      <c r="F44" s="28"/>
      <c r="G44" s="44"/>
      <c r="H44" s="30"/>
      <c r="I44" s="32"/>
      <c r="J44" s="32"/>
      <c r="K44" s="49"/>
      <c r="L44" s="49"/>
      <c r="M44" s="28"/>
      <c r="N44" s="28"/>
      <c r="O44" s="28"/>
      <c r="P44" s="52"/>
      <c r="Q44" s="45"/>
      <c r="R44" s="28"/>
      <c r="S44" s="73"/>
      <c r="T44" s="76"/>
      <c r="U44" s="71"/>
      <c r="V44" s="71"/>
      <c r="W44" s="71"/>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c r="DD44" s="45"/>
      <c r="DE44" s="45"/>
      <c r="DF44" s="45"/>
      <c r="DG44" s="45"/>
      <c r="DH44" s="45"/>
      <c r="DI44" s="45"/>
      <c r="DJ44" s="45"/>
      <c r="DK44" s="45"/>
      <c r="DL44" s="45"/>
      <c r="DM44" s="45"/>
      <c r="DN44" s="45"/>
      <c r="DO44" s="45"/>
      <c r="DP44" s="45"/>
      <c r="DQ44" s="45"/>
      <c r="DR44" s="45"/>
      <c r="DS44" s="45"/>
      <c r="DT44" s="45"/>
      <c r="DU44" s="45"/>
      <c r="DV44" s="45"/>
      <c r="DW44" s="45"/>
      <c r="DX44" s="45"/>
      <c r="DY44" s="79"/>
    </row>
    <row r="45" spans="1:129" x14ac:dyDescent="0.2">
      <c r="A45" s="28"/>
      <c r="B45" s="28"/>
      <c r="C45" s="36"/>
      <c r="D45" s="44"/>
      <c r="E45" s="28"/>
      <c r="F45" s="28"/>
      <c r="G45" s="44"/>
      <c r="H45" s="30"/>
      <c r="I45" s="32"/>
      <c r="J45" s="32"/>
      <c r="K45" s="51"/>
      <c r="L45" s="51"/>
      <c r="M45" s="28"/>
      <c r="N45" s="28"/>
      <c r="O45" s="28"/>
      <c r="P45" s="47"/>
      <c r="Q45" s="45"/>
      <c r="R45" s="28"/>
      <c r="S45" s="73"/>
      <c r="T45" s="76"/>
      <c r="U45" s="71"/>
      <c r="V45" s="71"/>
      <c r="W45" s="71"/>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c r="DD45" s="45"/>
      <c r="DE45" s="45"/>
      <c r="DF45" s="45"/>
      <c r="DG45" s="45"/>
      <c r="DH45" s="45"/>
      <c r="DI45" s="45"/>
      <c r="DJ45" s="45"/>
      <c r="DK45" s="45"/>
      <c r="DL45" s="45"/>
      <c r="DM45" s="45"/>
      <c r="DN45" s="45"/>
      <c r="DO45" s="45"/>
      <c r="DP45" s="45"/>
      <c r="DQ45" s="45"/>
      <c r="DR45" s="45"/>
      <c r="DS45" s="45"/>
      <c r="DT45" s="45"/>
      <c r="DU45" s="45"/>
      <c r="DV45" s="45"/>
      <c r="DW45" s="45"/>
      <c r="DX45" s="45"/>
      <c r="DY45" s="79"/>
    </row>
    <row r="46" spans="1:129" ht="13.5" thickBot="1" x14ac:dyDescent="0.25">
      <c r="A46" s="28"/>
      <c r="B46" s="28"/>
      <c r="C46" s="36"/>
      <c r="D46" s="44"/>
      <c r="E46" s="28"/>
      <c r="F46" s="28"/>
      <c r="G46" s="44"/>
      <c r="H46" s="30"/>
      <c r="I46" s="53"/>
      <c r="J46" s="53"/>
      <c r="K46" s="49"/>
      <c r="L46" s="49"/>
      <c r="M46" s="28"/>
      <c r="N46" s="28"/>
      <c r="O46" s="28"/>
      <c r="P46" s="52"/>
      <c r="Q46" s="45"/>
      <c r="R46" s="28"/>
      <c r="S46" s="73"/>
      <c r="T46" s="81"/>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3"/>
    </row>
  </sheetData>
  <autoFilter ref="A6:Z44"/>
  <sortState ref="A7:DY75">
    <sortCondition descending="1" ref="L7:L75"/>
  </sortState>
  <conditionalFormatting sqref="P8">
    <cfRule type="expression" dxfId="2" priority="3">
      <formula>"o8=""No"",0"</formula>
    </cfRule>
  </conditionalFormatting>
  <conditionalFormatting sqref="P7">
    <cfRule type="expression" dxfId="1" priority="1" stopIfTrue="1">
      <formula>"if(o7=Yes,&lt;0)"</formula>
    </cfRule>
    <cfRule type="expression" dxfId="0" priority="2" stopIfTrue="1">
      <formula>"if(o7=No,0)"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17"/>
  <sheetViews>
    <sheetView workbookViewId="0">
      <selection activeCell="A5" sqref="A5"/>
    </sheetView>
  </sheetViews>
  <sheetFormatPr defaultRowHeight="12.75" x14ac:dyDescent="0.2"/>
  <cols>
    <col min="1" max="1" width="9.28515625" style="3" bestFit="1" customWidth="1"/>
    <col min="2" max="2" width="13" style="3" customWidth="1"/>
    <col min="3" max="3" width="14.28515625" style="3" bestFit="1" customWidth="1"/>
    <col min="4" max="5" width="15" style="3" customWidth="1"/>
    <col min="6" max="8" width="13.42578125" style="3" customWidth="1"/>
    <col min="9" max="9" width="20.42578125" style="3" bestFit="1" customWidth="1"/>
    <col min="10" max="10" width="25.7109375" style="3" bestFit="1" customWidth="1"/>
    <col min="11" max="11" width="16" style="3" bestFit="1" customWidth="1"/>
    <col min="12" max="12" width="20.42578125" style="3" bestFit="1" customWidth="1"/>
    <col min="13" max="13" width="19.85546875" style="3" bestFit="1" customWidth="1"/>
    <col min="14" max="14" width="17.42578125" style="3" bestFit="1" customWidth="1"/>
    <col min="15" max="15" width="12.28515625" style="3" bestFit="1" customWidth="1"/>
    <col min="16" max="16" width="17.140625" style="3" bestFit="1" customWidth="1"/>
    <col min="17" max="17" width="16.140625" style="3" bestFit="1" customWidth="1"/>
    <col min="18" max="18" width="17.140625" style="3" bestFit="1" customWidth="1"/>
    <col min="19" max="19" width="10.7109375" style="3" bestFit="1" customWidth="1"/>
    <col min="20" max="16384" width="9.140625" style="3"/>
  </cols>
  <sheetData>
    <row r="1" spans="1:18" x14ac:dyDescent="0.2">
      <c r="B1" s="4"/>
      <c r="C1" s="4">
        <v>9600000</v>
      </c>
      <c r="D1" s="4">
        <f>1.03^8</f>
        <v>1.2667700813876159</v>
      </c>
      <c r="E1" s="4"/>
      <c r="F1" s="5" t="s">
        <v>40</v>
      </c>
      <c r="G1" s="5"/>
      <c r="H1" s="5"/>
      <c r="I1" s="4"/>
      <c r="J1" s="2"/>
      <c r="K1" s="2"/>
    </row>
    <row r="2" spans="1:18" x14ac:dyDescent="0.2">
      <c r="B2" s="6"/>
      <c r="C2" s="6">
        <f>C1*D1</f>
        <v>12160992.781321112</v>
      </c>
      <c r="D2" s="6"/>
      <c r="E2" s="6"/>
      <c r="F2" s="7">
        <v>0.09</v>
      </c>
      <c r="G2" s="7"/>
      <c r="H2" s="7"/>
      <c r="I2" s="24" t="str">
        <f>(YEAR(I4)&amp;"-"&amp;YEAR(I4)+1)</f>
        <v>2019-2020</v>
      </c>
      <c r="K2" s="8"/>
    </row>
    <row r="3" spans="1:18" ht="51" x14ac:dyDescent="0.2">
      <c r="A3" s="4" t="s">
        <v>41</v>
      </c>
      <c r="B3" s="2" t="s">
        <v>42</v>
      </c>
      <c r="C3" s="2" t="s">
        <v>43</v>
      </c>
      <c r="D3" s="2" t="s">
        <v>44</v>
      </c>
      <c r="E3" s="2" t="s">
        <v>68</v>
      </c>
      <c r="F3" s="2" t="s">
        <v>45</v>
      </c>
      <c r="G3" s="2" t="s">
        <v>46</v>
      </c>
      <c r="H3" s="2" t="s">
        <v>47</v>
      </c>
      <c r="I3" s="2" t="s">
        <v>48</v>
      </c>
      <c r="J3" s="4" t="s">
        <v>49</v>
      </c>
      <c r="K3" s="4" t="s">
        <v>50</v>
      </c>
      <c r="L3" s="4" t="s">
        <v>69</v>
      </c>
      <c r="M3" s="4" t="s">
        <v>51</v>
      </c>
      <c r="N3" s="2" t="s">
        <v>52</v>
      </c>
      <c r="O3" s="2" t="s">
        <v>75</v>
      </c>
      <c r="P3" s="4" t="s">
        <v>53</v>
      </c>
      <c r="Q3" s="2" t="s">
        <v>54</v>
      </c>
      <c r="R3" s="2" t="s">
        <v>55</v>
      </c>
    </row>
    <row r="4" spans="1:18" x14ac:dyDescent="0.2">
      <c r="A4" s="3">
        <v>1001</v>
      </c>
      <c r="C4" s="9">
        <f>VLOOKUP($A4,'BASE DATA'!$A:$T,11,0)</f>
        <v>800000</v>
      </c>
      <c r="D4" s="9">
        <f>+C4*B4</f>
        <v>0</v>
      </c>
      <c r="E4" s="9" t="str">
        <f>VLOOKUP($A4,'BASE DATA'!$A:$T,13,0)</f>
        <v>Monthly</v>
      </c>
      <c r="F4" s="88">
        <f>VLOOKUP($A4,'BASE DATA'!$A:$T,10,0)</f>
        <v>46843</v>
      </c>
      <c r="G4" s="3" t="str">
        <f t="shared" ref="G4:G16" si="0">IF(AND(MONTH(I4)&gt;0,MONTH(I4)&lt;=3),YEAR(I4)-1&amp;"-"&amp;YEAR(I4),YEAR(I4)&amp;"-"&amp;YEAR(I4)+1)</f>
        <v>2019-2020</v>
      </c>
      <c r="H4" s="11">
        <f t="shared" ref="H4:H13" si="1">IF(AND(MONTH(I4)&gt;3,MONTH(I4)&lt;=6),1,IF(AND(MONTH(I4)&gt;6,MONTH(I4)&lt;=9),2,IF(AND(MONTH(I4)&gt;9,MONTH(I4)&lt;=12),3,4)))</f>
        <v>1</v>
      </c>
      <c r="I4" s="10">
        <f>VLOOKUP($A4,'BASE DATA'!$A:$T,9,0)</f>
        <v>43556</v>
      </c>
      <c r="J4" s="12">
        <f>VLOOKUP($A4,'BASE DATA'!$A:$T,20,0)</f>
        <v>65519205.285927117</v>
      </c>
      <c r="K4" s="12">
        <v>0</v>
      </c>
      <c r="L4" s="12">
        <v>0</v>
      </c>
      <c r="M4" s="12">
        <f>+L4-K4</f>
        <v>0</v>
      </c>
      <c r="N4" s="12">
        <f>+J4-M4</f>
        <v>65519205.285927117</v>
      </c>
      <c r="O4" s="13" t="str">
        <f t="shared" ref="O4:O35" si="2">IF(E4="Monthly","",O3-D4+L4)</f>
        <v/>
      </c>
      <c r="P4" s="12">
        <f>+J4</f>
        <v>65519205.285927117</v>
      </c>
      <c r="Q4" s="12">
        <v>0</v>
      </c>
      <c r="R4" s="12">
        <f>+J4-Q4</f>
        <v>65519205.285927117</v>
      </c>
    </row>
    <row r="5" spans="1:18" x14ac:dyDescent="0.2">
      <c r="A5" s="3">
        <v>1001</v>
      </c>
      <c r="B5" s="3">
        <f>I5-I4+1</f>
        <v>91</v>
      </c>
      <c r="C5" s="9">
        <f>VLOOKUP($A5,'BASE DATA'!$A:$T,11,0)</f>
        <v>800000</v>
      </c>
      <c r="D5" s="9">
        <f>(C5*12)/366*B5</f>
        <v>2386885.2459016396</v>
      </c>
      <c r="E5" s="9" t="str">
        <f>VLOOKUP($A5,'BASE DATA'!$A:$T,13,0)</f>
        <v>Monthly</v>
      </c>
      <c r="F5" s="88">
        <f>VLOOKUP($A5,'BASE DATA'!$A:$T,10,0)</f>
        <v>46843</v>
      </c>
      <c r="G5" s="3" t="str">
        <f t="shared" si="0"/>
        <v>2019-2020</v>
      </c>
      <c r="H5" s="11">
        <f t="shared" si="1"/>
        <v>1</v>
      </c>
      <c r="I5" s="10">
        <v>43646</v>
      </c>
      <c r="J5" s="12">
        <f>+N4</f>
        <v>65519205.285927117</v>
      </c>
      <c r="K5" s="12">
        <f>((+J5*$F$2)/366)*(I5-I4+1)</f>
        <v>1466126.4789391886</v>
      </c>
      <c r="L5" s="12">
        <f>D5</f>
        <v>2386885.2459016396</v>
      </c>
      <c r="M5" s="12">
        <f>+L5-K5</f>
        <v>920758.76696245093</v>
      </c>
      <c r="N5" s="12">
        <f>+J5-M5</f>
        <v>64598446.518964663</v>
      </c>
      <c r="O5" s="13" t="str">
        <f t="shared" si="2"/>
        <v/>
      </c>
      <c r="P5" s="12">
        <f>+R4</f>
        <v>65519205.285927117</v>
      </c>
      <c r="Q5" s="12">
        <f>+($P$4/($F$4-$I$4))*(I5-I4)</f>
        <v>1793954.5104147978</v>
      </c>
      <c r="R5" s="12">
        <f t="shared" ref="R5:R40" si="3">+P5-Q5</f>
        <v>63725250.775512323</v>
      </c>
    </row>
    <row r="6" spans="1:18" x14ac:dyDescent="0.2">
      <c r="A6" s="3">
        <v>1001</v>
      </c>
      <c r="B6" s="3">
        <f t="shared" ref="B6:B40" si="4">I6-I5</f>
        <v>92</v>
      </c>
      <c r="C6" s="13">
        <f>+C5</f>
        <v>800000</v>
      </c>
      <c r="D6" s="9">
        <f t="shared" ref="D6:D8" si="5">(C6*12)/366*B6</f>
        <v>2413114.7540983609</v>
      </c>
      <c r="E6" s="9" t="str">
        <f>VLOOKUP($A6,'BASE DATA'!$A:$T,13,0)</f>
        <v>Monthly</v>
      </c>
      <c r="F6" s="88">
        <f>VLOOKUP($A6,'BASE DATA'!$A:$T,10,0)</f>
        <v>46843</v>
      </c>
      <c r="G6" s="3" t="str">
        <f t="shared" si="0"/>
        <v>2019-2020</v>
      </c>
      <c r="H6" s="11">
        <f t="shared" si="1"/>
        <v>2</v>
      </c>
      <c r="I6" s="10">
        <f>IF(EDATE(I5,3)&gt;$F$4,$F$4,EDATE(I5,3))</f>
        <v>43738</v>
      </c>
      <c r="J6" s="12">
        <f t="shared" ref="J6:J40" si="6">+N5</f>
        <v>64598446.518964663</v>
      </c>
      <c r="K6" s="12">
        <f t="shared" ref="K5:K16" si="7">((+J6*$F$2)/366)*(I6-I5)</f>
        <v>1461407.4786257581</v>
      </c>
      <c r="L6" s="12">
        <f t="shared" ref="L6:L40" si="8">D6</f>
        <v>2413114.7540983609</v>
      </c>
      <c r="M6" s="12">
        <f t="shared" ref="M6:M40" si="9">+L6-K6</f>
        <v>951707.27547260281</v>
      </c>
      <c r="N6" s="12">
        <f t="shared" ref="N6:N40" si="10">+J6-M6</f>
        <v>63646739.243492059</v>
      </c>
      <c r="O6" s="13" t="str">
        <f t="shared" si="2"/>
        <v/>
      </c>
      <c r="P6" s="12">
        <f t="shared" ref="P6:P40" si="11">+R5</f>
        <v>63725250.775512323</v>
      </c>
      <c r="Q6" s="12">
        <f t="shared" ref="Q6:Q40" si="12">+($P$4/($F$4-$I$4))*(I6-I5)</f>
        <v>1833820.1662017934</v>
      </c>
      <c r="R6" s="12">
        <f t="shared" si="3"/>
        <v>61891430.60931053</v>
      </c>
    </row>
    <row r="7" spans="1:18" x14ac:dyDescent="0.2">
      <c r="A7" s="3">
        <v>1001</v>
      </c>
      <c r="B7" s="3">
        <f t="shared" si="4"/>
        <v>92</v>
      </c>
      <c r="C7" s="13">
        <f t="shared" ref="C7:C16" si="13">+C6</f>
        <v>800000</v>
      </c>
      <c r="D7" s="9">
        <f t="shared" si="5"/>
        <v>2413114.7540983609</v>
      </c>
      <c r="E7" s="9" t="str">
        <f>VLOOKUP($A7,'BASE DATA'!$A:$T,13,0)</f>
        <v>Monthly</v>
      </c>
      <c r="F7" s="88">
        <f>VLOOKUP($A7,'BASE DATA'!$A:$T,10,0)</f>
        <v>46843</v>
      </c>
      <c r="G7" s="3" t="str">
        <f t="shared" si="0"/>
        <v>2019-2020</v>
      </c>
      <c r="H7" s="11">
        <f t="shared" si="1"/>
        <v>3</v>
      </c>
      <c r="I7" s="10">
        <f>IF(EDATE(I6,3)&gt;$F$4,$F$4,EDATE(I6,3)+1)</f>
        <v>43830</v>
      </c>
      <c r="J7" s="12">
        <f t="shared" si="6"/>
        <v>63646739.243492059</v>
      </c>
      <c r="K7" s="12">
        <f t="shared" si="7"/>
        <v>1439877.0517380172</v>
      </c>
      <c r="L7" s="12">
        <f t="shared" si="8"/>
        <v>2413114.7540983609</v>
      </c>
      <c r="M7" s="12">
        <f t="shared" si="9"/>
        <v>973237.70236034365</v>
      </c>
      <c r="N7" s="12">
        <f t="shared" si="10"/>
        <v>62673501.541131712</v>
      </c>
      <c r="O7" s="13" t="str">
        <f t="shared" si="2"/>
        <v/>
      </c>
      <c r="P7" s="12">
        <f t="shared" si="11"/>
        <v>61891430.60931053</v>
      </c>
      <c r="Q7" s="12">
        <f t="shared" si="12"/>
        <v>1833820.1662017934</v>
      </c>
      <c r="R7" s="12">
        <f t="shared" si="3"/>
        <v>60057610.443108737</v>
      </c>
    </row>
    <row r="8" spans="1:18" x14ac:dyDescent="0.2">
      <c r="A8" s="3">
        <v>1001</v>
      </c>
      <c r="B8" s="3">
        <f t="shared" si="4"/>
        <v>91</v>
      </c>
      <c r="C8" s="13">
        <f t="shared" si="13"/>
        <v>800000</v>
      </c>
      <c r="D8" s="9">
        <f t="shared" si="5"/>
        <v>2386885.2459016396</v>
      </c>
      <c r="E8" s="9" t="str">
        <f>VLOOKUP($A8,'BASE DATA'!$A:$T,13,0)</f>
        <v>Monthly</v>
      </c>
      <c r="F8" s="88">
        <f>VLOOKUP($A8,'BASE DATA'!$A:$T,10,0)</f>
        <v>46843</v>
      </c>
      <c r="G8" s="3" t="str">
        <f t="shared" si="0"/>
        <v>2019-2020</v>
      </c>
      <c r="H8" s="11">
        <f t="shared" si="1"/>
        <v>4</v>
      </c>
      <c r="I8" s="10">
        <f>IF(EDATE(I7,3)&gt;$F$4,$F$4,EDATE(I7,3))</f>
        <v>43921</v>
      </c>
      <c r="J8" s="12">
        <f t="shared" si="6"/>
        <v>62673501.541131712</v>
      </c>
      <c r="K8" s="12">
        <f t="shared" si="7"/>
        <v>1402448.0262892589</v>
      </c>
      <c r="L8" s="12">
        <f t="shared" si="8"/>
        <v>2386885.2459016396</v>
      </c>
      <c r="M8" s="12">
        <f t="shared" si="9"/>
        <v>984437.21961238072</v>
      </c>
      <c r="N8" s="12">
        <f t="shared" si="10"/>
        <v>61689064.32151933</v>
      </c>
      <c r="O8" s="13" t="str">
        <f t="shared" si="2"/>
        <v/>
      </c>
      <c r="P8" s="12">
        <f t="shared" si="11"/>
        <v>60057610.443108737</v>
      </c>
      <c r="Q8" s="12">
        <f t="shared" si="12"/>
        <v>1813887.3383082955</v>
      </c>
      <c r="R8" s="12">
        <f t="shared" si="3"/>
        <v>58243723.10480044</v>
      </c>
    </row>
    <row r="9" spans="1:18" x14ac:dyDescent="0.2">
      <c r="A9" s="3">
        <v>1001</v>
      </c>
      <c r="B9" s="3">
        <f t="shared" si="4"/>
        <v>91</v>
      </c>
      <c r="C9" s="13">
        <f>+C8*1.03</f>
        <v>824000</v>
      </c>
      <c r="D9" s="9">
        <f t="shared" ref="D6:D40" si="14">(C9*12)/365*B9</f>
        <v>2465227.3972602743</v>
      </c>
      <c r="E9" s="9" t="str">
        <f>VLOOKUP($A9,'BASE DATA'!$A:$T,13,0)</f>
        <v>Monthly</v>
      </c>
      <c r="F9" s="88">
        <f>VLOOKUP($A9,'BASE DATA'!$A:$T,10,0)</f>
        <v>46843</v>
      </c>
      <c r="G9" s="3" t="str">
        <f t="shared" si="0"/>
        <v>2020-2021</v>
      </c>
      <c r="H9" s="11">
        <f t="shared" si="1"/>
        <v>1</v>
      </c>
      <c r="I9" s="10">
        <f>IF(EDATE(I8,3)&gt;$F$4,$F$4,EDATE(I8,3))</f>
        <v>44012</v>
      </c>
      <c r="J9" s="12">
        <f t="shared" si="6"/>
        <v>61689064.32151933</v>
      </c>
      <c r="K9" s="12">
        <f t="shared" si="7"/>
        <v>1380419.2262110473</v>
      </c>
      <c r="L9" s="12">
        <f t="shared" si="8"/>
        <v>2465227.3972602743</v>
      </c>
      <c r="M9" s="12">
        <f t="shared" si="9"/>
        <v>1084808.171049227</v>
      </c>
      <c r="N9" s="12">
        <f t="shared" si="10"/>
        <v>60604256.1504701</v>
      </c>
      <c r="O9" s="13" t="str">
        <f t="shared" si="2"/>
        <v/>
      </c>
      <c r="P9" s="12">
        <f t="shared" si="11"/>
        <v>58243723.10480044</v>
      </c>
      <c r="Q9" s="12">
        <f t="shared" si="12"/>
        <v>1813887.3383082955</v>
      </c>
      <c r="R9" s="12">
        <f t="shared" si="3"/>
        <v>56429835.766492143</v>
      </c>
    </row>
    <row r="10" spans="1:18" x14ac:dyDescent="0.2">
      <c r="A10" s="3">
        <v>1001</v>
      </c>
      <c r="B10" s="3">
        <f t="shared" si="4"/>
        <v>92</v>
      </c>
      <c r="C10" s="13">
        <f>C9</f>
        <v>824000</v>
      </c>
      <c r="D10" s="9">
        <f t="shared" si="14"/>
        <v>2492317.8082191781</v>
      </c>
      <c r="E10" s="9" t="str">
        <f>VLOOKUP($A10,'BASE DATA'!$A:$T,13,0)</f>
        <v>Monthly</v>
      </c>
      <c r="F10" s="88">
        <f>VLOOKUP($A10,'BASE DATA'!$A:$T,10,0)</f>
        <v>46843</v>
      </c>
      <c r="G10" s="3" t="str">
        <f t="shared" si="0"/>
        <v>2020-2021</v>
      </c>
      <c r="H10" s="11">
        <f t="shared" si="1"/>
        <v>2</v>
      </c>
      <c r="I10" s="10">
        <f>IF(EDATE(I9,3)&gt;$F$4,$F$4,EDATE(I9,3))</f>
        <v>44104</v>
      </c>
      <c r="J10" s="12">
        <f t="shared" si="6"/>
        <v>60604256.1504701</v>
      </c>
      <c r="K10" s="12">
        <f t="shared" si="7"/>
        <v>1371047.1063548971</v>
      </c>
      <c r="L10" s="12">
        <f t="shared" si="8"/>
        <v>2492317.8082191781</v>
      </c>
      <c r="M10" s="12">
        <f t="shared" si="9"/>
        <v>1121270.701864281</v>
      </c>
      <c r="N10" s="12">
        <f t="shared" si="10"/>
        <v>59482985.448605821</v>
      </c>
      <c r="O10" s="13" t="str">
        <f t="shared" si="2"/>
        <v/>
      </c>
      <c r="P10" s="12">
        <f t="shared" si="11"/>
        <v>56429835.766492143</v>
      </c>
      <c r="Q10" s="12">
        <f t="shared" si="12"/>
        <v>1833820.1662017934</v>
      </c>
      <c r="R10" s="12">
        <f t="shared" si="3"/>
        <v>54596015.600290351</v>
      </c>
    </row>
    <row r="11" spans="1:18" x14ac:dyDescent="0.2">
      <c r="A11" s="3">
        <v>1001</v>
      </c>
      <c r="B11" s="3">
        <f t="shared" si="4"/>
        <v>92</v>
      </c>
      <c r="C11" s="13">
        <f t="shared" ref="C11:C12" si="15">C10</f>
        <v>824000</v>
      </c>
      <c r="D11" s="9">
        <f t="shared" si="14"/>
        <v>2492317.8082191781</v>
      </c>
      <c r="E11" s="9" t="str">
        <f>VLOOKUP($A11,'BASE DATA'!$A:$T,13,0)</f>
        <v>Monthly</v>
      </c>
      <c r="F11" s="88">
        <f>VLOOKUP($A11,'BASE DATA'!$A:$T,10,0)</f>
        <v>46843</v>
      </c>
      <c r="G11" s="3" t="str">
        <f t="shared" si="0"/>
        <v>2020-2021</v>
      </c>
      <c r="H11" s="11">
        <f t="shared" si="1"/>
        <v>3</v>
      </c>
      <c r="I11" s="10">
        <f>IF(EDATE(I10,3)&gt;$F$4,$F$4,EDATE(I10,3)+1)</f>
        <v>44196</v>
      </c>
      <c r="J11" s="12">
        <f t="shared" si="6"/>
        <v>59482985.448605821</v>
      </c>
      <c r="K11" s="12">
        <f t="shared" si="7"/>
        <v>1345680.6544110824</v>
      </c>
      <c r="L11" s="12">
        <f t="shared" si="8"/>
        <v>2492317.8082191781</v>
      </c>
      <c r="M11" s="12">
        <f t="shared" si="9"/>
        <v>1146637.1538080957</v>
      </c>
      <c r="N11" s="12">
        <f t="shared" si="10"/>
        <v>58336348.294797726</v>
      </c>
      <c r="O11" s="13" t="str">
        <f t="shared" si="2"/>
        <v/>
      </c>
      <c r="P11" s="12">
        <f t="shared" si="11"/>
        <v>54596015.600290351</v>
      </c>
      <c r="Q11" s="12">
        <f t="shared" si="12"/>
        <v>1833820.1662017934</v>
      </c>
      <c r="R11" s="12">
        <f t="shared" si="3"/>
        <v>52762195.434088558</v>
      </c>
    </row>
    <row r="12" spans="1:18" x14ac:dyDescent="0.2">
      <c r="A12" s="3">
        <v>1001</v>
      </c>
      <c r="B12" s="3">
        <f t="shared" si="4"/>
        <v>90</v>
      </c>
      <c r="C12" s="13">
        <f t="shared" si="15"/>
        <v>824000</v>
      </c>
      <c r="D12" s="9">
        <f t="shared" si="14"/>
        <v>2438136.98630137</v>
      </c>
      <c r="E12" s="9" t="str">
        <f>VLOOKUP($A12,'BASE DATA'!$A:$T,13,0)</f>
        <v>Monthly</v>
      </c>
      <c r="F12" s="88">
        <f>VLOOKUP($A12,'BASE DATA'!$A:$T,10,0)</f>
        <v>46843</v>
      </c>
      <c r="G12" s="3" t="str">
        <f t="shared" si="0"/>
        <v>2020-2021</v>
      </c>
      <c r="H12" s="11">
        <f t="shared" si="1"/>
        <v>4</v>
      </c>
      <c r="I12" s="10">
        <f>IF(EDATE(I11,3)&gt;$F$4,$F$4,EDATE(I11,3))</f>
        <v>44286</v>
      </c>
      <c r="J12" s="12">
        <f t="shared" si="6"/>
        <v>58336348.294797726</v>
      </c>
      <c r="K12" s="12">
        <f t="shared" si="7"/>
        <v>1291050.331114376</v>
      </c>
      <c r="L12" s="12">
        <f t="shared" si="8"/>
        <v>2438136.98630137</v>
      </c>
      <c r="M12" s="12">
        <f t="shared" si="9"/>
        <v>1147086.655186994</v>
      </c>
      <c r="N12" s="12">
        <f t="shared" si="10"/>
        <v>57189261.63961073</v>
      </c>
      <c r="O12" s="13" t="str">
        <f t="shared" si="2"/>
        <v/>
      </c>
      <c r="P12" s="12">
        <f t="shared" si="11"/>
        <v>52762195.434088558</v>
      </c>
      <c r="Q12" s="12">
        <f t="shared" si="12"/>
        <v>1793954.5104147978</v>
      </c>
      <c r="R12" s="12">
        <f t="shared" si="3"/>
        <v>50968240.923673764</v>
      </c>
    </row>
    <row r="13" spans="1:18" x14ac:dyDescent="0.2">
      <c r="A13" s="3">
        <v>1001</v>
      </c>
      <c r="B13" s="3">
        <f t="shared" si="4"/>
        <v>91</v>
      </c>
      <c r="C13" s="13">
        <f>+C12*1.03</f>
        <v>848720</v>
      </c>
      <c r="D13" s="9">
        <f t="shared" si="14"/>
        <v>2539184.219178082</v>
      </c>
      <c r="E13" s="9" t="str">
        <f>VLOOKUP($A13,'BASE DATA'!$A:$T,13,0)</f>
        <v>Monthly</v>
      </c>
      <c r="F13" s="88">
        <f>VLOOKUP($A13,'BASE DATA'!$A:$T,10,0)</f>
        <v>46843</v>
      </c>
      <c r="G13" s="3" t="str">
        <f t="shared" si="0"/>
        <v>2021-2022</v>
      </c>
      <c r="H13" s="11">
        <f t="shared" si="1"/>
        <v>1</v>
      </c>
      <c r="I13" s="10">
        <f>IF(EDATE(I12,3)&gt;$F$4,$F$4,EDATE(I12,3))</f>
        <v>44377</v>
      </c>
      <c r="J13" s="12">
        <f t="shared" si="6"/>
        <v>57189261.63961073</v>
      </c>
      <c r="K13" s="12">
        <f t="shared" si="7"/>
        <v>1279726.9202962073</v>
      </c>
      <c r="L13" s="12">
        <f t="shared" si="8"/>
        <v>2539184.219178082</v>
      </c>
      <c r="M13" s="12">
        <f t="shared" si="9"/>
        <v>1259457.2988818747</v>
      </c>
      <c r="N13" s="12">
        <f t="shared" si="10"/>
        <v>55929804.340728857</v>
      </c>
      <c r="O13" s="13" t="str">
        <f t="shared" si="2"/>
        <v/>
      </c>
      <c r="P13" s="12">
        <f t="shared" si="11"/>
        <v>50968240.923673764</v>
      </c>
      <c r="Q13" s="12">
        <f t="shared" si="12"/>
        <v>1813887.3383082955</v>
      </c>
      <c r="R13" s="12">
        <f t="shared" si="3"/>
        <v>49154353.585365467</v>
      </c>
    </row>
    <row r="14" spans="1:18" x14ac:dyDescent="0.2">
      <c r="A14" s="3">
        <v>1001</v>
      </c>
      <c r="B14" s="3">
        <f t="shared" si="4"/>
        <v>92</v>
      </c>
      <c r="C14" s="13">
        <f t="shared" si="13"/>
        <v>848720</v>
      </c>
      <c r="D14" s="9">
        <f t="shared" si="14"/>
        <v>2567087.3424657532</v>
      </c>
      <c r="E14" s="9" t="str">
        <f>VLOOKUP($A14,'BASE DATA'!$A:$T,13,0)</f>
        <v>Monthly</v>
      </c>
      <c r="F14" s="88">
        <f>VLOOKUP($A14,'BASE DATA'!$A:$T,10,0)</f>
        <v>46843</v>
      </c>
      <c r="G14" s="3" t="str">
        <f t="shared" si="0"/>
        <v>2021-2022</v>
      </c>
      <c r="H14" s="11">
        <f>IF(AND(MONTH(I14)&gt;3,MONTH(I14)&lt;=6),1,IF(AND(MONTH(I14)&gt;6,MONTH(I14)&lt;=9),2,IF(AND(MONTH(I14)&gt;9,MONTH(I14)&lt;=12),3,4)))</f>
        <v>2</v>
      </c>
      <c r="I14" s="10">
        <f>IF(EDATE(I13,3)&gt;$F$4,$F$4,EDATE(I13,3))</f>
        <v>44469</v>
      </c>
      <c r="J14" s="12">
        <f t="shared" si="6"/>
        <v>55929804.340728857</v>
      </c>
      <c r="K14" s="12">
        <f t="shared" si="7"/>
        <v>1265297.2129541938</v>
      </c>
      <c r="L14" s="12">
        <f t="shared" si="8"/>
        <v>2567087.3424657532</v>
      </c>
      <c r="M14" s="12">
        <f t="shared" si="9"/>
        <v>1301790.1295115594</v>
      </c>
      <c r="N14" s="12">
        <f t="shared" si="10"/>
        <v>54628014.211217299</v>
      </c>
      <c r="O14" s="13" t="str">
        <f t="shared" si="2"/>
        <v/>
      </c>
      <c r="P14" s="12">
        <f t="shared" si="11"/>
        <v>49154353.585365467</v>
      </c>
      <c r="Q14" s="12">
        <f t="shared" si="12"/>
        <v>1833820.1662017934</v>
      </c>
      <c r="R14" s="12">
        <f t="shared" si="3"/>
        <v>47320533.419163674</v>
      </c>
    </row>
    <row r="15" spans="1:18" x14ac:dyDescent="0.2">
      <c r="A15" s="3">
        <v>1001</v>
      </c>
      <c r="B15" s="3">
        <f t="shared" si="4"/>
        <v>92</v>
      </c>
      <c r="C15" s="13">
        <f t="shared" si="13"/>
        <v>848720</v>
      </c>
      <c r="D15" s="9">
        <f t="shared" si="14"/>
        <v>2567087.3424657532</v>
      </c>
      <c r="E15" s="9" t="str">
        <f>VLOOKUP($A15,'BASE DATA'!$A:$T,13,0)</f>
        <v>Monthly</v>
      </c>
      <c r="F15" s="88">
        <f>VLOOKUP($A15,'BASE DATA'!$A:$T,10,0)</f>
        <v>46843</v>
      </c>
      <c r="G15" s="3" t="str">
        <f t="shared" si="0"/>
        <v>2021-2022</v>
      </c>
      <c r="H15" s="11">
        <f t="shared" ref="H15:H40" si="16">IF(AND(MONTH(I15)&gt;3,MONTH(I15)&lt;=6),1,IF(AND(MONTH(I15)&gt;6,MONTH(I15)&lt;=9),2,IF(AND(MONTH(I15)&gt;9,MONTH(I15)&lt;=12),3,4)))</f>
        <v>3</v>
      </c>
      <c r="I15" s="10">
        <f>IF(EDATE(I14,3)&gt;$F$4,$F$4,EDATE(I14,3)+1)</f>
        <v>44561</v>
      </c>
      <c r="J15" s="12">
        <f t="shared" si="6"/>
        <v>54628014.211217299</v>
      </c>
      <c r="K15" s="12">
        <f t="shared" si="7"/>
        <v>1235846.8788767192</v>
      </c>
      <c r="L15" s="12">
        <f t="shared" si="8"/>
        <v>2567087.3424657532</v>
      </c>
      <c r="M15" s="12">
        <f t="shared" si="9"/>
        <v>1331240.463589034</v>
      </c>
      <c r="N15" s="12">
        <f t="shared" si="10"/>
        <v>53296773.747628264</v>
      </c>
      <c r="O15" s="13" t="str">
        <f t="shared" si="2"/>
        <v/>
      </c>
      <c r="P15" s="12">
        <f t="shared" si="11"/>
        <v>47320533.419163674</v>
      </c>
      <c r="Q15" s="12">
        <f t="shared" si="12"/>
        <v>1833820.1662017934</v>
      </c>
      <c r="R15" s="12">
        <f t="shared" si="3"/>
        <v>45486713.252961881</v>
      </c>
    </row>
    <row r="16" spans="1:18" x14ac:dyDescent="0.2">
      <c r="A16" s="3">
        <v>1001</v>
      </c>
      <c r="B16" s="3">
        <f t="shared" si="4"/>
        <v>90</v>
      </c>
      <c r="C16" s="13">
        <f t="shared" si="13"/>
        <v>848720</v>
      </c>
      <c r="D16" s="9">
        <f t="shared" si="14"/>
        <v>2511281.0958904107</v>
      </c>
      <c r="E16" s="9" t="str">
        <f>VLOOKUP($A16,'BASE DATA'!$A:$T,13,0)</f>
        <v>Monthly</v>
      </c>
      <c r="F16" s="88">
        <f>VLOOKUP($A16,'BASE DATA'!$A:$T,10,0)</f>
        <v>46843</v>
      </c>
      <c r="G16" s="3" t="str">
        <f t="shared" si="0"/>
        <v>2021-2022</v>
      </c>
      <c r="H16" s="11">
        <f t="shared" si="16"/>
        <v>4</v>
      </c>
      <c r="I16" s="10">
        <f>IF(EDATE(I15,3)&gt;$F$4,$F$4,EDATE(I15,3))</f>
        <v>44651</v>
      </c>
      <c r="J16" s="12">
        <f t="shared" si="6"/>
        <v>53296773.747628264</v>
      </c>
      <c r="K16" s="12">
        <f t="shared" si="7"/>
        <v>1179518.763267183</v>
      </c>
      <c r="L16" s="12">
        <f t="shared" si="8"/>
        <v>2511281.0958904107</v>
      </c>
      <c r="M16" s="12">
        <f t="shared" si="9"/>
        <v>1331762.3326232277</v>
      </c>
      <c r="N16" s="12">
        <f t="shared" si="10"/>
        <v>51965011.415005036</v>
      </c>
      <c r="O16" s="13" t="str">
        <f t="shared" si="2"/>
        <v/>
      </c>
      <c r="P16" s="12">
        <f t="shared" si="11"/>
        <v>45486713.252961881</v>
      </c>
      <c r="Q16" s="12">
        <f t="shared" si="12"/>
        <v>1793954.5104147978</v>
      </c>
      <c r="R16" s="12">
        <f t="shared" si="3"/>
        <v>43692758.74254708</v>
      </c>
    </row>
    <row r="17" spans="1:18" x14ac:dyDescent="0.2">
      <c r="A17" s="3">
        <v>1001</v>
      </c>
      <c r="B17" s="3">
        <f t="shared" si="4"/>
        <v>91</v>
      </c>
      <c r="C17" s="13">
        <f>+C16*1.03</f>
        <v>874181.6</v>
      </c>
      <c r="D17" s="9">
        <f t="shared" si="14"/>
        <v>2615359.7457534247</v>
      </c>
      <c r="E17" s="9" t="str">
        <f>VLOOKUP($A17,'BASE DATA'!$A:$T,13,0)</f>
        <v>Monthly</v>
      </c>
      <c r="F17" s="88">
        <f>VLOOKUP($A17,'BASE DATA'!$A:$T,10,0)</f>
        <v>46843</v>
      </c>
      <c r="G17" s="3" t="str">
        <f>IF(AND(MONTH(I17)&gt;0,MONTH(I17)&lt;=3),YEAR(I17)-1&amp;"-"&amp;YEAR(I17),YEAR(I17)&amp;"-"&amp;YEAR(I17)+1)</f>
        <v>2022-2023</v>
      </c>
      <c r="H17" s="11">
        <f t="shared" si="16"/>
        <v>1</v>
      </c>
      <c r="I17" s="10">
        <f>IF(EDATE(I16,3)&gt;$F$4,$F$4,EDATE(I16,3))</f>
        <v>44742</v>
      </c>
      <c r="J17" s="12">
        <f t="shared" si="6"/>
        <v>51965011.415005036</v>
      </c>
      <c r="K17" s="12">
        <f t="shared" ref="K17:K40" si="17">((+J17*$F$2)/365)*(I17-I16)</f>
        <v>1166009.4342161403</v>
      </c>
      <c r="L17" s="12">
        <f t="shared" si="8"/>
        <v>2615359.7457534247</v>
      </c>
      <c r="M17" s="12">
        <f t="shared" si="9"/>
        <v>1449350.3115372844</v>
      </c>
      <c r="N17" s="12">
        <f t="shared" si="10"/>
        <v>50515661.103467748</v>
      </c>
      <c r="O17" s="13" t="str">
        <f t="shared" si="2"/>
        <v/>
      </c>
      <c r="P17" s="12">
        <f t="shared" si="11"/>
        <v>43692758.74254708</v>
      </c>
      <c r="Q17" s="12">
        <f t="shared" si="12"/>
        <v>1813887.3383082955</v>
      </c>
      <c r="R17" s="12">
        <f t="shared" si="3"/>
        <v>41878871.404238783</v>
      </c>
    </row>
    <row r="18" spans="1:18" x14ac:dyDescent="0.2">
      <c r="A18" s="3">
        <v>1001</v>
      </c>
      <c r="B18" s="3">
        <f t="shared" si="4"/>
        <v>92</v>
      </c>
      <c r="C18" s="13">
        <f>+C17</f>
        <v>874181.6</v>
      </c>
      <c r="D18" s="9">
        <f t="shared" si="14"/>
        <v>2644099.9627397261</v>
      </c>
      <c r="E18" s="9" t="str">
        <f>VLOOKUP($A18,'BASE DATA'!$A:$T,13,0)</f>
        <v>Monthly</v>
      </c>
      <c r="F18" s="88">
        <f>VLOOKUP($A18,'BASE DATA'!$A:$T,10,0)</f>
        <v>46843</v>
      </c>
      <c r="G18" s="3" t="str">
        <f t="shared" ref="G18:G40" si="18">IF(AND(MONTH(I18)&gt;0,MONTH(I18)&lt;=3),YEAR(I18)-1&amp;"-"&amp;YEAR(I18),YEAR(I18)&amp;"-"&amp;YEAR(I18)+1)</f>
        <v>2022-2023</v>
      </c>
      <c r="H18" s="11">
        <f t="shared" si="16"/>
        <v>2</v>
      </c>
      <c r="I18" s="10">
        <f>IF(EDATE(I17,3)&gt;$F$4,$F$4,EDATE(I17,3))</f>
        <v>44834</v>
      </c>
      <c r="J18" s="12">
        <f t="shared" si="6"/>
        <v>50515661.103467748</v>
      </c>
      <c r="K18" s="12">
        <f t="shared" si="17"/>
        <v>1145944.3121553781</v>
      </c>
      <c r="L18" s="12">
        <f t="shared" si="8"/>
        <v>2644099.9627397261</v>
      </c>
      <c r="M18" s="12">
        <f t="shared" si="9"/>
        <v>1498155.650584348</v>
      </c>
      <c r="N18" s="12">
        <f t="shared" si="10"/>
        <v>49017505.4528834</v>
      </c>
      <c r="O18" s="13" t="str">
        <f t="shared" si="2"/>
        <v/>
      </c>
      <c r="P18" s="12">
        <f t="shared" si="11"/>
        <v>41878871.404238783</v>
      </c>
      <c r="Q18" s="12">
        <f t="shared" si="12"/>
        <v>1833820.1662017934</v>
      </c>
      <c r="R18" s="12">
        <f t="shared" si="3"/>
        <v>40045051.23803699</v>
      </c>
    </row>
    <row r="19" spans="1:18" x14ac:dyDescent="0.2">
      <c r="A19" s="3">
        <v>1001</v>
      </c>
      <c r="B19" s="3">
        <f t="shared" si="4"/>
        <v>92</v>
      </c>
      <c r="C19" s="13">
        <f t="shared" ref="C19:C28" si="19">+C18</f>
        <v>874181.6</v>
      </c>
      <c r="D19" s="9">
        <f t="shared" si="14"/>
        <v>2644099.9627397261</v>
      </c>
      <c r="E19" s="9" t="str">
        <f>VLOOKUP($A19,'BASE DATA'!$A:$T,13,0)</f>
        <v>Monthly</v>
      </c>
      <c r="F19" s="88">
        <f>VLOOKUP($A19,'BASE DATA'!$A:$T,10,0)</f>
        <v>46843</v>
      </c>
      <c r="G19" s="3" t="str">
        <f t="shared" si="18"/>
        <v>2022-2023</v>
      </c>
      <c r="H19" s="11">
        <f t="shared" si="16"/>
        <v>3</v>
      </c>
      <c r="I19" s="10">
        <f>IF(EDATE(I18,3)&gt;$F$4,$F$4,EDATE(I18,3)+1)</f>
        <v>44926</v>
      </c>
      <c r="J19" s="12">
        <f t="shared" si="6"/>
        <v>49017505.4528834</v>
      </c>
      <c r="K19" s="12">
        <f t="shared" si="17"/>
        <v>1111958.7538352727</v>
      </c>
      <c r="L19" s="12">
        <f t="shared" si="8"/>
        <v>2644099.9627397261</v>
      </c>
      <c r="M19" s="12">
        <f t="shared" si="9"/>
        <v>1532141.2089044533</v>
      </c>
      <c r="N19" s="12">
        <f t="shared" si="10"/>
        <v>47485364.243978947</v>
      </c>
      <c r="O19" s="13" t="str">
        <f t="shared" si="2"/>
        <v/>
      </c>
      <c r="P19" s="12">
        <f t="shared" si="11"/>
        <v>40045051.23803699</v>
      </c>
      <c r="Q19" s="12">
        <f t="shared" si="12"/>
        <v>1833820.1662017934</v>
      </c>
      <c r="R19" s="12">
        <f t="shared" si="3"/>
        <v>38211231.071835198</v>
      </c>
    </row>
    <row r="20" spans="1:18" x14ac:dyDescent="0.2">
      <c r="A20" s="3">
        <v>1001</v>
      </c>
      <c r="B20" s="3">
        <f t="shared" si="4"/>
        <v>90</v>
      </c>
      <c r="C20" s="13">
        <f t="shared" si="19"/>
        <v>874181.6</v>
      </c>
      <c r="D20" s="9">
        <f t="shared" si="14"/>
        <v>2586619.5287671234</v>
      </c>
      <c r="E20" s="9" t="str">
        <f>VLOOKUP($A20,'BASE DATA'!$A:$T,13,0)</f>
        <v>Monthly</v>
      </c>
      <c r="F20" s="88">
        <f>VLOOKUP($A20,'BASE DATA'!$A:$T,10,0)</f>
        <v>46843</v>
      </c>
      <c r="G20" s="3" t="str">
        <f t="shared" si="18"/>
        <v>2022-2023</v>
      </c>
      <c r="H20" s="11">
        <f t="shared" si="16"/>
        <v>4</v>
      </c>
      <c r="I20" s="10">
        <f>IF(EDATE(I19,3)&gt;$F$4,$F$4,EDATE(I19,3))</f>
        <v>45016</v>
      </c>
      <c r="J20" s="12">
        <f t="shared" si="6"/>
        <v>47485364.243978947</v>
      </c>
      <c r="K20" s="12">
        <f t="shared" si="17"/>
        <v>1053784.7955513136</v>
      </c>
      <c r="L20" s="12">
        <f t="shared" si="8"/>
        <v>2586619.5287671234</v>
      </c>
      <c r="M20" s="12">
        <f t="shared" si="9"/>
        <v>1532834.7332158098</v>
      </c>
      <c r="N20" s="12">
        <f t="shared" si="10"/>
        <v>45952529.510763139</v>
      </c>
      <c r="O20" s="13" t="str">
        <f t="shared" si="2"/>
        <v/>
      </c>
      <c r="P20" s="12">
        <f t="shared" si="11"/>
        <v>38211231.071835198</v>
      </c>
      <c r="Q20" s="12">
        <f t="shared" si="12"/>
        <v>1793954.5104147978</v>
      </c>
      <c r="R20" s="12">
        <f t="shared" si="3"/>
        <v>36417276.561420396</v>
      </c>
    </row>
    <row r="21" spans="1:18" x14ac:dyDescent="0.2">
      <c r="A21" s="3">
        <v>1001</v>
      </c>
      <c r="B21" s="3">
        <f t="shared" si="4"/>
        <v>91</v>
      </c>
      <c r="C21" s="13">
        <f>+C20*1.03</f>
        <v>900407.04799999995</v>
      </c>
      <c r="D21" s="9">
        <f>(C21*12)/366*B21</f>
        <v>2686460.3727213112</v>
      </c>
      <c r="E21" s="9" t="str">
        <f>VLOOKUP($A21,'BASE DATA'!$A:$T,13,0)</f>
        <v>Monthly</v>
      </c>
      <c r="F21" s="88">
        <f>VLOOKUP($A21,'BASE DATA'!$A:$T,10,0)</f>
        <v>46843</v>
      </c>
      <c r="G21" s="3" t="str">
        <f t="shared" si="18"/>
        <v>2023-2024</v>
      </c>
      <c r="H21" s="11">
        <f t="shared" si="16"/>
        <v>1</v>
      </c>
      <c r="I21" s="10">
        <f>IF(EDATE(I20,3)&gt;$F$4,$F$4,EDATE(I20,3))</f>
        <v>45107</v>
      </c>
      <c r="J21" s="12">
        <f t="shared" si="6"/>
        <v>45952529.510763139</v>
      </c>
      <c r="K21" s="12">
        <f t="shared" si="17"/>
        <v>1031099.2238168496</v>
      </c>
      <c r="L21" s="12">
        <f t="shared" si="8"/>
        <v>2686460.3727213112</v>
      </c>
      <c r="M21" s="12">
        <f t="shared" si="9"/>
        <v>1655361.1489044614</v>
      </c>
      <c r="N21" s="12">
        <f t="shared" si="10"/>
        <v>44297168.361858681</v>
      </c>
      <c r="O21" s="13" t="str">
        <f t="shared" si="2"/>
        <v/>
      </c>
      <c r="P21" s="12">
        <f t="shared" si="11"/>
        <v>36417276.561420396</v>
      </c>
      <c r="Q21" s="12">
        <f t="shared" si="12"/>
        <v>1813887.3383082955</v>
      </c>
      <c r="R21" s="12">
        <f t="shared" si="3"/>
        <v>34603389.223112099</v>
      </c>
    </row>
    <row r="22" spans="1:18" x14ac:dyDescent="0.2">
      <c r="A22" s="3">
        <v>1001</v>
      </c>
      <c r="B22" s="3">
        <f t="shared" si="4"/>
        <v>92</v>
      </c>
      <c r="C22" s="13">
        <f t="shared" si="19"/>
        <v>900407.04799999995</v>
      </c>
      <c r="D22" s="9">
        <f t="shared" ref="D22:D24" si="20">(C22*12)/366*B22</f>
        <v>2715981.9152786885</v>
      </c>
      <c r="E22" s="9" t="str">
        <f>VLOOKUP($A22,'BASE DATA'!$A:$T,13,0)</f>
        <v>Monthly</v>
      </c>
      <c r="F22" s="88">
        <f>VLOOKUP($A22,'BASE DATA'!$A:$T,10,0)</f>
        <v>46843</v>
      </c>
      <c r="G22" s="3" t="str">
        <f t="shared" si="18"/>
        <v>2023-2024</v>
      </c>
      <c r="H22" s="11">
        <f t="shared" si="16"/>
        <v>2</v>
      </c>
      <c r="I22" s="10">
        <f>IF(EDATE(I21,3)&gt;$F$4,$F$4,EDATE(I21,3))</f>
        <v>45199</v>
      </c>
      <c r="J22" s="12">
        <f t="shared" si="6"/>
        <v>44297168.361858681</v>
      </c>
      <c r="K22" s="12">
        <f t="shared" si="17"/>
        <v>1004878.2302361365</v>
      </c>
      <c r="L22" s="12">
        <f t="shared" si="8"/>
        <v>2715981.9152786885</v>
      </c>
      <c r="M22" s="12">
        <f t="shared" si="9"/>
        <v>1711103.6850425522</v>
      </c>
      <c r="N22" s="12">
        <f t="shared" si="10"/>
        <v>42586064.676816128</v>
      </c>
      <c r="O22" s="13" t="str">
        <f t="shared" si="2"/>
        <v/>
      </c>
      <c r="P22" s="12">
        <f t="shared" si="11"/>
        <v>34603389.223112099</v>
      </c>
      <c r="Q22" s="12">
        <f t="shared" si="12"/>
        <v>1833820.1662017934</v>
      </c>
      <c r="R22" s="12">
        <f t="shared" si="3"/>
        <v>32769569.056910306</v>
      </c>
    </row>
    <row r="23" spans="1:18" x14ac:dyDescent="0.2">
      <c r="A23" s="3">
        <v>1001</v>
      </c>
      <c r="B23" s="3">
        <f t="shared" si="4"/>
        <v>92</v>
      </c>
      <c r="C23" s="13">
        <f t="shared" si="19"/>
        <v>900407.04799999995</v>
      </c>
      <c r="D23" s="9">
        <f t="shared" si="20"/>
        <v>2715981.9152786885</v>
      </c>
      <c r="E23" s="9" t="str">
        <f>VLOOKUP($A23,'BASE DATA'!$A:$T,13,0)</f>
        <v>Monthly</v>
      </c>
      <c r="F23" s="88">
        <f>VLOOKUP($A23,'BASE DATA'!$A:$T,10,0)</f>
        <v>46843</v>
      </c>
      <c r="G23" s="3" t="str">
        <f t="shared" si="18"/>
        <v>2023-2024</v>
      </c>
      <c r="H23" s="11">
        <f t="shared" si="16"/>
        <v>3</v>
      </c>
      <c r="I23" s="10">
        <f>IF(EDATE(I22,3)&gt;$F$4,$F$4,EDATE(I22,3)+1)</f>
        <v>45291</v>
      </c>
      <c r="J23" s="12">
        <f t="shared" si="6"/>
        <v>42586064.676816128</v>
      </c>
      <c r="K23" s="12">
        <f t="shared" si="17"/>
        <v>966061.96033982886</v>
      </c>
      <c r="L23" s="12">
        <f t="shared" si="8"/>
        <v>2715981.9152786885</v>
      </c>
      <c r="M23" s="12">
        <f t="shared" si="9"/>
        <v>1749919.9549388597</v>
      </c>
      <c r="N23" s="12">
        <f t="shared" si="10"/>
        <v>40836144.721877269</v>
      </c>
      <c r="O23" s="13" t="str">
        <f t="shared" si="2"/>
        <v/>
      </c>
      <c r="P23" s="12">
        <f t="shared" si="11"/>
        <v>32769569.056910306</v>
      </c>
      <c r="Q23" s="12">
        <f t="shared" si="12"/>
        <v>1833820.1662017934</v>
      </c>
      <c r="R23" s="12">
        <f t="shared" si="3"/>
        <v>30935748.890708514</v>
      </c>
    </row>
    <row r="24" spans="1:18" x14ac:dyDescent="0.2">
      <c r="A24" s="3">
        <v>1001</v>
      </c>
      <c r="B24" s="3">
        <f t="shared" si="4"/>
        <v>91</v>
      </c>
      <c r="C24" s="13">
        <f t="shared" si="19"/>
        <v>900407.04799999995</v>
      </c>
      <c r="D24" s="9">
        <f t="shared" si="20"/>
        <v>2686460.3727213112</v>
      </c>
      <c r="E24" s="9" t="str">
        <f>VLOOKUP($A24,'BASE DATA'!$A:$T,13,0)</f>
        <v>Monthly</v>
      </c>
      <c r="F24" s="88">
        <f>VLOOKUP($A24,'BASE DATA'!$A:$T,10,0)</f>
        <v>46843</v>
      </c>
      <c r="G24" s="3" t="str">
        <f t="shared" si="18"/>
        <v>2023-2024</v>
      </c>
      <c r="H24" s="11">
        <f t="shared" si="16"/>
        <v>4</v>
      </c>
      <c r="I24" s="10">
        <f>IF(EDATE(I23,3)&gt;$F$4,$F$4,EDATE(I23,3))</f>
        <v>45382</v>
      </c>
      <c r="J24" s="12">
        <f t="shared" si="6"/>
        <v>40836144.721877269</v>
      </c>
      <c r="K24" s="12">
        <f t="shared" si="17"/>
        <v>916295.95964979415</v>
      </c>
      <c r="L24" s="12">
        <f t="shared" si="8"/>
        <v>2686460.3727213112</v>
      </c>
      <c r="M24" s="12">
        <f t="shared" si="9"/>
        <v>1770164.4130715169</v>
      </c>
      <c r="N24" s="12">
        <f t="shared" si="10"/>
        <v>39065980.308805749</v>
      </c>
      <c r="O24" s="13" t="str">
        <f t="shared" si="2"/>
        <v/>
      </c>
      <c r="P24" s="12">
        <f t="shared" si="11"/>
        <v>30935748.890708514</v>
      </c>
      <c r="Q24" s="12">
        <f t="shared" si="12"/>
        <v>1813887.3383082955</v>
      </c>
      <c r="R24" s="12">
        <f t="shared" si="3"/>
        <v>29121861.552400216</v>
      </c>
    </row>
    <row r="25" spans="1:18" x14ac:dyDescent="0.2">
      <c r="A25" s="3">
        <v>1001</v>
      </c>
      <c r="B25" s="3">
        <f t="shared" si="4"/>
        <v>91</v>
      </c>
      <c r="C25" s="13">
        <f>+C24*1.03</f>
        <v>927419.25943999994</v>
      </c>
      <c r="D25" s="9">
        <f t="shared" si="14"/>
        <v>2774635.154269808</v>
      </c>
      <c r="E25" s="9" t="str">
        <f>VLOOKUP($A25,'BASE DATA'!$A:$T,13,0)</f>
        <v>Monthly</v>
      </c>
      <c r="F25" s="88">
        <f>VLOOKUP($A25,'BASE DATA'!$A:$T,10,0)</f>
        <v>46843</v>
      </c>
      <c r="G25" s="3" t="str">
        <f t="shared" si="18"/>
        <v>2024-2025</v>
      </c>
      <c r="H25" s="11">
        <f t="shared" si="16"/>
        <v>1</v>
      </c>
      <c r="I25" s="10">
        <f>IF(EDATE(I24,3)&gt;$F$4,$F$4,EDATE(I24,3))</f>
        <v>45473</v>
      </c>
      <c r="J25" s="12">
        <f t="shared" si="6"/>
        <v>39065980.308805749</v>
      </c>
      <c r="K25" s="12">
        <f t="shared" si="17"/>
        <v>876576.38007977826</v>
      </c>
      <c r="L25" s="12">
        <f t="shared" si="8"/>
        <v>2774635.154269808</v>
      </c>
      <c r="M25" s="12">
        <f t="shared" si="9"/>
        <v>1898058.7741900296</v>
      </c>
      <c r="N25" s="12">
        <f t="shared" si="10"/>
        <v>37167921.534615718</v>
      </c>
      <c r="O25" s="13" t="str">
        <f t="shared" si="2"/>
        <v/>
      </c>
      <c r="P25" s="12">
        <f t="shared" si="11"/>
        <v>29121861.552400216</v>
      </c>
      <c r="Q25" s="12">
        <f t="shared" si="12"/>
        <v>1813887.3383082955</v>
      </c>
      <c r="R25" s="12">
        <f t="shared" si="3"/>
        <v>27307974.214091919</v>
      </c>
    </row>
    <row r="26" spans="1:18" x14ac:dyDescent="0.2">
      <c r="A26" s="3">
        <v>1001</v>
      </c>
      <c r="B26" s="3">
        <f t="shared" si="4"/>
        <v>92</v>
      </c>
      <c r="C26" s="13">
        <f t="shared" si="19"/>
        <v>927419.25943999994</v>
      </c>
      <c r="D26" s="9">
        <f t="shared" si="14"/>
        <v>2805125.6504705749</v>
      </c>
      <c r="E26" s="9" t="str">
        <f>VLOOKUP($A26,'BASE DATA'!$A:$T,13,0)</f>
        <v>Monthly</v>
      </c>
      <c r="F26" s="88">
        <f>VLOOKUP($A26,'BASE DATA'!$A:$T,10,0)</f>
        <v>46843</v>
      </c>
      <c r="G26" s="3" t="str">
        <f t="shared" si="18"/>
        <v>2024-2025</v>
      </c>
      <c r="H26" s="11">
        <f t="shared" si="16"/>
        <v>2</v>
      </c>
      <c r="I26" s="10">
        <f>IF(EDATE(I25,3)&gt;$F$4,$F$4,EDATE(I25,3))</f>
        <v>45565</v>
      </c>
      <c r="J26" s="12">
        <f t="shared" si="6"/>
        <v>37167921.534615718</v>
      </c>
      <c r="K26" s="12">
        <f t="shared" si="17"/>
        <v>843151.75426470733</v>
      </c>
      <c r="L26" s="12">
        <f t="shared" si="8"/>
        <v>2805125.6504705749</v>
      </c>
      <c r="M26" s="12">
        <f t="shared" si="9"/>
        <v>1961973.8962058676</v>
      </c>
      <c r="N26" s="12">
        <f t="shared" si="10"/>
        <v>35205947.638409853</v>
      </c>
      <c r="O26" s="13" t="str">
        <f t="shared" si="2"/>
        <v/>
      </c>
      <c r="P26" s="12">
        <f t="shared" si="11"/>
        <v>27307974.214091919</v>
      </c>
      <c r="Q26" s="12">
        <f t="shared" si="12"/>
        <v>1833820.1662017934</v>
      </c>
      <c r="R26" s="12">
        <f t="shared" si="3"/>
        <v>25474154.047890127</v>
      </c>
    </row>
    <row r="27" spans="1:18" x14ac:dyDescent="0.2">
      <c r="A27" s="3">
        <v>1001</v>
      </c>
      <c r="B27" s="3">
        <f t="shared" si="4"/>
        <v>92</v>
      </c>
      <c r="C27" s="13">
        <f t="shared" si="19"/>
        <v>927419.25943999994</v>
      </c>
      <c r="D27" s="9">
        <f t="shared" si="14"/>
        <v>2805125.6504705749</v>
      </c>
      <c r="E27" s="9" t="str">
        <f>VLOOKUP($A27,'BASE DATA'!$A:$T,13,0)</f>
        <v>Monthly</v>
      </c>
      <c r="F27" s="88">
        <f>VLOOKUP($A27,'BASE DATA'!$A:$T,10,0)</f>
        <v>46843</v>
      </c>
      <c r="G27" s="3" t="str">
        <f t="shared" si="18"/>
        <v>2024-2025</v>
      </c>
      <c r="H27" s="11">
        <f t="shared" si="16"/>
        <v>3</v>
      </c>
      <c r="I27" s="10">
        <f>IF(EDATE(I26,3)&gt;$F$4,$F$4,EDATE(I26,3)+1)</f>
        <v>45657</v>
      </c>
      <c r="J27" s="12">
        <f t="shared" si="6"/>
        <v>35205947.638409853</v>
      </c>
      <c r="K27" s="12">
        <f t="shared" si="17"/>
        <v>798644.510811051</v>
      </c>
      <c r="L27" s="12">
        <f t="shared" si="8"/>
        <v>2805125.6504705749</v>
      </c>
      <c r="M27" s="12">
        <f t="shared" si="9"/>
        <v>2006481.139659524</v>
      </c>
      <c r="N27" s="12">
        <f t="shared" si="10"/>
        <v>33199466.498750329</v>
      </c>
      <c r="O27" s="13" t="str">
        <f t="shared" si="2"/>
        <v/>
      </c>
      <c r="P27" s="12">
        <f t="shared" si="11"/>
        <v>25474154.047890127</v>
      </c>
      <c r="Q27" s="12">
        <f t="shared" si="12"/>
        <v>1833820.1662017934</v>
      </c>
      <c r="R27" s="12">
        <f t="shared" si="3"/>
        <v>23640333.881688334</v>
      </c>
    </row>
    <row r="28" spans="1:18" x14ac:dyDescent="0.2">
      <c r="A28" s="3">
        <v>1001</v>
      </c>
      <c r="B28" s="3">
        <f t="shared" si="4"/>
        <v>90</v>
      </c>
      <c r="C28" s="13">
        <f t="shared" si="19"/>
        <v>927419.25943999994</v>
      </c>
      <c r="D28" s="9">
        <f t="shared" si="14"/>
        <v>2744144.6580690406</v>
      </c>
      <c r="E28" s="9" t="str">
        <f>VLOOKUP($A28,'BASE DATA'!$A:$T,13,0)</f>
        <v>Monthly</v>
      </c>
      <c r="F28" s="88">
        <f>VLOOKUP($A28,'BASE DATA'!$A:$T,10,0)</f>
        <v>46843</v>
      </c>
      <c r="G28" s="3" t="str">
        <f t="shared" si="18"/>
        <v>2024-2025</v>
      </c>
      <c r="H28" s="11">
        <f t="shared" si="16"/>
        <v>4</v>
      </c>
      <c r="I28" s="10">
        <f>IF(EDATE(I27,3)&gt;$F$4,$F$4,EDATE(I27,3))</f>
        <v>45747</v>
      </c>
      <c r="J28" s="12">
        <f t="shared" si="6"/>
        <v>33199466.498750329</v>
      </c>
      <c r="K28" s="12">
        <f t="shared" si="17"/>
        <v>736755.28394487035</v>
      </c>
      <c r="L28" s="12">
        <f t="shared" si="8"/>
        <v>2744144.6580690406</v>
      </c>
      <c r="M28" s="12">
        <f t="shared" si="9"/>
        <v>2007389.3741241703</v>
      </c>
      <c r="N28" s="12">
        <f t="shared" si="10"/>
        <v>31192077.12462616</v>
      </c>
      <c r="O28" s="13" t="str">
        <f t="shared" si="2"/>
        <v/>
      </c>
      <c r="P28" s="12">
        <f t="shared" si="11"/>
        <v>23640333.881688334</v>
      </c>
      <c r="Q28" s="12">
        <f t="shared" si="12"/>
        <v>1793954.5104147978</v>
      </c>
      <c r="R28" s="12">
        <f t="shared" si="3"/>
        <v>21846379.371273536</v>
      </c>
    </row>
    <row r="29" spans="1:18" x14ac:dyDescent="0.2">
      <c r="A29" s="3">
        <v>1001</v>
      </c>
      <c r="B29" s="3">
        <f t="shared" si="4"/>
        <v>91</v>
      </c>
      <c r="C29" s="13">
        <f>+C28*1.03</f>
        <v>955241.83722320001</v>
      </c>
      <c r="D29" s="9">
        <f t="shared" si="14"/>
        <v>2857874.2088979022</v>
      </c>
      <c r="E29" s="9" t="str">
        <f>VLOOKUP($A29,'BASE DATA'!$A:$T,13,0)</f>
        <v>Monthly</v>
      </c>
      <c r="F29" s="88">
        <f>VLOOKUP($A29,'BASE DATA'!$A:$T,10,0)</f>
        <v>46843</v>
      </c>
      <c r="G29" s="3" t="str">
        <f t="shared" si="18"/>
        <v>2025-2026</v>
      </c>
      <c r="H29" s="11">
        <f t="shared" si="16"/>
        <v>1</v>
      </c>
      <c r="I29" s="10">
        <f>IF(EDATE(I28,3)&gt;$F$4,$F$4,EDATE(I28,3))</f>
        <v>45838</v>
      </c>
      <c r="J29" s="12">
        <f t="shared" si="6"/>
        <v>31192077.12462616</v>
      </c>
      <c r="K29" s="12">
        <f t="shared" si="17"/>
        <v>699898.93602928286</v>
      </c>
      <c r="L29" s="12">
        <f t="shared" si="8"/>
        <v>2857874.2088979022</v>
      </c>
      <c r="M29" s="12">
        <f t="shared" si="9"/>
        <v>2157975.2728686193</v>
      </c>
      <c r="N29" s="12">
        <f t="shared" si="10"/>
        <v>29034101.851757541</v>
      </c>
      <c r="O29" s="13" t="str">
        <f t="shared" si="2"/>
        <v/>
      </c>
      <c r="P29" s="12">
        <f t="shared" si="11"/>
        <v>21846379.371273536</v>
      </c>
      <c r="Q29" s="12">
        <f t="shared" si="12"/>
        <v>1813887.3383082955</v>
      </c>
      <c r="R29" s="12">
        <f t="shared" si="3"/>
        <v>20032492.032965239</v>
      </c>
    </row>
    <row r="30" spans="1:18" x14ac:dyDescent="0.2">
      <c r="A30" s="3">
        <v>1001</v>
      </c>
      <c r="B30" s="3">
        <f t="shared" si="4"/>
        <v>92</v>
      </c>
      <c r="C30" s="13">
        <f>+C29</f>
        <v>955241.83722320001</v>
      </c>
      <c r="D30" s="9">
        <f t="shared" si="14"/>
        <v>2889279.4199846927</v>
      </c>
      <c r="E30" s="9" t="str">
        <f>VLOOKUP($A30,'BASE DATA'!$A:$T,13,0)</f>
        <v>Monthly</v>
      </c>
      <c r="F30" s="88">
        <f>VLOOKUP($A30,'BASE DATA'!$A:$T,10,0)</f>
        <v>46843</v>
      </c>
      <c r="G30" s="3" t="str">
        <f t="shared" si="18"/>
        <v>2025-2026</v>
      </c>
      <c r="H30" s="11">
        <f t="shared" si="16"/>
        <v>2</v>
      </c>
      <c r="I30" s="10">
        <f>IF(EDATE(I29,3)&gt;$F$4,$F$4,EDATE(I29,3))</f>
        <v>45930</v>
      </c>
      <c r="J30" s="12">
        <f t="shared" si="6"/>
        <v>29034101.851757541</v>
      </c>
      <c r="K30" s="12">
        <f t="shared" si="17"/>
        <v>658636.61187000666</v>
      </c>
      <c r="L30" s="12">
        <f t="shared" si="8"/>
        <v>2889279.4199846927</v>
      </c>
      <c r="M30" s="12">
        <f t="shared" si="9"/>
        <v>2230642.808114686</v>
      </c>
      <c r="N30" s="12">
        <f t="shared" si="10"/>
        <v>26803459.043642856</v>
      </c>
      <c r="O30" s="13" t="str">
        <f t="shared" si="2"/>
        <v/>
      </c>
      <c r="P30" s="12">
        <f t="shared" si="11"/>
        <v>20032492.032965239</v>
      </c>
      <c r="Q30" s="12">
        <f t="shared" si="12"/>
        <v>1833820.1662017934</v>
      </c>
      <c r="R30" s="12">
        <f t="shared" si="3"/>
        <v>18198671.866763446</v>
      </c>
    </row>
    <row r="31" spans="1:18" x14ac:dyDescent="0.2">
      <c r="A31" s="3">
        <v>1001</v>
      </c>
      <c r="B31" s="3">
        <f t="shared" si="4"/>
        <v>92</v>
      </c>
      <c r="C31" s="13">
        <f t="shared" ref="C31:C40" si="21">+C30</f>
        <v>955241.83722320001</v>
      </c>
      <c r="D31" s="9">
        <f t="shared" si="14"/>
        <v>2889279.4199846927</v>
      </c>
      <c r="E31" s="9" t="str">
        <f>VLOOKUP($A31,'BASE DATA'!$A:$T,13,0)</f>
        <v>Monthly</v>
      </c>
      <c r="F31" s="88">
        <f>VLOOKUP($A31,'BASE DATA'!$A:$T,10,0)</f>
        <v>46843</v>
      </c>
      <c r="G31" s="3" t="str">
        <f t="shared" si="18"/>
        <v>2025-2026</v>
      </c>
      <c r="H31" s="11">
        <f t="shared" si="16"/>
        <v>3</v>
      </c>
      <c r="I31" s="10">
        <f>IF(EDATE(I30,3)&gt;$F$4,$F$4,EDATE(I30,3)+1)</f>
        <v>46022</v>
      </c>
      <c r="J31" s="12">
        <f t="shared" si="6"/>
        <v>26803459.043642856</v>
      </c>
      <c r="K31" s="12">
        <f t="shared" si="17"/>
        <v>608034.63255167904</v>
      </c>
      <c r="L31" s="12">
        <f t="shared" si="8"/>
        <v>2889279.4199846927</v>
      </c>
      <c r="M31" s="12">
        <f t="shared" si="9"/>
        <v>2281244.7874330138</v>
      </c>
      <c r="N31" s="12">
        <f t="shared" si="10"/>
        <v>24522214.256209843</v>
      </c>
      <c r="O31" s="13" t="str">
        <f t="shared" si="2"/>
        <v/>
      </c>
      <c r="P31" s="12">
        <f t="shared" si="11"/>
        <v>18198671.866763446</v>
      </c>
      <c r="Q31" s="12">
        <f t="shared" si="12"/>
        <v>1833820.1662017934</v>
      </c>
      <c r="R31" s="12">
        <f t="shared" si="3"/>
        <v>16364851.700561654</v>
      </c>
    </row>
    <row r="32" spans="1:18" x14ac:dyDescent="0.2">
      <c r="A32" s="3">
        <v>1001</v>
      </c>
      <c r="B32" s="3">
        <f t="shared" si="4"/>
        <v>90</v>
      </c>
      <c r="C32" s="13">
        <f t="shared" si="21"/>
        <v>955241.83722320001</v>
      </c>
      <c r="D32" s="9">
        <f t="shared" si="14"/>
        <v>2826468.9978111121</v>
      </c>
      <c r="E32" s="9" t="str">
        <f>VLOOKUP($A32,'BASE DATA'!$A:$T,13,0)</f>
        <v>Monthly</v>
      </c>
      <c r="F32" s="88">
        <f>VLOOKUP($A32,'BASE DATA'!$A:$T,10,0)</f>
        <v>46843</v>
      </c>
      <c r="G32" s="3" t="str">
        <f t="shared" si="18"/>
        <v>2025-2026</v>
      </c>
      <c r="H32" s="11">
        <f t="shared" si="16"/>
        <v>4</v>
      </c>
      <c r="I32" s="10">
        <f>IF(EDATE(I31,3)&gt;$F$4,$F$4,EDATE(I31,3))</f>
        <v>46112</v>
      </c>
      <c r="J32" s="12">
        <f t="shared" si="6"/>
        <v>24522214.256209843</v>
      </c>
      <c r="K32" s="12">
        <f t="shared" si="17"/>
        <v>544191.60404191702</v>
      </c>
      <c r="L32" s="12">
        <f t="shared" si="8"/>
        <v>2826468.9978111121</v>
      </c>
      <c r="M32" s="12">
        <f t="shared" si="9"/>
        <v>2282277.3937691953</v>
      </c>
      <c r="N32" s="12">
        <f t="shared" si="10"/>
        <v>22239936.862440646</v>
      </c>
      <c r="O32" s="13" t="str">
        <f t="shared" si="2"/>
        <v/>
      </c>
      <c r="P32" s="12">
        <f t="shared" si="11"/>
        <v>16364851.700561654</v>
      </c>
      <c r="Q32" s="12">
        <f t="shared" si="12"/>
        <v>1793954.5104147978</v>
      </c>
      <c r="R32" s="12">
        <f t="shared" si="3"/>
        <v>14570897.190146856</v>
      </c>
    </row>
    <row r="33" spans="1:19" x14ac:dyDescent="0.2">
      <c r="A33" s="3">
        <v>1001</v>
      </c>
      <c r="B33" s="3">
        <f t="shared" si="4"/>
        <v>91</v>
      </c>
      <c r="C33" s="13">
        <f>+C32*1.03</f>
        <v>983899.09233989601</v>
      </c>
      <c r="D33" s="9">
        <f t="shared" si="14"/>
        <v>2943610.4351648395</v>
      </c>
      <c r="E33" s="9" t="str">
        <f>VLOOKUP($A33,'BASE DATA'!$A:$T,13,0)</f>
        <v>Monthly</v>
      </c>
      <c r="F33" s="88">
        <f>VLOOKUP($A33,'BASE DATA'!$A:$T,10,0)</f>
        <v>46843</v>
      </c>
      <c r="G33" s="3" t="str">
        <f t="shared" si="18"/>
        <v>2026-2027</v>
      </c>
      <c r="H33" s="11">
        <f t="shared" si="16"/>
        <v>1</v>
      </c>
      <c r="I33" s="10">
        <f>IF(EDATE(I32,3)&gt;$F$4,$F$4,EDATE(I32,3))</f>
        <v>46203</v>
      </c>
      <c r="J33" s="12">
        <f t="shared" si="6"/>
        <v>22239936.862440646</v>
      </c>
      <c r="K33" s="12">
        <f t="shared" si="17"/>
        <v>499027.62439284631</v>
      </c>
      <c r="L33" s="12">
        <f t="shared" si="8"/>
        <v>2943610.4351648395</v>
      </c>
      <c r="M33" s="12">
        <f t="shared" si="9"/>
        <v>2444582.8107719934</v>
      </c>
      <c r="N33" s="12">
        <f t="shared" si="10"/>
        <v>19795354.051668651</v>
      </c>
      <c r="O33" s="13" t="str">
        <f t="shared" si="2"/>
        <v/>
      </c>
      <c r="P33" s="12">
        <f t="shared" si="11"/>
        <v>14570897.190146856</v>
      </c>
      <c r="Q33" s="12">
        <f t="shared" si="12"/>
        <v>1813887.3383082955</v>
      </c>
      <c r="R33" s="12">
        <f t="shared" si="3"/>
        <v>12757009.851838561</v>
      </c>
    </row>
    <row r="34" spans="1:19" x14ac:dyDescent="0.2">
      <c r="A34" s="3">
        <v>1001</v>
      </c>
      <c r="B34" s="3">
        <f t="shared" si="4"/>
        <v>92</v>
      </c>
      <c r="C34" s="13">
        <f t="shared" si="21"/>
        <v>983899.09233989601</v>
      </c>
      <c r="D34" s="9">
        <f t="shared" si="14"/>
        <v>2975957.8025842332</v>
      </c>
      <c r="E34" s="9" t="str">
        <f>VLOOKUP($A34,'BASE DATA'!$A:$T,13,0)</f>
        <v>Monthly</v>
      </c>
      <c r="F34" s="88">
        <f>VLOOKUP($A34,'BASE DATA'!$A:$T,10,0)</f>
        <v>46843</v>
      </c>
      <c r="G34" s="3" t="str">
        <f t="shared" si="18"/>
        <v>2026-2027</v>
      </c>
      <c r="H34" s="11">
        <f t="shared" si="16"/>
        <v>2</v>
      </c>
      <c r="I34" s="10">
        <f>IF(EDATE(I33,3)&gt;$F$4,$F$4,EDATE(I33,3))</f>
        <v>46295</v>
      </c>
      <c r="J34" s="12">
        <f t="shared" si="6"/>
        <v>19795354.051668651</v>
      </c>
      <c r="K34" s="12">
        <f t="shared" si="17"/>
        <v>449056.25081593543</v>
      </c>
      <c r="L34" s="12">
        <f t="shared" si="8"/>
        <v>2975957.8025842332</v>
      </c>
      <c r="M34" s="12">
        <f t="shared" si="9"/>
        <v>2526901.5517682978</v>
      </c>
      <c r="N34" s="12">
        <f t="shared" si="10"/>
        <v>17268452.499900352</v>
      </c>
      <c r="O34" s="13" t="str">
        <f t="shared" si="2"/>
        <v/>
      </c>
      <c r="P34" s="12">
        <f t="shared" si="11"/>
        <v>12757009.851838561</v>
      </c>
      <c r="Q34" s="12">
        <f t="shared" si="12"/>
        <v>1833820.1662017934</v>
      </c>
      <c r="R34" s="12">
        <f t="shared" si="3"/>
        <v>10923189.685636768</v>
      </c>
    </row>
    <row r="35" spans="1:19" x14ac:dyDescent="0.2">
      <c r="A35" s="3">
        <v>1001</v>
      </c>
      <c r="B35" s="3">
        <f t="shared" si="4"/>
        <v>92</v>
      </c>
      <c r="C35" s="13">
        <f t="shared" si="21"/>
        <v>983899.09233989601</v>
      </c>
      <c r="D35" s="9">
        <f t="shared" si="14"/>
        <v>2975957.8025842332</v>
      </c>
      <c r="E35" s="9" t="str">
        <f>VLOOKUP($A35,'BASE DATA'!$A:$T,13,0)</f>
        <v>Monthly</v>
      </c>
      <c r="F35" s="88">
        <f>VLOOKUP($A35,'BASE DATA'!$A:$T,10,0)</f>
        <v>46843</v>
      </c>
      <c r="G35" s="3" t="str">
        <f t="shared" si="18"/>
        <v>2026-2027</v>
      </c>
      <c r="H35" s="11">
        <f t="shared" si="16"/>
        <v>3</v>
      </c>
      <c r="I35" s="10">
        <f>IF(EDATE(I34,3)&gt;$F$4,$F$4,EDATE(I34,3)+1)</f>
        <v>46387</v>
      </c>
      <c r="J35" s="12">
        <f t="shared" si="6"/>
        <v>17268452.499900352</v>
      </c>
      <c r="K35" s="12">
        <f t="shared" si="17"/>
        <v>391733.66218952031</v>
      </c>
      <c r="L35" s="12">
        <f t="shared" si="8"/>
        <v>2975957.8025842332</v>
      </c>
      <c r="M35" s="12">
        <f t="shared" si="9"/>
        <v>2584224.1403947128</v>
      </c>
      <c r="N35" s="12">
        <f t="shared" si="10"/>
        <v>14684228.359505638</v>
      </c>
      <c r="O35" s="13" t="str">
        <f t="shared" si="2"/>
        <v/>
      </c>
      <c r="P35" s="12">
        <f t="shared" si="11"/>
        <v>10923189.685636768</v>
      </c>
      <c r="Q35" s="12">
        <f t="shared" si="12"/>
        <v>1833820.1662017934</v>
      </c>
      <c r="R35" s="12">
        <f t="shared" si="3"/>
        <v>9089369.5194349755</v>
      </c>
    </row>
    <row r="36" spans="1:19" x14ac:dyDescent="0.2">
      <c r="A36" s="3">
        <v>1001</v>
      </c>
      <c r="B36" s="3">
        <f t="shared" si="4"/>
        <v>90</v>
      </c>
      <c r="C36" s="13">
        <f t="shared" si="21"/>
        <v>983899.09233989601</v>
      </c>
      <c r="D36" s="9">
        <f t="shared" si="14"/>
        <v>2911263.0677454453</v>
      </c>
      <c r="E36" s="9" t="str">
        <f>VLOOKUP($A36,'BASE DATA'!$A:$T,13,0)</f>
        <v>Monthly</v>
      </c>
      <c r="F36" s="88">
        <f>VLOOKUP($A36,'BASE DATA'!$A:$T,10,0)</f>
        <v>46843</v>
      </c>
      <c r="G36" s="3" t="str">
        <f t="shared" si="18"/>
        <v>2026-2027</v>
      </c>
      <c r="H36" s="11">
        <f t="shared" si="16"/>
        <v>4</v>
      </c>
      <c r="I36" s="10">
        <f>IF(EDATE(I35,3)&gt;$F$4,$F$4,EDATE(I35,3))</f>
        <v>46477</v>
      </c>
      <c r="J36" s="12">
        <f t="shared" si="6"/>
        <v>14684228.359505638</v>
      </c>
      <c r="K36" s="12">
        <f t="shared" si="17"/>
        <v>325869.17729313881</v>
      </c>
      <c r="L36" s="12">
        <f t="shared" si="8"/>
        <v>2911263.0677454453</v>
      </c>
      <c r="M36" s="12">
        <f t="shared" si="9"/>
        <v>2585393.8904523067</v>
      </c>
      <c r="N36" s="12">
        <f t="shared" si="10"/>
        <v>12098834.469053332</v>
      </c>
      <c r="O36" s="13" t="str">
        <f t="shared" ref="O36:O40" si="22">IF(E36="Monthly","",O35-D36+L36)</f>
        <v/>
      </c>
      <c r="P36" s="12">
        <f t="shared" si="11"/>
        <v>9089369.5194349755</v>
      </c>
      <c r="Q36" s="12">
        <f t="shared" si="12"/>
        <v>1793954.5104147978</v>
      </c>
      <c r="R36" s="12">
        <f t="shared" si="3"/>
        <v>7295415.0090201776</v>
      </c>
    </row>
    <row r="37" spans="1:19" x14ac:dyDescent="0.2">
      <c r="A37" s="3">
        <v>1001</v>
      </c>
      <c r="B37" s="3">
        <f t="shared" si="4"/>
        <v>91</v>
      </c>
      <c r="C37" s="13">
        <f>+C36*1.03</f>
        <v>1013416.0651100929</v>
      </c>
      <c r="D37" s="9">
        <f>(C37*12)/366*B37</f>
        <v>3023634.8172137197</v>
      </c>
      <c r="E37" s="9" t="str">
        <f>VLOOKUP($A37,'BASE DATA'!$A:$T,13,0)</f>
        <v>Monthly</v>
      </c>
      <c r="F37" s="88">
        <f>VLOOKUP($A37,'BASE DATA'!$A:$T,10,0)</f>
        <v>46843</v>
      </c>
      <c r="G37" s="3" t="str">
        <f t="shared" si="18"/>
        <v>2027-2028</v>
      </c>
      <c r="H37" s="11">
        <f t="shared" si="16"/>
        <v>1</v>
      </c>
      <c r="I37" s="10">
        <f>IF(EDATE(I36,3)&gt;$F$4,$F$4,EDATE(I36,3))</f>
        <v>46568</v>
      </c>
      <c r="J37" s="12">
        <f t="shared" si="6"/>
        <v>12098834.469053332</v>
      </c>
      <c r="K37" s="12">
        <f t="shared" si="17"/>
        <v>271477.95699053915</v>
      </c>
      <c r="L37" s="12">
        <f t="shared" si="8"/>
        <v>3023634.8172137197</v>
      </c>
      <c r="M37" s="12">
        <f t="shared" si="9"/>
        <v>2752156.8602231806</v>
      </c>
      <c r="N37" s="12">
        <f t="shared" si="10"/>
        <v>9346677.6088301502</v>
      </c>
      <c r="O37" s="13" t="str">
        <f t="shared" si="22"/>
        <v/>
      </c>
      <c r="P37" s="12">
        <f t="shared" si="11"/>
        <v>7295415.0090201776</v>
      </c>
      <c r="Q37" s="12">
        <f t="shared" si="12"/>
        <v>1813887.3383082955</v>
      </c>
      <c r="R37" s="12">
        <f t="shared" si="3"/>
        <v>5481527.6707118824</v>
      </c>
    </row>
    <row r="38" spans="1:19" x14ac:dyDescent="0.2">
      <c r="A38" s="3">
        <v>1001</v>
      </c>
      <c r="B38" s="3">
        <f t="shared" si="4"/>
        <v>92</v>
      </c>
      <c r="C38" s="13">
        <f t="shared" si="21"/>
        <v>1013416.0651100929</v>
      </c>
      <c r="D38" s="9">
        <f t="shared" ref="D38:D40" si="23">(C38*12)/366*B38</f>
        <v>3056861.5734468373</v>
      </c>
      <c r="E38" s="9" t="str">
        <f>VLOOKUP($A38,'BASE DATA'!$A:$T,13,0)</f>
        <v>Monthly</v>
      </c>
      <c r="F38" s="88">
        <f>VLOOKUP($A38,'BASE DATA'!$A:$T,10,0)</f>
        <v>46843</v>
      </c>
      <c r="G38" s="3" t="str">
        <f t="shared" si="18"/>
        <v>2027-2028</v>
      </c>
      <c r="H38" s="11">
        <f t="shared" si="16"/>
        <v>2</v>
      </c>
      <c r="I38" s="10">
        <f>IF(EDATE(I37,3)&gt;$F$4,$F$4,EDATE(I37,3))</f>
        <v>46660</v>
      </c>
      <c r="J38" s="12">
        <f t="shared" si="6"/>
        <v>9346677.6088301502</v>
      </c>
      <c r="K38" s="12">
        <f t="shared" si="17"/>
        <v>212028.74137291405</v>
      </c>
      <c r="L38" s="12">
        <f t="shared" si="8"/>
        <v>3056861.5734468373</v>
      </c>
      <c r="M38" s="12">
        <f t="shared" si="9"/>
        <v>2844832.8320739232</v>
      </c>
      <c r="N38" s="12">
        <f t="shared" si="10"/>
        <v>6501844.776756227</v>
      </c>
      <c r="O38" s="13" t="str">
        <f t="shared" si="22"/>
        <v/>
      </c>
      <c r="P38" s="12">
        <f t="shared" si="11"/>
        <v>5481527.6707118824</v>
      </c>
      <c r="Q38" s="12">
        <f t="shared" si="12"/>
        <v>1833820.1662017934</v>
      </c>
      <c r="R38" s="12">
        <f t="shared" si="3"/>
        <v>3647707.5045100888</v>
      </c>
    </row>
    <row r="39" spans="1:19" x14ac:dyDescent="0.2">
      <c r="A39" s="3">
        <v>1001</v>
      </c>
      <c r="B39" s="3">
        <f t="shared" si="4"/>
        <v>92</v>
      </c>
      <c r="C39" s="13">
        <f t="shared" si="21"/>
        <v>1013416.0651100929</v>
      </c>
      <c r="D39" s="9">
        <f t="shared" si="23"/>
        <v>3056861.5734468373</v>
      </c>
      <c r="E39" s="9" t="str">
        <f>VLOOKUP($A39,'BASE DATA'!$A:$T,13,0)</f>
        <v>Monthly</v>
      </c>
      <c r="F39" s="88">
        <f>VLOOKUP($A39,'BASE DATA'!$A:$T,10,0)</f>
        <v>46843</v>
      </c>
      <c r="G39" s="3" t="str">
        <f t="shared" si="18"/>
        <v>2027-2028</v>
      </c>
      <c r="H39" s="11">
        <f t="shared" si="16"/>
        <v>3</v>
      </c>
      <c r="I39" s="10">
        <f>IF(EDATE(I38,3)&gt;$F$4,$F$4,EDATE(I38,3)+1)</f>
        <v>46752</v>
      </c>
      <c r="J39" s="12">
        <f t="shared" si="6"/>
        <v>6501844.776756227</v>
      </c>
      <c r="K39" s="12">
        <f t="shared" si="17"/>
        <v>147493.90342888099</v>
      </c>
      <c r="L39" s="12">
        <f t="shared" si="8"/>
        <v>3056861.5734468373</v>
      </c>
      <c r="M39" s="12">
        <f t="shared" si="9"/>
        <v>2909367.6700179563</v>
      </c>
      <c r="N39" s="12">
        <f t="shared" si="10"/>
        <v>3592477.1067382707</v>
      </c>
      <c r="O39" s="13" t="str">
        <f t="shared" si="22"/>
        <v/>
      </c>
      <c r="P39" s="12">
        <f t="shared" si="11"/>
        <v>3647707.5045100888</v>
      </c>
      <c r="Q39" s="12">
        <f t="shared" si="12"/>
        <v>1833820.1662017934</v>
      </c>
      <c r="R39" s="12">
        <f t="shared" si="3"/>
        <v>1813887.3383082955</v>
      </c>
    </row>
    <row r="40" spans="1:19" x14ac:dyDescent="0.2">
      <c r="A40" s="3">
        <v>1001</v>
      </c>
      <c r="B40" s="3">
        <f t="shared" si="4"/>
        <v>91</v>
      </c>
      <c r="C40" s="13">
        <f t="shared" si="21"/>
        <v>1013416.0651100929</v>
      </c>
      <c r="D40" s="9">
        <f t="shared" si="23"/>
        <v>3023634.8172137197</v>
      </c>
      <c r="E40" s="9" t="str">
        <f>VLOOKUP($A40,'BASE DATA'!$A:$T,13,0)</f>
        <v>Monthly</v>
      </c>
      <c r="F40" s="88">
        <f>VLOOKUP($A40,'BASE DATA'!$A:$T,10,0)</f>
        <v>46843</v>
      </c>
      <c r="G40" s="3" t="str">
        <f t="shared" si="18"/>
        <v>2027-2028</v>
      </c>
      <c r="H40" s="11">
        <f t="shared" si="16"/>
        <v>4</v>
      </c>
      <c r="I40" s="10">
        <f>IF(EDATE(I39,3)&gt;$F$4,$F$4,EDATE(I39,3))</f>
        <v>46843</v>
      </c>
      <c r="J40" s="12">
        <f t="shared" si="6"/>
        <v>3592477.1067382707</v>
      </c>
      <c r="K40" s="12">
        <f t="shared" si="17"/>
        <v>80609.280833387485</v>
      </c>
      <c r="L40" s="12">
        <f t="shared" si="8"/>
        <v>3023634.8172137197</v>
      </c>
      <c r="M40" s="89">
        <f>+L40-K40+649452</f>
        <v>3592477.5363803324</v>
      </c>
      <c r="N40" s="12">
        <f t="shared" si="10"/>
        <v>-0.42964206170290709</v>
      </c>
      <c r="O40" s="13" t="str">
        <f t="shared" si="22"/>
        <v/>
      </c>
      <c r="P40" s="12">
        <f t="shared" si="11"/>
        <v>1813887.3383082955</v>
      </c>
      <c r="Q40" s="12">
        <f t="shared" si="12"/>
        <v>1813887.3383082955</v>
      </c>
      <c r="R40" s="12">
        <f t="shared" si="3"/>
        <v>0</v>
      </c>
    </row>
    <row r="41" spans="1:19" x14ac:dyDescent="0.2">
      <c r="A41" s="4"/>
      <c r="B41" s="2"/>
      <c r="C41" s="2"/>
      <c r="D41" s="2"/>
      <c r="E41" s="2"/>
      <c r="F41" s="88"/>
      <c r="G41" s="2"/>
      <c r="H41" s="2"/>
      <c r="I41" s="10"/>
      <c r="J41" s="4"/>
      <c r="K41" s="4"/>
      <c r="L41" s="12"/>
      <c r="M41" s="4"/>
      <c r="N41" s="2"/>
      <c r="P41" s="4"/>
      <c r="Q41" s="2"/>
      <c r="R41" s="2"/>
    </row>
    <row r="42" spans="1:19" x14ac:dyDescent="0.2">
      <c r="A42" s="4"/>
      <c r="B42" s="2"/>
      <c r="C42" s="2"/>
      <c r="D42" s="2"/>
      <c r="E42" s="2"/>
      <c r="F42" s="88"/>
      <c r="G42" s="2"/>
      <c r="H42" s="2"/>
      <c r="I42" s="10"/>
      <c r="J42" s="4"/>
      <c r="K42" s="4"/>
      <c r="L42" s="12"/>
      <c r="M42" s="4"/>
      <c r="N42" s="2"/>
      <c r="P42" s="4"/>
      <c r="Q42" s="2"/>
      <c r="R42" s="2"/>
    </row>
    <row r="43" spans="1:19" x14ac:dyDescent="0.2">
      <c r="A43" s="3">
        <v>1002</v>
      </c>
      <c r="C43" s="9">
        <f>VLOOKUP($A43,'BASE DATA'!$A:$S,11,0)</f>
        <v>140841.67000000001</v>
      </c>
      <c r="D43" s="9">
        <f>+C43*B43</f>
        <v>0</v>
      </c>
      <c r="E43" s="19" t="str">
        <f>VLOOKUP($A43,'BASE DATA'!$A:$S,13,0)</f>
        <v>Yearly</v>
      </c>
      <c r="F43" s="88">
        <f>VLOOKUP($A43,'BASE DATA'!$A:$S,10,0)</f>
        <v>44769</v>
      </c>
      <c r="G43" s="3" t="str">
        <f t="shared" ref="G43:G68" si="24">IF(AND(MONTH(I43)&gt;0,MONTH(I43)&lt;=3),YEAR(I43)-1&amp;"-"&amp;YEAR(I43),YEAR(I43)&amp;"-"&amp;YEAR(I43)+1)</f>
        <v>2017-2018</v>
      </c>
      <c r="H43" s="11">
        <f t="shared" ref="H43:H68" si="25">IF(AND(MONTH(I43)&gt;3,MONTH(I43)&lt;=6),1,IF(AND(MONTH(I43)&gt;6,MONTH(I43)&lt;=9),2,IF(AND(MONTH(I43)&gt;9,MONTH(I43)&lt;=12),3,4)))</f>
        <v>2</v>
      </c>
      <c r="I43" s="10">
        <f>VLOOKUP($A43,'BASE DATA'!$A:$S,9,0)</f>
        <v>42943</v>
      </c>
      <c r="J43" s="12">
        <f>VLOOKUP($A43,'BASE DATA'!$A:$T,20,0)</f>
        <v>8606984.1065377723</v>
      </c>
      <c r="K43" s="12">
        <v>0</v>
      </c>
      <c r="L43" s="12">
        <f>VLOOKUP($A43,'BASE DATA'!$A:$S,12,0)</f>
        <v>1690100</v>
      </c>
      <c r="M43" s="12">
        <f>+L43-K43</f>
        <v>1690100</v>
      </c>
      <c r="N43" s="12">
        <f>+J43-M43</f>
        <v>6916884.1065377723</v>
      </c>
      <c r="O43" s="13">
        <f t="shared" ref="O43:O68" si="26">IF(E43="Monthly","",O42-D43+L43)</f>
        <v>1690100</v>
      </c>
      <c r="P43" s="12">
        <f>+J43</f>
        <v>8606984.1065377723</v>
      </c>
      <c r="Q43" s="12">
        <v>0</v>
      </c>
      <c r="R43" s="12">
        <f>+J43-Q43</f>
        <v>8606984.1065377723</v>
      </c>
    </row>
    <row r="44" spans="1:19" x14ac:dyDescent="0.2">
      <c r="A44" s="3">
        <v>1002</v>
      </c>
      <c r="B44" s="3">
        <f>I44-I43</f>
        <v>65</v>
      </c>
      <c r="C44" s="9">
        <f>VLOOKUP(A44,'BASE DATA'!A:S,11,0)</f>
        <v>140841.67000000001</v>
      </c>
      <c r="D44" s="9">
        <f>(C44*12)/365*B44</f>
        <v>300976.71945205482</v>
      </c>
      <c r="E44" s="19" t="str">
        <f>VLOOKUP($A44,'BASE DATA'!$A:$S,13,0)</f>
        <v>Yearly</v>
      </c>
      <c r="F44" s="88">
        <f>VLOOKUP($A44,'BASE DATA'!$A:$S,10,0)</f>
        <v>44769</v>
      </c>
      <c r="G44" s="3" t="str">
        <f t="shared" si="24"/>
        <v>2017-2018</v>
      </c>
      <c r="H44" s="11">
        <f t="shared" si="25"/>
        <v>2</v>
      </c>
      <c r="I44" s="10">
        <v>43008</v>
      </c>
      <c r="J44" s="12">
        <f>+N43</f>
        <v>6916884.1065377723</v>
      </c>
      <c r="K44" s="12">
        <f>((+J44*$F$2)/365)*(I44-I43)</f>
        <v>110859.64937875608</v>
      </c>
      <c r="L44" s="12">
        <v>0</v>
      </c>
      <c r="M44" s="12">
        <f>+L44-K44</f>
        <v>-110859.64937875608</v>
      </c>
      <c r="N44" s="12">
        <f>+N43+K44-L44</f>
        <v>7027743.7559165284</v>
      </c>
      <c r="O44" s="13">
        <f t="shared" si="26"/>
        <v>1389123.2805479453</v>
      </c>
      <c r="P44" s="12">
        <f>+R43</f>
        <v>8606984.1065377723</v>
      </c>
      <c r="Q44" s="12">
        <f>+($P$43/($F$43-$I$43))*(I44-I43)</f>
        <v>306382.23818453192</v>
      </c>
      <c r="R44" s="12">
        <f t="shared" ref="R44:R47" si="27">+P44-Q44</f>
        <v>8300601.8683532402</v>
      </c>
    </row>
    <row r="45" spans="1:19" x14ac:dyDescent="0.2">
      <c r="A45" s="3">
        <v>1002</v>
      </c>
      <c r="B45" s="3">
        <f t="shared" ref="B45:B68" si="28">I45-I44</f>
        <v>92</v>
      </c>
      <c r="C45" s="9">
        <f>VLOOKUP(A45,'BASE DATA'!A:S,11,0)</f>
        <v>140841.67000000001</v>
      </c>
      <c r="D45" s="9">
        <f t="shared" ref="D45:D53" si="29">(C45*12)/365*B45</f>
        <v>425997.8183013699</v>
      </c>
      <c r="E45" s="19" t="str">
        <f>VLOOKUP($A45,'BASE DATA'!$A:$S,13,0)</f>
        <v>Yearly</v>
      </c>
      <c r="F45" s="88">
        <f>VLOOKUP($A45,'BASE DATA'!$A:$S,10,0)</f>
        <v>44769</v>
      </c>
      <c r="G45" s="3" t="str">
        <f t="shared" si="24"/>
        <v>2017-2018</v>
      </c>
      <c r="H45" s="11">
        <f t="shared" si="25"/>
        <v>3</v>
      </c>
      <c r="I45" s="10">
        <f>IF(EDATE(I44,3)&gt;$F$43,$F$43,EDATE(I44,3)+1)</f>
        <v>43100</v>
      </c>
      <c r="J45" s="12">
        <f>+J44</f>
        <v>6916884.1065377723</v>
      </c>
      <c r="K45" s="12">
        <f t="shared" ref="K45:K50" si="30">((+J45*$F$2)/365)*(I45-I44)</f>
        <v>156909.04219762399</v>
      </c>
      <c r="L45" s="12">
        <v>0</v>
      </c>
      <c r="M45" s="12">
        <f t="shared" ref="M45:M49" si="31">+L45-K45</f>
        <v>-156909.04219762399</v>
      </c>
      <c r="N45" s="12">
        <f t="shared" ref="N45:N68" si="32">+N44+K45-L45</f>
        <v>7184652.7981141526</v>
      </c>
      <c r="O45" s="13">
        <f t="shared" si="26"/>
        <v>963125.46224657539</v>
      </c>
      <c r="P45" s="12">
        <f t="shared" ref="P45:P47" si="33">+R44</f>
        <v>8300601.8683532402</v>
      </c>
      <c r="Q45" s="12">
        <f t="shared" ref="Q45:Q47" si="34">+($P$43/($F$43-$I$43))*(I45-I44)</f>
        <v>433648.70635349129</v>
      </c>
      <c r="R45" s="12">
        <f t="shared" si="27"/>
        <v>7866953.161999749</v>
      </c>
    </row>
    <row r="46" spans="1:19" x14ac:dyDescent="0.2">
      <c r="A46" s="3">
        <v>1002</v>
      </c>
      <c r="B46" s="3">
        <f t="shared" si="28"/>
        <v>90</v>
      </c>
      <c r="C46" s="9">
        <f>VLOOKUP(A46,'BASE DATA'!A:S,11,0)</f>
        <v>140841.67000000001</v>
      </c>
      <c r="D46" s="9">
        <f t="shared" si="29"/>
        <v>416736.9961643836</v>
      </c>
      <c r="E46" s="19" t="str">
        <f>VLOOKUP($A46,'BASE DATA'!$A:$S,13,0)</f>
        <v>Yearly</v>
      </c>
      <c r="F46" s="88">
        <f>VLOOKUP($A46,'BASE DATA'!$A:$S,10,0)</f>
        <v>44769</v>
      </c>
      <c r="G46" s="3" t="str">
        <f t="shared" si="24"/>
        <v>2017-2018</v>
      </c>
      <c r="H46" s="11">
        <f t="shared" si="25"/>
        <v>4</v>
      </c>
      <c r="I46" s="10">
        <f>IF(EDATE(I45,3)&gt;$F$43,$F$43,EDATE(I45,3))</f>
        <v>43190</v>
      </c>
      <c r="J46" s="12">
        <f>+J45</f>
        <v>6916884.1065377723</v>
      </c>
      <c r="K46" s="12">
        <f t="shared" si="30"/>
        <v>153497.97606289302</v>
      </c>
      <c r="L46" s="12">
        <v>0</v>
      </c>
      <c r="M46" s="12">
        <f t="shared" si="31"/>
        <v>-153497.97606289302</v>
      </c>
      <c r="N46" s="12">
        <f t="shared" si="32"/>
        <v>7338150.7741770456</v>
      </c>
      <c r="O46" s="13">
        <f t="shared" si="26"/>
        <v>546388.46608219179</v>
      </c>
      <c r="P46" s="12">
        <f t="shared" si="33"/>
        <v>7866953.161999749</v>
      </c>
      <c r="Q46" s="12">
        <f t="shared" si="34"/>
        <v>424221.560563198</v>
      </c>
      <c r="R46" s="12">
        <f t="shared" si="27"/>
        <v>7442731.6014365507</v>
      </c>
    </row>
    <row r="47" spans="1:19" x14ac:dyDescent="0.2">
      <c r="A47" s="3">
        <v>1002</v>
      </c>
      <c r="B47" s="3">
        <f t="shared" si="28"/>
        <v>91</v>
      </c>
      <c r="C47" s="9">
        <f>VLOOKUP(A47,'BASE DATA'!A:S,11,0)</f>
        <v>140841.67000000001</v>
      </c>
      <c r="D47" s="9">
        <f t="shared" si="29"/>
        <v>421367.40723287675</v>
      </c>
      <c r="E47" s="19" t="str">
        <f>VLOOKUP($A47,'BASE DATA'!$A:$S,13,0)</f>
        <v>Yearly</v>
      </c>
      <c r="F47" s="88">
        <f>VLOOKUP($A47,'BASE DATA'!$A:$S,10,0)</f>
        <v>44769</v>
      </c>
      <c r="G47" s="3" t="str">
        <f t="shared" si="24"/>
        <v>2018-2019</v>
      </c>
      <c r="H47" s="11">
        <f t="shared" si="25"/>
        <v>1</v>
      </c>
      <c r="I47" s="10">
        <f>IF(EDATE(I46,3)&gt;$F$43,$F$43,EDATE(I46,3))</f>
        <v>43281</v>
      </c>
      <c r="J47" s="12">
        <f>+J46</f>
        <v>6916884.1065377723</v>
      </c>
      <c r="K47" s="12">
        <f t="shared" si="30"/>
        <v>155203.50913025849</v>
      </c>
      <c r="L47" s="12">
        <v>0</v>
      </c>
      <c r="M47" s="12">
        <f t="shared" si="31"/>
        <v>-155203.50913025849</v>
      </c>
      <c r="N47" s="12">
        <f t="shared" si="32"/>
        <v>7493354.2833073037</v>
      </c>
      <c r="O47" s="13">
        <f t="shared" si="26"/>
        <v>125021.05884931504</v>
      </c>
      <c r="P47" s="12">
        <f t="shared" si="33"/>
        <v>7442731.6014365507</v>
      </c>
      <c r="Q47" s="12">
        <f t="shared" si="34"/>
        <v>428935.13345834462</v>
      </c>
      <c r="R47" s="12">
        <f t="shared" si="27"/>
        <v>7013796.4679782065</v>
      </c>
    </row>
    <row r="48" spans="1:19" x14ac:dyDescent="0.2">
      <c r="A48" s="3">
        <v>1002</v>
      </c>
      <c r="B48" s="3">
        <f t="shared" ref="B48:B49" si="35">I48-I47</f>
        <v>27</v>
      </c>
      <c r="C48" s="9">
        <f>VLOOKUP(A48,'BASE DATA'!A:S,11,0)</f>
        <v>140841.67000000001</v>
      </c>
      <c r="D48" s="9">
        <f t="shared" si="29"/>
        <v>125021.09884931508</v>
      </c>
      <c r="E48" s="19" t="str">
        <f>VLOOKUP($A48,'BASE DATA'!$A:$S,13,0)</f>
        <v>Yearly</v>
      </c>
      <c r="F48" s="88">
        <f>VLOOKUP($A48,'BASE DATA'!$A:$S,10,0)</f>
        <v>44769</v>
      </c>
      <c r="G48" s="3" t="str">
        <f t="shared" si="24"/>
        <v>2018-2019</v>
      </c>
      <c r="H48" s="11">
        <f t="shared" si="25"/>
        <v>2</v>
      </c>
      <c r="I48" s="10">
        <v>43308</v>
      </c>
      <c r="J48" s="12">
        <f>+J47</f>
        <v>6916884.1065377723</v>
      </c>
      <c r="K48" s="12">
        <f t="shared" ref="K48:K49" si="36">((+J48*$F$2)/365)*(I48-I47)</f>
        <v>46049.392818867906</v>
      </c>
      <c r="L48" s="12">
        <f>+L43*1.1</f>
        <v>1859110.0000000002</v>
      </c>
      <c r="M48" s="13">
        <f>L48-SUM(K43:K48)</f>
        <v>1236590.4304116007</v>
      </c>
      <c r="N48" s="12">
        <f t="shared" si="32"/>
        <v>5680293.6761261718</v>
      </c>
      <c r="O48" s="13">
        <f t="shared" si="26"/>
        <v>1859109.9600000002</v>
      </c>
      <c r="P48" s="12">
        <f t="shared" ref="P48:P68" si="37">+R47</f>
        <v>7013796.4679782065</v>
      </c>
      <c r="Q48" s="12">
        <f t="shared" ref="Q48:Q68" si="38">+($P$43/($F$43-$I$43))*(I48-I47)</f>
        <v>127266.4681689594</v>
      </c>
      <c r="R48" s="12">
        <f t="shared" ref="R48:R68" si="39">+P48-Q48</f>
        <v>6886529.9998092474</v>
      </c>
      <c r="S48" s="13"/>
    </row>
    <row r="49" spans="1:18" x14ac:dyDescent="0.2">
      <c r="A49" s="3">
        <v>1002</v>
      </c>
      <c r="B49" s="3">
        <f t="shared" si="35"/>
        <v>65</v>
      </c>
      <c r="C49" s="9">
        <f>VLOOKUP(A49,'BASE DATA'!A:S,11,0)*1.1</f>
        <v>154925.83700000003</v>
      </c>
      <c r="D49" s="9">
        <f t="shared" si="29"/>
        <v>331074.3913972603</v>
      </c>
      <c r="E49" s="19" t="str">
        <f>VLOOKUP($A49,'BASE DATA'!$A:$S,13,0)</f>
        <v>Yearly</v>
      </c>
      <c r="F49" s="88">
        <f>VLOOKUP($A49,'BASE DATA'!$A:$S,10,0)</f>
        <v>44769</v>
      </c>
      <c r="G49" s="3" t="str">
        <f t="shared" si="24"/>
        <v>2018-2019</v>
      </c>
      <c r="H49" s="11">
        <f t="shared" si="25"/>
        <v>2</v>
      </c>
      <c r="I49" s="10">
        <f>IF(EDATE(I47,3)&gt;$F$43,$F$43,EDATE(I47,3))</f>
        <v>43373</v>
      </c>
      <c r="J49" s="12">
        <f>+N48</f>
        <v>5680293.6761261718</v>
      </c>
      <c r="K49" s="12">
        <f t="shared" si="36"/>
        <v>91040.323302296165</v>
      </c>
      <c r="L49" s="12">
        <v>0</v>
      </c>
      <c r="M49" s="12">
        <f t="shared" si="31"/>
        <v>-91040.323302296165</v>
      </c>
      <c r="N49" s="12">
        <f t="shared" si="32"/>
        <v>5771333.9994284678</v>
      </c>
      <c r="O49" s="13">
        <f t="shared" si="26"/>
        <v>1528035.5686027398</v>
      </c>
      <c r="P49" s="12">
        <f t="shared" si="37"/>
        <v>6886529.9998092474</v>
      </c>
      <c r="Q49" s="12">
        <f t="shared" si="38"/>
        <v>306382.23818453192</v>
      </c>
      <c r="R49" s="12">
        <f t="shared" si="39"/>
        <v>6580147.7616247153</v>
      </c>
    </row>
    <row r="50" spans="1:18" x14ac:dyDescent="0.2">
      <c r="A50" s="3">
        <v>1002</v>
      </c>
      <c r="B50" s="3">
        <f t="shared" si="28"/>
        <v>92</v>
      </c>
      <c r="C50" s="9">
        <f>VLOOKUP(A50,'BASE DATA'!A:S,11,0)*1.1</f>
        <v>154925.83700000003</v>
      </c>
      <c r="D50" s="9">
        <f t="shared" si="29"/>
        <v>468597.60013150686</v>
      </c>
      <c r="E50" s="19" t="str">
        <f>VLOOKUP($A50,'BASE DATA'!$A:$S,13,0)</f>
        <v>Yearly</v>
      </c>
      <c r="F50" s="88">
        <f>VLOOKUP($A50,'BASE DATA'!$A:$S,10,0)</f>
        <v>44769</v>
      </c>
      <c r="G50" s="3" t="str">
        <f t="shared" si="24"/>
        <v>2018-2019</v>
      </c>
      <c r="H50" s="11">
        <f t="shared" si="25"/>
        <v>3</v>
      </c>
      <c r="I50" s="10">
        <f>IF(EDATE(I49,3)&gt;$F$43,$F$43,EDATE(I49,3)+1)</f>
        <v>43465</v>
      </c>
      <c r="J50" s="12">
        <f>+J49</f>
        <v>5680293.6761261718</v>
      </c>
      <c r="K50" s="12">
        <f t="shared" si="30"/>
        <v>128857.07298171151</v>
      </c>
      <c r="L50" s="12">
        <v>0</v>
      </c>
      <c r="M50" s="12">
        <f t="shared" ref="M50:M52" si="40">+L50-K50</f>
        <v>-128857.07298171151</v>
      </c>
      <c r="N50" s="12">
        <f t="shared" si="32"/>
        <v>5900191.0724101793</v>
      </c>
      <c r="O50" s="13">
        <f t="shared" si="26"/>
        <v>1059437.968471233</v>
      </c>
      <c r="P50" s="12">
        <f t="shared" si="37"/>
        <v>6580147.7616247153</v>
      </c>
      <c r="Q50" s="12">
        <f t="shared" si="38"/>
        <v>433648.70635349129</v>
      </c>
      <c r="R50" s="12">
        <f t="shared" si="39"/>
        <v>6146499.0552712241</v>
      </c>
    </row>
    <row r="51" spans="1:18" x14ac:dyDescent="0.2">
      <c r="A51" s="3">
        <v>1002</v>
      </c>
      <c r="B51" s="3">
        <f t="shared" si="28"/>
        <v>90</v>
      </c>
      <c r="C51" s="9">
        <f>VLOOKUP(A51,'BASE DATA'!A:S,11,0)*1.1</f>
        <v>154925.83700000003</v>
      </c>
      <c r="D51" s="9">
        <f t="shared" si="29"/>
        <v>458410.69578082196</v>
      </c>
      <c r="E51" s="19" t="str">
        <f>VLOOKUP($A51,'BASE DATA'!$A:$S,13,0)</f>
        <v>Yearly</v>
      </c>
      <c r="F51" s="88">
        <f>VLOOKUP($A51,'BASE DATA'!$A:$S,10,0)</f>
        <v>44769</v>
      </c>
      <c r="G51" s="3" t="str">
        <f t="shared" si="24"/>
        <v>2018-2019</v>
      </c>
      <c r="H51" s="11">
        <f t="shared" si="25"/>
        <v>4</v>
      </c>
      <c r="I51" s="10">
        <f>IF(EDATE(I50,3)&gt;$F$43,$F$43,EDATE(I50,3))</f>
        <v>43555</v>
      </c>
      <c r="J51" s="12">
        <f t="shared" ref="J51:J53" si="41">+J50</f>
        <v>5680293.6761261718</v>
      </c>
      <c r="K51" s="12">
        <f t="shared" ref="K51:K52" si="42">((+J51*$F$2)/366)*(I51-I50)</f>
        <v>125711.41742246445</v>
      </c>
      <c r="L51" s="12">
        <v>0</v>
      </c>
      <c r="M51" s="12">
        <f t="shared" si="40"/>
        <v>-125711.41742246445</v>
      </c>
      <c r="N51" s="12">
        <f t="shared" si="32"/>
        <v>6025902.4898326434</v>
      </c>
      <c r="O51" s="13">
        <f t="shared" si="26"/>
        <v>601027.27269041108</v>
      </c>
      <c r="P51" s="12">
        <f t="shared" si="37"/>
        <v>6146499.0552712241</v>
      </c>
      <c r="Q51" s="12">
        <f t="shared" si="38"/>
        <v>424221.560563198</v>
      </c>
      <c r="R51" s="12">
        <f t="shared" si="39"/>
        <v>5722277.4947080258</v>
      </c>
    </row>
    <row r="52" spans="1:18" x14ac:dyDescent="0.2">
      <c r="A52" s="3">
        <v>1002</v>
      </c>
      <c r="B52" s="3">
        <f t="shared" si="28"/>
        <v>91</v>
      </c>
      <c r="C52" s="9">
        <f>VLOOKUP(A52,'BASE DATA'!A:S,11,0)*1.1</f>
        <v>154925.83700000003</v>
      </c>
      <c r="D52" s="9">
        <f t="shared" si="29"/>
        <v>463504.14795616444</v>
      </c>
      <c r="E52" s="19" t="str">
        <f>VLOOKUP($A52,'BASE DATA'!$A:$S,13,0)</f>
        <v>Yearly</v>
      </c>
      <c r="F52" s="88">
        <f>VLOOKUP($A52,'BASE DATA'!$A:$S,10,0)</f>
        <v>44769</v>
      </c>
      <c r="G52" s="3" t="str">
        <f t="shared" si="24"/>
        <v>2019-2020</v>
      </c>
      <c r="H52" s="11">
        <f t="shared" si="25"/>
        <v>1</v>
      </c>
      <c r="I52" s="10">
        <f>IF(EDATE(I51,3)&gt;$F$43,$F$43,EDATE(I51,3))</f>
        <v>43646</v>
      </c>
      <c r="J52" s="12">
        <f t="shared" si="41"/>
        <v>5680293.6761261718</v>
      </c>
      <c r="K52" s="12">
        <f t="shared" si="42"/>
        <v>127108.21094938072</v>
      </c>
      <c r="L52" s="12">
        <v>0</v>
      </c>
      <c r="M52" s="12">
        <f t="shared" si="40"/>
        <v>-127108.21094938072</v>
      </c>
      <c r="N52" s="12">
        <f t="shared" si="32"/>
        <v>6153010.7007820243</v>
      </c>
      <c r="O52" s="13">
        <f t="shared" si="26"/>
        <v>137523.12473424664</v>
      </c>
      <c r="P52" s="12">
        <f t="shared" si="37"/>
        <v>5722277.4947080258</v>
      </c>
      <c r="Q52" s="12">
        <f t="shared" si="38"/>
        <v>428935.13345834462</v>
      </c>
      <c r="R52" s="12">
        <f t="shared" si="39"/>
        <v>5293342.3612496816</v>
      </c>
    </row>
    <row r="53" spans="1:18" x14ac:dyDescent="0.2">
      <c r="A53" s="3">
        <v>1002</v>
      </c>
      <c r="B53" s="3">
        <f t="shared" ref="B53:B54" si="43">I53-I52</f>
        <v>27</v>
      </c>
      <c r="C53" s="9">
        <f>VLOOKUP(A53,'BASE DATA'!A:S,11,0)*1.1</f>
        <v>154925.83700000003</v>
      </c>
      <c r="D53" s="9">
        <f t="shared" si="29"/>
        <v>137523.20873424658</v>
      </c>
      <c r="E53" s="19" t="str">
        <f>VLOOKUP($A53,'BASE DATA'!$A:$S,13,0)</f>
        <v>Yearly</v>
      </c>
      <c r="F53" s="88">
        <f>VLOOKUP($A53,'BASE DATA'!$A:$S,10,0)</f>
        <v>44769</v>
      </c>
      <c r="G53" s="3" t="str">
        <f t="shared" si="24"/>
        <v>2019-2020</v>
      </c>
      <c r="H53" s="11">
        <f t="shared" si="25"/>
        <v>2</v>
      </c>
      <c r="I53" s="10">
        <v>43673</v>
      </c>
      <c r="J53" s="12">
        <f t="shared" si="41"/>
        <v>5680293.6761261718</v>
      </c>
      <c r="K53" s="12">
        <f t="shared" ref="K53:K54" si="44">((+J53*$F$2)/366)*(I53-I52)</f>
        <v>37713.425226739339</v>
      </c>
      <c r="L53" s="12">
        <f>+L48*1.1</f>
        <v>2045021.0000000005</v>
      </c>
      <c r="M53" s="13">
        <f>L53-SUM(K49:K53)</f>
        <v>1534590.5501174084</v>
      </c>
      <c r="N53" s="12">
        <f t="shared" si="32"/>
        <v>4145703.1260087634</v>
      </c>
      <c r="O53" s="13">
        <f t="shared" si="26"/>
        <v>2045020.9160000004</v>
      </c>
      <c r="P53" s="12">
        <f t="shared" si="37"/>
        <v>5293342.3612496816</v>
      </c>
      <c r="Q53" s="12">
        <f t="shared" si="38"/>
        <v>127266.4681689594</v>
      </c>
      <c r="R53" s="12">
        <f t="shared" si="39"/>
        <v>5166075.8930807225</v>
      </c>
    </row>
    <row r="54" spans="1:18" x14ac:dyDescent="0.2">
      <c r="A54" s="3">
        <v>1002</v>
      </c>
      <c r="B54" s="3">
        <f t="shared" si="43"/>
        <v>65</v>
      </c>
      <c r="C54" s="9">
        <f>VLOOKUP(A54,'BASE DATA'!A:S,11,0)*1.1^2</f>
        <v>170418.42070000005</v>
      </c>
      <c r="D54" s="9">
        <f>(C54*12)/366*B54</f>
        <v>363186.79821311485</v>
      </c>
      <c r="E54" s="19" t="str">
        <f>VLOOKUP($A54,'BASE DATA'!$A:$S,13,0)</f>
        <v>Yearly</v>
      </c>
      <c r="F54" s="88">
        <f>VLOOKUP($A54,'BASE DATA'!$A:$S,10,0)</f>
        <v>44769</v>
      </c>
      <c r="G54" s="3" t="str">
        <f t="shared" si="24"/>
        <v>2019-2020</v>
      </c>
      <c r="H54" s="11">
        <f t="shared" si="25"/>
        <v>2</v>
      </c>
      <c r="I54" s="10">
        <f>IF(EDATE(I52,3)&gt;$F$43,$F$43,EDATE(I52,3))</f>
        <v>43738</v>
      </c>
      <c r="J54" s="12">
        <f>+N53</f>
        <v>4145703.1260087634</v>
      </c>
      <c r="K54" s="12">
        <f t="shared" si="44"/>
        <v>66263.287669812198</v>
      </c>
      <c r="L54" s="12">
        <f>+L49*1.1</f>
        <v>0</v>
      </c>
      <c r="M54" s="12">
        <f t="shared" ref="M54:M57" si="45">+L54-K54</f>
        <v>-66263.287669812198</v>
      </c>
      <c r="N54" s="12">
        <f t="shared" si="32"/>
        <v>4211966.4136785753</v>
      </c>
      <c r="O54" s="13">
        <f t="shared" si="26"/>
        <v>1681834.1177868857</v>
      </c>
      <c r="P54" s="12">
        <f t="shared" si="37"/>
        <v>5166075.8930807225</v>
      </c>
      <c r="Q54" s="12">
        <f t="shared" si="38"/>
        <v>306382.23818453192</v>
      </c>
      <c r="R54" s="12">
        <f t="shared" si="39"/>
        <v>4859693.6548961904</v>
      </c>
    </row>
    <row r="55" spans="1:18" x14ac:dyDescent="0.2">
      <c r="A55" s="3">
        <v>1002</v>
      </c>
      <c r="B55" s="3">
        <f t="shared" si="28"/>
        <v>92</v>
      </c>
      <c r="C55" s="9">
        <f>VLOOKUP(A55,'BASE DATA'!A:S,11,0)*1.1^2</f>
        <v>170418.42070000005</v>
      </c>
      <c r="D55" s="9">
        <f t="shared" ref="D55:D58" si="46">(C55*12)/366*B55</f>
        <v>514049.0067016395</v>
      </c>
      <c r="E55" s="19" t="str">
        <f>VLOOKUP($A55,'BASE DATA'!$A:$S,13,0)</f>
        <v>Yearly</v>
      </c>
      <c r="F55" s="88">
        <f>VLOOKUP($A55,'BASE DATA'!$A:$S,10,0)</f>
        <v>44769</v>
      </c>
      <c r="G55" s="3" t="str">
        <f t="shared" si="24"/>
        <v>2019-2020</v>
      </c>
      <c r="H55" s="11">
        <f t="shared" si="25"/>
        <v>3</v>
      </c>
      <c r="I55" s="10">
        <f>IF(EDATE(I54,3)&gt;$F$43,$F$43,EDATE(I54,3)+1)</f>
        <v>43830</v>
      </c>
      <c r="J55" s="12">
        <f>+J54</f>
        <v>4145703.1260087634</v>
      </c>
      <c r="K55" s="12">
        <f t="shared" ref="K55" si="47">+J55*$F$2*(I55-I54)/365</f>
        <v>94044.991461239901</v>
      </c>
      <c r="L55" s="12">
        <v>0</v>
      </c>
      <c r="M55" s="12">
        <f t="shared" si="45"/>
        <v>-94044.991461239901</v>
      </c>
      <c r="N55" s="12">
        <f t="shared" si="32"/>
        <v>4306011.4051398151</v>
      </c>
      <c r="O55" s="13">
        <f t="shared" si="26"/>
        <v>1167785.1110852463</v>
      </c>
      <c r="P55" s="12">
        <f t="shared" si="37"/>
        <v>4859693.6548961904</v>
      </c>
      <c r="Q55" s="12">
        <f t="shared" si="38"/>
        <v>433648.70635349129</v>
      </c>
      <c r="R55" s="12">
        <f t="shared" si="39"/>
        <v>4426044.9485426992</v>
      </c>
    </row>
    <row r="56" spans="1:18" x14ac:dyDescent="0.2">
      <c r="A56" s="3">
        <v>1002</v>
      </c>
      <c r="B56" s="3">
        <f t="shared" si="28"/>
        <v>91</v>
      </c>
      <c r="C56" s="9">
        <f>VLOOKUP(A56,'BASE DATA'!A:S,11,0)*1.1^2</f>
        <v>170418.42070000005</v>
      </c>
      <c r="D56" s="9">
        <f t="shared" si="46"/>
        <v>508461.51749836083</v>
      </c>
      <c r="E56" s="19" t="str">
        <f>VLOOKUP($A56,'BASE DATA'!$A:$S,13,0)</f>
        <v>Yearly</v>
      </c>
      <c r="F56" s="88">
        <f>VLOOKUP($A56,'BASE DATA'!$A:$S,10,0)</f>
        <v>44769</v>
      </c>
      <c r="G56" s="3" t="str">
        <f t="shared" si="24"/>
        <v>2019-2020</v>
      </c>
      <c r="H56" s="11">
        <f t="shared" si="25"/>
        <v>4</v>
      </c>
      <c r="I56" s="10">
        <f>IF(EDATE(I55,3)&gt;$F$43,$F$43,EDATE(I55,3))</f>
        <v>43921</v>
      </c>
      <c r="J56" s="12">
        <f t="shared" ref="J56:J58" si="48">+J55</f>
        <v>4145703.1260087634</v>
      </c>
      <c r="K56" s="12">
        <f t="shared" ref="K56:K68" si="49">((+J56*$F$2)/365)*(I56-I55)</f>
        <v>93022.763293182943</v>
      </c>
      <c r="L56" s="12">
        <v>0</v>
      </c>
      <c r="M56" s="12">
        <f t="shared" si="45"/>
        <v>-93022.763293182943</v>
      </c>
      <c r="N56" s="12">
        <f t="shared" si="32"/>
        <v>4399034.1684329975</v>
      </c>
      <c r="O56" s="13">
        <f t="shared" si="26"/>
        <v>659323.59358688549</v>
      </c>
      <c r="P56" s="12">
        <f t="shared" si="37"/>
        <v>4426044.9485426992</v>
      </c>
      <c r="Q56" s="12">
        <f t="shared" si="38"/>
        <v>428935.13345834462</v>
      </c>
      <c r="R56" s="12">
        <f t="shared" si="39"/>
        <v>3997109.8150843545</v>
      </c>
    </row>
    <row r="57" spans="1:18" x14ac:dyDescent="0.2">
      <c r="A57" s="3">
        <v>1002</v>
      </c>
      <c r="B57" s="3">
        <f t="shared" si="28"/>
        <v>91</v>
      </c>
      <c r="C57" s="9">
        <f>VLOOKUP(A57,'BASE DATA'!A:S,11,0)*1.1^2</f>
        <v>170418.42070000005</v>
      </c>
      <c r="D57" s="9">
        <f t="shared" si="46"/>
        <v>508461.51749836083</v>
      </c>
      <c r="E57" s="19" t="str">
        <f>VLOOKUP($A57,'BASE DATA'!$A:$S,13,0)</f>
        <v>Yearly</v>
      </c>
      <c r="F57" s="88">
        <f>VLOOKUP($A57,'BASE DATA'!$A:$S,10,0)</f>
        <v>44769</v>
      </c>
      <c r="G57" s="3" t="str">
        <f t="shared" si="24"/>
        <v>2020-2021</v>
      </c>
      <c r="H57" s="11">
        <f t="shared" si="25"/>
        <v>1</v>
      </c>
      <c r="I57" s="10">
        <f>IF(EDATE(I56,3)&gt;$F$43,$F$43,EDATE(I56,3))</f>
        <v>44012</v>
      </c>
      <c r="J57" s="12">
        <f t="shared" si="48"/>
        <v>4145703.1260087634</v>
      </c>
      <c r="K57" s="12">
        <f t="shared" si="49"/>
        <v>93022.763293182943</v>
      </c>
      <c r="L57" s="12">
        <v>0</v>
      </c>
      <c r="M57" s="12">
        <f t="shared" si="45"/>
        <v>-93022.763293182943</v>
      </c>
      <c r="N57" s="12">
        <f t="shared" si="32"/>
        <v>4492056.93172618</v>
      </c>
      <c r="O57" s="13">
        <f t="shared" si="26"/>
        <v>150862.07608852466</v>
      </c>
      <c r="P57" s="12">
        <f t="shared" si="37"/>
        <v>3997109.8150843545</v>
      </c>
      <c r="Q57" s="12">
        <f t="shared" si="38"/>
        <v>428935.13345834462</v>
      </c>
      <c r="R57" s="12">
        <f t="shared" si="39"/>
        <v>3568174.6816260098</v>
      </c>
    </row>
    <row r="58" spans="1:18" x14ac:dyDescent="0.2">
      <c r="A58" s="3">
        <v>1002</v>
      </c>
      <c r="B58" s="3">
        <f t="shared" ref="B58:B59" si="50">I58-I57</f>
        <v>27</v>
      </c>
      <c r="C58" s="9">
        <f>VLOOKUP(A58,'BASE DATA'!A:S,11,0)*1.1^2</f>
        <v>170418.42070000005</v>
      </c>
      <c r="D58" s="9">
        <f t="shared" si="46"/>
        <v>150862.20848852463</v>
      </c>
      <c r="E58" s="19" t="str">
        <f>VLOOKUP($A58,'BASE DATA'!$A:$S,13,0)</f>
        <v>Yearly</v>
      </c>
      <c r="F58" s="88">
        <f>VLOOKUP($A58,'BASE DATA'!$A:$S,10,0)</f>
        <v>44769</v>
      </c>
      <c r="G58" s="3" t="str">
        <f t="shared" si="24"/>
        <v>2020-2021</v>
      </c>
      <c r="H58" s="11">
        <f t="shared" si="25"/>
        <v>2</v>
      </c>
      <c r="I58" s="10">
        <v>44039</v>
      </c>
      <c r="J58" s="12">
        <f t="shared" si="48"/>
        <v>4145703.1260087634</v>
      </c>
      <c r="K58" s="12">
        <f t="shared" ref="K58:K59" si="51">((+J58*$F$2)/365)*(I58-I57)</f>
        <v>27600.160537537795</v>
      </c>
      <c r="L58" s="12">
        <f>+L53*1.1</f>
        <v>2249523.1000000006</v>
      </c>
      <c r="M58" s="13">
        <f>L58-SUM(K54:K58)</f>
        <v>1875569.1337450449</v>
      </c>
      <c r="N58" s="12">
        <f t="shared" si="32"/>
        <v>2270133.9922637176</v>
      </c>
      <c r="O58" s="13">
        <f t="shared" si="26"/>
        <v>2249522.9676000006</v>
      </c>
      <c r="P58" s="12">
        <f t="shared" si="37"/>
        <v>3568174.6816260098</v>
      </c>
      <c r="Q58" s="12">
        <f t="shared" si="38"/>
        <v>127266.4681689594</v>
      </c>
      <c r="R58" s="12">
        <f t="shared" si="39"/>
        <v>3440908.2134570503</v>
      </c>
    </row>
    <row r="59" spans="1:18" x14ac:dyDescent="0.2">
      <c r="A59" s="3">
        <v>1002</v>
      </c>
      <c r="B59" s="3">
        <f t="shared" si="50"/>
        <v>65</v>
      </c>
      <c r="C59" s="9">
        <f>VLOOKUP(A59,'BASE DATA'!A:S,11,0)*1.1^3</f>
        <v>187460.26277000009</v>
      </c>
      <c r="D59" s="9">
        <f t="shared" ref="D59:D68" si="52">(C59*12)/365*B59</f>
        <v>400600.01359068509</v>
      </c>
      <c r="E59" s="19" t="str">
        <f>VLOOKUP($A59,'BASE DATA'!$A:$S,13,0)</f>
        <v>Yearly</v>
      </c>
      <c r="F59" s="88">
        <f>VLOOKUP($A59,'BASE DATA'!$A:$S,10,0)</f>
        <v>44769</v>
      </c>
      <c r="G59" s="3" t="str">
        <f t="shared" si="24"/>
        <v>2020-2021</v>
      </c>
      <c r="H59" s="11">
        <f t="shared" si="25"/>
        <v>2</v>
      </c>
      <c r="I59" s="10">
        <f>IF(EDATE(I57,3)&gt;$F$43,$F$43,EDATE(I57,3))</f>
        <v>44104</v>
      </c>
      <c r="J59" s="12">
        <f>+N58</f>
        <v>2270133.9922637176</v>
      </c>
      <c r="K59" s="12">
        <f t="shared" si="51"/>
        <v>36384.33932806232</v>
      </c>
      <c r="L59" s="12">
        <f>+L54*1.1</f>
        <v>0</v>
      </c>
      <c r="M59" s="12">
        <f t="shared" ref="M59:M62" si="53">+L59-K59</f>
        <v>-36384.33932806232</v>
      </c>
      <c r="N59" s="12">
        <f t="shared" si="32"/>
        <v>2306518.3315917798</v>
      </c>
      <c r="O59" s="13">
        <f t="shared" si="26"/>
        <v>1848922.9540093155</v>
      </c>
      <c r="P59" s="12">
        <f t="shared" si="37"/>
        <v>3440908.2134570503</v>
      </c>
      <c r="Q59" s="12">
        <f t="shared" si="38"/>
        <v>306382.23818453192</v>
      </c>
      <c r="R59" s="12">
        <f t="shared" si="39"/>
        <v>3134525.9752725186</v>
      </c>
    </row>
    <row r="60" spans="1:18" x14ac:dyDescent="0.2">
      <c r="A60" s="3">
        <v>1002</v>
      </c>
      <c r="B60" s="3">
        <f t="shared" si="28"/>
        <v>92</v>
      </c>
      <c r="C60" s="9">
        <f>VLOOKUP(A60,'BASE DATA'!A:S,11,0)*1.1^3</f>
        <v>187460.26277000009</v>
      </c>
      <c r="D60" s="9">
        <f t="shared" si="52"/>
        <v>567003.09615912347</v>
      </c>
      <c r="E60" s="19" t="str">
        <f>VLOOKUP($A60,'BASE DATA'!$A:$S,13,0)</f>
        <v>Yearly</v>
      </c>
      <c r="F60" s="88">
        <f>VLOOKUP($A60,'BASE DATA'!$A:$S,10,0)</f>
        <v>44769</v>
      </c>
      <c r="G60" s="3" t="str">
        <f t="shared" si="24"/>
        <v>2020-2021</v>
      </c>
      <c r="H60" s="11">
        <f t="shared" si="25"/>
        <v>3</v>
      </c>
      <c r="I60" s="10">
        <f>IF(EDATE(I59,3)&gt;$F$43,$F$43,EDATE(I59,3)+1)</f>
        <v>44196</v>
      </c>
      <c r="J60" s="12">
        <f>+J59</f>
        <v>2270133.9922637176</v>
      </c>
      <c r="K60" s="12">
        <f t="shared" si="49"/>
        <v>51497.834125872818</v>
      </c>
      <c r="L60" s="12">
        <v>0</v>
      </c>
      <c r="M60" s="12">
        <f t="shared" si="53"/>
        <v>-51497.834125872818</v>
      </c>
      <c r="N60" s="12">
        <f t="shared" si="32"/>
        <v>2358016.1657176525</v>
      </c>
      <c r="O60" s="13">
        <f t="shared" si="26"/>
        <v>1281919.8578501921</v>
      </c>
      <c r="P60" s="12">
        <f t="shared" si="37"/>
        <v>3134525.9752725186</v>
      </c>
      <c r="Q60" s="12">
        <f t="shared" si="38"/>
        <v>433648.70635349129</v>
      </c>
      <c r="R60" s="12">
        <f t="shared" si="39"/>
        <v>2700877.2689190274</v>
      </c>
    </row>
    <row r="61" spans="1:18" x14ac:dyDescent="0.2">
      <c r="A61" s="3">
        <v>1002</v>
      </c>
      <c r="B61" s="3">
        <f t="shared" si="28"/>
        <v>90</v>
      </c>
      <c r="C61" s="9">
        <f>VLOOKUP(A61,'BASE DATA'!A:S,11,0)*1.1^3</f>
        <v>187460.26277000009</v>
      </c>
      <c r="D61" s="9">
        <f t="shared" si="52"/>
        <v>554676.9418947947</v>
      </c>
      <c r="E61" s="19" t="str">
        <f>VLOOKUP($A61,'BASE DATA'!$A:$S,13,0)</f>
        <v>Yearly</v>
      </c>
      <c r="F61" s="88">
        <f>VLOOKUP($A61,'BASE DATA'!$A:$S,10,0)</f>
        <v>44769</v>
      </c>
      <c r="G61" s="3" t="str">
        <f t="shared" si="24"/>
        <v>2020-2021</v>
      </c>
      <c r="H61" s="11">
        <f t="shared" si="25"/>
        <v>4</v>
      </c>
      <c r="I61" s="10">
        <f>IF(EDATE(I60,3)&gt;$F$43,$F$43,EDATE(I60,3))</f>
        <v>44286</v>
      </c>
      <c r="J61" s="12">
        <f t="shared" ref="J61:J63" si="54">+J60</f>
        <v>2270133.9922637176</v>
      </c>
      <c r="K61" s="12">
        <f t="shared" si="49"/>
        <v>50378.315992701675</v>
      </c>
      <c r="L61" s="12">
        <v>0</v>
      </c>
      <c r="M61" s="12">
        <f t="shared" si="53"/>
        <v>-50378.315992701675</v>
      </c>
      <c r="N61" s="12">
        <f t="shared" si="32"/>
        <v>2408394.4817103543</v>
      </c>
      <c r="O61" s="13">
        <f t="shared" si="26"/>
        <v>727242.91595539742</v>
      </c>
      <c r="P61" s="12">
        <f t="shared" si="37"/>
        <v>2700877.2689190274</v>
      </c>
      <c r="Q61" s="12">
        <f t="shared" si="38"/>
        <v>424221.560563198</v>
      </c>
      <c r="R61" s="12">
        <f t="shared" si="39"/>
        <v>2276655.7083558296</v>
      </c>
    </row>
    <row r="62" spans="1:18" x14ac:dyDescent="0.2">
      <c r="A62" s="3">
        <v>1002</v>
      </c>
      <c r="B62" s="3">
        <f t="shared" si="28"/>
        <v>91</v>
      </c>
      <c r="C62" s="9">
        <f>VLOOKUP(A62,'BASE DATA'!A:S,11,0)*1.1^3</f>
        <v>187460.26277000009</v>
      </c>
      <c r="D62" s="9">
        <f t="shared" si="52"/>
        <v>560840.01902695908</v>
      </c>
      <c r="E62" s="19" t="str">
        <f>VLOOKUP($A62,'BASE DATA'!$A:$S,13,0)</f>
        <v>Yearly</v>
      </c>
      <c r="F62" s="88">
        <f>VLOOKUP($A62,'BASE DATA'!$A:$S,10,0)</f>
        <v>44769</v>
      </c>
      <c r="G62" s="3" t="str">
        <f t="shared" si="24"/>
        <v>2021-2022</v>
      </c>
      <c r="H62" s="11">
        <f t="shared" si="25"/>
        <v>1</v>
      </c>
      <c r="I62" s="10">
        <f>IF(EDATE(I61,3)&gt;$F$43,$F$43,EDATE(I61,3))</f>
        <v>44377</v>
      </c>
      <c r="J62" s="12">
        <f t="shared" si="54"/>
        <v>2270133.9922637176</v>
      </c>
      <c r="K62" s="12">
        <f t="shared" si="49"/>
        <v>50938.07505928725</v>
      </c>
      <c r="L62" s="12">
        <v>0</v>
      </c>
      <c r="M62" s="12">
        <f t="shared" si="53"/>
        <v>-50938.07505928725</v>
      </c>
      <c r="N62" s="12">
        <f t="shared" si="32"/>
        <v>2459332.5567696416</v>
      </c>
      <c r="O62" s="13">
        <f t="shared" si="26"/>
        <v>166402.89692843833</v>
      </c>
      <c r="P62" s="12">
        <f t="shared" si="37"/>
        <v>2276655.7083558296</v>
      </c>
      <c r="Q62" s="12">
        <f t="shared" si="38"/>
        <v>428935.13345834462</v>
      </c>
      <c r="R62" s="12">
        <f t="shared" si="39"/>
        <v>1847720.5748974849</v>
      </c>
    </row>
    <row r="63" spans="1:18" x14ac:dyDescent="0.2">
      <c r="A63" s="3">
        <v>1002</v>
      </c>
      <c r="B63" s="3">
        <f t="shared" ref="B63:B64" si="55">I63-I62</f>
        <v>27</v>
      </c>
      <c r="C63" s="9">
        <f>VLOOKUP(A63,'BASE DATA'!A:S,11,0)*1.1^3</f>
        <v>187460.26277000009</v>
      </c>
      <c r="D63" s="9">
        <f t="shared" si="52"/>
        <v>166403.08256843843</v>
      </c>
      <c r="E63" s="19" t="str">
        <f>VLOOKUP($A63,'BASE DATA'!$A:$S,13,0)</f>
        <v>Yearly</v>
      </c>
      <c r="F63" s="88">
        <f>VLOOKUP($A63,'BASE DATA'!$A:$S,10,0)</f>
        <v>44769</v>
      </c>
      <c r="G63" s="3" t="str">
        <f t="shared" si="24"/>
        <v>2021-2022</v>
      </c>
      <c r="H63" s="11">
        <f t="shared" si="25"/>
        <v>2</v>
      </c>
      <c r="I63" s="10">
        <v>44404</v>
      </c>
      <c r="J63" s="12">
        <f t="shared" si="54"/>
        <v>2270133.9922637176</v>
      </c>
      <c r="K63" s="12">
        <f>((+J63*$F$2)/365)*(I63-I62)+29</f>
        <v>15142.494797810501</v>
      </c>
      <c r="L63" s="12">
        <f>+L58*1.1</f>
        <v>2474475.4100000006</v>
      </c>
      <c r="M63" s="13">
        <f>L63-SUM(K59:K63)</f>
        <v>2270134.3506962662</v>
      </c>
      <c r="N63" s="12">
        <f t="shared" si="32"/>
        <v>-0.35843254858627915</v>
      </c>
      <c r="O63" s="13">
        <f t="shared" si="26"/>
        <v>2474475.2243600003</v>
      </c>
      <c r="P63" s="12">
        <f t="shared" si="37"/>
        <v>1847720.5748974849</v>
      </c>
      <c r="Q63" s="12">
        <f t="shared" si="38"/>
        <v>127266.4681689594</v>
      </c>
      <c r="R63" s="12">
        <f t="shared" si="39"/>
        <v>1720454.1067285254</v>
      </c>
    </row>
    <row r="64" spans="1:18" x14ac:dyDescent="0.2">
      <c r="A64" s="3">
        <v>1002</v>
      </c>
      <c r="B64" s="3">
        <f t="shared" si="55"/>
        <v>65</v>
      </c>
      <c r="C64" s="9">
        <f>VLOOKUP(A64,'BASE DATA'!A:S,11,0)*1.1^4</f>
        <v>206206.28904700009</v>
      </c>
      <c r="D64" s="9">
        <f t="shared" si="52"/>
        <v>440660.01494975359</v>
      </c>
      <c r="E64" s="19" t="str">
        <f>VLOOKUP($A64,'BASE DATA'!$A:$S,13,0)</f>
        <v>Yearly</v>
      </c>
      <c r="F64" s="88">
        <f>VLOOKUP($A64,'BASE DATA'!$A:$S,10,0)</f>
        <v>44769</v>
      </c>
      <c r="G64" s="3" t="str">
        <f t="shared" si="24"/>
        <v>2021-2022</v>
      </c>
      <c r="H64" s="11">
        <f t="shared" si="25"/>
        <v>2</v>
      </c>
      <c r="I64" s="10">
        <f>IF(EDATE(I62,3)&gt;$F$43,$F$43,EDATE(I62,3))</f>
        <v>44469</v>
      </c>
      <c r="J64" s="12">
        <f>+N63</f>
        <v>-0.35843254858627915</v>
      </c>
      <c r="K64" s="12">
        <f>((+J64*$F$2)/365)*(I64-I62)</f>
        <v>-8.1310178145051811E-3</v>
      </c>
      <c r="L64" s="12">
        <f>+L59*1.1</f>
        <v>0</v>
      </c>
      <c r="M64" s="12">
        <f t="shared" ref="M64:M67" si="56">+L64-K64</f>
        <v>8.1310178145051811E-3</v>
      </c>
      <c r="N64" s="12">
        <f t="shared" si="32"/>
        <v>-0.36656356640078436</v>
      </c>
      <c r="O64" s="13">
        <f t="shared" si="26"/>
        <v>2033815.2094102467</v>
      </c>
      <c r="P64" s="12">
        <f t="shared" si="37"/>
        <v>1720454.1067285254</v>
      </c>
      <c r="Q64" s="12">
        <f t="shared" si="38"/>
        <v>306382.23818453192</v>
      </c>
      <c r="R64" s="12">
        <f t="shared" si="39"/>
        <v>1414071.8685439934</v>
      </c>
    </row>
    <row r="65" spans="1:18" x14ac:dyDescent="0.2">
      <c r="A65" s="3">
        <v>1002</v>
      </c>
      <c r="B65" s="3">
        <f t="shared" si="28"/>
        <v>92</v>
      </c>
      <c r="C65" s="9">
        <f>VLOOKUP(A65,'BASE DATA'!A:S,11,0)*1.1^4</f>
        <v>206206.28904700009</v>
      </c>
      <c r="D65" s="9">
        <f t="shared" si="52"/>
        <v>623703.40577503585</v>
      </c>
      <c r="E65" s="19" t="str">
        <f>VLOOKUP($A65,'BASE DATA'!$A:$S,13,0)</f>
        <v>Yearly</v>
      </c>
      <c r="F65" s="88">
        <f>VLOOKUP($A65,'BASE DATA'!$A:$S,10,0)</f>
        <v>44769</v>
      </c>
      <c r="G65" s="3" t="str">
        <f t="shared" si="24"/>
        <v>2021-2022</v>
      </c>
      <c r="H65" s="11">
        <f t="shared" si="25"/>
        <v>3</v>
      </c>
      <c r="I65" s="10">
        <f>IF(EDATE(I64,3)&gt;$F$43,$F$43,EDATE(I64,3)+1)</f>
        <v>44561</v>
      </c>
      <c r="J65" s="12">
        <f>+J64</f>
        <v>-0.35843254858627915</v>
      </c>
      <c r="K65" s="12">
        <f t="shared" si="49"/>
        <v>-8.1310178145051811E-3</v>
      </c>
      <c r="L65" s="12">
        <v>0</v>
      </c>
      <c r="M65" s="12">
        <f t="shared" si="56"/>
        <v>8.1310178145051811E-3</v>
      </c>
      <c r="N65" s="12">
        <f t="shared" si="32"/>
        <v>-0.37469458421528956</v>
      </c>
      <c r="O65" s="13">
        <f t="shared" si="26"/>
        <v>1410111.8036352107</v>
      </c>
      <c r="P65" s="12">
        <f t="shared" si="37"/>
        <v>1414071.8685439934</v>
      </c>
      <c r="Q65" s="12">
        <f t="shared" si="38"/>
        <v>433648.70635349129</v>
      </c>
      <c r="R65" s="12">
        <f t="shared" si="39"/>
        <v>980423.16219050216</v>
      </c>
    </row>
    <row r="66" spans="1:18" x14ac:dyDescent="0.2">
      <c r="A66" s="3">
        <v>1002</v>
      </c>
      <c r="B66" s="3">
        <f t="shared" si="28"/>
        <v>90</v>
      </c>
      <c r="C66" s="9">
        <f>VLOOKUP(A66,'BASE DATA'!A:S,11,0)*1.1^4</f>
        <v>206206.28904700009</v>
      </c>
      <c r="D66" s="9">
        <f t="shared" si="52"/>
        <v>610144.63608427416</v>
      </c>
      <c r="E66" s="19" t="str">
        <f>VLOOKUP($A66,'BASE DATA'!$A:$S,13,0)</f>
        <v>Yearly</v>
      </c>
      <c r="F66" s="88">
        <f>VLOOKUP($A66,'BASE DATA'!$A:$S,10,0)</f>
        <v>44769</v>
      </c>
      <c r="G66" s="3" t="str">
        <f t="shared" si="24"/>
        <v>2021-2022</v>
      </c>
      <c r="H66" s="11">
        <f t="shared" si="25"/>
        <v>4</v>
      </c>
      <c r="I66" s="10">
        <f>IF(EDATE(I65,3)&gt;$F$43,$F$43,EDATE(I65,3))</f>
        <v>44651</v>
      </c>
      <c r="J66" s="12">
        <f t="shared" ref="J66:J68" si="57">+J65</f>
        <v>-0.35843254858627915</v>
      </c>
      <c r="K66" s="12">
        <f t="shared" si="49"/>
        <v>-7.9542565576681129E-3</v>
      </c>
      <c r="L66" s="12">
        <v>0</v>
      </c>
      <c r="M66" s="12">
        <f t="shared" si="56"/>
        <v>7.9542565576681129E-3</v>
      </c>
      <c r="N66" s="12">
        <f t="shared" si="32"/>
        <v>-0.38264884077295769</v>
      </c>
      <c r="O66" s="13">
        <f t="shared" si="26"/>
        <v>799967.16755093657</v>
      </c>
      <c r="P66" s="12">
        <f t="shared" si="37"/>
        <v>980423.16219050216</v>
      </c>
      <c r="Q66" s="12">
        <f t="shared" si="38"/>
        <v>424221.560563198</v>
      </c>
      <c r="R66" s="12">
        <f t="shared" si="39"/>
        <v>556201.60162730422</v>
      </c>
    </row>
    <row r="67" spans="1:18" x14ac:dyDescent="0.2">
      <c r="A67" s="3">
        <v>1002</v>
      </c>
      <c r="B67" s="3">
        <f t="shared" si="28"/>
        <v>91</v>
      </c>
      <c r="C67" s="9">
        <f>VLOOKUP(A67,'BASE DATA'!A:S,11,0)*1.1^4</f>
        <v>206206.28904700009</v>
      </c>
      <c r="D67" s="9">
        <f t="shared" si="52"/>
        <v>616924.02092965494</v>
      </c>
      <c r="E67" s="19" t="str">
        <f>VLOOKUP($A67,'BASE DATA'!$A:$S,13,0)</f>
        <v>Yearly</v>
      </c>
      <c r="F67" s="88">
        <f>VLOOKUP($A67,'BASE DATA'!$A:$S,10,0)</f>
        <v>44769</v>
      </c>
      <c r="G67" s="3" t="str">
        <f t="shared" si="24"/>
        <v>2022-2023</v>
      </c>
      <c r="H67" s="11">
        <f t="shared" si="25"/>
        <v>1</v>
      </c>
      <c r="I67" s="10">
        <f>IF(EDATE(I66,3)&gt;$F$43,$F$43,EDATE(I66,3))</f>
        <v>44742</v>
      </c>
      <c r="J67" s="12">
        <f t="shared" si="57"/>
        <v>-0.35843254858627915</v>
      </c>
      <c r="K67" s="12">
        <f t="shared" si="49"/>
        <v>-8.0426371860866461E-3</v>
      </c>
      <c r="L67" s="12">
        <v>0</v>
      </c>
      <c r="M67" s="12">
        <f t="shared" si="56"/>
        <v>8.0426371860866461E-3</v>
      </c>
      <c r="N67" s="12">
        <f t="shared" si="32"/>
        <v>-0.39069147795904435</v>
      </c>
      <c r="O67" s="13">
        <f t="shared" si="26"/>
        <v>183043.14662128163</v>
      </c>
      <c r="P67" s="12">
        <f t="shared" si="37"/>
        <v>556201.60162730422</v>
      </c>
      <c r="Q67" s="12">
        <f t="shared" si="38"/>
        <v>428935.13345834462</v>
      </c>
      <c r="R67" s="12">
        <f t="shared" si="39"/>
        <v>127266.4681689596</v>
      </c>
    </row>
    <row r="68" spans="1:18" x14ac:dyDescent="0.2">
      <c r="A68" s="3">
        <v>1002</v>
      </c>
      <c r="B68" s="3">
        <f t="shared" si="28"/>
        <v>27</v>
      </c>
      <c r="C68" s="9">
        <f>VLOOKUP(A68,'BASE DATA'!A:S,11,0)*1.1^4</f>
        <v>206206.28904700009</v>
      </c>
      <c r="D68" s="9">
        <f t="shared" si="52"/>
        <v>183043.39082528226</v>
      </c>
      <c r="E68" s="19" t="str">
        <f>VLOOKUP($A68,'BASE DATA'!$A:$S,13,0)</f>
        <v>Yearly</v>
      </c>
      <c r="F68" s="88">
        <f>VLOOKUP($A68,'BASE DATA'!$A:$S,10,0)</f>
        <v>44769</v>
      </c>
      <c r="G68" s="3" t="str">
        <f t="shared" si="24"/>
        <v>2022-2023</v>
      </c>
      <c r="H68" s="11">
        <f t="shared" si="25"/>
        <v>2</v>
      </c>
      <c r="I68" s="10">
        <f>IF(EDATE(I67,3)&gt;$F$43,$F$43,EDATE(I67,3))</f>
        <v>44769</v>
      </c>
      <c r="J68" s="12">
        <f t="shared" si="57"/>
        <v>-0.35843254858627915</v>
      </c>
      <c r="K68" s="12">
        <f t="shared" si="49"/>
        <v>-2.3862769673004339E-3</v>
      </c>
      <c r="L68" s="12">
        <v>0</v>
      </c>
      <c r="M68" s="8"/>
      <c r="N68" s="12">
        <f t="shared" si="32"/>
        <v>-0.39307775492634478</v>
      </c>
      <c r="O68" s="13">
        <f t="shared" si="26"/>
        <v>-0.24420400062808767</v>
      </c>
      <c r="P68" s="12">
        <f t="shared" si="37"/>
        <v>127266.4681689596</v>
      </c>
      <c r="Q68" s="12">
        <f t="shared" si="38"/>
        <v>127266.4681689594</v>
      </c>
      <c r="R68" s="12">
        <f t="shared" si="39"/>
        <v>2.0372681319713593E-10</v>
      </c>
    </row>
    <row r="69" spans="1:18" x14ac:dyDescent="0.2">
      <c r="C69" s="13"/>
      <c r="D69" s="9"/>
      <c r="E69" s="9"/>
      <c r="F69" s="88"/>
      <c r="H69" s="11"/>
      <c r="I69" s="10"/>
      <c r="J69" s="12"/>
      <c r="K69" s="12"/>
      <c r="L69" s="12"/>
      <c r="M69" s="12"/>
      <c r="N69" s="12"/>
      <c r="P69" s="12"/>
      <c r="Q69" s="12"/>
      <c r="R69" s="12"/>
    </row>
    <row r="70" spans="1:18" x14ac:dyDescent="0.2">
      <c r="C70" s="13"/>
      <c r="D70" s="9"/>
      <c r="E70" s="9"/>
      <c r="F70" s="88"/>
      <c r="H70" s="11"/>
      <c r="I70" s="10"/>
      <c r="J70" s="12"/>
      <c r="K70" s="12"/>
      <c r="L70" s="12"/>
      <c r="M70" s="12"/>
      <c r="N70" s="12"/>
      <c r="P70" s="12"/>
      <c r="Q70" s="12"/>
      <c r="R70" s="12"/>
    </row>
    <row r="71" spans="1:18" x14ac:dyDescent="0.2">
      <c r="A71" s="3">
        <v>1003</v>
      </c>
      <c r="C71" s="9">
        <f>VLOOKUP($A71,'BASE DATA'!$A:$S,11,0)</f>
        <v>76389</v>
      </c>
      <c r="D71" s="9">
        <f>+C71*B71</f>
        <v>0</v>
      </c>
      <c r="E71" s="19" t="str">
        <f>VLOOKUP($A71,'BASE DATA'!$A:$S,13,0)</f>
        <v>Yearly</v>
      </c>
      <c r="F71" s="88">
        <f>VLOOKUP($A71,'BASE DATA'!$A:$S,10,0)</f>
        <v>44506</v>
      </c>
      <c r="G71" s="3" t="str">
        <f t="shared" ref="G71:G86" si="58">IF(AND(MONTH(I71)&gt;0,MONTH(I71)&lt;=3),YEAR(I71)-1&amp;"-"&amp;YEAR(I71),YEAR(I71)&amp;"-"&amp;YEAR(I71)+1)</f>
        <v>2018-2019</v>
      </c>
      <c r="H71" s="11">
        <f t="shared" ref="H71:H86" si="59">IF(AND(MONTH(I71)&gt;3,MONTH(I71)&lt;=6),1,IF(AND(MONTH(I71)&gt;6,MONTH(I71)&lt;=9),2,IF(AND(MONTH(I71)&gt;9,MONTH(I71)&lt;=12),3,4)))</f>
        <v>3</v>
      </c>
      <c r="I71" s="22">
        <f>VLOOKUP($A71,'BASE DATA'!$A:$S,9,0)</f>
        <v>43410</v>
      </c>
      <c r="J71" s="12">
        <f>VLOOKUP($A71,'BASE DATA'!$A:$T,20,0)</f>
        <v>2529188.9325814322</v>
      </c>
      <c r="K71" s="12">
        <v>0</v>
      </c>
      <c r="L71" s="12">
        <f>VLOOKUP($A71,'BASE DATA'!$A:$S,12,0)</f>
        <v>916668</v>
      </c>
      <c r="M71" s="12">
        <f>+L71-K71</f>
        <v>916668</v>
      </c>
      <c r="N71" s="12">
        <f>+J71-M71</f>
        <v>1612520.9325814322</v>
      </c>
      <c r="O71" s="13">
        <f t="shared" ref="O71:O86" si="60">IF(E71="Monthly","",O70-D71+L71)</f>
        <v>916668</v>
      </c>
      <c r="P71" s="12">
        <f>+J71</f>
        <v>2529188.9325814322</v>
      </c>
      <c r="Q71" s="12">
        <v>0</v>
      </c>
      <c r="R71" s="12">
        <f>+J71-Q71</f>
        <v>2529188.9325814322</v>
      </c>
    </row>
    <row r="72" spans="1:18" x14ac:dyDescent="0.2">
      <c r="A72" s="3">
        <v>1003</v>
      </c>
      <c r="B72" s="3">
        <f>I72-I71</f>
        <v>55</v>
      </c>
      <c r="C72" s="9">
        <f>VLOOKUP(A72,'BASE DATA'!A:S,11,0)</f>
        <v>76389</v>
      </c>
      <c r="D72" s="9">
        <f>(C72*12)/365*B72</f>
        <v>138128.05479452055</v>
      </c>
      <c r="E72" s="19" t="str">
        <f>VLOOKUP($A72,'BASE DATA'!$A:$S,13,0)</f>
        <v>Yearly</v>
      </c>
      <c r="F72" s="88">
        <f>VLOOKUP($A72,'BASE DATA'!$A:$S,10,0)</f>
        <v>44506</v>
      </c>
      <c r="G72" s="3" t="str">
        <f t="shared" si="58"/>
        <v>2018-2019</v>
      </c>
      <c r="H72" s="11">
        <f t="shared" si="59"/>
        <v>3</v>
      </c>
      <c r="I72" s="10">
        <v>43465</v>
      </c>
      <c r="J72" s="12">
        <f>+N71</f>
        <v>1612520.9325814322</v>
      </c>
      <c r="K72" s="12">
        <f>((+J72*$F$2)/365)*(I72-I71)</f>
        <v>21868.43456514545</v>
      </c>
      <c r="L72" s="12">
        <v>0</v>
      </c>
      <c r="M72" s="12">
        <f>+L72-K72</f>
        <v>-21868.43456514545</v>
      </c>
      <c r="N72" s="12">
        <f>+N71+K72-L72</f>
        <v>1634389.3671465777</v>
      </c>
      <c r="O72" s="13">
        <f t="shared" si="60"/>
        <v>778539.94520547939</v>
      </c>
      <c r="P72" s="12">
        <f>+R71</f>
        <v>2529188.9325814322</v>
      </c>
      <c r="Q72" s="12">
        <f>+($P$71/($F$71-$I$71))*(I72-I71)</f>
        <v>126920.97745618501</v>
      </c>
      <c r="R72" s="12">
        <f t="shared" ref="R72:R86" si="61">+P72-Q72</f>
        <v>2402267.9551252471</v>
      </c>
    </row>
    <row r="73" spans="1:18" x14ac:dyDescent="0.2">
      <c r="A73" s="3">
        <v>1003</v>
      </c>
      <c r="B73" s="3">
        <f t="shared" ref="B73:B86" si="62">I73-I72</f>
        <v>90</v>
      </c>
      <c r="C73" s="9">
        <f>VLOOKUP(A73,'BASE DATA'!A:S,11,0)</f>
        <v>76389</v>
      </c>
      <c r="D73" s="9">
        <f t="shared" ref="D73:D81" si="63">(C73*12)/365*B73</f>
        <v>226027.72602739724</v>
      </c>
      <c r="E73" s="19" t="str">
        <f>VLOOKUP($A73,'BASE DATA'!$A:$S,13,0)</f>
        <v>Yearly</v>
      </c>
      <c r="F73" s="88">
        <f>VLOOKUP($A73,'BASE DATA'!$A:$S,10,0)</f>
        <v>44506</v>
      </c>
      <c r="G73" s="3" t="str">
        <f t="shared" si="58"/>
        <v>2018-2019</v>
      </c>
      <c r="H73" s="11">
        <f t="shared" si="59"/>
        <v>4</v>
      </c>
      <c r="I73" s="10">
        <f>IF(EDATE(I72,3)&gt;$F$71,$F$71,EDATE(I72,3))</f>
        <v>43555</v>
      </c>
      <c r="J73" s="12">
        <f>+J72</f>
        <v>1612520.9325814322</v>
      </c>
      <c r="K73" s="12">
        <f t="shared" ref="K73:K86" si="64">((+J73*$F$2)/365)*(I73-I72)</f>
        <v>35784.711106601644</v>
      </c>
      <c r="L73" s="12">
        <v>0</v>
      </c>
      <c r="M73" s="12">
        <f t="shared" ref="M73:M75" si="65">+L73-K73</f>
        <v>-35784.711106601644</v>
      </c>
      <c r="N73" s="12">
        <f t="shared" ref="N73:N86" si="66">+N72+K73-L73</f>
        <v>1670174.0782531793</v>
      </c>
      <c r="O73" s="13">
        <f t="shared" si="60"/>
        <v>552512.21917808219</v>
      </c>
      <c r="P73" s="12">
        <f t="shared" ref="P73:P86" si="67">+R72</f>
        <v>2402267.9551252471</v>
      </c>
      <c r="Q73" s="12">
        <f t="shared" ref="Q73:Q86" si="68">+($P$71/($F$71-$I$71))*(I73-I72)</f>
        <v>207688.87220103003</v>
      </c>
      <c r="R73" s="12">
        <f t="shared" si="61"/>
        <v>2194579.082924217</v>
      </c>
    </row>
    <row r="74" spans="1:18" x14ac:dyDescent="0.2">
      <c r="A74" s="3">
        <v>1003</v>
      </c>
      <c r="B74" s="3">
        <f t="shared" si="62"/>
        <v>91</v>
      </c>
      <c r="C74" s="9">
        <f>VLOOKUP(A74,'BASE DATA'!A:S,11,0)</f>
        <v>76389</v>
      </c>
      <c r="D74" s="9">
        <f t="shared" si="63"/>
        <v>228539.14520547944</v>
      </c>
      <c r="E74" s="19" t="str">
        <f>VLOOKUP($A74,'BASE DATA'!$A:$S,13,0)</f>
        <v>Yearly</v>
      </c>
      <c r="F74" s="88">
        <f>VLOOKUP($A74,'BASE DATA'!$A:$S,10,0)</f>
        <v>44506</v>
      </c>
      <c r="G74" s="3" t="str">
        <f t="shared" si="58"/>
        <v>2019-2020</v>
      </c>
      <c r="H74" s="11">
        <f t="shared" si="59"/>
        <v>1</v>
      </c>
      <c r="I74" s="10">
        <f>IF(EDATE(I73,3)&gt;$F$71,$F$71,EDATE(I73,3))</f>
        <v>43646</v>
      </c>
      <c r="J74" s="12">
        <f>+J73</f>
        <v>1612520.9325814322</v>
      </c>
      <c r="K74" s="12">
        <f t="shared" si="64"/>
        <v>36182.319007786107</v>
      </c>
      <c r="L74" s="12">
        <v>0</v>
      </c>
      <c r="M74" s="12">
        <f t="shared" si="65"/>
        <v>-36182.319007786107</v>
      </c>
      <c r="N74" s="12">
        <f t="shared" si="66"/>
        <v>1706356.3972609653</v>
      </c>
      <c r="O74" s="13">
        <f t="shared" si="60"/>
        <v>323973.07397260272</v>
      </c>
      <c r="P74" s="12">
        <f t="shared" si="67"/>
        <v>2194579.082924217</v>
      </c>
      <c r="Q74" s="12">
        <f t="shared" si="68"/>
        <v>209996.52633659702</v>
      </c>
      <c r="R74" s="12">
        <f t="shared" si="61"/>
        <v>1984582.5565876199</v>
      </c>
    </row>
    <row r="75" spans="1:18" x14ac:dyDescent="0.2">
      <c r="A75" s="3">
        <v>1003</v>
      </c>
      <c r="B75" s="3">
        <f t="shared" si="62"/>
        <v>92</v>
      </c>
      <c r="C75" s="9">
        <f>VLOOKUP(A75,'BASE DATA'!A:S,11,0)</f>
        <v>76389</v>
      </c>
      <c r="D75" s="9">
        <f t="shared" si="63"/>
        <v>231050.56438356164</v>
      </c>
      <c r="E75" s="19" t="str">
        <f>VLOOKUP($A75,'BASE DATA'!$A:$S,13,0)</f>
        <v>Yearly</v>
      </c>
      <c r="F75" s="88">
        <f>VLOOKUP($A75,'BASE DATA'!$A:$S,10,0)</f>
        <v>44506</v>
      </c>
      <c r="G75" s="3" t="str">
        <f t="shared" si="58"/>
        <v>2019-2020</v>
      </c>
      <c r="H75" s="11">
        <f t="shared" si="59"/>
        <v>2</v>
      </c>
      <c r="I75" s="10">
        <f>IF(EDATE(I74,3)&gt;$F$71,$F$71,EDATE(I74,3))</f>
        <v>43738</v>
      </c>
      <c r="J75" s="12">
        <f>+J74</f>
        <v>1612520.9325814322</v>
      </c>
      <c r="K75" s="12">
        <f t="shared" si="64"/>
        <v>36579.92690897057</v>
      </c>
      <c r="L75" s="12">
        <v>0</v>
      </c>
      <c r="M75" s="12">
        <f t="shared" si="65"/>
        <v>-36579.92690897057</v>
      </c>
      <c r="N75" s="12">
        <f t="shared" si="66"/>
        <v>1742936.3241699359</v>
      </c>
      <c r="O75" s="13">
        <f t="shared" si="60"/>
        <v>92922.509589041088</v>
      </c>
      <c r="P75" s="12">
        <f t="shared" si="67"/>
        <v>1984582.5565876199</v>
      </c>
      <c r="Q75" s="12">
        <f t="shared" si="68"/>
        <v>212304.18047216401</v>
      </c>
      <c r="R75" s="12">
        <f t="shared" si="61"/>
        <v>1772278.376115456</v>
      </c>
    </row>
    <row r="76" spans="1:18" x14ac:dyDescent="0.2">
      <c r="A76" s="3">
        <v>1003</v>
      </c>
      <c r="B76" s="3">
        <f t="shared" si="62"/>
        <v>37</v>
      </c>
      <c r="C76" s="9">
        <f>VLOOKUP(A76,'BASE DATA'!A:S,11,0)</f>
        <v>76389</v>
      </c>
      <c r="D76" s="9">
        <f t="shared" si="63"/>
        <v>92922.509589041088</v>
      </c>
      <c r="E76" s="19" t="str">
        <f>VLOOKUP($A76,'BASE DATA'!$A:$S,13,0)</f>
        <v>Yearly</v>
      </c>
      <c r="F76" s="88">
        <f>VLOOKUP($A76,'BASE DATA'!$A:$S,10,0)</f>
        <v>44506</v>
      </c>
      <c r="G76" s="3" t="str">
        <f t="shared" si="58"/>
        <v>2019-2020</v>
      </c>
      <c r="H76" s="11">
        <f t="shared" si="59"/>
        <v>3</v>
      </c>
      <c r="I76" s="10">
        <v>43775</v>
      </c>
      <c r="J76" s="12">
        <f>+J75</f>
        <v>1612520.9325814322</v>
      </c>
      <c r="K76" s="12">
        <f t="shared" si="64"/>
        <v>14711.492343825121</v>
      </c>
      <c r="L76" s="12">
        <f>+L71</f>
        <v>916668</v>
      </c>
      <c r="M76" s="13">
        <f>L76-SUM(K71:K76)</f>
        <v>771541.1160676711</v>
      </c>
      <c r="N76" s="12">
        <f t="shared" si="66"/>
        <v>840979.81651376095</v>
      </c>
      <c r="O76" s="13">
        <f t="shared" si="60"/>
        <v>916668</v>
      </c>
      <c r="P76" s="12">
        <f t="shared" si="67"/>
        <v>1772278.376115456</v>
      </c>
      <c r="Q76" s="12">
        <f t="shared" si="68"/>
        <v>85383.203015979001</v>
      </c>
      <c r="R76" s="12">
        <f t="shared" si="61"/>
        <v>1686895.1730994771</v>
      </c>
    </row>
    <row r="77" spans="1:18" x14ac:dyDescent="0.2">
      <c r="A77" s="3">
        <v>1003</v>
      </c>
      <c r="B77" s="3">
        <f t="shared" si="62"/>
        <v>55</v>
      </c>
      <c r="C77" s="9">
        <f>VLOOKUP(A77,'BASE DATA'!A:S,11,0)</f>
        <v>76389</v>
      </c>
      <c r="D77" s="9">
        <f t="shared" si="63"/>
        <v>138128.05479452055</v>
      </c>
      <c r="E77" s="19" t="str">
        <f>VLOOKUP($A77,'BASE DATA'!$A:$S,13,0)</f>
        <v>Yearly</v>
      </c>
      <c r="F77" s="88">
        <f>VLOOKUP($A77,'BASE DATA'!$A:$S,10,0)</f>
        <v>44506</v>
      </c>
      <c r="G77" s="3" t="str">
        <f t="shared" si="58"/>
        <v>2019-2020</v>
      </c>
      <c r="H77" s="11">
        <f t="shared" si="59"/>
        <v>3</v>
      </c>
      <c r="I77" s="10">
        <f>IF(EDATE(I75,3)&gt;$F$71,$F$71,EDATE(I75,3)+1)</f>
        <v>43830</v>
      </c>
      <c r="J77" s="12">
        <f>+N76</f>
        <v>840979.81651376095</v>
      </c>
      <c r="K77" s="12">
        <f t="shared" si="64"/>
        <v>11405.068744501688</v>
      </c>
      <c r="L77" s="12">
        <v>0</v>
      </c>
      <c r="M77" s="12">
        <f t="shared" ref="M77:M80" si="69">+L77-K77</f>
        <v>-11405.068744501688</v>
      </c>
      <c r="N77" s="12">
        <f t="shared" si="66"/>
        <v>852384.88525826263</v>
      </c>
      <c r="O77" s="13">
        <f t="shared" si="60"/>
        <v>778539.94520547939</v>
      </c>
      <c r="P77" s="12">
        <f t="shared" si="67"/>
        <v>1686895.1730994771</v>
      </c>
      <c r="Q77" s="12">
        <f t="shared" si="68"/>
        <v>126920.97745618501</v>
      </c>
      <c r="R77" s="12">
        <f t="shared" si="61"/>
        <v>1559974.195643292</v>
      </c>
    </row>
    <row r="78" spans="1:18" x14ac:dyDescent="0.2">
      <c r="A78" s="3">
        <v>1003</v>
      </c>
      <c r="B78" s="3">
        <f t="shared" si="62"/>
        <v>91</v>
      </c>
      <c r="C78" s="9">
        <f>VLOOKUP(A78,'BASE DATA'!A:S,11,0)</f>
        <v>76389</v>
      </c>
      <c r="D78" s="9">
        <f t="shared" si="63"/>
        <v>228539.14520547944</v>
      </c>
      <c r="E78" s="19" t="str">
        <f>VLOOKUP($A78,'BASE DATA'!$A:$S,13,0)</f>
        <v>Yearly</v>
      </c>
      <c r="F78" s="88">
        <f>VLOOKUP($A78,'BASE DATA'!$A:$S,10,0)</f>
        <v>44506</v>
      </c>
      <c r="G78" s="3" t="str">
        <f t="shared" si="58"/>
        <v>2019-2020</v>
      </c>
      <c r="H78" s="11">
        <f t="shared" si="59"/>
        <v>4</v>
      </c>
      <c r="I78" s="10">
        <f>IF(EDATE(I77,3)&gt;$F$71,$F$71,EDATE(I77,3))</f>
        <v>43921</v>
      </c>
      <c r="J78" s="12">
        <f>+J77</f>
        <v>840979.81651376095</v>
      </c>
      <c r="K78" s="12">
        <f t="shared" si="64"/>
        <v>18870.204649993702</v>
      </c>
      <c r="L78" s="12">
        <v>0</v>
      </c>
      <c r="M78" s="12">
        <f t="shared" si="69"/>
        <v>-18870.204649993702</v>
      </c>
      <c r="N78" s="12">
        <f t="shared" si="66"/>
        <v>871255.08990825631</v>
      </c>
      <c r="O78" s="13">
        <f t="shared" si="60"/>
        <v>550000.79999999993</v>
      </c>
      <c r="P78" s="12">
        <f t="shared" si="67"/>
        <v>1559974.195643292</v>
      </c>
      <c r="Q78" s="12">
        <f t="shared" si="68"/>
        <v>209996.52633659702</v>
      </c>
      <c r="R78" s="12">
        <f t="shared" si="61"/>
        <v>1349977.669306695</v>
      </c>
    </row>
    <row r="79" spans="1:18" x14ac:dyDescent="0.2">
      <c r="A79" s="3">
        <v>1003</v>
      </c>
      <c r="B79" s="3">
        <f t="shared" si="62"/>
        <v>91</v>
      </c>
      <c r="C79" s="9">
        <f>VLOOKUP(A79,'BASE DATA'!A:S,11,0)</f>
        <v>76389</v>
      </c>
      <c r="D79" s="9">
        <f t="shared" si="63"/>
        <v>228539.14520547944</v>
      </c>
      <c r="E79" s="19" t="str">
        <f>VLOOKUP($A79,'BASE DATA'!$A:$S,13,0)</f>
        <v>Yearly</v>
      </c>
      <c r="F79" s="88">
        <f>VLOOKUP($A79,'BASE DATA'!$A:$S,10,0)</f>
        <v>44506</v>
      </c>
      <c r="G79" s="3" t="str">
        <f t="shared" si="58"/>
        <v>2020-2021</v>
      </c>
      <c r="H79" s="11">
        <f t="shared" si="59"/>
        <v>1</v>
      </c>
      <c r="I79" s="10">
        <f>IF(EDATE(I78,3)&gt;$F$71,$F$71,EDATE(I78,3))</f>
        <v>44012</v>
      </c>
      <c r="J79" s="12">
        <f t="shared" ref="J79:J81" si="70">+J78</f>
        <v>840979.81651376095</v>
      </c>
      <c r="K79" s="12">
        <f t="shared" si="64"/>
        <v>18870.204649993702</v>
      </c>
      <c r="L79" s="12">
        <v>0</v>
      </c>
      <c r="M79" s="12">
        <f t="shared" si="69"/>
        <v>-18870.204649993702</v>
      </c>
      <c r="N79" s="12">
        <f t="shared" si="66"/>
        <v>890125.29455825</v>
      </c>
      <c r="O79" s="13">
        <f t="shared" si="60"/>
        <v>321461.65479452047</v>
      </c>
      <c r="P79" s="12">
        <f t="shared" si="67"/>
        <v>1349977.669306695</v>
      </c>
      <c r="Q79" s="12">
        <f t="shared" si="68"/>
        <v>209996.52633659702</v>
      </c>
      <c r="R79" s="12">
        <f t="shared" si="61"/>
        <v>1139981.1429700979</v>
      </c>
    </row>
    <row r="80" spans="1:18" x14ac:dyDescent="0.2">
      <c r="A80" s="3">
        <v>1003</v>
      </c>
      <c r="B80" s="3">
        <f t="shared" si="62"/>
        <v>92</v>
      </c>
      <c r="C80" s="9">
        <f>VLOOKUP(A80,'BASE DATA'!A:S,11,0)</f>
        <v>76389</v>
      </c>
      <c r="D80" s="9">
        <f t="shared" si="63"/>
        <v>231050.56438356164</v>
      </c>
      <c r="E80" s="19" t="str">
        <f>VLOOKUP($A80,'BASE DATA'!$A:$S,13,0)</f>
        <v>Yearly</v>
      </c>
      <c r="F80" s="88">
        <f>VLOOKUP($A80,'BASE DATA'!$A:$S,10,0)</f>
        <v>44506</v>
      </c>
      <c r="G80" s="3" t="str">
        <f t="shared" si="58"/>
        <v>2020-2021</v>
      </c>
      <c r="H80" s="11">
        <f t="shared" si="59"/>
        <v>2</v>
      </c>
      <c r="I80" s="10">
        <f>IF(EDATE(I79,3)&gt;$F$71,$F$71,EDATE(I79,3))</f>
        <v>44104</v>
      </c>
      <c r="J80" s="12">
        <f t="shared" si="70"/>
        <v>840979.81651376095</v>
      </c>
      <c r="K80" s="12">
        <f t="shared" si="64"/>
        <v>19077.569536257372</v>
      </c>
      <c r="L80" s="12">
        <v>0</v>
      </c>
      <c r="M80" s="12">
        <f t="shared" si="69"/>
        <v>-19077.569536257372</v>
      </c>
      <c r="N80" s="12">
        <f t="shared" si="66"/>
        <v>909202.86409450741</v>
      </c>
      <c r="O80" s="13">
        <f t="shared" si="60"/>
        <v>90411.09041095883</v>
      </c>
      <c r="P80" s="12">
        <f t="shared" si="67"/>
        <v>1139981.1429700979</v>
      </c>
      <c r="Q80" s="12">
        <f t="shared" si="68"/>
        <v>212304.18047216401</v>
      </c>
      <c r="R80" s="12">
        <f t="shared" si="61"/>
        <v>927676.962497934</v>
      </c>
    </row>
    <row r="81" spans="1:18" x14ac:dyDescent="0.2">
      <c r="A81" s="3">
        <v>1003</v>
      </c>
      <c r="B81" s="3">
        <f t="shared" si="62"/>
        <v>37</v>
      </c>
      <c r="C81" s="9">
        <f>VLOOKUP(A81,'BASE DATA'!A:S,11,0)</f>
        <v>76389</v>
      </c>
      <c r="D81" s="9">
        <f t="shared" si="63"/>
        <v>92922.509589041088</v>
      </c>
      <c r="E81" s="19" t="str">
        <f>VLOOKUP($A81,'BASE DATA'!$A:$S,13,0)</f>
        <v>Yearly</v>
      </c>
      <c r="F81" s="88">
        <f>VLOOKUP($A81,'BASE DATA'!$A:$S,10,0)</f>
        <v>44506</v>
      </c>
      <c r="G81" s="3" t="str">
        <f t="shared" si="58"/>
        <v>2020-2021</v>
      </c>
      <c r="H81" s="11">
        <f t="shared" si="59"/>
        <v>3</v>
      </c>
      <c r="I81" s="10">
        <v>44141</v>
      </c>
      <c r="J81" s="12">
        <f t="shared" si="70"/>
        <v>840979.81651376095</v>
      </c>
      <c r="K81" s="12">
        <f>((+J81*$F$2)/365)*(I81-I80)-207</f>
        <v>7465.5007917556813</v>
      </c>
      <c r="L81" s="12">
        <f>+L76</f>
        <v>916668</v>
      </c>
      <c r="M81" s="13">
        <f>L81-SUM(K77:K81)</f>
        <v>840979.45162749779</v>
      </c>
      <c r="N81" s="12">
        <f t="shared" si="66"/>
        <v>0.36488626315258443</v>
      </c>
      <c r="O81" s="13">
        <f t="shared" si="60"/>
        <v>914156.58082191774</v>
      </c>
      <c r="P81" s="12">
        <f t="shared" si="67"/>
        <v>927676.962497934</v>
      </c>
      <c r="Q81" s="12">
        <f t="shared" si="68"/>
        <v>85383.203015979001</v>
      </c>
      <c r="R81" s="12">
        <f t="shared" si="61"/>
        <v>842293.75948195497</v>
      </c>
    </row>
    <row r="82" spans="1:18" x14ac:dyDescent="0.2">
      <c r="A82" s="3">
        <v>1003</v>
      </c>
      <c r="B82" s="3">
        <f t="shared" si="62"/>
        <v>55</v>
      </c>
      <c r="C82" s="9">
        <f>VLOOKUP(A82,'BASE DATA'!A:S,11,0)</f>
        <v>76389</v>
      </c>
      <c r="D82" s="9">
        <f>(C82*12)/366*B82</f>
        <v>137750.65573770492</v>
      </c>
      <c r="E82" s="19" t="str">
        <f>VLOOKUP($A82,'BASE DATA'!$A:$S,13,0)</f>
        <v>Yearly</v>
      </c>
      <c r="F82" s="88">
        <f>VLOOKUP($A82,'BASE DATA'!$A:$S,10,0)</f>
        <v>44506</v>
      </c>
      <c r="G82" s="3" t="str">
        <f t="shared" si="58"/>
        <v>2020-2021</v>
      </c>
      <c r="H82" s="11">
        <f t="shared" si="59"/>
        <v>3</v>
      </c>
      <c r="I82" s="10">
        <f>IF(EDATE(I80,3)&gt;$F$71,$F$71,EDATE(I80,3)+1)</f>
        <v>44196</v>
      </c>
      <c r="J82" s="12">
        <f>+N81</f>
        <v>0.36488626315258443</v>
      </c>
      <c r="K82" s="12">
        <f t="shared" si="64"/>
        <v>4.9484575413843643E-3</v>
      </c>
      <c r="L82" s="12">
        <f>+L77*1.1</f>
        <v>0</v>
      </c>
      <c r="M82" s="12">
        <f t="shared" ref="M82:M85" si="71">+L82-K82</f>
        <v>-4.9484575413843643E-3</v>
      </c>
      <c r="N82" s="12">
        <f t="shared" si="66"/>
        <v>0.36983472069396878</v>
      </c>
      <c r="O82" s="13">
        <f t="shared" si="60"/>
        <v>776405.92508421279</v>
      </c>
      <c r="P82" s="12">
        <f t="shared" si="67"/>
        <v>842293.75948195497</v>
      </c>
      <c r="Q82" s="12">
        <f t="shared" si="68"/>
        <v>126920.97745618501</v>
      </c>
      <c r="R82" s="12">
        <f t="shared" si="61"/>
        <v>715372.78202576993</v>
      </c>
    </row>
    <row r="83" spans="1:18" x14ac:dyDescent="0.2">
      <c r="A83" s="3">
        <v>1003</v>
      </c>
      <c r="B83" s="3">
        <f t="shared" si="62"/>
        <v>90</v>
      </c>
      <c r="C83" s="9">
        <f>VLOOKUP(A83,'BASE DATA'!A:S,11,0)</f>
        <v>76389</v>
      </c>
      <c r="D83" s="9">
        <f t="shared" ref="D83:D86" si="72">(C83*12)/366*B83</f>
        <v>225410.16393442621</v>
      </c>
      <c r="E83" s="19" t="str">
        <f>VLOOKUP($A83,'BASE DATA'!$A:$S,13,0)</f>
        <v>Yearly</v>
      </c>
      <c r="F83" s="88">
        <f>VLOOKUP($A83,'BASE DATA'!$A:$S,10,0)</f>
        <v>44506</v>
      </c>
      <c r="G83" s="3" t="str">
        <f t="shared" si="58"/>
        <v>2020-2021</v>
      </c>
      <c r="H83" s="11">
        <f t="shared" si="59"/>
        <v>4</v>
      </c>
      <c r="I83" s="10">
        <f>IF(EDATE(I82,3)&gt;$F$71,$F$71,EDATE(I82,3))</f>
        <v>44286</v>
      </c>
      <c r="J83" s="12">
        <f>+J82</f>
        <v>0.36488626315258443</v>
      </c>
      <c r="K83" s="12">
        <f t="shared" si="64"/>
        <v>8.0974759768107779E-3</v>
      </c>
      <c r="L83" s="12">
        <v>0</v>
      </c>
      <c r="M83" s="12">
        <f t="shared" si="71"/>
        <v>-8.0974759768107779E-3</v>
      </c>
      <c r="N83" s="12">
        <f t="shared" si="66"/>
        <v>0.37793219667077954</v>
      </c>
      <c r="O83" s="13">
        <f t="shared" si="60"/>
        <v>550995.76114978665</v>
      </c>
      <c r="P83" s="12">
        <f t="shared" si="67"/>
        <v>715372.78202576993</v>
      </c>
      <c r="Q83" s="12">
        <f t="shared" si="68"/>
        <v>207688.87220103003</v>
      </c>
      <c r="R83" s="12">
        <f t="shared" si="61"/>
        <v>507683.90982473991</v>
      </c>
    </row>
    <row r="84" spans="1:18" x14ac:dyDescent="0.2">
      <c r="A84" s="3">
        <v>1003</v>
      </c>
      <c r="B84" s="3">
        <f t="shared" si="62"/>
        <v>91</v>
      </c>
      <c r="C84" s="9">
        <f>VLOOKUP(A84,'BASE DATA'!A:S,11,0)</f>
        <v>76389</v>
      </c>
      <c r="D84" s="9">
        <f t="shared" si="72"/>
        <v>227914.72131147538</v>
      </c>
      <c r="E84" s="19" t="str">
        <f>VLOOKUP($A84,'BASE DATA'!$A:$S,13,0)</f>
        <v>Yearly</v>
      </c>
      <c r="F84" s="88">
        <f>VLOOKUP($A84,'BASE DATA'!$A:$S,10,0)</f>
        <v>44506</v>
      </c>
      <c r="G84" s="3" t="str">
        <f t="shared" si="58"/>
        <v>2021-2022</v>
      </c>
      <c r="H84" s="11">
        <f t="shared" si="59"/>
        <v>1</v>
      </c>
      <c r="I84" s="10">
        <f>IF(EDATE(I83,3)&gt;$F$71,$F$71,EDATE(I83,3))</f>
        <v>44377</v>
      </c>
      <c r="J84" s="12">
        <f t="shared" ref="J84:J86" si="73">+J83</f>
        <v>0.36488626315258443</v>
      </c>
      <c r="K84" s="12">
        <f t="shared" si="64"/>
        <v>8.1874479321086754E-3</v>
      </c>
      <c r="L84" s="12">
        <v>0</v>
      </c>
      <c r="M84" s="12">
        <f t="shared" si="71"/>
        <v>-8.1874479321086754E-3</v>
      </c>
      <c r="N84" s="12">
        <f t="shared" si="66"/>
        <v>0.38611964460288822</v>
      </c>
      <c r="O84" s="13">
        <f t="shared" si="60"/>
        <v>323081.03983831126</v>
      </c>
      <c r="P84" s="12">
        <f t="shared" si="67"/>
        <v>507683.90982473991</v>
      </c>
      <c r="Q84" s="12">
        <f t="shared" si="68"/>
        <v>209996.52633659702</v>
      </c>
      <c r="R84" s="12">
        <f t="shared" si="61"/>
        <v>297687.38348814286</v>
      </c>
    </row>
    <row r="85" spans="1:18" x14ac:dyDescent="0.2">
      <c r="A85" s="3">
        <v>1003</v>
      </c>
      <c r="B85" s="3">
        <f t="shared" si="62"/>
        <v>92</v>
      </c>
      <c r="C85" s="9">
        <f>VLOOKUP(A85,'BASE DATA'!A:S,11,0)</f>
        <v>76389</v>
      </c>
      <c r="D85" s="9">
        <f t="shared" si="72"/>
        <v>230419.27868852456</v>
      </c>
      <c r="E85" s="19" t="str">
        <f>VLOOKUP($A85,'BASE DATA'!$A:$S,13,0)</f>
        <v>Yearly</v>
      </c>
      <c r="F85" s="88">
        <f>VLOOKUP($A85,'BASE DATA'!$A:$S,10,0)</f>
        <v>44506</v>
      </c>
      <c r="G85" s="3" t="str">
        <f t="shared" si="58"/>
        <v>2021-2022</v>
      </c>
      <c r="H85" s="11">
        <f t="shared" si="59"/>
        <v>2</v>
      </c>
      <c r="I85" s="10">
        <f>IF(EDATE(I84,3)&gt;$F$71,$F$71,EDATE(I84,3))</f>
        <v>44469</v>
      </c>
      <c r="J85" s="12">
        <f t="shared" si="73"/>
        <v>0.36488626315258443</v>
      </c>
      <c r="K85" s="12">
        <f t="shared" si="64"/>
        <v>8.277419887406573E-3</v>
      </c>
      <c r="L85" s="12">
        <v>0</v>
      </c>
      <c r="M85" s="12">
        <f t="shared" si="71"/>
        <v>-8.277419887406573E-3</v>
      </c>
      <c r="N85" s="12">
        <f t="shared" si="66"/>
        <v>0.39439706449029477</v>
      </c>
      <c r="O85" s="13">
        <f t="shared" si="60"/>
        <v>92661.761149786704</v>
      </c>
      <c r="P85" s="12">
        <f t="shared" si="67"/>
        <v>297687.38348814286</v>
      </c>
      <c r="Q85" s="12">
        <f t="shared" si="68"/>
        <v>212304.18047216401</v>
      </c>
      <c r="R85" s="12">
        <f t="shared" si="61"/>
        <v>85383.203015978856</v>
      </c>
    </row>
    <row r="86" spans="1:18" x14ac:dyDescent="0.2">
      <c r="A86" s="3">
        <v>1003</v>
      </c>
      <c r="B86" s="3">
        <f t="shared" si="62"/>
        <v>37</v>
      </c>
      <c r="C86" s="9">
        <f>VLOOKUP(A86,'BASE DATA'!A:S,11,0)</f>
        <v>76389</v>
      </c>
      <c r="D86" s="9">
        <f t="shared" si="72"/>
        <v>92668.62295081967</v>
      </c>
      <c r="E86" s="19" t="str">
        <f>VLOOKUP($A86,'BASE DATA'!$A:$S,13,0)</f>
        <v>Yearly</v>
      </c>
      <c r="F86" s="88">
        <f>VLOOKUP($A86,'BASE DATA'!$A:$S,10,0)</f>
        <v>44506</v>
      </c>
      <c r="G86" s="3" t="str">
        <f t="shared" si="58"/>
        <v>2021-2022</v>
      </c>
      <c r="H86" s="11">
        <f t="shared" si="59"/>
        <v>3</v>
      </c>
      <c r="I86" s="10">
        <f>IF(EDATE(I85,3)&gt;$F$71,$F$71,EDATE(I85,3))</f>
        <v>44506</v>
      </c>
      <c r="J86" s="12">
        <f t="shared" si="73"/>
        <v>0.36488626315258443</v>
      </c>
      <c r="K86" s="12">
        <f t="shared" si="64"/>
        <v>3.3289623460222087E-3</v>
      </c>
      <c r="L86" s="12">
        <v>0</v>
      </c>
      <c r="M86" s="13">
        <f>L86-SUM(K82:K86)</f>
        <v>-3.2839763683732599E-2</v>
      </c>
      <c r="N86" s="12">
        <f t="shared" si="66"/>
        <v>0.39772602683631697</v>
      </c>
      <c r="O86" s="13">
        <f t="shared" si="60"/>
        <v>-6.8618010329664685</v>
      </c>
      <c r="P86" s="12">
        <f t="shared" si="67"/>
        <v>85383.203015978856</v>
      </c>
      <c r="Q86" s="12">
        <f t="shared" si="68"/>
        <v>85383.203015979001</v>
      </c>
      <c r="R86" s="12">
        <f t="shared" si="61"/>
        <v>-1.4551915228366852E-10</v>
      </c>
    </row>
    <row r="87" spans="1:18" x14ac:dyDescent="0.2">
      <c r="C87" s="13"/>
      <c r="D87" s="9"/>
      <c r="E87" s="9"/>
      <c r="F87" s="88"/>
      <c r="H87" s="11"/>
      <c r="I87" s="10"/>
      <c r="J87" s="12"/>
      <c r="K87" s="12"/>
      <c r="L87" s="12"/>
      <c r="M87" s="12"/>
      <c r="N87" s="12"/>
      <c r="P87" s="12"/>
      <c r="Q87" s="12"/>
      <c r="R87" s="12"/>
    </row>
    <row r="88" spans="1:18" x14ac:dyDescent="0.2">
      <c r="C88" s="13"/>
      <c r="D88" s="9"/>
      <c r="E88" s="9"/>
      <c r="F88" s="88"/>
      <c r="H88" s="11"/>
      <c r="I88" s="10"/>
      <c r="J88" s="12"/>
      <c r="K88" s="12"/>
      <c r="L88" s="12"/>
      <c r="M88" s="12"/>
      <c r="N88" s="12"/>
      <c r="P88" s="12"/>
      <c r="Q88" s="12"/>
      <c r="R88" s="12"/>
    </row>
    <row r="89" spans="1:18" x14ac:dyDescent="0.2">
      <c r="A89" s="3">
        <v>1004</v>
      </c>
      <c r="C89" s="9">
        <f>VLOOKUP($A89,'BASE DATA'!$A:$T,11,0)</f>
        <v>75000</v>
      </c>
      <c r="D89" s="9">
        <f>+C89</f>
        <v>75000</v>
      </c>
      <c r="E89" s="9" t="str">
        <f>VLOOKUP($A89,'BASE DATA'!$A:$T,13,0)</f>
        <v>Monthly</v>
      </c>
      <c r="F89" s="88">
        <f>VLOOKUP($A89,'BASE DATA'!$A:$T,10,0)</f>
        <v>45016</v>
      </c>
      <c r="G89" s="3" t="str">
        <f t="shared" ref="G89:G152" si="74">IF(AND(MONTH(I89)&gt;0,MONTH(I89)&lt;=3),YEAR(I89)-1&amp;"-"&amp;YEAR(I89),YEAR(I89)&amp;"-"&amp;YEAR(I89)+1)</f>
        <v>2017-2018</v>
      </c>
      <c r="H89" s="11">
        <f t="shared" ref="H89:H152" si="75">IF(AND(MONTH(I89)&gt;3,MONTH(I89)&lt;=6),1,IF(AND(MONTH(I89)&gt;6,MONTH(I89)&lt;=9),2,IF(AND(MONTH(I89)&gt;9,MONTH(I89)&lt;=12),3,4)))</f>
        <v>3</v>
      </c>
      <c r="I89" s="10">
        <f>VLOOKUP($A89,'BASE DATA'!$A:$T,9,0)</f>
        <v>43040</v>
      </c>
      <c r="J89" s="9">
        <f>VLOOKUP($A89,'BASE DATA'!$A:$T,20,0)</f>
        <v>4749489.7180785537</v>
      </c>
      <c r="K89" s="12">
        <v>0</v>
      </c>
      <c r="L89" s="12">
        <v>75000</v>
      </c>
      <c r="M89" s="12">
        <f>+L89-K89</f>
        <v>75000</v>
      </c>
      <c r="N89" s="12">
        <f>+J89-M89</f>
        <v>4674489.7180785537</v>
      </c>
      <c r="O89" s="13" t="str">
        <f t="shared" ref="O89:O120" si="76">IF(E89="Monthly","",O88-D89+L89)</f>
        <v/>
      </c>
      <c r="P89" s="12">
        <f>+J89</f>
        <v>4749489.7180785537</v>
      </c>
      <c r="Q89" s="12">
        <v>0</v>
      </c>
      <c r="R89" s="12">
        <f>+J89-Q89</f>
        <v>4749489.7180785537</v>
      </c>
    </row>
    <row r="90" spans="1:18" x14ac:dyDescent="0.2">
      <c r="A90" s="3">
        <v>1004</v>
      </c>
      <c r="B90" s="3">
        <v>30</v>
      </c>
      <c r="C90" s="9">
        <f>VLOOKUP($A90,'BASE DATA'!$A:$T,11,0)</f>
        <v>75000</v>
      </c>
      <c r="D90" s="9">
        <f>+C90</f>
        <v>75000</v>
      </c>
      <c r="E90" s="9" t="str">
        <f>VLOOKUP($A90,'BASE DATA'!$A:$T,13,0)</f>
        <v>Monthly</v>
      </c>
      <c r="F90" s="88">
        <f>VLOOKUP($A90,'BASE DATA'!$A:$T,10,0)</f>
        <v>45016</v>
      </c>
      <c r="G90" s="3" t="str">
        <f t="shared" si="74"/>
        <v>2017-2018</v>
      </c>
      <c r="H90" s="11">
        <f t="shared" si="75"/>
        <v>3</v>
      </c>
      <c r="I90" s="10">
        <f>+I89+29</f>
        <v>43069</v>
      </c>
      <c r="J90" s="12">
        <f>+N89</f>
        <v>4674489.7180785537</v>
      </c>
      <c r="K90" s="12">
        <f t="shared" ref="K90:K101" si="77">((+J90*$F$2)/366)*(I90-I89)</f>
        <v>33334.475858429025</v>
      </c>
      <c r="L90" s="12">
        <f>D90</f>
        <v>75000</v>
      </c>
      <c r="M90" s="12">
        <f>+L90-K90</f>
        <v>41665.524141570975</v>
      </c>
      <c r="N90" s="12">
        <f>+J90-M90</f>
        <v>4632824.1939369831</v>
      </c>
      <c r="O90" s="13" t="str">
        <f t="shared" si="76"/>
        <v/>
      </c>
      <c r="P90" s="12">
        <f>+R89</f>
        <v>4749489.7180785537</v>
      </c>
      <c r="Q90" s="12">
        <f>+($P$89/($F$89-$I$89))*(I90-I89)</f>
        <v>69704.049506213589</v>
      </c>
      <c r="R90" s="12">
        <f t="shared" ref="R90:R153" si="78">+P90-Q90</f>
        <v>4679785.6685723402</v>
      </c>
    </row>
    <row r="91" spans="1:18" x14ac:dyDescent="0.2">
      <c r="A91" s="3">
        <v>1004</v>
      </c>
      <c r="B91" s="3">
        <v>31</v>
      </c>
      <c r="C91" s="13">
        <f>+C90</f>
        <v>75000</v>
      </c>
      <c r="D91" s="9">
        <f t="shared" ref="D91:D153" si="79">+C91</f>
        <v>75000</v>
      </c>
      <c r="E91" s="9" t="str">
        <f>VLOOKUP($A91,'BASE DATA'!$A:$T,13,0)</f>
        <v>Monthly</v>
      </c>
      <c r="F91" s="88">
        <f>VLOOKUP($A91,'BASE DATA'!$A:$T,10,0)</f>
        <v>45016</v>
      </c>
      <c r="G91" s="3" t="str">
        <f t="shared" si="74"/>
        <v>2017-2018</v>
      </c>
      <c r="H91" s="11">
        <f t="shared" si="75"/>
        <v>3</v>
      </c>
      <c r="I91" s="10">
        <f>+I90+B91</f>
        <v>43100</v>
      </c>
      <c r="J91" s="12">
        <f t="shared" ref="J91:J154" si="80">+N90</f>
        <v>4632824.1939369831</v>
      </c>
      <c r="K91" s="12">
        <f t="shared" si="77"/>
        <v>35315.790986568805</v>
      </c>
      <c r="L91" s="12">
        <f t="shared" ref="L91:L153" si="81">D91</f>
        <v>75000</v>
      </c>
      <c r="M91" s="12">
        <f t="shared" ref="M91:M154" si="82">+L91-K91</f>
        <v>39684.209013431195</v>
      </c>
      <c r="N91" s="12">
        <f t="shared" ref="N91:N154" si="83">+J91-M91</f>
        <v>4593139.9849235518</v>
      </c>
      <c r="O91" s="13" t="str">
        <f t="shared" si="76"/>
        <v/>
      </c>
      <c r="P91" s="12">
        <f t="shared" ref="P91:P154" si="84">+R90</f>
        <v>4679785.6685723402</v>
      </c>
      <c r="Q91" s="12">
        <f t="shared" ref="Q91:Q154" si="85">+($P$89/($F$89-$I$89))*(I91-I90)</f>
        <v>74511.225334228322</v>
      </c>
      <c r="R91" s="12">
        <f t="shared" si="78"/>
        <v>4605274.4432381121</v>
      </c>
    </row>
    <row r="92" spans="1:18" x14ac:dyDescent="0.2">
      <c r="A92" s="3">
        <v>1004</v>
      </c>
      <c r="B92" s="3">
        <v>31</v>
      </c>
      <c r="C92" s="13">
        <f t="shared" ref="C92:C100" si="86">+C91</f>
        <v>75000</v>
      </c>
      <c r="D92" s="9">
        <f t="shared" si="79"/>
        <v>75000</v>
      </c>
      <c r="E92" s="9" t="str">
        <f>VLOOKUP($A92,'BASE DATA'!$A:$T,13,0)</f>
        <v>Monthly</v>
      </c>
      <c r="F92" s="88">
        <f>VLOOKUP($A92,'BASE DATA'!$A:$T,10,0)</f>
        <v>45016</v>
      </c>
      <c r="G92" s="3" t="str">
        <f t="shared" si="74"/>
        <v>2017-2018</v>
      </c>
      <c r="H92" s="11">
        <f t="shared" si="75"/>
        <v>4</v>
      </c>
      <c r="I92" s="10">
        <f t="shared" ref="I92:I154" si="87">+I91+B92</f>
        <v>43131</v>
      </c>
      <c r="J92" s="12">
        <f t="shared" si="80"/>
        <v>4593139.9849235518</v>
      </c>
      <c r="K92" s="12">
        <f t="shared" si="77"/>
        <v>35013.280212941827</v>
      </c>
      <c r="L92" s="12">
        <f t="shared" si="81"/>
        <v>75000</v>
      </c>
      <c r="M92" s="12">
        <f t="shared" si="82"/>
        <v>39986.719787058173</v>
      </c>
      <c r="N92" s="12">
        <f t="shared" si="83"/>
        <v>4553153.2651364934</v>
      </c>
      <c r="O92" s="13" t="str">
        <f t="shared" si="76"/>
        <v/>
      </c>
      <c r="P92" s="12">
        <f t="shared" si="84"/>
        <v>4605274.4432381121</v>
      </c>
      <c r="Q92" s="12">
        <f t="shared" si="85"/>
        <v>74511.225334228322</v>
      </c>
      <c r="R92" s="12">
        <f t="shared" si="78"/>
        <v>4530763.2179038841</v>
      </c>
    </row>
    <row r="93" spans="1:18" x14ac:dyDescent="0.2">
      <c r="A93" s="3">
        <v>1004</v>
      </c>
      <c r="B93" s="3">
        <v>28</v>
      </c>
      <c r="C93" s="13">
        <f t="shared" si="86"/>
        <v>75000</v>
      </c>
      <c r="D93" s="9">
        <f t="shared" si="79"/>
        <v>75000</v>
      </c>
      <c r="E93" s="9" t="str">
        <f>VLOOKUP($A93,'BASE DATA'!$A:$T,13,0)</f>
        <v>Monthly</v>
      </c>
      <c r="F93" s="88">
        <f>VLOOKUP($A93,'BASE DATA'!$A:$T,10,0)</f>
        <v>45016</v>
      </c>
      <c r="G93" s="3" t="str">
        <f t="shared" si="74"/>
        <v>2017-2018</v>
      </c>
      <c r="H93" s="11">
        <f t="shared" si="75"/>
        <v>4</v>
      </c>
      <c r="I93" s="10">
        <f t="shared" si="87"/>
        <v>43159</v>
      </c>
      <c r="J93" s="12">
        <f t="shared" si="80"/>
        <v>4553153.2651364934</v>
      </c>
      <c r="K93" s="12">
        <f t="shared" si="77"/>
        <v>31349.57985831684</v>
      </c>
      <c r="L93" s="12">
        <f t="shared" si="81"/>
        <v>75000</v>
      </c>
      <c r="M93" s="12">
        <f t="shared" si="82"/>
        <v>43650.420141683164</v>
      </c>
      <c r="N93" s="12">
        <f t="shared" si="83"/>
        <v>4509502.8449948104</v>
      </c>
      <c r="O93" s="13" t="str">
        <f t="shared" si="76"/>
        <v/>
      </c>
      <c r="P93" s="12">
        <f t="shared" si="84"/>
        <v>4530763.2179038841</v>
      </c>
      <c r="Q93" s="12">
        <f t="shared" si="85"/>
        <v>67300.461592206222</v>
      </c>
      <c r="R93" s="12">
        <f t="shared" si="78"/>
        <v>4463462.7563116783</v>
      </c>
    </row>
    <row r="94" spans="1:18" x14ac:dyDescent="0.2">
      <c r="A94" s="3">
        <v>1004</v>
      </c>
      <c r="B94" s="3">
        <v>31</v>
      </c>
      <c r="C94" s="13">
        <f t="shared" si="86"/>
        <v>75000</v>
      </c>
      <c r="D94" s="9">
        <f t="shared" si="79"/>
        <v>75000</v>
      </c>
      <c r="E94" s="9" t="str">
        <f>VLOOKUP($A94,'BASE DATA'!$A:$T,13,0)</f>
        <v>Monthly</v>
      </c>
      <c r="F94" s="88">
        <f>VLOOKUP($A94,'BASE DATA'!$A:$T,10,0)</f>
        <v>45016</v>
      </c>
      <c r="G94" s="3" t="str">
        <f t="shared" si="74"/>
        <v>2017-2018</v>
      </c>
      <c r="H94" s="11">
        <f t="shared" si="75"/>
        <v>4</v>
      </c>
      <c r="I94" s="10">
        <f t="shared" si="87"/>
        <v>43190</v>
      </c>
      <c r="J94" s="12">
        <f t="shared" si="80"/>
        <v>4509502.8449948104</v>
      </c>
      <c r="K94" s="12">
        <f t="shared" si="77"/>
        <v>34375.718408566994</v>
      </c>
      <c r="L94" s="12">
        <f t="shared" si="81"/>
        <v>75000</v>
      </c>
      <c r="M94" s="12">
        <f t="shared" si="82"/>
        <v>40624.281591433006</v>
      </c>
      <c r="N94" s="12">
        <f t="shared" si="83"/>
        <v>4468878.5634033773</v>
      </c>
      <c r="O94" s="13" t="str">
        <f t="shared" si="76"/>
        <v/>
      </c>
      <c r="P94" s="12">
        <f t="shared" si="84"/>
        <v>4463462.7563116783</v>
      </c>
      <c r="Q94" s="12">
        <f t="shared" si="85"/>
        <v>74511.225334228322</v>
      </c>
      <c r="R94" s="12">
        <f t="shared" si="78"/>
        <v>4388951.5309774503</v>
      </c>
    </row>
    <row r="95" spans="1:18" x14ac:dyDescent="0.2">
      <c r="A95" s="3">
        <v>1004</v>
      </c>
      <c r="B95" s="3">
        <v>30</v>
      </c>
      <c r="C95" s="13">
        <f t="shared" si="86"/>
        <v>75000</v>
      </c>
      <c r="D95" s="9">
        <f t="shared" si="79"/>
        <v>75000</v>
      </c>
      <c r="E95" s="9" t="str">
        <f>VLOOKUP($A95,'BASE DATA'!$A:$T,13,0)</f>
        <v>Monthly</v>
      </c>
      <c r="F95" s="88">
        <f>VLOOKUP($A95,'BASE DATA'!$A:$T,10,0)</f>
        <v>45016</v>
      </c>
      <c r="G95" s="3" t="str">
        <f t="shared" si="74"/>
        <v>2018-2019</v>
      </c>
      <c r="H95" s="11">
        <f t="shared" si="75"/>
        <v>1</v>
      </c>
      <c r="I95" s="10">
        <f t="shared" si="87"/>
        <v>43220</v>
      </c>
      <c r="J95" s="12">
        <f t="shared" si="80"/>
        <v>4468878.5634033773</v>
      </c>
      <c r="K95" s="12">
        <f t="shared" si="77"/>
        <v>32967.136943139667</v>
      </c>
      <c r="L95" s="12">
        <f t="shared" si="81"/>
        <v>75000</v>
      </c>
      <c r="M95" s="12">
        <f t="shared" si="82"/>
        <v>42032.863056860333</v>
      </c>
      <c r="N95" s="12">
        <f t="shared" si="83"/>
        <v>4426845.7003465174</v>
      </c>
      <c r="O95" s="13" t="str">
        <f t="shared" si="76"/>
        <v/>
      </c>
      <c r="P95" s="12">
        <f t="shared" si="84"/>
        <v>4388951.5309774503</v>
      </c>
      <c r="Q95" s="12">
        <f t="shared" si="85"/>
        <v>72107.637420220955</v>
      </c>
      <c r="R95" s="12">
        <f t="shared" si="78"/>
        <v>4316843.8935572291</v>
      </c>
    </row>
    <row r="96" spans="1:18" x14ac:dyDescent="0.2">
      <c r="A96" s="3">
        <v>1004</v>
      </c>
      <c r="B96" s="3">
        <v>31</v>
      </c>
      <c r="C96" s="13">
        <f t="shared" si="86"/>
        <v>75000</v>
      </c>
      <c r="D96" s="9">
        <f t="shared" si="79"/>
        <v>75000</v>
      </c>
      <c r="E96" s="9" t="str">
        <f>VLOOKUP($A96,'BASE DATA'!$A:$T,13,0)</f>
        <v>Monthly</v>
      </c>
      <c r="F96" s="88">
        <f>VLOOKUP($A96,'BASE DATA'!$A:$T,10,0)</f>
        <v>45016</v>
      </c>
      <c r="G96" s="3" t="str">
        <f t="shared" si="74"/>
        <v>2018-2019</v>
      </c>
      <c r="H96" s="11">
        <f t="shared" si="75"/>
        <v>1</v>
      </c>
      <c r="I96" s="10">
        <f t="shared" si="87"/>
        <v>43251</v>
      </c>
      <c r="J96" s="12">
        <f t="shared" si="80"/>
        <v>4426845.7003465174</v>
      </c>
      <c r="K96" s="12">
        <f t="shared" si="77"/>
        <v>33745.627060018538</v>
      </c>
      <c r="L96" s="12">
        <f t="shared" si="81"/>
        <v>75000</v>
      </c>
      <c r="M96" s="12">
        <f t="shared" si="82"/>
        <v>41254.372939981462</v>
      </c>
      <c r="N96" s="12">
        <f t="shared" si="83"/>
        <v>4385591.3274065359</v>
      </c>
      <c r="O96" s="13" t="str">
        <f t="shared" si="76"/>
        <v/>
      </c>
      <c r="P96" s="12">
        <f t="shared" si="84"/>
        <v>4316843.8935572291</v>
      </c>
      <c r="Q96" s="12">
        <f t="shared" si="85"/>
        <v>74511.225334228322</v>
      </c>
      <c r="R96" s="12">
        <f t="shared" si="78"/>
        <v>4242332.6682230011</v>
      </c>
    </row>
    <row r="97" spans="1:18" x14ac:dyDescent="0.2">
      <c r="A97" s="3">
        <v>1004</v>
      </c>
      <c r="B97" s="3">
        <v>30</v>
      </c>
      <c r="C97" s="13">
        <f t="shared" si="86"/>
        <v>75000</v>
      </c>
      <c r="D97" s="9">
        <f t="shared" si="79"/>
        <v>75000</v>
      </c>
      <c r="E97" s="9" t="str">
        <f>VLOOKUP($A97,'BASE DATA'!$A:$T,13,0)</f>
        <v>Monthly</v>
      </c>
      <c r="F97" s="88">
        <f>VLOOKUP($A97,'BASE DATA'!$A:$T,10,0)</f>
        <v>45016</v>
      </c>
      <c r="G97" s="3" t="str">
        <f t="shared" si="74"/>
        <v>2018-2019</v>
      </c>
      <c r="H97" s="11">
        <f t="shared" si="75"/>
        <v>1</v>
      </c>
      <c r="I97" s="10">
        <f t="shared" si="87"/>
        <v>43281</v>
      </c>
      <c r="J97" s="12">
        <f t="shared" si="80"/>
        <v>4385591.3274065359</v>
      </c>
      <c r="K97" s="12">
        <f t="shared" si="77"/>
        <v>32352.722907097392</v>
      </c>
      <c r="L97" s="12">
        <f t="shared" si="81"/>
        <v>75000</v>
      </c>
      <c r="M97" s="12">
        <f t="shared" si="82"/>
        <v>42647.277092902608</v>
      </c>
      <c r="N97" s="12">
        <f t="shared" si="83"/>
        <v>4342944.0503136329</v>
      </c>
      <c r="O97" s="13" t="str">
        <f t="shared" si="76"/>
        <v/>
      </c>
      <c r="P97" s="12">
        <f t="shared" si="84"/>
        <v>4242332.6682230011</v>
      </c>
      <c r="Q97" s="12">
        <f t="shared" si="85"/>
        <v>72107.637420220955</v>
      </c>
      <c r="R97" s="12">
        <f t="shared" si="78"/>
        <v>4170225.0308027803</v>
      </c>
    </row>
    <row r="98" spans="1:18" x14ac:dyDescent="0.2">
      <c r="A98" s="3">
        <v>1004</v>
      </c>
      <c r="B98" s="3">
        <v>31</v>
      </c>
      <c r="C98" s="13">
        <f t="shared" si="86"/>
        <v>75000</v>
      </c>
      <c r="D98" s="9">
        <f t="shared" si="79"/>
        <v>75000</v>
      </c>
      <c r="E98" s="9" t="str">
        <f>VLOOKUP($A98,'BASE DATA'!$A:$T,13,0)</f>
        <v>Monthly</v>
      </c>
      <c r="F98" s="88">
        <f>VLOOKUP($A98,'BASE DATA'!$A:$T,10,0)</f>
        <v>45016</v>
      </c>
      <c r="G98" s="3" t="str">
        <f t="shared" si="74"/>
        <v>2018-2019</v>
      </c>
      <c r="H98" s="11">
        <f t="shared" si="75"/>
        <v>2</v>
      </c>
      <c r="I98" s="10">
        <f t="shared" si="87"/>
        <v>43312</v>
      </c>
      <c r="J98" s="12">
        <f t="shared" si="80"/>
        <v>4342944.0503136329</v>
      </c>
      <c r="K98" s="12">
        <f t="shared" si="77"/>
        <v>33106.048908128512</v>
      </c>
      <c r="L98" s="12">
        <f t="shared" si="81"/>
        <v>75000</v>
      </c>
      <c r="M98" s="12">
        <f t="shared" si="82"/>
        <v>41893.951091871488</v>
      </c>
      <c r="N98" s="12">
        <f t="shared" si="83"/>
        <v>4301050.0992217613</v>
      </c>
      <c r="O98" s="13" t="str">
        <f t="shared" si="76"/>
        <v/>
      </c>
      <c r="P98" s="12">
        <f t="shared" si="84"/>
        <v>4170225.0308027803</v>
      </c>
      <c r="Q98" s="12">
        <f t="shared" si="85"/>
        <v>74511.225334228322</v>
      </c>
      <c r="R98" s="12">
        <f t="shared" si="78"/>
        <v>4095713.8054685518</v>
      </c>
    </row>
    <row r="99" spans="1:18" x14ac:dyDescent="0.2">
      <c r="A99" s="3">
        <v>1004</v>
      </c>
      <c r="B99" s="3">
        <v>31</v>
      </c>
      <c r="C99" s="13">
        <f t="shared" si="86"/>
        <v>75000</v>
      </c>
      <c r="D99" s="9">
        <f t="shared" si="79"/>
        <v>75000</v>
      </c>
      <c r="E99" s="9" t="str">
        <f>VLOOKUP($A99,'BASE DATA'!$A:$T,13,0)</f>
        <v>Monthly</v>
      </c>
      <c r="F99" s="88">
        <f>VLOOKUP($A99,'BASE DATA'!$A:$T,10,0)</f>
        <v>45016</v>
      </c>
      <c r="G99" s="3" t="str">
        <f t="shared" si="74"/>
        <v>2018-2019</v>
      </c>
      <c r="H99" s="11">
        <f t="shared" si="75"/>
        <v>2</v>
      </c>
      <c r="I99" s="10">
        <f t="shared" si="87"/>
        <v>43343</v>
      </c>
      <c r="J99" s="12">
        <f t="shared" si="80"/>
        <v>4301050.0992217613</v>
      </c>
      <c r="K99" s="12">
        <f t="shared" si="77"/>
        <v>32786.69337931343</v>
      </c>
      <c r="L99" s="12">
        <f t="shared" si="81"/>
        <v>75000</v>
      </c>
      <c r="M99" s="12">
        <f t="shared" si="82"/>
        <v>42213.30662068657</v>
      </c>
      <c r="N99" s="12">
        <f t="shared" si="83"/>
        <v>4258836.792601075</v>
      </c>
      <c r="O99" s="13" t="str">
        <f t="shared" si="76"/>
        <v/>
      </c>
      <c r="P99" s="12">
        <f t="shared" si="84"/>
        <v>4095713.8054685518</v>
      </c>
      <c r="Q99" s="12">
        <f t="shared" si="85"/>
        <v>74511.225334228322</v>
      </c>
      <c r="R99" s="12">
        <f t="shared" si="78"/>
        <v>4021202.5801343233</v>
      </c>
    </row>
    <row r="100" spans="1:18" x14ac:dyDescent="0.2">
      <c r="A100" s="3">
        <v>1004</v>
      </c>
      <c r="B100" s="3">
        <v>30</v>
      </c>
      <c r="C100" s="13">
        <f t="shared" si="86"/>
        <v>75000</v>
      </c>
      <c r="D100" s="9">
        <f t="shared" si="79"/>
        <v>75000</v>
      </c>
      <c r="E100" s="9" t="str">
        <f>VLOOKUP($A100,'BASE DATA'!$A:$T,13,0)</f>
        <v>Monthly</v>
      </c>
      <c r="F100" s="88">
        <f>VLOOKUP($A100,'BASE DATA'!$A:$T,10,0)</f>
        <v>45016</v>
      </c>
      <c r="G100" s="3" t="str">
        <f t="shared" si="74"/>
        <v>2018-2019</v>
      </c>
      <c r="H100" s="11">
        <f t="shared" si="75"/>
        <v>2</v>
      </c>
      <c r="I100" s="10">
        <f t="shared" si="87"/>
        <v>43373</v>
      </c>
      <c r="J100" s="12">
        <f t="shared" si="80"/>
        <v>4258836.792601075</v>
      </c>
      <c r="K100" s="12">
        <f t="shared" si="77"/>
        <v>31417.648470007931</v>
      </c>
      <c r="L100" s="12">
        <f t="shared" si="81"/>
        <v>75000</v>
      </c>
      <c r="M100" s="12">
        <f t="shared" si="82"/>
        <v>43582.351529992069</v>
      </c>
      <c r="N100" s="12">
        <f t="shared" si="83"/>
        <v>4215254.4410710828</v>
      </c>
      <c r="O100" s="13" t="str">
        <f t="shared" si="76"/>
        <v/>
      </c>
      <c r="P100" s="12">
        <f t="shared" si="84"/>
        <v>4021202.5801343233</v>
      </c>
      <c r="Q100" s="12">
        <f t="shared" si="85"/>
        <v>72107.637420220955</v>
      </c>
      <c r="R100" s="12">
        <f t="shared" si="78"/>
        <v>3949094.9427141026</v>
      </c>
    </row>
    <row r="101" spans="1:18" x14ac:dyDescent="0.2">
      <c r="A101" s="3">
        <v>1004</v>
      </c>
      <c r="B101" s="3">
        <v>31</v>
      </c>
      <c r="C101" s="13">
        <f>+C100*1.1</f>
        <v>82500</v>
      </c>
      <c r="D101" s="9">
        <f t="shared" si="79"/>
        <v>82500</v>
      </c>
      <c r="E101" s="9" t="str">
        <f>VLOOKUP($A101,'BASE DATA'!$A:$T,13,0)</f>
        <v>Monthly</v>
      </c>
      <c r="F101" s="88">
        <f>VLOOKUP($A101,'BASE DATA'!$A:$T,10,0)</f>
        <v>45016</v>
      </c>
      <c r="G101" s="3" t="str">
        <f t="shared" si="74"/>
        <v>2018-2019</v>
      </c>
      <c r="H101" s="11">
        <f t="shared" si="75"/>
        <v>3</v>
      </c>
      <c r="I101" s="10">
        <f t="shared" si="87"/>
        <v>43404</v>
      </c>
      <c r="J101" s="12">
        <f t="shared" si="80"/>
        <v>4215254.4410710828</v>
      </c>
      <c r="K101" s="12">
        <f t="shared" si="77"/>
        <v>32132.677296689399</v>
      </c>
      <c r="L101" s="12">
        <f t="shared" si="81"/>
        <v>82500</v>
      </c>
      <c r="M101" s="12">
        <f t="shared" si="82"/>
        <v>50367.322703310601</v>
      </c>
      <c r="N101" s="12">
        <f t="shared" si="83"/>
        <v>4164887.1183677721</v>
      </c>
      <c r="O101" s="13" t="str">
        <f t="shared" si="76"/>
        <v/>
      </c>
      <c r="P101" s="12">
        <f t="shared" si="84"/>
        <v>3949094.9427141026</v>
      </c>
      <c r="Q101" s="12">
        <f t="shared" si="85"/>
        <v>74511.225334228322</v>
      </c>
      <c r="R101" s="12">
        <f t="shared" si="78"/>
        <v>3874583.7173798741</v>
      </c>
    </row>
    <row r="102" spans="1:18" x14ac:dyDescent="0.2">
      <c r="A102" s="3">
        <v>1004</v>
      </c>
      <c r="B102" s="3">
        <v>30</v>
      </c>
      <c r="C102" s="13">
        <f>+C101</f>
        <v>82500</v>
      </c>
      <c r="D102" s="9">
        <f t="shared" si="79"/>
        <v>82500</v>
      </c>
      <c r="E102" s="9" t="str">
        <f>VLOOKUP($A102,'BASE DATA'!$A:$T,13,0)</f>
        <v>Monthly</v>
      </c>
      <c r="F102" s="88">
        <f>VLOOKUP($A102,'BASE DATA'!$A:$T,10,0)</f>
        <v>45016</v>
      </c>
      <c r="G102" s="3" t="str">
        <f t="shared" si="74"/>
        <v>2018-2019</v>
      </c>
      <c r="H102" s="11">
        <f t="shared" si="75"/>
        <v>3</v>
      </c>
      <c r="I102" s="10">
        <f t="shared" si="87"/>
        <v>43434</v>
      </c>
      <c r="J102" s="12">
        <f t="shared" si="80"/>
        <v>4164887.1183677721</v>
      </c>
      <c r="K102" s="12">
        <f t="shared" ref="K102:K137" si="88">((+J102*$F$2)/365)*(I102-I101)</f>
        <v>30808.754026282146</v>
      </c>
      <c r="L102" s="12">
        <f t="shared" si="81"/>
        <v>82500</v>
      </c>
      <c r="M102" s="12">
        <f t="shared" si="82"/>
        <v>51691.245973717858</v>
      </c>
      <c r="N102" s="12">
        <f t="shared" si="83"/>
        <v>4113195.8723940542</v>
      </c>
      <c r="O102" s="13" t="str">
        <f t="shared" si="76"/>
        <v/>
      </c>
      <c r="P102" s="12">
        <f t="shared" si="84"/>
        <v>3874583.7173798741</v>
      </c>
      <c r="Q102" s="12">
        <f t="shared" si="85"/>
        <v>72107.637420220955</v>
      </c>
      <c r="R102" s="12">
        <f t="shared" si="78"/>
        <v>3802476.0799596533</v>
      </c>
    </row>
    <row r="103" spans="1:18" x14ac:dyDescent="0.2">
      <c r="A103" s="3">
        <v>1004</v>
      </c>
      <c r="B103" s="3">
        <v>31</v>
      </c>
      <c r="C103" s="13">
        <f t="shared" ref="C103:C112" si="89">+C102</f>
        <v>82500</v>
      </c>
      <c r="D103" s="9">
        <f t="shared" si="79"/>
        <v>82500</v>
      </c>
      <c r="E103" s="9" t="str">
        <f>VLOOKUP($A103,'BASE DATA'!$A:$T,13,0)</f>
        <v>Monthly</v>
      </c>
      <c r="F103" s="88">
        <f>VLOOKUP($A103,'BASE DATA'!$A:$T,10,0)</f>
        <v>45016</v>
      </c>
      <c r="G103" s="3" t="str">
        <f t="shared" si="74"/>
        <v>2018-2019</v>
      </c>
      <c r="H103" s="11">
        <f t="shared" si="75"/>
        <v>3</v>
      </c>
      <c r="I103" s="10">
        <f t="shared" si="87"/>
        <v>43465</v>
      </c>
      <c r="J103" s="12">
        <f t="shared" si="80"/>
        <v>4113195.8723940542</v>
      </c>
      <c r="K103" s="12">
        <f t="shared" si="88"/>
        <v>31440.593106792905</v>
      </c>
      <c r="L103" s="12">
        <f t="shared" si="81"/>
        <v>82500</v>
      </c>
      <c r="M103" s="12">
        <f t="shared" si="82"/>
        <v>51059.406893207095</v>
      </c>
      <c r="N103" s="12">
        <f t="shared" si="83"/>
        <v>4062136.465500847</v>
      </c>
      <c r="O103" s="13" t="str">
        <f t="shared" si="76"/>
        <v/>
      </c>
      <c r="P103" s="12">
        <f t="shared" si="84"/>
        <v>3802476.0799596533</v>
      </c>
      <c r="Q103" s="12">
        <f t="shared" si="85"/>
        <v>74511.225334228322</v>
      </c>
      <c r="R103" s="12">
        <f t="shared" si="78"/>
        <v>3727964.8546254248</v>
      </c>
    </row>
    <row r="104" spans="1:18" x14ac:dyDescent="0.2">
      <c r="A104" s="3">
        <v>1004</v>
      </c>
      <c r="B104" s="3">
        <v>31</v>
      </c>
      <c r="C104" s="13">
        <f t="shared" si="89"/>
        <v>82500</v>
      </c>
      <c r="D104" s="9">
        <f t="shared" si="79"/>
        <v>82500</v>
      </c>
      <c r="E104" s="9" t="str">
        <f>VLOOKUP($A104,'BASE DATA'!$A:$T,13,0)</f>
        <v>Monthly</v>
      </c>
      <c r="F104" s="88">
        <f>VLOOKUP($A104,'BASE DATA'!$A:$T,10,0)</f>
        <v>45016</v>
      </c>
      <c r="G104" s="3" t="str">
        <f t="shared" si="74"/>
        <v>2018-2019</v>
      </c>
      <c r="H104" s="11">
        <f t="shared" si="75"/>
        <v>4</v>
      </c>
      <c r="I104" s="10">
        <f t="shared" si="87"/>
        <v>43496</v>
      </c>
      <c r="J104" s="12">
        <f t="shared" si="80"/>
        <v>4062136.465500847</v>
      </c>
      <c r="K104" s="12">
        <f t="shared" si="88"/>
        <v>31050.303393828392</v>
      </c>
      <c r="L104" s="12">
        <f t="shared" si="81"/>
        <v>82500</v>
      </c>
      <c r="M104" s="12">
        <f t="shared" si="82"/>
        <v>51449.696606171608</v>
      </c>
      <c r="N104" s="12">
        <f t="shared" si="83"/>
        <v>4010686.7688946752</v>
      </c>
      <c r="O104" s="13" t="str">
        <f t="shared" si="76"/>
        <v/>
      </c>
      <c r="P104" s="12">
        <f t="shared" si="84"/>
        <v>3727964.8546254248</v>
      </c>
      <c r="Q104" s="12">
        <f t="shared" si="85"/>
        <v>74511.225334228322</v>
      </c>
      <c r="R104" s="12">
        <f t="shared" si="78"/>
        <v>3653453.6292911964</v>
      </c>
    </row>
    <row r="105" spans="1:18" x14ac:dyDescent="0.2">
      <c r="A105" s="3">
        <v>1004</v>
      </c>
      <c r="B105" s="3">
        <v>28</v>
      </c>
      <c r="C105" s="13">
        <f t="shared" si="89"/>
        <v>82500</v>
      </c>
      <c r="D105" s="9">
        <f t="shared" si="79"/>
        <v>82500</v>
      </c>
      <c r="E105" s="9" t="str">
        <f>VLOOKUP($A105,'BASE DATA'!$A:$T,13,0)</f>
        <v>Monthly</v>
      </c>
      <c r="F105" s="88">
        <f>VLOOKUP($A105,'BASE DATA'!$A:$T,10,0)</f>
        <v>45016</v>
      </c>
      <c r="G105" s="3" t="str">
        <f t="shared" si="74"/>
        <v>2018-2019</v>
      </c>
      <c r="H105" s="11">
        <f t="shared" si="75"/>
        <v>4</v>
      </c>
      <c r="I105" s="10">
        <f t="shared" si="87"/>
        <v>43524</v>
      </c>
      <c r="J105" s="12">
        <f t="shared" si="80"/>
        <v>4010686.7688946752</v>
      </c>
      <c r="K105" s="12">
        <f t="shared" si="88"/>
        <v>27690.220979765974</v>
      </c>
      <c r="L105" s="12">
        <f t="shared" si="81"/>
        <v>82500</v>
      </c>
      <c r="M105" s="12">
        <f t="shared" si="82"/>
        <v>54809.779020234026</v>
      </c>
      <c r="N105" s="12">
        <f t="shared" si="83"/>
        <v>3955876.9898744412</v>
      </c>
      <c r="O105" s="13" t="str">
        <f t="shared" si="76"/>
        <v/>
      </c>
      <c r="P105" s="12">
        <f t="shared" si="84"/>
        <v>3653453.6292911964</v>
      </c>
      <c r="Q105" s="12">
        <f t="shared" si="85"/>
        <v>67300.461592206222</v>
      </c>
      <c r="R105" s="12">
        <f t="shared" si="78"/>
        <v>3586153.1676989901</v>
      </c>
    </row>
    <row r="106" spans="1:18" x14ac:dyDescent="0.2">
      <c r="A106" s="3">
        <v>1004</v>
      </c>
      <c r="B106" s="3">
        <v>31</v>
      </c>
      <c r="C106" s="13">
        <f t="shared" si="89"/>
        <v>82500</v>
      </c>
      <c r="D106" s="9">
        <f t="shared" si="79"/>
        <v>82500</v>
      </c>
      <c r="E106" s="9" t="str">
        <f>VLOOKUP($A106,'BASE DATA'!$A:$T,13,0)</f>
        <v>Monthly</v>
      </c>
      <c r="F106" s="88">
        <f>VLOOKUP($A106,'BASE DATA'!$A:$T,10,0)</f>
        <v>45016</v>
      </c>
      <c r="G106" s="3" t="str">
        <f t="shared" si="74"/>
        <v>2018-2019</v>
      </c>
      <c r="H106" s="11">
        <f t="shared" si="75"/>
        <v>4</v>
      </c>
      <c r="I106" s="10">
        <f t="shared" si="87"/>
        <v>43555</v>
      </c>
      <c r="J106" s="12">
        <f t="shared" si="80"/>
        <v>3955876.9898744412</v>
      </c>
      <c r="K106" s="12">
        <f t="shared" si="88"/>
        <v>30238.073429451208</v>
      </c>
      <c r="L106" s="12">
        <f t="shared" si="81"/>
        <v>82500</v>
      </c>
      <c r="M106" s="12">
        <f t="shared" si="82"/>
        <v>52261.926570548792</v>
      </c>
      <c r="N106" s="12">
        <f t="shared" si="83"/>
        <v>3903615.0633038925</v>
      </c>
      <c r="O106" s="13" t="str">
        <f t="shared" si="76"/>
        <v/>
      </c>
      <c r="P106" s="12">
        <f t="shared" si="84"/>
        <v>3586153.1676989901</v>
      </c>
      <c r="Q106" s="12">
        <f t="shared" si="85"/>
        <v>74511.225334228322</v>
      </c>
      <c r="R106" s="12">
        <f t="shared" si="78"/>
        <v>3511641.9423647616</v>
      </c>
    </row>
    <row r="107" spans="1:18" x14ac:dyDescent="0.2">
      <c r="A107" s="3">
        <v>1004</v>
      </c>
      <c r="B107" s="3">
        <v>30</v>
      </c>
      <c r="C107" s="13">
        <f t="shared" si="89"/>
        <v>82500</v>
      </c>
      <c r="D107" s="9">
        <f t="shared" si="79"/>
        <v>82500</v>
      </c>
      <c r="E107" s="9" t="str">
        <f>VLOOKUP($A107,'BASE DATA'!$A:$T,13,0)</f>
        <v>Monthly</v>
      </c>
      <c r="F107" s="88">
        <f>VLOOKUP($A107,'BASE DATA'!$A:$T,10,0)</f>
        <v>45016</v>
      </c>
      <c r="G107" s="3" t="str">
        <f t="shared" si="74"/>
        <v>2019-2020</v>
      </c>
      <c r="H107" s="11">
        <f t="shared" si="75"/>
        <v>1</v>
      </c>
      <c r="I107" s="10">
        <f t="shared" si="87"/>
        <v>43585</v>
      </c>
      <c r="J107" s="12">
        <f t="shared" si="80"/>
        <v>3903615.0633038925</v>
      </c>
      <c r="K107" s="12">
        <f t="shared" si="88"/>
        <v>28876.056632658929</v>
      </c>
      <c r="L107" s="12">
        <f t="shared" si="81"/>
        <v>82500</v>
      </c>
      <c r="M107" s="12">
        <f t="shared" si="82"/>
        <v>53623.943367341068</v>
      </c>
      <c r="N107" s="12">
        <f t="shared" si="83"/>
        <v>3849991.1199365514</v>
      </c>
      <c r="O107" s="13" t="str">
        <f t="shared" si="76"/>
        <v/>
      </c>
      <c r="P107" s="12">
        <f t="shared" si="84"/>
        <v>3511641.9423647616</v>
      </c>
      <c r="Q107" s="12">
        <f t="shared" si="85"/>
        <v>72107.637420220955</v>
      </c>
      <c r="R107" s="12">
        <f t="shared" si="78"/>
        <v>3439534.3049445408</v>
      </c>
    </row>
    <row r="108" spans="1:18" x14ac:dyDescent="0.2">
      <c r="A108" s="3">
        <v>1004</v>
      </c>
      <c r="B108" s="3">
        <v>31</v>
      </c>
      <c r="C108" s="13">
        <f t="shared" si="89"/>
        <v>82500</v>
      </c>
      <c r="D108" s="9">
        <f t="shared" si="79"/>
        <v>82500</v>
      </c>
      <c r="E108" s="9" t="str">
        <f>VLOOKUP($A108,'BASE DATA'!$A:$T,13,0)</f>
        <v>Monthly</v>
      </c>
      <c r="F108" s="88">
        <f>VLOOKUP($A108,'BASE DATA'!$A:$T,10,0)</f>
        <v>45016</v>
      </c>
      <c r="G108" s="3" t="str">
        <f t="shared" si="74"/>
        <v>2019-2020</v>
      </c>
      <c r="H108" s="11">
        <f t="shared" si="75"/>
        <v>1</v>
      </c>
      <c r="I108" s="10">
        <f t="shared" si="87"/>
        <v>43616</v>
      </c>
      <c r="J108" s="12">
        <f t="shared" si="80"/>
        <v>3849991.1199365514</v>
      </c>
      <c r="K108" s="12">
        <f t="shared" si="88"/>
        <v>29428.699245542404</v>
      </c>
      <c r="L108" s="12">
        <f t="shared" si="81"/>
        <v>82500</v>
      </c>
      <c r="M108" s="12">
        <f t="shared" si="82"/>
        <v>53071.300754457596</v>
      </c>
      <c r="N108" s="12">
        <f t="shared" si="83"/>
        <v>3796919.8191820937</v>
      </c>
      <c r="O108" s="13" t="str">
        <f t="shared" si="76"/>
        <v/>
      </c>
      <c r="P108" s="12">
        <f t="shared" si="84"/>
        <v>3439534.3049445408</v>
      </c>
      <c r="Q108" s="12">
        <f t="shared" si="85"/>
        <v>74511.225334228322</v>
      </c>
      <c r="R108" s="12">
        <f t="shared" si="78"/>
        <v>3365023.0796103124</v>
      </c>
    </row>
    <row r="109" spans="1:18" x14ac:dyDescent="0.2">
      <c r="A109" s="3">
        <v>1004</v>
      </c>
      <c r="B109" s="3">
        <v>30</v>
      </c>
      <c r="C109" s="13">
        <f t="shared" si="89"/>
        <v>82500</v>
      </c>
      <c r="D109" s="9">
        <f t="shared" si="79"/>
        <v>82500</v>
      </c>
      <c r="E109" s="9" t="str">
        <f>VLOOKUP($A109,'BASE DATA'!$A:$T,13,0)</f>
        <v>Monthly</v>
      </c>
      <c r="F109" s="88">
        <f>VLOOKUP($A109,'BASE DATA'!$A:$T,10,0)</f>
        <v>45016</v>
      </c>
      <c r="G109" s="3" t="str">
        <f t="shared" si="74"/>
        <v>2019-2020</v>
      </c>
      <c r="H109" s="11">
        <f t="shared" si="75"/>
        <v>1</v>
      </c>
      <c r="I109" s="10">
        <f t="shared" si="87"/>
        <v>43646</v>
      </c>
      <c r="J109" s="12">
        <f t="shared" si="80"/>
        <v>3796919.8191820937</v>
      </c>
      <c r="K109" s="12">
        <f t="shared" si="88"/>
        <v>28086.80414189494</v>
      </c>
      <c r="L109" s="12">
        <f t="shared" si="81"/>
        <v>82500</v>
      </c>
      <c r="M109" s="12">
        <f t="shared" si="82"/>
        <v>54413.195858105057</v>
      </c>
      <c r="N109" s="12">
        <f t="shared" si="83"/>
        <v>3742506.6233239886</v>
      </c>
      <c r="O109" s="13" t="str">
        <f t="shared" si="76"/>
        <v/>
      </c>
      <c r="P109" s="12">
        <f t="shared" si="84"/>
        <v>3365023.0796103124</v>
      </c>
      <c r="Q109" s="12">
        <f t="shared" si="85"/>
        <v>72107.637420220955</v>
      </c>
      <c r="R109" s="12">
        <f t="shared" si="78"/>
        <v>3292915.4421900916</v>
      </c>
    </row>
    <row r="110" spans="1:18" x14ac:dyDescent="0.2">
      <c r="A110" s="3">
        <v>1004</v>
      </c>
      <c r="B110" s="3">
        <v>31</v>
      </c>
      <c r="C110" s="13">
        <f t="shared" si="89"/>
        <v>82500</v>
      </c>
      <c r="D110" s="9">
        <f t="shared" si="79"/>
        <v>82500</v>
      </c>
      <c r="E110" s="9" t="str">
        <f>VLOOKUP($A110,'BASE DATA'!$A:$T,13,0)</f>
        <v>Monthly</v>
      </c>
      <c r="F110" s="88">
        <f>VLOOKUP($A110,'BASE DATA'!$A:$T,10,0)</f>
        <v>45016</v>
      </c>
      <c r="G110" s="3" t="str">
        <f t="shared" si="74"/>
        <v>2019-2020</v>
      </c>
      <c r="H110" s="11">
        <f t="shared" si="75"/>
        <v>2</v>
      </c>
      <c r="I110" s="10">
        <f t="shared" si="87"/>
        <v>43677</v>
      </c>
      <c r="J110" s="12">
        <f t="shared" si="80"/>
        <v>3742506.6233239886</v>
      </c>
      <c r="K110" s="12">
        <f t="shared" si="88"/>
        <v>28607.105422120352</v>
      </c>
      <c r="L110" s="12">
        <f t="shared" si="81"/>
        <v>82500</v>
      </c>
      <c r="M110" s="12">
        <f t="shared" si="82"/>
        <v>53892.894577879648</v>
      </c>
      <c r="N110" s="12">
        <f t="shared" si="83"/>
        <v>3688613.7287461092</v>
      </c>
      <c r="O110" s="13" t="str">
        <f t="shared" si="76"/>
        <v/>
      </c>
      <c r="P110" s="12">
        <f t="shared" si="84"/>
        <v>3292915.4421900916</v>
      </c>
      <c r="Q110" s="12">
        <f t="shared" si="85"/>
        <v>74511.225334228322</v>
      </c>
      <c r="R110" s="12">
        <f t="shared" si="78"/>
        <v>3218404.2168558631</v>
      </c>
    </row>
    <row r="111" spans="1:18" x14ac:dyDescent="0.2">
      <c r="A111" s="3">
        <v>1004</v>
      </c>
      <c r="B111" s="3">
        <v>31</v>
      </c>
      <c r="C111" s="13">
        <f t="shared" si="89"/>
        <v>82500</v>
      </c>
      <c r="D111" s="9">
        <f t="shared" si="79"/>
        <v>82500</v>
      </c>
      <c r="E111" s="9" t="str">
        <f>VLOOKUP($A111,'BASE DATA'!$A:$T,13,0)</f>
        <v>Monthly</v>
      </c>
      <c r="F111" s="88">
        <f>VLOOKUP($A111,'BASE DATA'!$A:$T,10,0)</f>
        <v>45016</v>
      </c>
      <c r="G111" s="3" t="str">
        <f t="shared" si="74"/>
        <v>2019-2020</v>
      </c>
      <c r="H111" s="11">
        <f t="shared" si="75"/>
        <v>2</v>
      </c>
      <c r="I111" s="10">
        <f t="shared" si="87"/>
        <v>43708</v>
      </c>
      <c r="J111" s="12">
        <f t="shared" si="80"/>
        <v>3688613.7287461092</v>
      </c>
      <c r="K111" s="12">
        <f t="shared" si="88"/>
        <v>28195.156995072997</v>
      </c>
      <c r="L111" s="12">
        <f t="shared" si="81"/>
        <v>82500</v>
      </c>
      <c r="M111" s="12">
        <f t="shared" si="82"/>
        <v>54304.843004927003</v>
      </c>
      <c r="N111" s="12">
        <f t="shared" si="83"/>
        <v>3634308.8857411821</v>
      </c>
      <c r="O111" s="13" t="str">
        <f t="shared" si="76"/>
        <v/>
      </c>
      <c r="P111" s="12">
        <f t="shared" si="84"/>
        <v>3218404.2168558631</v>
      </c>
      <c r="Q111" s="12">
        <f t="shared" si="85"/>
        <v>74511.225334228322</v>
      </c>
      <c r="R111" s="12">
        <f t="shared" si="78"/>
        <v>3143892.9915216346</v>
      </c>
    </row>
    <row r="112" spans="1:18" x14ac:dyDescent="0.2">
      <c r="A112" s="3">
        <v>1004</v>
      </c>
      <c r="B112" s="3">
        <v>30</v>
      </c>
      <c r="C112" s="13">
        <f t="shared" si="89"/>
        <v>82500</v>
      </c>
      <c r="D112" s="9">
        <f t="shared" si="79"/>
        <v>82500</v>
      </c>
      <c r="E112" s="9" t="str">
        <f>VLOOKUP($A112,'BASE DATA'!$A:$T,13,0)</f>
        <v>Monthly</v>
      </c>
      <c r="F112" s="88">
        <f>VLOOKUP($A112,'BASE DATA'!$A:$T,10,0)</f>
        <v>45016</v>
      </c>
      <c r="G112" s="3" t="str">
        <f t="shared" si="74"/>
        <v>2019-2020</v>
      </c>
      <c r="H112" s="11">
        <f t="shared" si="75"/>
        <v>2</v>
      </c>
      <c r="I112" s="10">
        <f t="shared" si="87"/>
        <v>43738</v>
      </c>
      <c r="J112" s="12">
        <f t="shared" si="80"/>
        <v>3634308.8857411821</v>
      </c>
      <c r="K112" s="12">
        <f t="shared" si="88"/>
        <v>26883.928743838882</v>
      </c>
      <c r="L112" s="12">
        <f t="shared" si="81"/>
        <v>82500</v>
      </c>
      <c r="M112" s="12">
        <f t="shared" si="82"/>
        <v>55616.071256161114</v>
      </c>
      <c r="N112" s="12">
        <f t="shared" si="83"/>
        <v>3578692.8144850209</v>
      </c>
      <c r="O112" s="13" t="str">
        <f t="shared" si="76"/>
        <v/>
      </c>
      <c r="P112" s="12">
        <f t="shared" si="84"/>
        <v>3143892.9915216346</v>
      </c>
      <c r="Q112" s="12">
        <f t="shared" si="85"/>
        <v>72107.637420220955</v>
      </c>
      <c r="R112" s="12">
        <f t="shared" si="78"/>
        <v>3071785.3541014139</v>
      </c>
    </row>
    <row r="113" spans="1:18" x14ac:dyDescent="0.2">
      <c r="A113" s="3">
        <v>1004</v>
      </c>
      <c r="B113" s="3">
        <v>31</v>
      </c>
      <c r="C113" s="13">
        <f>+C112*1.1</f>
        <v>90750.000000000015</v>
      </c>
      <c r="D113" s="9">
        <f t="shared" si="79"/>
        <v>90750.000000000015</v>
      </c>
      <c r="E113" s="9" t="str">
        <f>VLOOKUP($A113,'BASE DATA'!$A:$T,13,0)</f>
        <v>Monthly</v>
      </c>
      <c r="F113" s="88">
        <f>VLOOKUP($A113,'BASE DATA'!$A:$T,10,0)</f>
        <v>45016</v>
      </c>
      <c r="G113" s="3" t="str">
        <f t="shared" si="74"/>
        <v>2019-2020</v>
      </c>
      <c r="H113" s="11">
        <f t="shared" si="75"/>
        <v>3</v>
      </c>
      <c r="I113" s="10">
        <f t="shared" si="87"/>
        <v>43769</v>
      </c>
      <c r="J113" s="12">
        <f t="shared" si="80"/>
        <v>3578692.8144850209</v>
      </c>
      <c r="K113" s="12">
        <f t="shared" si="88"/>
        <v>27354.939595652624</v>
      </c>
      <c r="L113" s="12">
        <f t="shared" si="81"/>
        <v>90750.000000000015</v>
      </c>
      <c r="M113" s="12">
        <f t="shared" si="82"/>
        <v>63395.060404347387</v>
      </c>
      <c r="N113" s="12">
        <f t="shared" si="83"/>
        <v>3515297.7540806737</v>
      </c>
      <c r="O113" s="13" t="str">
        <f t="shared" si="76"/>
        <v/>
      </c>
      <c r="P113" s="12">
        <f t="shared" si="84"/>
        <v>3071785.3541014139</v>
      </c>
      <c r="Q113" s="12">
        <f t="shared" si="85"/>
        <v>74511.225334228322</v>
      </c>
      <c r="R113" s="12">
        <f t="shared" si="78"/>
        <v>2997274.1287671854</v>
      </c>
    </row>
    <row r="114" spans="1:18" x14ac:dyDescent="0.2">
      <c r="A114" s="3">
        <v>1004</v>
      </c>
      <c r="B114" s="3">
        <v>30</v>
      </c>
      <c r="C114" s="13">
        <f>+C113</f>
        <v>90750.000000000015</v>
      </c>
      <c r="D114" s="9">
        <f t="shared" si="79"/>
        <v>90750.000000000015</v>
      </c>
      <c r="E114" s="9" t="str">
        <f>VLOOKUP($A114,'BASE DATA'!$A:$T,13,0)</f>
        <v>Monthly</v>
      </c>
      <c r="F114" s="88">
        <f>VLOOKUP($A114,'BASE DATA'!$A:$T,10,0)</f>
        <v>45016</v>
      </c>
      <c r="G114" s="3" t="str">
        <f t="shared" si="74"/>
        <v>2019-2020</v>
      </c>
      <c r="H114" s="11">
        <f t="shared" si="75"/>
        <v>3</v>
      </c>
      <c r="I114" s="10">
        <f t="shared" si="87"/>
        <v>43799</v>
      </c>
      <c r="J114" s="12">
        <f t="shared" si="80"/>
        <v>3515297.7540806737</v>
      </c>
      <c r="K114" s="12">
        <f t="shared" si="88"/>
        <v>26003.572427446081</v>
      </c>
      <c r="L114" s="12">
        <f t="shared" si="81"/>
        <v>90750.000000000015</v>
      </c>
      <c r="M114" s="12">
        <f t="shared" si="82"/>
        <v>64746.427572553934</v>
      </c>
      <c r="N114" s="12">
        <f t="shared" si="83"/>
        <v>3450551.3265081197</v>
      </c>
      <c r="O114" s="13" t="str">
        <f t="shared" si="76"/>
        <v/>
      </c>
      <c r="P114" s="12">
        <f t="shared" si="84"/>
        <v>2997274.1287671854</v>
      </c>
      <c r="Q114" s="12">
        <f t="shared" si="85"/>
        <v>72107.637420220955</v>
      </c>
      <c r="R114" s="12">
        <f t="shared" si="78"/>
        <v>2925166.4913469646</v>
      </c>
    </row>
    <row r="115" spans="1:18" x14ac:dyDescent="0.2">
      <c r="A115" s="3">
        <v>1004</v>
      </c>
      <c r="B115" s="3">
        <v>31</v>
      </c>
      <c r="C115" s="13">
        <f t="shared" ref="C115:C124" si="90">+C114</f>
        <v>90750.000000000015</v>
      </c>
      <c r="D115" s="9">
        <f t="shared" si="79"/>
        <v>90750.000000000015</v>
      </c>
      <c r="E115" s="9" t="str">
        <f>VLOOKUP($A115,'BASE DATA'!$A:$T,13,0)</f>
        <v>Monthly</v>
      </c>
      <c r="F115" s="88">
        <f>VLOOKUP($A115,'BASE DATA'!$A:$T,10,0)</f>
        <v>45016</v>
      </c>
      <c r="G115" s="3" t="str">
        <f t="shared" si="74"/>
        <v>2019-2020</v>
      </c>
      <c r="H115" s="11">
        <f t="shared" si="75"/>
        <v>3</v>
      </c>
      <c r="I115" s="10">
        <f t="shared" si="87"/>
        <v>43830</v>
      </c>
      <c r="J115" s="12">
        <f t="shared" si="80"/>
        <v>3450551.3265081197</v>
      </c>
      <c r="K115" s="12">
        <f t="shared" si="88"/>
        <v>26375.447125911378</v>
      </c>
      <c r="L115" s="12">
        <f t="shared" si="81"/>
        <v>90750.000000000015</v>
      </c>
      <c r="M115" s="12">
        <f t="shared" si="82"/>
        <v>64374.552874088637</v>
      </c>
      <c r="N115" s="12">
        <f t="shared" si="83"/>
        <v>3386176.7736340309</v>
      </c>
      <c r="O115" s="13" t="str">
        <f t="shared" si="76"/>
        <v/>
      </c>
      <c r="P115" s="12">
        <f t="shared" si="84"/>
        <v>2925166.4913469646</v>
      </c>
      <c r="Q115" s="12">
        <f t="shared" si="85"/>
        <v>74511.225334228322</v>
      </c>
      <c r="R115" s="12">
        <f t="shared" si="78"/>
        <v>2850655.2660127361</v>
      </c>
    </row>
    <row r="116" spans="1:18" x14ac:dyDescent="0.2">
      <c r="A116" s="3">
        <v>1004</v>
      </c>
      <c r="B116" s="3">
        <v>31</v>
      </c>
      <c r="C116" s="13">
        <f t="shared" si="90"/>
        <v>90750.000000000015</v>
      </c>
      <c r="D116" s="9">
        <f t="shared" si="79"/>
        <v>90750.000000000015</v>
      </c>
      <c r="E116" s="9" t="str">
        <f>VLOOKUP($A116,'BASE DATA'!$A:$T,13,0)</f>
        <v>Monthly</v>
      </c>
      <c r="F116" s="88">
        <f>VLOOKUP($A116,'BASE DATA'!$A:$T,10,0)</f>
        <v>45016</v>
      </c>
      <c r="G116" s="3" t="str">
        <f t="shared" si="74"/>
        <v>2019-2020</v>
      </c>
      <c r="H116" s="11">
        <f t="shared" si="75"/>
        <v>4</v>
      </c>
      <c r="I116" s="10">
        <f t="shared" si="87"/>
        <v>43861</v>
      </c>
      <c r="J116" s="12">
        <f t="shared" si="80"/>
        <v>3386176.7736340309</v>
      </c>
      <c r="K116" s="12">
        <f t="shared" si="88"/>
        <v>25883.378625860129</v>
      </c>
      <c r="L116" s="12">
        <f t="shared" si="81"/>
        <v>90750.000000000015</v>
      </c>
      <c r="M116" s="12">
        <f t="shared" si="82"/>
        <v>64866.621374139882</v>
      </c>
      <c r="N116" s="12">
        <f t="shared" si="83"/>
        <v>3321310.1522598909</v>
      </c>
      <c r="O116" s="13" t="str">
        <f t="shared" si="76"/>
        <v/>
      </c>
      <c r="P116" s="12">
        <f t="shared" si="84"/>
        <v>2850655.2660127361</v>
      </c>
      <c r="Q116" s="12">
        <f t="shared" si="85"/>
        <v>74511.225334228322</v>
      </c>
      <c r="R116" s="12">
        <f t="shared" si="78"/>
        <v>2776144.0406785076</v>
      </c>
    </row>
    <row r="117" spans="1:18" x14ac:dyDescent="0.2">
      <c r="A117" s="3">
        <v>1004</v>
      </c>
      <c r="B117" s="3">
        <v>29</v>
      </c>
      <c r="C117" s="13">
        <f t="shared" si="90"/>
        <v>90750.000000000015</v>
      </c>
      <c r="D117" s="9">
        <f t="shared" si="79"/>
        <v>90750.000000000015</v>
      </c>
      <c r="E117" s="9" t="str">
        <f>VLOOKUP($A117,'BASE DATA'!$A:$T,13,0)</f>
        <v>Monthly</v>
      </c>
      <c r="F117" s="88">
        <f>VLOOKUP($A117,'BASE DATA'!$A:$T,10,0)</f>
        <v>45016</v>
      </c>
      <c r="G117" s="3" t="str">
        <f t="shared" si="74"/>
        <v>2019-2020</v>
      </c>
      <c r="H117" s="11">
        <f t="shared" si="75"/>
        <v>4</v>
      </c>
      <c r="I117" s="10">
        <f t="shared" si="87"/>
        <v>43890</v>
      </c>
      <c r="J117" s="12">
        <f t="shared" si="80"/>
        <v>3321310.1522598909</v>
      </c>
      <c r="K117" s="12">
        <f t="shared" si="88"/>
        <v>23749.64245862552</v>
      </c>
      <c r="L117" s="12">
        <f t="shared" si="81"/>
        <v>90750.000000000015</v>
      </c>
      <c r="M117" s="12">
        <f t="shared" si="82"/>
        <v>67000.357541374498</v>
      </c>
      <c r="N117" s="12">
        <f t="shared" si="83"/>
        <v>3254309.7947185165</v>
      </c>
      <c r="O117" s="13" t="str">
        <f t="shared" si="76"/>
        <v/>
      </c>
      <c r="P117" s="12">
        <f t="shared" si="84"/>
        <v>2776144.0406785076</v>
      </c>
      <c r="Q117" s="12">
        <f t="shared" si="85"/>
        <v>69704.049506213589</v>
      </c>
      <c r="R117" s="12">
        <f t="shared" si="78"/>
        <v>2706439.9911722941</v>
      </c>
    </row>
    <row r="118" spans="1:18" x14ac:dyDescent="0.2">
      <c r="A118" s="3">
        <v>1004</v>
      </c>
      <c r="B118" s="3">
        <v>31</v>
      </c>
      <c r="C118" s="13">
        <f t="shared" si="90"/>
        <v>90750.000000000015</v>
      </c>
      <c r="D118" s="9">
        <f t="shared" si="79"/>
        <v>90750.000000000015</v>
      </c>
      <c r="E118" s="9" t="str">
        <f>VLOOKUP($A118,'BASE DATA'!$A:$T,13,0)</f>
        <v>Monthly</v>
      </c>
      <c r="F118" s="88">
        <f>VLOOKUP($A118,'BASE DATA'!$A:$T,10,0)</f>
        <v>45016</v>
      </c>
      <c r="G118" s="3" t="str">
        <f t="shared" si="74"/>
        <v>2019-2020</v>
      </c>
      <c r="H118" s="11">
        <f t="shared" si="75"/>
        <v>4</v>
      </c>
      <c r="I118" s="10">
        <f t="shared" si="87"/>
        <v>43921</v>
      </c>
      <c r="J118" s="12">
        <f t="shared" si="80"/>
        <v>3254309.7947185165</v>
      </c>
      <c r="K118" s="12">
        <f t="shared" si="88"/>
        <v>24875.409115793595</v>
      </c>
      <c r="L118" s="12">
        <f t="shared" si="81"/>
        <v>90750.000000000015</v>
      </c>
      <c r="M118" s="12">
        <f t="shared" si="82"/>
        <v>65874.590884206424</v>
      </c>
      <c r="N118" s="12">
        <f t="shared" si="83"/>
        <v>3188435.2038343102</v>
      </c>
      <c r="O118" s="13" t="str">
        <f t="shared" si="76"/>
        <v/>
      </c>
      <c r="P118" s="12">
        <f t="shared" si="84"/>
        <v>2706439.9911722941</v>
      </c>
      <c r="Q118" s="12">
        <f t="shared" si="85"/>
        <v>74511.225334228322</v>
      </c>
      <c r="R118" s="12">
        <f t="shared" si="78"/>
        <v>2631928.7658380657</v>
      </c>
    </row>
    <row r="119" spans="1:18" x14ac:dyDescent="0.2">
      <c r="A119" s="3">
        <v>1004</v>
      </c>
      <c r="B119" s="3">
        <v>30</v>
      </c>
      <c r="C119" s="13">
        <f t="shared" si="90"/>
        <v>90750.000000000015</v>
      </c>
      <c r="D119" s="9">
        <f t="shared" si="79"/>
        <v>90750.000000000015</v>
      </c>
      <c r="E119" s="9" t="str">
        <f>VLOOKUP($A119,'BASE DATA'!$A:$T,13,0)</f>
        <v>Monthly</v>
      </c>
      <c r="F119" s="88">
        <f>VLOOKUP($A119,'BASE DATA'!$A:$T,10,0)</f>
        <v>45016</v>
      </c>
      <c r="G119" s="3" t="str">
        <f t="shared" si="74"/>
        <v>2020-2021</v>
      </c>
      <c r="H119" s="11">
        <f t="shared" si="75"/>
        <v>1</v>
      </c>
      <c r="I119" s="10">
        <f t="shared" si="87"/>
        <v>43951</v>
      </c>
      <c r="J119" s="12">
        <f t="shared" si="80"/>
        <v>3188435.2038343102</v>
      </c>
      <c r="K119" s="12">
        <f t="shared" si="88"/>
        <v>23585.685069459279</v>
      </c>
      <c r="L119" s="12">
        <f t="shared" si="81"/>
        <v>90750.000000000015</v>
      </c>
      <c r="M119" s="12">
        <f t="shared" si="82"/>
        <v>67164.314930540742</v>
      </c>
      <c r="N119" s="12">
        <f t="shared" si="83"/>
        <v>3121270.8889037697</v>
      </c>
      <c r="O119" s="13" t="str">
        <f t="shared" si="76"/>
        <v/>
      </c>
      <c r="P119" s="12">
        <f t="shared" si="84"/>
        <v>2631928.7658380657</v>
      </c>
      <c r="Q119" s="12">
        <f t="shared" si="85"/>
        <v>72107.637420220955</v>
      </c>
      <c r="R119" s="12">
        <f t="shared" si="78"/>
        <v>2559821.1284178449</v>
      </c>
    </row>
    <row r="120" spans="1:18" x14ac:dyDescent="0.2">
      <c r="A120" s="3">
        <v>1004</v>
      </c>
      <c r="B120" s="3">
        <v>31</v>
      </c>
      <c r="C120" s="13">
        <f t="shared" si="90"/>
        <v>90750.000000000015</v>
      </c>
      <c r="D120" s="9">
        <f t="shared" si="79"/>
        <v>90750.000000000015</v>
      </c>
      <c r="E120" s="9" t="str">
        <f>VLOOKUP($A120,'BASE DATA'!$A:$T,13,0)</f>
        <v>Monthly</v>
      </c>
      <c r="F120" s="88">
        <f>VLOOKUP($A120,'BASE DATA'!$A:$T,10,0)</f>
        <v>45016</v>
      </c>
      <c r="G120" s="3" t="str">
        <f t="shared" si="74"/>
        <v>2020-2021</v>
      </c>
      <c r="H120" s="11">
        <f t="shared" si="75"/>
        <v>1</v>
      </c>
      <c r="I120" s="10">
        <f t="shared" si="87"/>
        <v>43982</v>
      </c>
      <c r="J120" s="12">
        <f t="shared" si="80"/>
        <v>3121270.8889037697</v>
      </c>
      <c r="K120" s="12">
        <f t="shared" si="88"/>
        <v>23858.481589154842</v>
      </c>
      <c r="L120" s="12">
        <f t="shared" si="81"/>
        <v>90750.000000000015</v>
      </c>
      <c r="M120" s="12">
        <f t="shared" si="82"/>
        <v>66891.518410845165</v>
      </c>
      <c r="N120" s="12">
        <f t="shared" si="83"/>
        <v>3054379.3704929245</v>
      </c>
      <c r="O120" s="13" t="str">
        <f t="shared" si="76"/>
        <v/>
      </c>
      <c r="P120" s="12">
        <f t="shared" si="84"/>
        <v>2559821.1284178449</v>
      </c>
      <c r="Q120" s="12">
        <f t="shared" si="85"/>
        <v>74511.225334228322</v>
      </c>
      <c r="R120" s="12">
        <f t="shared" si="78"/>
        <v>2485309.9030836164</v>
      </c>
    </row>
    <row r="121" spans="1:18" x14ac:dyDescent="0.2">
      <c r="A121" s="3">
        <v>1004</v>
      </c>
      <c r="B121" s="3">
        <v>30</v>
      </c>
      <c r="C121" s="13">
        <f t="shared" si="90"/>
        <v>90750.000000000015</v>
      </c>
      <c r="D121" s="9">
        <f t="shared" si="79"/>
        <v>90750.000000000015</v>
      </c>
      <c r="E121" s="9" t="str">
        <f>VLOOKUP($A121,'BASE DATA'!$A:$T,13,0)</f>
        <v>Monthly</v>
      </c>
      <c r="F121" s="88">
        <f>VLOOKUP($A121,'BASE DATA'!$A:$T,10,0)</f>
        <v>45016</v>
      </c>
      <c r="G121" s="3" t="str">
        <f t="shared" si="74"/>
        <v>2020-2021</v>
      </c>
      <c r="H121" s="11">
        <f t="shared" si="75"/>
        <v>1</v>
      </c>
      <c r="I121" s="10">
        <f t="shared" si="87"/>
        <v>44012</v>
      </c>
      <c r="J121" s="12">
        <f t="shared" si="80"/>
        <v>3054379.3704929245</v>
      </c>
      <c r="K121" s="12">
        <f t="shared" si="88"/>
        <v>22594.039178988754</v>
      </c>
      <c r="L121" s="12">
        <f t="shared" si="81"/>
        <v>90750.000000000015</v>
      </c>
      <c r="M121" s="12">
        <f t="shared" si="82"/>
        <v>68155.960821011264</v>
      </c>
      <c r="N121" s="12">
        <f t="shared" si="83"/>
        <v>2986223.4096719134</v>
      </c>
      <c r="O121" s="13" t="str">
        <f t="shared" ref="O121:O154" si="91">IF(E121="Monthly","",O120-D121+L121)</f>
        <v/>
      </c>
      <c r="P121" s="12">
        <f t="shared" si="84"/>
        <v>2485309.9030836164</v>
      </c>
      <c r="Q121" s="12">
        <f t="shared" si="85"/>
        <v>72107.637420220955</v>
      </c>
      <c r="R121" s="12">
        <f t="shared" si="78"/>
        <v>2413202.2656633956</v>
      </c>
    </row>
    <row r="122" spans="1:18" x14ac:dyDescent="0.2">
      <c r="A122" s="3">
        <v>1004</v>
      </c>
      <c r="B122" s="3">
        <v>31</v>
      </c>
      <c r="C122" s="13">
        <f t="shared" si="90"/>
        <v>90750.000000000015</v>
      </c>
      <c r="D122" s="9">
        <f t="shared" si="79"/>
        <v>90750.000000000015</v>
      </c>
      <c r="E122" s="9" t="str">
        <f>VLOOKUP($A122,'BASE DATA'!$A:$T,13,0)</f>
        <v>Monthly</v>
      </c>
      <c r="F122" s="88">
        <f>VLOOKUP($A122,'BASE DATA'!$A:$T,10,0)</f>
        <v>45016</v>
      </c>
      <c r="G122" s="3" t="str">
        <f t="shared" si="74"/>
        <v>2020-2021</v>
      </c>
      <c r="H122" s="11">
        <f t="shared" si="75"/>
        <v>2</v>
      </c>
      <c r="I122" s="10">
        <f t="shared" si="87"/>
        <v>44043</v>
      </c>
      <c r="J122" s="12">
        <f t="shared" si="80"/>
        <v>2986223.4096719134</v>
      </c>
      <c r="K122" s="12">
        <f t="shared" si="88"/>
        <v>22826.20085749216</v>
      </c>
      <c r="L122" s="12">
        <f t="shared" si="81"/>
        <v>90750.000000000015</v>
      </c>
      <c r="M122" s="12">
        <f t="shared" si="82"/>
        <v>67923.799142507851</v>
      </c>
      <c r="N122" s="12">
        <f t="shared" si="83"/>
        <v>2918299.6105294055</v>
      </c>
      <c r="O122" s="13" t="str">
        <f t="shared" si="91"/>
        <v/>
      </c>
      <c r="P122" s="12">
        <f t="shared" si="84"/>
        <v>2413202.2656633956</v>
      </c>
      <c r="Q122" s="12">
        <f t="shared" si="85"/>
        <v>74511.225334228322</v>
      </c>
      <c r="R122" s="12">
        <f t="shared" si="78"/>
        <v>2338691.0403291672</v>
      </c>
    </row>
    <row r="123" spans="1:18" x14ac:dyDescent="0.2">
      <c r="A123" s="3">
        <v>1004</v>
      </c>
      <c r="B123" s="3">
        <v>31</v>
      </c>
      <c r="C123" s="13">
        <f t="shared" si="90"/>
        <v>90750.000000000015</v>
      </c>
      <c r="D123" s="9">
        <f t="shared" si="79"/>
        <v>90750.000000000015</v>
      </c>
      <c r="E123" s="9" t="str">
        <f>VLOOKUP($A123,'BASE DATA'!$A:$T,13,0)</f>
        <v>Monthly</v>
      </c>
      <c r="F123" s="88">
        <f>VLOOKUP($A123,'BASE DATA'!$A:$T,10,0)</f>
        <v>45016</v>
      </c>
      <c r="G123" s="3" t="str">
        <f t="shared" si="74"/>
        <v>2020-2021</v>
      </c>
      <c r="H123" s="11">
        <f t="shared" si="75"/>
        <v>2</v>
      </c>
      <c r="I123" s="10">
        <f t="shared" si="87"/>
        <v>44074</v>
      </c>
      <c r="J123" s="12">
        <f t="shared" si="80"/>
        <v>2918299.6105294055</v>
      </c>
      <c r="K123" s="12">
        <f t="shared" si="88"/>
        <v>22307.002502402851</v>
      </c>
      <c r="L123" s="12">
        <f t="shared" si="81"/>
        <v>90750.000000000015</v>
      </c>
      <c r="M123" s="12">
        <f t="shared" si="82"/>
        <v>68442.997497597156</v>
      </c>
      <c r="N123" s="12">
        <f t="shared" si="83"/>
        <v>2849856.6130318083</v>
      </c>
      <c r="O123" s="13" t="str">
        <f t="shared" si="91"/>
        <v/>
      </c>
      <c r="P123" s="12">
        <f t="shared" si="84"/>
        <v>2338691.0403291672</v>
      </c>
      <c r="Q123" s="12">
        <f t="shared" si="85"/>
        <v>74511.225334228322</v>
      </c>
      <c r="R123" s="12">
        <f t="shared" si="78"/>
        <v>2264179.8149949387</v>
      </c>
    </row>
    <row r="124" spans="1:18" x14ac:dyDescent="0.2">
      <c r="A124" s="3">
        <v>1004</v>
      </c>
      <c r="B124" s="3">
        <v>30</v>
      </c>
      <c r="C124" s="13">
        <f t="shared" si="90"/>
        <v>90750.000000000015</v>
      </c>
      <c r="D124" s="9">
        <f t="shared" si="79"/>
        <v>90750.000000000015</v>
      </c>
      <c r="E124" s="9" t="str">
        <f>VLOOKUP($A124,'BASE DATA'!$A:$T,13,0)</f>
        <v>Monthly</v>
      </c>
      <c r="F124" s="88">
        <f>VLOOKUP($A124,'BASE DATA'!$A:$T,10,0)</f>
        <v>45016</v>
      </c>
      <c r="G124" s="3" t="str">
        <f t="shared" si="74"/>
        <v>2020-2021</v>
      </c>
      <c r="H124" s="11">
        <f t="shared" si="75"/>
        <v>2</v>
      </c>
      <c r="I124" s="10">
        <f t="shared" si="87"/>
        <v>44104</v>
      </c>
      <c r="J124" s="12">
        <f t="shared" si="80"/>
        <v>2849856.6130318083</v>
      </c>
      <c r="K124" s="12">
        <f t="shared" si="88"/>
        <v>21081.131110098304</v>
      </c>
      <c r="L124" s="12">
        <f t="shared" si="81"/>
        <v>90750.000000000015</v>
      </c>
      <c r="M124" s="12">
        <f t="shared" si="82"/>
        <v>69668.868889901714</v>
      </c>
      <c r="N124" s="12">
        <f t="shared" si="83"/>
        <v>2780187.7441419065</v>
      </c>
      <c r="O124" s="13" t="str">
        <f t="shared" si="91"/>
        <v/>
      </c>
      <c r="P124" s="12">
        <f t="shared" si="84"/>
        <v>2264179.8149949387</v>
      </c>
      <c r="Q124" s="12">
        <f t="shared" si="85"/>
        <v>72107.637420220955</v>
      </c>
      <c r="R124" s="12">
        <f t="shared" si="78"/>
        <v>2192072.1775747179</v>
      </c>
    </row>
    <row r="125" spans="1:18" x14ac:dyDescent="0.2">
      <c r="A125" s="3">
        <v>1004</v>
      </c>
      <c r="B125" s="3">
        <v>31</v>
      </c>
      <c r="C125" s="13">
        <f>+C124*1.1</f>
        <v>99825.000000000029</v>
      </c>
      <c r="D125" s="9">
        <f t="shared" si="79"/>
        <v>99825.000000000029</v>
      </c>
      <c r="E125" s="9" t="str">
        <f>VLOOKUP($A125,'BASE DATA'!$A:$T,13,0)</f>
        <v>Monthly</v>
      </c>
      <c r="F125" s="88">
        <f>VLOOKUP($A125,'BASE DATA'!$A:$T,10,0)</f>
        <v>45016</v>
      </c>
      <c r="G125" s="3" t="str">
        <f t="shared" si="74"/>
        <v>2020-2021</v>
      </c>
      <c r="H125" s="11">
        <f t="shared" si="75"/>
        <v>3</v>
      </c>
      <c r="I125" s="10">
        <f t="shared" si="87"/>
        <v>44135</v>
      </c>
      <c r="J125" s="12">
        <f t="shared" si="80"/>
        <v>2780187.7441419065</v>
      </c>
      <c r="K125" s="12">
        <f t="shared" si="88"/>
        <v>21251.298099057312</v>
      </c>
      <c r="L125" s="12">
        <f t="shared" si="81"/>
        <v>99825.000000000029</v>
      </c>
      <c r="M125" s="12">
        <f t="shared" si="82"/>
        <v>78573.701900942717</v>
      </c>
      <c r="N125" s="12">
        <f t="shared" si="83"/>
        <v>2701614.0422409638</v>
      </c>
      <c r="O125" s="13" t="str">
        <f t="shared" si="91"/>
        <v/>
      </c>
      <c r="P125" s="12">
        <f t="shared" si="84"/>
        <v>2192072.1775747179</v>
      </c>
      <c r="Q125" s="12">
        <f t="shared" si="85"/>
        <v>74511.225334228322</v>
      </c>
      <c r="R125" s="12">
        <f t="shared" si="78"/>
        <v>2117560.9522404894</v>
      </c>
    </row>
    <row r="126" spans="1:18" x14ac:dyDescent="0.2">
      <c r="A126" s="3">
        <v>1004</v>
      </c>
      <c r="B126" s="3">
        <v>30</v>
      </c>
      <c r="C126" s="13">
        <f>+C125</f>
        <v>99825.000000000029</v>
      </c>
      <c r="D126" s="9">
        <f t="shared" si="79"/>
        <v>99825.000000000029</v>
      </c>
      <c r="E126" s="9" t="str">
        <f>VLOOKUP($A126,'BASE DATA'!$A:$T,13,0)</f>
        <v>Monthly</v>
      </c>
      <c r="F126" s="88">
        <f>VLOOKUP($A126,'BASE DATA'!$A:$T,10,0)</f>
        <v>45016</v>
      </c>
      <c r="G126" s="3" t="str">
        <f t="shared" si="74"/>
        <v>2020-2021</v>
      </c>
      <c r="H126" s="11">
        <f t="shared" si="75"/>
        <v>3</v>
      </c>
      <c r="I126" s="10">
        <f t="shared" si="87"/>
        <v>44165</v>
      </c>
      <c r="J126" s="12">
        <f t="shared" si="80"/>
        <v>2701614.0422409638</v>
      </c>
      <c r="K126" s="12">
        <f t="shared" si="88"/>
        <v>19984.542230275623</v>
      </c>
      <c r="L126" s="12">
        <f t="shared" si="81"/>
        <v>99825.000000000029</v>
      </c>
      <c r="M126" s="12">
        <f t="shared" si="82"/>
        <v>79840.457769724409</v>
      </c>
      <c r="N126" s="12">
        <f t="shared" si="83"/>
        <v>2621773.5844712392</v>
      </c>
      <c r="O126" s="13" t="str">
        <f t="shared" si="91"/>
        <v/>
      </c>
      <c r="P126" s="12">
        <f t="shared" si="84"/>
        <v>2117560.9522404894</v>
      </c>
      <c r="Q126" s="12">
        <f t="shared" si="85"/>
        <v>72107.637420220955</v>
      </c>
      <c r="R126" s="12">
        <f t="shared" si="78"/>
        <v>2045453.3148202684</v>
      </c>
    </row>
    <row r="127" spans="1:18" x14ac:dyDescent="0.2">
      <c r="A127" s="3">
        <v>1004</v>
      </c>
      <c r="B127" s="3">
        <v>31</v>
      </c>
      <c r="C127" s="13">
        <f t="shared" ref="C127:C136" si="92">+C126</f>
        <v>99825.000000000029</v>
      </c>
      <c r="D127" s="9">
        <f t="shared" si="79"/>
        <v>99825.000000000029</v>
      </c>
      <c r="E127" s="9" t="str">
        <f>VLOOKUP($A127,'BASE DATA'!$A:$T,13,0)</f>
        <v>Monthly</v>
      </c>
      <c r="F127" s="88">
        <f>VLOOKUP($A127,'BASE DATA'!$A:$T,10,0)</f>
        <v>45016</v>
      </c>
      <c r="G127" s="3" t="str">
        <f t="shared" si="74"/>
        <v>2020-2021</v>
      </c>
      <c r="H127" s="11">
        <f t="shared" si="75"/>
        <v>3</v>
      </c>
      <c r="I127" s="10">
        <f t="shared" si="87"/>
        <v>44196</v>
      </c>
      <c r="J127" s="12">
        <f t="shared" si="80"/>
        <v>2621773.5844712392</v>
      </c>
      <c r="K127" s="12">
        <f t="shared" si="88"/>
        <v>20040.406303218511</v>
      </c>
      <c r="L127" s="12">
        <f t="shared" si="81"/>
        <v>99825.000000000029</v>
      </c>
      <c r="M127" s="12">
        <f t="shared" si="82"/>
        <v>79784.593696781521</v>
      </c>
      <c r="N127" s="12">
        <f t="shared" si="83"/>
        <v>2541988.9907744578</v>
      </c>
      <c r="O127" s="13" t="str">
        <f t="shared" si="91"/>
        <v/>
      </c>
      <c r="P127" s="12">
        <f t="shared" si="84"/>
        <v>2045453.3148202684</v>
      </c>
      <c r="Q127" s="12">
        <f t="shared" si="85"/>
        <v>74511.225334228322</v>
      </c>
      <c r="R127" s="12">
        <f t="shared" si="78"/>
        <v>1970942.0894860402</v>
      </c>
    </row>
    <row r="128" spans="1:18" x14ac:dyDescent="0.2">
      <c r="A128" s="3">
        <v>1004</v>
      </c>
      <c r="B128" s="3">
        <v>31</v>
      </c>
      <c r="C128" s="13">
        <f t="shared" si="92"/>
        <v>99825.000000000029</v>
      </c>
      <c r="D128" s="9">
        <f t="shared" si="79"/>
        <v>99825.000000000029</v>
      </c>
      <c r="E128" s="9" t="str">
        <f>VLOOKUP($A128,'BASE DATA'!$A:$T,13,0)</f>
        <v>Monthly</v>
      </c>
      <c r="F128" s="88">
        <f>VLOOKUP($A128,'BASE DATA'!$A:$T,10,0)</f>
        <v>45016</v>
      </c>
      <c r="G128" s="3" t="str">
        <f t="shared" si="74"/>
        <v>2020-2021</v>
      </c>
      <c r="H128" s="11">
        <f t="shared" si="75"/>
        <v>4</v>
      </c>
      <c r="I128" s="10">
        <f t="shared" si="87"/>
        <v>44227</v>
      </c>
      <c r="J128" s="12">
        <f t="shared" si="80"/>
        <v>2541988.9907744578</v>
      </c>
      <c r="K128" s="12">
        <f t="shared" si="88"/>
        <v>19430.545984275992</v>
      </c>
      <c r="L128" s="12">
        <f t="shared" si="81"/>
        <v>99825.000000000029</v>
      </c>
      <c r="M128" s="12">
        <f t="shared" si="82"/>
        <v>80394.454015724041</v>
      </c>
      <c r="N128" s="12">
        <f t="shared" si="83"/>
        <v>2461594.5367587339</v>
      </c>
      <c r="O128" s="13" t="str">
        <f t="shared" si="91"/>
        <v/>
      </c>
      <c r="P128" s="12">
        <f t="shared" si="84"/>
        <v>1970942.0894860402</v>
      </c>
      <c r="Q128" s="12">
        <f t="shared" si="85"/>
        <v>74511.225334228322</v>
      </c>
      <c r="R128" s="12">
        <f t="shared" si="78"/>
        <v>1896430.8641518119</v>
      </c>
    </row>
    <row r="129" spans="1:18" x14ac:dyDescent="0.2">
      <c r="A129" s="3">
        <v>1004</v>
      </c>
      <c r="B129" s="3">
        <v>28</v>
      </c>
      <c r="C129" s="13">
        <f t="shared" si="92"/>
        <v>99825.000000000029</v>
      </c>
      <c r="D129" s="9">
        <f t="shared" si="79"/>
        <v>99825.000000000029</v>
      </c>
      <c r="E129" s="9" t="str">
        <f>VLOOKUP($A129,'BASE DATA'!$A:$T,13,0)</f>
        <v>Monthly</v>
      </c>
      <c r="F129" s="88">
        <f>VLOOKUP($A129,'BASE DATA'!$A:$T,10,0)</f>
        <v>45016</v>
      </c>
      <c r="G129" s="3" t="str">
        <f t="shared" si="74"/>
        <v>2020-2021</v>
      </c>
      <c r="H129" s="11">
        <f t="shared" si="75"/>
        <v>4</v>
      </c>
      <c r="I129" s="10">
        <f t="shared" si="87"/>
        <v>44255</v>
      </c>
      <c r="J129" s="12">
        <f t="shared" si="80"/>
        <v>2461594.5367587339</v>
      </c>
      <c r="K129" s="12">
        <f t="shared" si="88"/>
        <v>16995.11844556715</v>
      </c>
      <c r="L129" s="12">
        <f t="shared" si="81"/>
        <v>99825.000000000029</v>
      </c>
      <c r="M129" s="12">
        <f t="shared" si="82"/>
        <v>82829.881554432883</v>
      </c>
      <c r="N129" s="12">
        <f t="shared" si="83"/>
        <v>2378764.6552043012</v>
      </c>
      <c r="O129" s="13" t="str">
        <f t="shared" si="91"/>
        <v/>
      </c>
      <c r="P129" s="12">
        <f t="shared" si="84"/>
        <v>1896430.8641518119</v>
      </c>
      <c r="Q129" s="12">
        <f t="shared" si="85"/>
        <v>67300.461592206222</v>
      </c>
      <c r="R129" s="12">
        <f t="shared" si="78"/>
        <v>1829130.4025596057</v>
      </c>
    </row>
    <row r="130" spans="1:18" x14ac:dyDescent="0.2">
      <c r="A130" s="3">
        <v>1004</v>
      </c>
      <c r="B130" s="3">
        <v>31</v>
      </c>
      <c r="C130" s="13">
        <f t="shared" si="92"/>
        <v>99825.000000000029</v>
      </c>
      <c r="D130" s="9">
        <f t="shared" si="79"/>
        <v>99825.000000000029</v>
      </c>
      <c r="E130" s="9" t="str">
        <f>VLOOKUP($A130,'BASE DATA'!$A:$T,13,0)</f>
        <v>Monthly</v>
      </c>
      <c r="F130" s="88">
        <f>VLOOKUP($A130,'BASE DATA'!$A:$T,10,0)</f>
        <v>45016</v>
      </c>
      <c r="G130" s="3" t="str">
        <f t="shared" si="74"/>
        <v>2020-2021</v>
      </c>
      <c r="H130" s="11">
        <f t="shared" si="75"/>
        <v>4</v>
      </c>
      <c r="I130" s="10">
        <f t="shared" si="87"/>
        <v>44286</v>
      </c>
      <c r="J130" s="12">
        <f t="shared" si="80"/>
        <v>2378764.6552043012</v>
      </c>
      <c r="K130" s="12">
        <f t="shared" si="88"/>
        <v>18182.885994575343</v>
      </c>
      <c r="L130" s="12">
        <f t="shared" si="81"/>
        <v>99825.000000000029</v>
      </c>
      <c r="M130" s="12">
        <f t="shared" si="82"/>
        <v>81642.114005424693</v>
      </c>
      <c r="N130" s="12">
        <f t="shared" si="83"/>
        <v>2297122.5411988767</v>
      </c>
      <c r="O130" s="13" t="str">
        <f t="shared" si="91"/>
        <v/>
      </c>
      <c r="P130" s="12">
        <f t="shared" si="84"/>
        <v>1829130.4025596057</v>
      </c>
      <c r="Q130" s="12">
        <f t="shared" si="85"/>
        <v>74511.225334228322</v>
      </c>
      <c r="R130" s="12">
        <f t="shared" si="78"/>
        <v>1754619.1772253774</v>
      </c>
    </row>
    <row r="131" spans="1:18" x14ac:dyDescent="0.2">
      <c r="A131" s="3">
        <v>1004</v>
      </c>
      <c r="B131" s="3">
        <v>30</v>
      </c>
      <c r="C131" s="13">
        <f t="shared" si="92"/>
        <v>99825.000000000029</v>
      </c>
      <c r="D131" s="9">
        <f t="shared" si="79"/>
        <v>99825.000000000029</v>
      </c>
      <c r="E131" s="9" t="str">
        <f>VLOOKUP($A131,'BASE DATA'!$A:$T,13,0)</f>
        <v>Monthly</v>
      </c>
      <c r="F131" s="88">
        <f>VLOOKUP($A131,'BASE DATA'!$A:$T,10,0)</f>
        <v>45016</v>
      </c>
      <c r="G131" s="3" t="str">
        <f t="shared" si="74"/>
        <v>2021-2022</v>
      </c>
      <c r="H131" s="11">
        <f t="shared" si="75"/>
        <v>1</v>
      </c>
      <c r="I131" s="10">
        <f t="shared" si="87"/>
        <v>44316</v>
      </c>
      <c r="J131" s="12">
        <f t="shared" si="80"/>
        <v>2297122.5411988767</v>
      </c>
      <c r="K131" s="12">
        <f t="shared" si="88"/>
        <v>16992.413318457446</v>
      </c>
      <c r="L131" s="12">
        <f t="shared" si="81"/>
        <v>99825.000000000029</v>
      </c>
      <c r="M131" s="12">
        <f t="shared" si="82"/>
        <v>82832.586681542583</v>
      </c>
      <c r="N131" s="12">
        <f t="shared" si="83"/>
        <v>2214289.9545173342</v>
      </c>
      <c r="O131" s="13" t="str">
        <f t="shared" si="91"/>
        <v/>
      </c>
      <c r="P131" s="12">
        <f t="shared" si="84"/>
        <v>1754619.1772253774</v>
      </c>
      <c r="Q131" s="12">
        <f t="shared" si="85"/>
        <v>72107.637420220955</v>
      </c>
      <c r="R131" s="12">
        <f t="shared" si="78"/>
        <v>1682511.5398051564</v>
      </c>
    </row>
    <row r="132" spans="1:18" x14ac:dyDescent="0.2">
      <c r="A132" s="3">
        <v>1004</v>
      </c>
      <c r="B132" s="3">
        <v>31</v>
      </c>
      <c r="C132" s="13">
        <f t="shared" si="92"/>
        <v>99825.000000000029</v>
      </c>
      <c r="D132" s="9">
        <f t="shared" si="79"/>
        <v>99825.000000000029</v>
      </c>
      <c r="E132" s="9" t="str">
        <f>VLOOKUP($A132,'BASE DATA'!$A:$T,13,0)</f>
        <v>Monthly</v>
      </c>
      <c r="F132" s="88">
        <f>VLOOKUP($A132,'BASE DATA'!$A:$T,10,0)</f>
        <v>45016</v>
      </c>
      <c r="G132" s="3" t="str">
        <f t="shared" si="74"/>
        <v>2021-2022</v>
      </c>
      <c r="H132" s="11">
        <f t="shared" si="75"/>
        <v>1</v>
      </c>
      <c r="I132" s="10">
        <f t="shared" si="87"/>
        <v>44347</v>
      </c>
      <c r="J132" s="12">
        <f t="shared" si="80"/>
        <v>2214289.9545173342</v>
      </c>
      <c r="K132" s="12">
        <f t="shared" si="88"/>
        <v>16925.668419461268</v>
      </c>
      <c r="L132" s="12">
        <f t="shared" si="81"/>
        <v>99825.000000000029</v>
      </c>
      <c r="M132" s="12">
        <f t="shared" si="82"/>
        <v>82899.331580538768</v>
      </c>
      <c r="N132" s="12">
        <f t="shared" si="83"/>
        <v>2131390.6229367955</v>
      </c>
      <c r="O132" s="13" t="str">
        <f t="shared" si="91"/>
        <v/>
      </c>
      <c r="P132" s="12">
        <f t="shared" si="84"/>
        <v>1682511.5398051564</v>
      </c>
      <c r="Q132" s="12">
        <f t="shared" si="85"/>
        <v>74511.225334228322</v>
      </c>
      <c r="R132" s="12">
        <f t="shared" si="78"/>
        <v>1608000.3144709282</v>
      </c>
    </row>
    <row r="133" spans="1:18" x14ac:dyDescent="0.2">
      <c r="A133" s="3">
        <v>1004</v>
      </c>
      <c r="B133" s="3">
        <v>30</v>
      </c>
      <c r="C133" s="13">
        <f t="shared" si="92"/>
        <v>99825.000000000029</v>
      </c>
      <c r="D133" s="9">
        <f t="shared" si="79"/>
        <v>99825.000000000029</v>
      </c>
      <c r="E133" s="9" t="str">
        <f>VLOOKUP($A133,'BASE DATA'!$A:$T,13,0)</f>
        <v>Monthly</v>
      </c>
      <c r="F133" s="88">
        <f>VLOOKUP($A133,'BASE DATA'!$A:$T,10,0)</f>
        <v>45016</v>
      </c>
      <c r="G133" s="3" t="str">
        <f t="shared" si="74"/>
        <v>2021-2022</v>
      </c>
      <c r="H133" s="11">
        <f t="shared" si="75"/>
        <v>1</v>
      </c>
      <c r="I133" s="10">
        <f t="shared" si="87"/>
        <v>44377</v>
      </c>
      <c r="J133" s="12">
        <f t="shared" si="80"/>
        <v>2131390.6229367955</v>
      </c>
      <c r="K133" s="12">
        <f t="shared" si="88"/>
        <v>15766.451183368077</v>
      </c>
      <c r="L133" s="12">
        <f t="shared" si="81"/>
        <v>99825.000000000029</v>
      </c>
      <c r="M133" s="12">
        <f t="shared" si="82"/>
        <v>84058.548816631956</v>
      </c>
      <c r="N133" s="12">
        <f t="shared" si="83"/>
        <v>2047332.0741201635</v>
      </c>
      <c r="O133" s="13" t="str">
        <f t="shared" si="91"/>
        <v/>
      </c>
      <c r="P133" s="12">
        <f t="shared" si="84"/>
        <v>1608000.3144709282</v>
      </c>
      <c r="Q133" s="12">
        <f t="shared" si="85"/>
        <v>72107.637420220955</v>
      </c>
      <c r="R133" s="12">
        <f t="shared" si="78"/>
        <v>1535892.6770507072</v>
      </c>
    </row>
    <row r="134" spans="1:18" x14ac:dyDescent="0.2">
      <c r="A134" s="3">
        <v>1004</v>
      </c>
      <c r="B134" s="3">
        <v>31</v>
      </c>
      <c r="C134" s="13">
        <f t="shared" si="92"/>
        <v>99825.000000000029</v>
      </c>
      <c r="D134" s="9">
        <f t="shared" si="79"/>
        <v>99825.000000000029</v>
      </c>
      <c r="E134" s="9" t="str">
        <f>VLOOKUP($A134,'BASE DATA'!$A:$T,13,0)</f>
        <v>Monthly</v>
      </c>
      <c r="F134" s="88">
        <f>VLOOKUP($A134,'BASE DATA'!$A:$T,10,0)</f>
        <v>45016</v>
      </c>
      <c r="G134" s="3" t="str">
        <f t="shared" si="74"/>
        <v>2021-2022</v>
      </c>
      <c r="H134" s="11">
        <f t="shared" si="75"/>
        <v>2</v>
      </c>
      <c r="I134" s="10">
        <f t="shared" si="87"/>
        <v>44408</v>
      </c>
      <c r="J134" s="12">
        <f t="shared" si="80"/>
        <v>2047332.0741201635</v>
      </c>
      <c r="K134" s="12">
        <f t="shared" si="88"/>
        <v>15649.469826836317</v>
      </c>
      <c r="L134" s="12">
        <f t="shared" si="81"/>
        <v>99825.000000000029</v>
      </c>
      <c r="M134" s="12">
        <f t="shared" si="82"/>
        <v>84175.530173163716</v>
      </c>
      <c r="N134" s="12">
        <f t="shared" si="83"/>
        <v>1963156.5439469998</v>
      </c>
      <c r="O134" s="13" t="str">
        <f t="shared" si="91"/>
        <v/>
      </c>
      <c r="P134" s="12">
        <f t="shared" si="84"/>
        <v>1535892.6770507072</v>
      </c>
      <c r="Q134" s="12">
        <f t="shared" si="85"/>
        <v>74511.225334228322</v>
      </c>
      <c r="R134" s="12">
        <f t="shared" si="78"/>
        <v>1461381.4517164789</v>
      </c>
    </row>
    <row r="135" spans="1:18" x14ac:dyDescent="0.2">
      <c r="A135" s="3">
        <v>1004</v>
      </c>
      <c r="B135" s="3">
        <v>31</v>
      </c>
      <c r="C135" s="13">
        <f t="shared" si="92"/>
        <v>99825.000000000029</v>
      </c>
      <c r="D135" s="9">
        <f t="shared" si="79"/>
        <v>99825.000000000029</v>
      </c>
      <c r="E135" s="9" t="str">
        <f>VLOOKUP($A135,'BASE DATA'!$A:$T,13,0)</f>
        <v>Monthly</v>
      </c>
      <c r="F135" s="88">
        <f>VLOOKUP($A135,'BASE DATA'!$A:$T,10,0)</f>
        <v>45016</v>
      </c>
      <c r="G135" s="3" t="str">
        <f t="shared" si="74"/>
        <v>2021-2022</v>
      </c>
      <c r="H135" s="11">
        <f t="shared" si="75"/>
        <v>2</v>
      </c>
      <c r="I135" s="10">
        <f t="shared" si="87"/>
        <v>44439</v>
      </c>
      <c r="J135" s="12">
        <f t="shared" si="80"/>
        <v>1963156.5439469998</v>
      </c>
      <c r="K135" s="12">
        <f t="shared" si="88"/>
        <v>15006.045911266106</v>
      </c>
      <c r="L135" s="12">
        <f t="shared" si="81"/>
        <v>99825.000000000029</v>
      </c>
      <c r="M135" s="12">
        <f t="shared" si="82"/>
        <v>84818.954088733924</v>
      </c>
      <c r="N135" s="12">
        <f t="shared" si="83"/>
        <v>1878337.5898582658</v>
      </c>
      <c r="O135" s="13" t="str">
        <f t="shared" si="91"/>
        <v/>
      </c>
      <c r="P135" s="12">
        <f t="shared" si="84"/>
        <v>1461381.4517164789</v>
      </c>
      <c r="Q135" s="12">
        <f t="shared" si="85"/>
        <v>74511.225334228322</v>
      </c>
      <c r="R135" s="12">
        <f t="shared" si="78"/>
        <v>1386870.2263822507</v>
      </c>
    </row>
    <row r="136" spans="1:18" x14ac:dyDescent="0.2">
      <c r="A136" s="3">
        <v>1004</v>
      </c>
      <c r="B136" s="3">
        <v>30</v>
      </c>
      <c r="C136" s="13">
        <f t="shared" si="92"/>
        <v>99825.000000000029</v>
      </c>
      <c r="D136" s="9">
        <f t="shared" si="79"/>
        <v>99825.000000000029</v>
      </c>
      <c r="E136" s="9" t="str">
        <f>VLOOKUP($A136,'BASE DATA'!$A:$T,13,0)</f>
        <v>Monthly</v>
      </c>
      <c r="F136" s="88">
        <f>VLOOKUP($A136,'BASE DATA'!$A:$T,10,0)</f>
        <v>45016</v>
      </c>
      <c r="G136" s="3" t="str">
        <f t="shared" si="74"/>
        <v>2021-2022</v>
      </c>
      <c r="H136" s="11">
        <f t="shared" si="75"/>
        <v>2</v>
      </c>
      <c r="I136" s="10">
        <f t="shared" si="87"/>
        <v>44469</v>
      </c>
      <c r="J136" s="12">
        <f t="shared" si="80"/>
        <v>1878337.5898582658</v>
      </c>
      <c r="K136" s="12">
        <f t="shared" si="88"/>
        <v>13894.552034567992</v>
      </c>
      <c r="L136" s="12">
        <f t="shared" si="81"/>
        <v>99825.000000000029</v>
      </c>
      <c r="M136" s="12">
        <f t="shared" si="82"/>
        <v>85930.447965432031</v>
      </c>
      <c r="N136" s="12">
        <f t="shared" si="83"/>
        <v>1792407.1418928339</v>
      </c>
      <c r="O136" s="13" t="str">
        <f t="shared" si="91"/>
        <v/>
      </c>
      <c r="P136" s="12">
        <f t="shared" si="84"/>
        <v>1386870.2263822507</v>
      </c>
      <c r="Q136" s="12">
        <f t="shared" si="85"/>
        <v>72107.637420220955</v>
      </c>
      <c r="R136" s="12">
        <f t="shared" si="78"/>
        <v>1314762.5889620297</v>
      </c>
    </row>
    <row r="137" spans="1:18" x14ac:dyDescent="0.2">
      <c r="A137" s="3">
        <v>1004</v>
      </c>
      <c r="B137" s="3">
        <v>31</v>
      </c>
      <c r="C137" s="13">
        <f>+C136*1.1</f>
        <v>109807.50000000004</v>
      </c>
      <c r="D137" s="9">
        <f t="shared" si="79"/>
        <v>109807.50000000004</v>
      </c>
      <c r="E137" s="9" t="str">
        <f>VLOOKUP($A137,'BASE DATA'!$A:$T,13,0)</f>
        <v>Monthly</v>
      </c>
      <c r="F137" s="88">
        <f>VLOOKUP($A137,'BASE DATA'!$A:$T,10,0)</f>
        <v>45016</v>
      </c>
      <c r="G137" s="3" t="str">
        <f t="shared" si="74"/>
        <v>2021-2022</v>
      </c>
      <c r="H137" s="11">
        <f t="shared" si="75"/>
        <v>3</v>
      </c>
      <c r="I137" s="10">
        <f t="shared" si="87"/>
        <v>44500</v>
      </c>
      <c r="J137" s="12">
        <f t="shared" si="80"/>
        <v>1792407.1418928339</v>
      </c>
      <c r="K137" s="12">
        <f t="shared" si="88"/>
        <v>13700.865550358922</v>
      </c>
      <c r="L137" s="12">
        <f t="shared" si="81"/>
        <v>109807.50000000004</v>
      </c>
      <c r="M137" s="12">
        <f t="shared" si="82"/>
        <v>96106.634449641118</v>
      </c>
      <c r="N137" s="12">
        <f t="shared" si="83"/>
        <v>1696300.5074431926</v>
      </c>
      <c r="O137" s="13" t="str">
        <f t="shared" si="91"/>
        <v/>
      </c>
      <c r="P137" s="12">
        <f t="shared" si="84"/>
        <v>1314762.5889620297</v>
      </c>
      <c r="Q137" s="12">
        <f t="shared" si="85"/>
        <v>74511.225334228322</v>
      </c>
      <c r="R137" s="12">
        <f t="shared" si="78"/>
        <v>1240251.3636278014</v>
      </c>
    </row>
    <row r="138" spans="1:18" x14ac:dyDescent="0.2">
      <c r="A138" s="3">
        <v>1004</v>
      </c>
      <c r="B138" s="3">
        <v>30</v>
      </c>
      <c r="C138" s="13">
        <f>+C137</f>
        <v>109807.50000000004</v>
      </c>
      <c r="D138" s="9">
        <f t="shared" si="79"/>
        <v>109807.50000000004</v>
      </c>
      <c r="E138" s="9" t="str">
        <f>VLOOKUP($A138,'BASE DATA'!$A:$T,13,0)</f>
        <v>Monthly</v>
      </c>
      <c r="F138" s="88">
        <f>VLOOKUP($A138,'BASE DATA'!$A:$T,10,0)</f>
        <v>45016</v>
      </c>
      <c r="G138" s="3" t="str">
        <f t="shared" si="74"/>
        <v>2021-2022</v>
      </c>
      <c r="H138" s="11">
        <f t="shared" si="75"/>
        <v>3</v>
      </c>
      <c r="I138" s="10">
        <f t="shared" si="87"/>
        <v>44530</v>
      </c>
      <c r="J138" s="12">
        <f t="shared" si="80"/>
        <v>1696300.5074431926</v>
      </c>
      <c r="K138" s="12">
        <f t="shared" ref="K138:K149" si="93">((+J138*$F$2)/366)*(I138-I137)</f>
        <v>12513.692268023551</v>
      </c>
      <c r="L138" s="12">
        <f t="shared" si="81"/>
        <v>109807.50000000004</v>
      </c>
      <c r="M138" s="12">
        <f t="shared" si="82"/>
        <v>97293.8077319765</v>
      </c>
      <c r="N138" s="12">
        <f t="shared" si="83"/>
        <v>1599006.6997112161</v>
      </c>
      <c r="O138" s="13" t="str">
        <f t="shared" si="91"/>
        <v/>
      </c>
      <c r="P138" s="12">
        <f t="shared" si="84"/>
        <v>1240251.3636278014</v>
      </c>
      <c r="Q138" s="12">
        <f t="shared" si="85"/>
        <v>72107.637420220955</v>
      </c>
      <c r="R138" s="12">
        <f t="shared" si="78"/>
        <v>1168143.7262075804</v>
      </c>
    </row>
    <row r="139" spans="1:18" x14ac:dyDescent="0.2">
      <c r="A139" s="3">
        <v>1004</v>
      </c>
      <c r="B139" s="3">
        <v>31</v>
      </c>
      <c r="C139" s="13">
        <f t="shared" ref="C139:C148" si="94">+C138</f>
        <v>109807.50000000004</v>
      </c>
      <c r="D139" s="9">
        <f t="shared" si="79"/>
        <v>109807.50000000004</v>
      </c>
      <c r="E139" s="9" t="str">
        <f>VLOOKUP($A139,'BASE DATA'!$A:$T,13,0)</f>
        <v>Monthly</v>
      </c>
      <c r="F139" s="88">
        <f>VLOOKUP($A139,'BASE DATA'!$A:$T,10,0)</f>
        <v>45016</v>
      </c>
      <c r="G139" s="3" t="str">
        <f t="shared" si="74"/>
        <v>2021-2022</v>
      </c>
      <c r="H139" s="11">
        <f t="shared" si="75"/>
        <v>3</v>
      </c>
      <c r="I139" s="10">
        <f t="shared" si="87"/>
        <v>44561</v>
      </c>
      <c r="J139" s="12">
        <f t="shared" si="80"/>
        <v>1599006.6997112161</v>
      </c>
      <c r="K139" s="12">
        <f t="shared" si="93"/>
        <v>12189.149432224844</v>
      </c>
      <c r="L139" s="12">
        <f t="shared" si="81"/>
        <v>109807.50000000004</v>
      </c>
      <c r="M139" s="12">
        <f t="shared" si="82"/>
        <v>97618.350567775196</v>
      </c>
      <c r="N139" s="12">
        <f t="shared" si="83"/>
        <v>1501388.3491434408</v>
      </c>
      <c r="O139" s="13" t="str">
        <f t="shared" si="91"/>
        <v/>
      </c>
      <c r="P139" s="12">
        <f t="shared" si="84"/>
        <v>1168143.7262075804</v>
      </c>
      <c r="Q139" s="12">
        <f t="shared" si="85"/>
        <v>74511.225334228322</v>
      </c>
      <c r="R139" s="12">
        <f t="shared" si="78"/>
        <v>1093632.5008733522</v>
      </c>
    </row>
    <row r="140" spans="1:18" x14ac:dyDescent="0.2">
      <c r="A140" s="3">
        <v>1004</v>
      </c>
      <c r="B140" s="3">
        <v>31</v>
      </c>
      <c r="C140" s="13">
        <f t="shared" si="94"/>
        <v>109807.50000000004</v>
      </c>
      <c r="D140" s="9">
        <f t="shared" si="79"/>
        <v>109807.50000000004</v>
      </c>
      <c r="E140" s="9" t="str">
        <f>VLOOKUP($A140,'BASE DATA'!$A:$T,13,0)</f>
        <v>Monthly</v>
      </c>
      <c r="F140" s="88">
        <f>VLOOKUP($A140,'BASE DATA'!$A:$T,10,0)</f>
        <v>45016</v>
      </c>
      <c r="G140" s="3" t="str">
        <f t="shared" si="74"/>
        <v>2021-2022</v>
      </c>
      <c r="H140" s="11">
        <f t="shared" si="75"/>
        <v>4</v>
      </c>
      <c r="I140" s="10">
        <f t="shared" si="87"/>
        <v>44592</v>
      </c>
      <c r="J140" s="12">
        <f t="shared" si="80"/>
        <v>1501388.3491434408</v>
      </c>
      <c r="K140" s="12">
        <f t="shared" si="93"/>
        <v>11445.009546749181</v>
      </c>
      <c r="L140" s="12">
        <f t="shared" si="81"/>
        <v>109807.50000000004</v>
      </c>
      <c r="M140" s="12">
        <f t="shared" si="82"/>
        <v>98362.490453250866</v>
      </c>
      <c r="N140" s="12">
        <f t="shared" si="83"/>
        <v>1403025.8586901899</v>
      </c>
      <c r="O140" s="13" t="str">
        <f t="shared" si="91"/>
        <v/>
      </c>
      <c r="P140" s="12">
        <f t="shared" si="84"/>
        <v>1093632.5008733522</v>
      </c>
      <c r="Q140" s="12">
        <f t="shared" si="85"/>
        <v>74511.225334228322</v>
      </c>
      <c r="R140" s="12">
        <f t="shared" si="78"/>
        <v>1019121.2755391238</v>
      </c>
    </row>
    <row r="141" spans="1:18" x14ac:dyDescent="0.2">
      <c r="A141" s="3">
        <v>1004</v>
      </c>
      <c r="B141" s="3">
        <v>28</v>
      </c>
      <c r="C141" s="13">
        <f t="shared" si="94"/>
        <v>109807.50000000004</v>
      </c>
      <c r="D141" s="9">
        <f t="shared" si="79"/>
        <v>109807.50000000004</v>
      </c>
      <c r="E141" s="9" t="str">
        <f>VLOOKUP($A141,'BASE DATA'!$A:$T,13,0)</f>
        <v>Monthly</v>
      </c>
      <c r="F141" s="88">
        <f>VLOOKUP($A141,'BASE DATA'!$A:$T,10,0)</f>
        <v>45016</v>
      </c>
      <c r="G141" s="3" t="str">
        <f t="shared" si="74"/>
        <v>2021-2022</v>
      </c>
      <c r="H141" s="11">
        <f t="shared" si="75"/>
        <v>4</v>
      </c>
      <c r="I141" s="10">
        <f t="shared" si="87"/>
        <v>44620</v>
      </c>
      <c r="J141" s="12">
        <f t="shared" si="80"/>
        <v>1403025.8586901899</v>
      </c>
      <c r="K141" s="12">
        <f t="shared" si="93"/>
        <v>9660.1780434406519</v>
      </c>
      <c r="L141" s="12">
        <f t="shared" si="81"/>
        <v>109807.50000000004</v>
      </c>
      <c r="M141" s="12">
        <f t="shared" si="82"/>
        <v>100147.32195655939</v>
      </c>
      <c r="N141" s="12">
        <f t="shared" si="83"/>
        <v>1302878.5367336306</v>
      </c>
      <c r="O141" s="13" t="str">
        <f t="shared" si="91"/>
        <v/>
      </c>
      <c r="P141" s="12">
        <f t="shared" si="84"/>
        <v>1019121.2755391238</v>
      </c>
      <c r="Q141" s="12">
        <f t="shared" si="85"/>
        <v>67300.461592206222</v>
      </c>
      <c r="R141" s="12">
        <f t="shared" si="78"/>
        <v>951820.81394691754</v>
      </c>
    </row>
    <row r="142" spans="1:18" x14ac:dyDescent="0.2">
      <c r="A142" s="3">
        <v>1004</v>
      </c>
      <c r="B142" s="3">
        <v>31</v>
      </c>
      <c r="C142" s="13">
        <f t="shared" si="94"/>
        <v>109807.50000000004</v>
      </c>
      <c r="D142" s="9">
        <f t="shared" si="79"/>
        <v>109807.50000000004</v>
      </c>
      <c r="E142" s="9" t="str">
        <f>VLOOKUP($A142,'BASE DATA'!$A:$T,13,0)</f>
        <v>Monthly</v>
      </c>
      <c r="F142" s="88">
        <f>VLOOKUP($A142,'BASE DATA'!$A:$T,10,0)</f>
        <v>45016</v>
      </c>
      <c r="G142" s="3" t="str">
        <f t="shared" si="74"/>
        <v>2021-2022</v>
      </c>
      <c r="H142" s="11">
        <f t="shared" si="75"/>
        <v>4</v>
      </c>
      <c r="I142" s="10">
        <f t="shared" si="87"/>
        <v>44651</v>
      </c>
      <c r="J142" s="12">
        <f t="shared" si="80"/>
        <v>1302878.5367336306</v>
      </c>
      <c r="K142" s="12">
        <f t="shared" si="93"/>
        <v>9931.7790095268556</v>
      </c>
      <c r="L142" s="12">
        <f t="shared" si="81"/>
        <v>109807.50000000004</v>
      </c>
      <c r="M142" s="12">
        <f t="shared" si="82"/>
        <v>99875.720990473186</v>
      </c>
      <c r="N142" s="12">
        <f t="shared" si="83"/>
        <v>1203002.8157431574</v>
      </c>
      <c r="O142" s="13" t="str">
        <f t="shared" si="91"/>
        <v/>
      </c>
      <c r="P142" s="12">
        <f t="shared" si="84"/>
        <v>951820.81394691754</v>
      </c>
      <c r="Q142" s="12">
        <f t="shared" si="85"/>
        <v>74511.225334228322</v>
      </c>
      <c r="R142" s="12">
        <f t="shared" si="78"/>
        <v>877309.58861268917</v>
      </c>
    </row>
    <row r="143" spans="1:18" x14ac:dyDescent="0.2">
      <c r="A143" s="3">
        <v>1004</v>
      </c>
      <c r="B143" s="3">
        <v>30</v>
      </c>
      <c r="C143" s="13">
        <f t="shared" si="94"/>
        <v>109807.50000000004</v>
      </c>
      <c r="D143" s="9">
        <f t="shared" si="79"/>
        <v>109807.50000000004</v>
      </c>
      <c r="E143" s="9" t="str">
        <f>VLOOKUP($A143,'BASE DATA'!$A:$T,13,0)</f>
        <v>Monthly</v>
      </c>
      <c r="F143" s="88">
        <f>VLOOKUP($A143,'BASE DATA'!$A:$T,10,0)</f>
        <v>45016</v>
      </c>
      <c r="G143" s="3" t="str">
        <f t="shared" si="74"/>
        <v>2022-2023</v>
      </c>
      <c r="H143" s="11">
        <f t="shared" si="75"/>
        <v>1</v>
      </c>
      <c r="I143" s="10">
        <f t="shared" si="87"/>
        <v>44681</v>
      </c>
      <c r="J143" s="12">
        <f t="shared" si="80"/>
        <v>1203002.8157431574</v>
      </c>
      <c r="K143" s="12">
        <f t="shared" si="93"/>
        <v>8874.6109358101767</v>
      </c>
      <c r="L143" s="12">
        <f t="shared" si="81"/>
        <v>109807.50000000004</v>
      </c>
      <c r="M143" s="12">
        <f t="shared" si="82"/>
        <v>100932.88906418986</v>
      </c>
      <c r="N143" s="12">
        <f t="shared" si="83"/>
        <v>1102069.9266789677</v>
      </c>
      <c r="O143" s="13" t="str">
        <f t="shared" si="91"/>
        <v/>
      </c>
      <c r="P143" s="12">
        <f t="shared" si="84"/>
        <v>877309.58861268917</v>
      </c>
      <c r="Q143" s="12">
        <f t="shared" si="85"/>
        <v>72107.637420220955</v>
      </c>
      <c r="R143" s="12">
        <f t="shared" si="78"/>
        <v>805201.95119246817</v>
      </c>
    </row>
    <row r="144" spans="1:18" x14ac:dyDescent="0.2">
      <c r="A144" s="3">
        <v>1004</v>
      </c>
      <c r="B144" s="3">
        <v>31</v>
      </c>
      <c r="C144" s="13">
        <f t="shared" si="94"/>
        <v>109807.50000000004</v>
      </c>
      <c r="D144" s="9">
        <f t="shared" si="79"/>
        <v>109807.50000000004</v>
      </c>
      <c r="E144" s="9" t="str">
        <f>VLOOKUP($A144,'BASE DATA'!$A:$T,13,0)</f>
        <v>Monthly</v>
      </c>
      <c r="F144" s="88">
        <f>VLOOKUP($A144,'BASE DATA'!$A:$T,10,0)</f>
        <v>45016</v>
      </c>
      <c r="G144" s="3" t="str">
        <f t="shared" si="74"/>
        <v>2022-2023</v>
      </c>
      <c r="H144" s="11">
        <f t="shared" si="75"/>
        <v>1</v>
      </c>
      <c r="I144" s="10">
        <f t="shared" si="87"/>
        <v>44712</v>
      </c>
      <c r="J144" s="12">
        <f t="shared" si="80"/>
        <v>1102069.9266789677</v>
      </c>
      <c r="K144" s="12">
        <f t="shared" si="93"/>
        <v>8401.0248509134417</v>
      </c>
      <c r="L144" s="12">
        <f t="shared" si="81"/>
        <v>109807.50000000004</v>
      </c>
      <c r="M144" s="12">
        <f t="shared" si="82"/>
        <v>101406.4751490866</v>
      </c>
      <c r="N144" s="12">
        <f t="shared" si="83"/>
        <v>1000663.4515298811</v>
      </c>
      <c r="O144" s="13" t="str">
        <f t="shared" si="91"/>
        <v/>
      </c>
      <c r="P144" s="12">
        <f t="shared" si="84"/>
        <v>805201.95119246817</v>
      </c>
      <c r="Q144" s="12">
        <f t="shared" si="85"/>
        <v>74511.225334228322</v>
      </c>
      <c r="R144" s="12">
        <f t="shared" si="78"/>
        <v>730690.72585823981</v>
      </c>
    </row>
    <row r="145" spans="1:18" x14ac:dyDescent="0.2">
      <c r="A145" s="3">
        <v>1004</v>
      </c>
      <c r="B145" s="3">
        <v>30</v>
      </c>
      <c r="C145" s="13">
        <f t="shared" si="94"/>
        <v>109807.50000000004</v>
      </c>
      <c r="D145" s="9">
        <f t="shared" si="79"/>
        <v>109807.50000000004</v>
      </c>
      <c r="E145" s="9" t="str">
        <f>VLOOKUP($A145,'BASE DATA'!$A:$T,13,0)</f>
        <v>Monthly</v>
      </c>
      <c r="F145" s="88">
        <f>VLOOKUP($A145,'BASE DATA'!$A:$T,10,0)</f>
        <v>45016</v>
      </c>
      <c r="G145" s="3" t="str">
        <f t="shared" si="74"/>
        <v>2022-2023</v>
      </c>
      <c r="H145" s="11">
        <f t="shared" si="75"/>
        <v>1</v>
      </c>
      <c r="I145" s="10">
        <f t="shared" si="87"/>
        <v>44742</v>
      </c>
      <c r="J145" s="12">
        <f t="shared" si="80"/>
        <v>1000663.4515298811</v>
      </c>
      <c r="K145" s="12">
        <f t="shared" si="93"/>
        <v>7381.9434948925655</v>
      </c>
      <c r="L145" s="12">
        <f t="shared" si="81"/>
        <v>109807.50000000004</v>
      </c>
      <c r="M145" s="12">
        <f t="shared" si="82"/>
        <v>102425.55650510748</v>
      </c>
      <c r="N145" s="12">
        <f t="shared" si="83"/>
        <v>898237.89502477366</v>
      </c>
      <c r="O145" s="13" t="str">
        <f t="shared" si="91"/>
        <v/>
      </c>
      <c r="P145" s="12">
        <f t="shared" si="84"/>
        <v>730690.72585823981</v>
      </c>
      <c r="Q145" s="12">
        <f t="shared" si="85"/>
        <v>72107.637420220955</v>
      </c>
      <c r="R145" s="12">
        <f t="shared" si="78"/>
        <v>658583.08843801881</v>
      </c>
    </row>
    <row r="146" spans="1:18" x14ac:dyDescent="0.2">
      <c r="A146" s="3">
        <v>1004</v>
      </c>
      <c r="B146" s="3">
        <v>31</v>
      </c>
      <c r="C146" s="13">
        <f t="shared" si="94"/>
        <v>109807.50000000004</v>
      </c>
      <c r="D146" s="9">
        <f t="shared" si="79"/>
        <v>109807.50000000004</v>
      </c>
      <c r="E146" s="9" t="str">
        <f>VLOOKUP($A146,'BASE DATA'!$A:$T,13,0)</f>
        <v>Monthly</v>
      </c>
      <c r="F146" s="88">
        <f>VLOOKUP($A146,'BASE DATA'!$A:$T,10,0)</f>
        <v>45016</v>
      </c>
      <c r="G146" s="3" t="str">
        <f t="shared" si="74"/>
        <v>2022-2023</v>
      </c>
      <c r="H146" s="11">
        <f t="shared" si="75"/>
        <v>2</v>
      </c>
      <c r="I146" s="10">
        <f t="shared" si="87"/>
        <v>44773</v>
      </c>
      <c r="J146" s="12">
        <f t="shared" si="80"/>
        <v>898237.89502477366</v>
      </c>
      <c r="K146" s="12">
        <f t="shared" si="93"/>
        <v>6847.2232981396683</v>
      </c>
      <c r="L146" s="12">
        <f t="shared" si="81"/>
        <v>109807.50000000004</v>
      </c>
      <c r="M146" s="12">
        <f t="shared" si="82"/>
        <v>102960.27670186038</v>
      </c>
      <c r="N146" s="12">
        <f t="shared" si="83"/>
        <v>795277.6183229133</v>
      </c>
      <c r="O146" s="13" t="str">
        <f t="shared" si="91"/>
        <v/>
      </c>
      <c r="P146" s="12">
        <f t="shared" si="84"/>
        <v>658583.08843801881</v>
      </c>
      <c r="Q146" s="12">
        <f t="shared" si="85"/>
        <v>74511.225334228322</v>
      </c>
      <c r="R146" s="12">
        <f t="shared" si="78"/>
        <v>584071.86310379044</v>
      </c>
    </row>
    <row r="147" spans="1:18" x14ac:dyDescent="0.2">
      <c r="A147" s="3">
        <v>1004</v>
      </c>
      <c r="B147" s="3">
        <v>31</v>
      </c>
      <c r="C147" s="13">
        <f t="shared" si="94"/>
        <v>109807.50000000004</v>
      </c>
      <c r="D147" s="9">
        <f t="shared" si="79"/>
        <v>109807.50000000004</v>
      </c>
      <c r="E147" s="9" t="str">
        <f>VLOOKUP($A147,'BASE DATA'!$A:$T,13,0)</f>
        <v>Monthly</v>
      </c>
      <c r="F147" s="88">
        <f>VLOOKUP($A147,'BASE DATA'!$A:$T,10,0)</f>
        <v>45016</v>
      </c>
      <c r="G147" s="3" t="str">
        <f t="shared" si="74"/>
        <v>2022-2023</v>
      </c>
      <c r="H147" s="11">
        <f t="shared" si="75"/>
        <v>2</v>
      </c>
      <c r="I147" s="10">
        <f t="shared" si="87"/>
        <v>44804</v>
      </c>
      <c r="J147" s="12">
        <f t="shared" si="80"/>
        <v>795277.6183229133</v>
      </c>
      <c r="K147" s="12">
        <f t="shared" si="93"/>
        <v>6062.3621724615514</v>
      </c>
      <c r="L147" s="12">
        <f t="shared" si="81"/>
        <v>109807.50000000004</v>
      </c>
      <c r="M147" s="12">
        <f t="shared" si="82"/>
        <v>103745.13782753849</v>
      </c>
      <c r="N147" s="12">
        <f t="shared" si="83"/>
        <v>691532.48049537477</v>
      </c>
      <c r="O147" s="13" t="str">
        <f t="shared" si="91"/>
        <v/>
      </c>
      <c r="P147" s="12">
        <f t="shared" si="84"/>
        <v>584071.86310379044</v>
      </c>
      <c r="Q147" s="12">
        <f t="shared" si="85"/>
        <v>74511.225334228322</v>
      </c>
      <c r="R147" s="12">
        <f t="shared" si="78"/>
        <v>509560.63776956213</v>
      </c>
    </row>
    <row r="148" spans="1:18" x14ac:dyDescent="0.2">
      <c r="A148" s="3">
        <v>1004</v>
      </c>
      <c r="B148" s="3">
        <v>30</v>
      </c>
      <c r="C148" s="13">
        <f t="shared" si="94"/>
        <v>109807.50000000004</v>
      </c>
      <c r="D148" s="9">
        <f t="shared" si="79"/>
        <v>109807.50000000004</v>
      </c>
      <c r="E148" s="9" t="str">
        <f>VLOOKUP($A148,'BASE DATA'!$A:$T,13,0)</f>
        <v>Monthly</v>
      </c>
      <c r="F148" s="88">
        <f>VLOOKUP($A148,'BASE DATA'!$A:$T,10,0)</f>
        <v>45016</v>
      </c>
      <c r="G148" s="3" t="str">
        <f t="shared" si="74"/>
        <v>2022-2023</v>
      </c>
      <c r="H148" s="11">
        <f t="shared" si="75"/>
        <v>2</v>
      </c>
      <c r="I148" s="10">
        <f t="shared" si="87"/>
        <v>44834</v>
      </c>
      <c r="J148" s="12">
        <f t="shared" si="80"/>
        <v>691532.48049537477</v>
      </c>
      <c r="K148" s="12">
        <f t="shared" si="93"/>
        <v>5101.4691184085023</v>
      </c>
      <c r="L148" s="12">
        <f t="shared" si="81"/>
        <v>109807.50000000004</v>
      </c>
      <c r="M148" s="12">
        <f t="shared" si="82"/>
        <v>104706.03088159155</v>
      </c>
      <c r="N148" s="12">
        <f t="shared" si="83"/>
        <v>586826.44961378328</v>
      </c>
      <c r="O148" s="13" t="str">
        <f t="shared" si="91"/>
        <v/>
      </c>
      <c r="P148" s="12">
        <f t="shared" si="84"/>
        <v>509560.63776956213</v>
      </c>
      <c r="Q148" s="12">
        <f t="shared" si="85"/>
        <v>72107.637420220955</v>
      </c>
      <c r="R148" s="12">
        <f t="shared" si="78"/>
        <v>437453.00034934119</v>
      </c>
    </row>
    <row r="149" spans="1:18" x14ac:dyDescent="0.2">
      <c r="A149" s="3">
        <v>1004</v>
      </c>
      <c r="B149" s="3">
        <v>31</v>
      </c>
      <c r="C149" s="13">
        <f>+C148*1.1</f>
        <v>120788.25000000006</v>
      </c>
      <c r="D149" s="9">
        <f t="shared" si="79"/>
        <v>120788.25000000006</v>
      </c>
      <c r="E149" s="9" t="str">
        <f>VLOOKUP($A149,'BASE DATA'!$A:$T,13,0)</f>
        <v>Monthly</v>
      </c>
      <c r="F149" s="88">
        <f>VLOOKUP($A149,'BASE DATA'!$A:$T,10,0)</f>
        <v>45016</v>
      </c>
      <c r="G149" s="3" t="str">
        <f t="shared" si="74"/>
        <v>2022-2023</v>
      </c>
      <c r="H149" s="11">
        <f t="shared" si="75"/>
        <v>3</v>
      </c>
      <c r="I149" s="10">
        <f t="shared" si="87"/>
        <v>44865</v>
      </c>
      <c r="J149" s="12">
        <f t="shared" si="80"/>
        <v>586826.44961378328</v>
      </c>
      <c r="K149" s="12">
        <f t="shared" si="93"/>
        <v>4473.3491650886754</v>
      </c>
      <c r="L149" s="12">
        <f t="shared" si="81"/>
        <v>120788.25000000006</v>
      </c>
      <c r="M149" s="12">
        <f t="shared" si="82"/>
        <v>116314.90083491139</v>
      </c>
      <c r="N149" s="12">
        <f t="shared" si="83"/>
        <v>470511.54877887189</v>
      </c>
      <c r="O149" s="13" t="str">
        <f t="shared" si="91"/>
        <v/>
      </c>
      <c r="P149" s="12">
        <f t="shared" si="84"/>
        <v>437453.00034934119</v>
      </c>
      <c r="Q149" s="12">
        <f t="shared" si="85"/>
        <v>74511.225334228322</v>
      </c>
      <c r="R149" s="12">
        <f t="shared" si="78"/>
        <v>362941.77501511289</v>
      </c>
    </row>
    <row r="150" spans="1:18" x14ac:dyDescent="0.2">
      <c r="A150" s="3">
        <v>1004</v>
      </c>
      <c r="B150" s="3">
        <v>30</v>
      </c>
      <c r="C150" s="13">
        <f>+C149</f>
        <v>120788.25000000006</v>
      </c>
      <c r="D150" s="9">
        <f t="shared" si="79"/>
        <v>120788.25000000006</v>
      </c>
      <c r="E150" s="9" t="str">
        <f>VLOOKUP($A150,'BASE DATA'!$A:$T,13,0)</f>
        <v>Monthly</v>
      </c>
      <c r="F150" s="88">
        <f>VLOOKUP($A150,'BASE DATA'!$A:$T,10,0)</f>
        <v>45016</v>
      </c>
      <c r="G150" s="3" t="str">
        <f t="shared" si="74"/>
        <v>2022-2023</v>
      </c>
      <c r="H150" s="11">
        <f t="shared" si="75"/>
        <v>3</v>
      </c>
      <c r="I150" s="10">
        <f t="shared" si="87"/>
        <v>44895</v>
      </c>
      <c r="J150" s="12">
        <f t="shared" si="80"/>
        <v>470511.54877887189</v>
      </c>
      <c r="K150" s="12">
        <f t="shared" ref="K150:K154" si="95">((+J150*$F$2)/365)*(I150-I149)</f>
        <v>3480.4963882272714</v>
      </c>
      <c r="L150" s="12">
        <f t="shared" si="81"/>
        <v>120788.25000000006</v>
      </c>
      <c r="M150" s="12">
        <f t="shared" si="82"/>
        <v>117307.75361177279</v>
      </c>
      <c r="N150" s="12">
        <f t="shared" si="83"/>
        <v>353203.7951670991</v>
      </c>
      <c r="O150" s="13" t="str">
        <f t="shared" si="91"/>
        <v/>
      </c>
      <c r="P150" s="12">
        <f t="shared" si="84"/>
        <v>362941.77501511289</v>
      </c>
      <c r="Q150" s="12">
        <f t="shared" si="85"/>
        <v>72107.637420220955</v>
      </c>
      <c r="R150" s="12">
        <f t="shared" si="78"/>
        <v>290834.13759489194</v>
      </c>
    </row>
    <row r="151" spans="1:18" x14ac:dyDescent="0.2">
      <c r="A151" s="3">
        <v>1004</v>
      </c>
      <c r="B151" s="3">
        <v>31</v>
      </c>
      <c r="C151" s="13">
        <f t="shared" ref="C151:C153" si="96">+C150</f>
        <v>120788.25000000006</v>
      </c>
      <c r="D151" s="9">
        <f t="shared" si="79"/>
        <v>120788.25000000006</v>
      </c>
      <c r="E151" s="9" t="str">
        <f>VLOOKUP($A151,'BASE DATA'!$A:$T,13,0)</f>
        <v>Monthly</v>
      </c>
      <c r="F151" s="88">
        <f>VLOOKUP($A151,'BASE DATA'!$A:$T,10,0)</f>
        <v>45016</v>
      </c>
      <c r="G151" s="3" t="str">
        <f t="shared" si="74"/>
        <v>2022-2023</v>
      </c>
      <c r="H151" s="11">
        <f t="shared" si="75"/>
        <v>3</v>
      </c>
      <c r="I151" s="10">
        <f t="shared" si="87"/>
        <v>44926</v>
      </c>
      <c r="J151" s="12">
        <f t="shared" si="80"/>
        <v>353203.7951670991</v>
      </c>
      <c r="K151" s="12">
        <f t="shared" si="95"/>
        <v>2699.83174935947</v>
      </c>
      <c r="L151" s="12">
        <f t="shared" si="81"/>
        <v>120788.25000000006</v>
      </c>
      <c r="M151" s="12">
        <f t="shared" si="82"/>
        <v>118088.41825064059</v>
      </c>
      <c r="N151" s="12">
        <f t="shared" si="83"/>
        <v>235115.37691645851</v>
      </c>
      <c r="O151" s="13" t="str">
        <f t="shared" si="91"/>
        <v/>
      </c>
      <c r="P151" s="12">
        <f t="shared" si="84"/>
        <v>290834.13759489194</v>
      </c>
      <c r="Q151" s="12">
        <f t="shared" si="85"/>
        <v>74511.225334228322</v>
      </c>
      <c r="R151" s="12">
        <f t="shared" si="78"/>
        <v>216322.91226066364</v>
      </c>
    </row>
    <row r="152" spans="1:18" x14ac:dyDescent="0.2">
      <c r="A152" s="3">
        <v>1004</v>
      </c>
      <c r="B152" s="3">
        <v>31</v>
      </c>
      <c r="C152" s="13">
        <f t="shared" si="96"/>
        <v>120788.25000000006</v>
      </c>
      <c r="D152" s="9">
        <f t="shared" si="79"/>
        <v>120788.25000000006</v>
      </c>
      <c r="E152" s="9" t="str">
        <f>VLOOKUP($A152,'BASE DATA'!$A:$T,13,0)</f>
        <v>Monthly</v>
      </c>
      <c r="F152" s="88">
        <f>VLOOKUP($A152,'BASE DATA'!$A:$T,10,0)</f>
        <v>45016</v>
      </c>
      <c r="G152" s="3" t="str">
        <f t="shared" si="74"/>
        <v>2022-2023</v>
      </c>
      <c r="H152" s="11">
        <f t="shared" si="75"/>
        <v>4</v>
      </c>
      <c r="I152" s="10">
        <f t="shared" si="87"/>
        <v>44957</v>
      </c>
      <c r="J152" s="12">
        <f t="shared" si="80"/>
        <v>235115.37691645851</v>
      </c>
      <c r="K152" s="12">
        <f t="shared" si="95"/>
        <v>1797.1832920463542</v>
      </c>
      <c r="L152" s="12">
        <f t="shared" si="81"/>
        <v>120788.25000000006</v>
      </c>
      <c r="M152" s="12">
        <f t="shared" si="82"/>
        <v>118991.06670795371</v>
      </c>
      <c r="N152" s="12">
        <f t="shared" si="83"/>
        <v>116124.3102085048</v>
      </c>
      <c r="O152" s="13" t="str">
        <f t="shared" si="91"/>
        <v/>
      </c>
      <c r="P152" s="12">
        <f t="shared" si="84"/>
        <v>216322.91226066364</v>
      </c>
      <c r="Q152" s="12">
        <f t="shared" si="85"/>
        <v>74511.225334228322</v>
      </c>
      <c r="R152" s="12">
        <f t="shared" si="78"/>
        <v>141811.68692643533</v>
      </c>
    </row>
    <row r="153" spans="1:18" x14ac:dyDescent="0.2">
      <c r="A153" s="3">
        <v>1004</v>
      </c>
      <c r="B153" s="3">
        <v>28</v>
      </c>
      <c r="C153" s="13">
        <f t="shared" si="96"/>
        <v>120788.25000000006</v>
      </c>
      <c r="D153" s="9">
        <f t="shared" si="79"/>
        <v>120788.25000000006</v>
      </c>
      <c r="E153" s="9" t="str">
        <f>VLOOKUP($A153,'BASE DATA'!$A:$T,13,0)</f>
        <v>Monthly</v>
      </c>
      <c r="F153" s="88">
        <f>VLOOKUP($A153,'BASE DATA'!$A:$T,10,0)</f>
        <v>45016</v>
      </c>
      <c r="G153" s="3" t="str">
        <f t="shared" ref="G153:G154" si="97">IF(AND(MONTH(I153)&gt;0,MONTH(I153)&lt;=3),YEAR(I153)-1&amp;"-"&amp;YEAR(I153),YEAR(I153)&amp;"-"&amp;YEAR(I153)+1)</f>
        <v>2022-2023</v>
      </c>
      <c r="H153" s="11">
        <f t="shared" ref="H153:H154" si="98">IF(AND(MONTH(I153)&gt;3,MONTH(I153)&lt;=6),1,IF(AND(MONTH(I153)&gt;6,MONTH(I153)&lt;=9),2,IF(AND(MONTH(I153)&gt;9,MONTH(I153)&lt;=12),3,4)))</f>
        <v>4</v>
      </c>
      <c r="I153" s="10">
        <f t="shared" si="87"/>
        <v>44985</v>
      </c>
      <c r="J153" s="12">
        <f t="shared" si="80"/>
        <v>116124.3102085048</v>
      </c>
      <c r="K153" s="12">
        <f t="shared" si="95"/>
        <v>801.73496363132085</v>
      </c>
      <c r="L153" s="12">
        <f t="shared" si="81"/>
        <v>120788.25000000006</v>
      </c>
      <c r="M153" s="8">
        <f>+L153-K153-3862</f>
        <v>116124.51503636874</v>
      </c>
      <c r="N153" s="12">
        <f t="shared" si="83"/>
        <v>-0.20482786394131836</v>
      </c>
      <c r="O153" s="13" t="str">
        <f t="shared" si="91"/>
        <v/>
      </c>
      <c r="P153" s="12">
        <f t="shared" si="84"/>
        <v>141811.68692643533</v>
      </c>
      <c r="Q153" s="12">
        <f t="shared" si="85"/>
        <v>67300.461592206222</v>
      </c>
      <c r="R153" s="12">
        <f t="shared" si="78"/>
        <v>74511.225334229108</v>
      </c>
    </row>
    <row r="154" spans="1:18" x14ac:dyDescent="0.2">
      <c r="A154" s="3">
        <v>1004</v>
      </c>
      <c r="B154" s="3">
        <v>31</v>
      </c>
      <c r="C154" s="13"/>
      <c r="D154" s="9"/>
      <c r="E154" s="9" t="str">
        <f>VLOOKUP($A154,'BASE DATA'!$A:$T,13,0)</f>
        <v>Monthly</v>
      </c>
      <c r="F154" s="88">
        <f>VLOOKUP($A154,'BASE DATA'!$A:$T,10,0)</f>
        <v>45016</v>
      </c>
      <c r="G154" s="3" t="str">
        <f t="shared" si="97"/>
        <v>2022-2023</v>
      </c>
      <c r="H154" s="11">
        <f t="shared" si="98"/>
        <v>4</v>
      </c>
      <c r="I154" s="10">
        <f t="shared" si="87"/>
        <v>45016</v>
      </c>
      <c r="J154" s="12">
        <f t="shared" si="80"/>
        <v>-0.20482786394131836</v>
      </c>
      <c r="K154" s="12">
        <f t="shared" si="95"/>
        <v>-1.565670521633639E-3</v>
      </c>
      <c r="L154" s="12"/>
      <c r="M154" s="12">
        <f t="shared" si="82"/>
        <v>1.565670521633639E-3</v>
      </c>
      <c r="N154" s="12">
        <f t="shared" si="83"/>
        <v>-0.206393534462952</v>
      </c>
      <c r="O154" s="13" t="str">
        <f t="shared" si="91"/>
        <v/>
      </c>
      <c r="P154" s="12">
        <f t="shared" si="84"/>
        <v>74511.225334229108</v>
      </c>
      <c r="Q154" s="12">
        <f t="shared" si="85"/>
        <v>74511.225334228322</v>
      </c>
      <c r="R154" s="12">
        <f t="shared" ref="R154" si="99">+P154-Q154</f>
        <v>7.8580342233181E-10</v>
      </c>
    </row>
    <row r="155" spans="1:18" x14ac:dyDescent="0.2">
      <c r="C155" s="13"/>
      <c r="D155" s="9"/>
      <c r="E155" s="9"/>
      <c r="F155" s="88"/>
      <c r="H155" s="11"/>
      <c r="I155" s="10"/>
      <c r="J155" s="12"/>
      <c r="K155" s="12"/>
      <c r="L155" s="12"/>
      <c r="M155" s="12"/>
      <c r="N155" s="12"/>
      <c r="P155" s="12"/>
      <c r="Q155" s="12"/>
      <c r="R155" s="12"/>
    </row>
    <row r="156" spans="1:18" x14ac:dyDescent="0.2">
      <c r="C156" s="13"/>
      <c r="D156" s="9"/>
      <c r="E156" s="9"/>
      <c r="F156" s="88"/>
      <c r="H156" s="11"/>
      <c r="I156" s="10"/>
      <c r="J156" s="12"/>
      <c r="K156" s="12"/>
      <c r="L156" s="12"/>
      <c r="M156" s="12"/>
      <c r="N156" s="12"/>
      <c r="P156" s="12"/>
      <c r="Q156" s="12"/>
      <c r="R156" s="12"/>
    </row>
    <row r="157" spans="1:18" x14ac:dyDescent="0.2">
      <c r="A157" s="3">
        <v>1005</v>
      </c>
      <c r="C157" s="9">
        <f>VLOOKUP($A157,'BASE DATA'!$A:$S,11,0)</f>
        <v>59201</v>
      </c>
      <c r="D157" s="9">
        <f>+C157*B157</f>
        <v>0</v>
      </c>
      <c r="E157" s="19" t="str">
        <f>VLOOKUP($A157,'BASE DATA'!$A:$S,13,0)</f>
        <v>Yearly</v>
      </c>
      <c r="F157" s="88">
        <f>VLOOKUP($A157,'BASE DATA'!$A:$S,10,0)</f>
        <v>44535</v>
      </c>
      <c r="G157" s="3" t="str">
        <f t="shared" ref="G157:G172" si="100">IF(AND(MONTH(I157)&gt;0,MONTH(I157)&lt;=3),YEAR(I157)-1&amp;"-"&amp;YEAR(I157),YEAR(I157)&amp;"-"&amp;YEAR(I157)+1)</f>
        <v>2018-2019</v>
      </c>
      <c r="H157" s="11">
        <f t="shared" ref="H157:H172" si="101">IF(AND(MONTH(I157)&gt;3,MONTH(I157)&lt;=6),1,IF(AND(MONTH(I157)&gt;6,MONTH(I157)&lt;=9),2,IF(AND(MONTH(I157)&gt;9,MONTH(I157)&lt;=12),3,4)))</f>
        <v>3</v>
      </c>
      <c r="I157" s="22">
        <f>VLOOKUP($A157,'BASE DATA'!$A:$S,9,0)</f>
        <v>43439</v>
      </c>
      <c r="J157" s="12">
        <f>VLOOKUP($A157,'BASE DATA'!$A:$T,20,0)</f>
        <v>1960105.6958168503</v>
      </c>
      <c r="K157" s="12">
        <v>0</v>
      </c>
      <c r="L157" s="12">
        <f>VLOOKUP($A157,'BASE DATA'!$A:$S,12,0)</f>
        <v>710412</v>
      </c>
      <c r="M157" s="12">
        <f>+L157-K157</f>
        <v>710412</v>
      </c>
      <c r="N157" s="12">
        <f>+J157-M157</f>
        <v>1249693.6958168503</v>
      </c>
      <c r="O157" s="13">
        <f t="shared" ref="O157:O172" si="102">IF(E157="Monthly","",O156-D157+L157)</f>
        <v>710412</v>
      </c>
      <c r="P157" s="12">
        <f>+J157</f>
        <v>1960105.6958168503</v>
      </c>
      <c r="Q157" s="12">
        <v>0</v>
      </c>
      <c r="R157" s="12">
        <f>+J157-Q157</f>
        <v>1960105.6958168503</v>
      </c>
    </row>
    <row r="158" spans="1:18" x14ac:dyDescent="0.2">
      <c r="A158" s="3">
        <v>1005</v>
      </c>
      <c r="B158" s="3">
        <f>I158-I157</f>
        <v>26</v>
      </c>
      <c r="C158" s="9">
        <f>VLOOKUP(A158,'BASE DATA'!A:S,11,0)</f>
        <v>59201</v>
      </c>
      <c r="D158" s="9">
        <f>(C158*12)/365*B158</f>
        <v>50604.690410958901</v>
      </c>
      <c r="E158" s="19" t="str">
        <f>VLOOKUP($A158,'BASE DATA'!$A:$S,13,0)</f>
        <v>Yearly</v>
      </c>
      <c r="F158" s="88">
        <f>VLOOKUP($A158,'BASE DATA'!$A:$S,10,0)</f>
        <v>44535</v>
      </c>
      <c r="G158" s="3" t="str">
        <f t="shared" si="100"/>
        <v>2018-2019</v>
      </c>
      <c r="H158" s="11">
        <f t="shared" si="101"/>
        <v>3</v>
      </c>
      <c r="I158" s="10">
        <v>43465</v>
      </c>
      <c r="J158" s="12">
        <f>+N157</f>
        <v>1249693.6958168503</v>
      </c>
      <c r="K158" s="12">
        <f>((+J158*$F$2)/365)*(I158-I157)</f>
        <v>8011.7349266066567</v>
      </c>
      <c r="L158" s="12">
        <v>0</v>
      </c>
      <c r="M158" s="12">
        <f>+L158-K158</f>
        <v>-8011.7349266066567</v>
      </c>
      <c r="N158" s="12">
        <f>+N157+K158-L158</f>
        <v>1257705.4307434571</v>
      </c>
      <c r="O158" s="13">
        <f t="shared" si="102"/>
        <v>659807.30958904105</v>
      </c>
      <c r="P158" s="12">
        <f>+R157</f>
        <v>1960105.6958168503</v>
      </c>
      <c r="Q158" s="12">
        <f>+($P$157/($F$157-$I$157))*(I158-I157)</f>
        <v>46498.857747480026</v>
      </c>
      <c r="R158" s="12">
        <f t="shared" ref="R158:R172" si="103">+P158-Q158</f>
        <v>1913606.8380693702</v>
      </c>
    </row>
    <row r="159" spans="1:18" x14ac:dyDescent="0.2">
      <c r="A159" s="3">
        <v>1005</v>
      </c>
      <c r="B159" s="3">
        <f t="shared" ref="B159:B172" si="104">I159-I158</f>
        <v>90</v>
      </c>
      <c r="C159" s="9">
        <f>VLOOKUP(A159,'BASE DATA'!A:S,11,0)</f>
        <v>59201</v>
      </c>
      <c r="D159" s="9">
        <f t="shared" ref="D159:D167" si="105">(C159*12)/365*B159</f>
        <v>175170.08219178082</v>
      </c>
      <c r="E159" s="19" t="str">
        <f>VLOOKUP($A159,'BASE DATA'!$A:$S,13,0)</f>
        <v>Yearly</v>
      </c>
      <c r="F159" s="88">
        <f>VLOOKUP($A159,'BASE DATA'!$A:$S,10,0)</f>
        <v>44535</v>
      </c>
      <c r="G159" s="3" t="str">
        <f t="shared" si="100"/>
        <v>2018-2019</v>
      </c>
      <c r="H159" s="11">
        <f t="shared" si="101"/>
        <v>4</v>
      </c>
      <c r="I159" s="10">
        <f>IF(EDATE(I158,3)&gt;$F$157,$F$157,EDATE(I158,3))</f>
        <v>43555</v>
      </c>
      <c r="J159" s="12">
        <f>+J158</f>
        <v>1249693.6958168503</v>
      </c>
      <c r="K159" s="12">
        <f t="shared" ref="K159:K172" si="106">((+J159*$F$2)/365)*(I159-I158)</f>
        <v>27732.928592099965</v>
      </c>
      <c r="L159" s="12">
        <v>0</v>
      </c>
      <c r="M159" s="12">
        <f t="shared" ref="M159:M161" si="107">+L159-K159</f>
        <v>-27732.928592099965</v>
      </c>
      <c r="N159" s="12">
        <f t="shared" ref="N159:N172" si="108">+N158+K159-L159</f>
        <v>1285438.3593355571</v>
      </c>
      <c r="O159" s="13">
        <f t="shared" si="102"/>
        <v>484637.22739726026</v>
      </c>
      <c r="P159" s="12">
        <f t="shared" ref="P159:P172" si="109">+R158</f>
        <v>1913606.8380693702</v>
      </c>
      <c r="Q159" s="12">
        <f t="shared" ref="Q159:Q172" si="110">+($P$157/($F$157-$I$157))*(I159-I158)</f>
        <v>160957.58451050776</v>
      </c>
      <c r="R159" s="12">
        <f t="shared" si="103"/>
        <v>1752649.2535588625</v>
      </c>
    </row>
    <row r="160" spans="1:18" x14ac:dyDescent="0.2">
      <c r="A160" s="3">
        <v>1005</v>
      </c>
      <c r="B160" s="3">
        <f t="shared" si="104"/>
        <v>91</v>
      </c>
      <c r="C160" s="9">
        <f>VLOOKUP(A160,'BASE DATA'!A:S,11,0)</f>
        <v>59201</v>
      </c>
      <c r="D160" s="9">
        <f t="shared" si="105"/>
        <v>177116.41643835616</v>
      </c>
      <c r="E160" s="19" t="str">
        <f>VLOOKUP($A160,'BASE DATA'!$A:$S,13,0)</f>
        <v>Yearly</v>
      </c>
      <c r="F160" s="88">
        <f>VLOOKUP($A160,'BASE DATA'!$A:$S,10,0)</f>
        <v>44535</v>
      </c>
      <c r="G160" s="3" t="str">
        <f t="shared" si="100"/>
        <v>2019-2020</v>
      </c>
      <c r="H160" s="11">
        <f t="shared" si="101"/>
        <v>1</v>
      </c>
      <c r="I160" s="10">
        <f>IF(EDATE(I159,3)&gt;$F$157,$F$157,EDATE(I159,3))</f>
        <v>43646</v>
      </c>
      <c r="J160" s="12">
        <f>+J159</f>
        <v>1249693.6958168503</v>
      </c>
      <c r="K160" s="12">
        <f t="shared" si="106"/>
        <v>28041.072243123297</v>
      </c>
      <c r="L160" s="12">
        <v>0</v>
      </c>
      <c r="M160" s="12">
        <f t="shared" si="107"/>
        <v>-28041.072243123297</v>
      </c>
      <c r="N160" s="12">
        <f t="shared" si="108"/>
        <v>1313479.4315786804</v>
      </c>
      <c r="O160" s="13">
        <f t="shared" si="102"/>
        <v>307520.8109589041</v>
      </c>
      <c r="P160" s="12">
        <f t="shared" si="109"/>
        <v>1752649.2535588625</v>
      </c>
      <c r="Q160" s="12">
        <f t="shared" si="110"/>
        <v>162746.00211618008</v>
      </c>
      <c r="R160" s="12">
        <f t="shared" si="103"/>
        <v>1589903.2514426825</v>
      </c>
    </row>
    <row r="161" spans="1:18" x14ac:dyDescent="0.2">
      <c r="A161" s="3">
        <v>1005</v>
      </c>
      <c r="B161" s="3">
        <f t="shared" si="104"/>
        <v>92</v>
      </c>
      <c r="C161" s="9">
        <f>VLOOKUP(A161,'BASE DATA'!A:S,11,0)</f>
        <v>59201</v>
      </c>
      <c r="D161" s="9">
        <f t="shared" si="105"/>
        <v>179062.7506849315</v>
      </c>
      <c r="E161" s="19" t="str">
        <f>VLOOKUP($A161,'BASE DATA'!$A:$S,13,0)</f>
        <v>Yearly</v>
      </c>
      <c r="F161" s="88">
        <f>VLOOKUP($A161,'BASE DATA'!$A:$S,10,0)</f>
        <v>44535</v>
      </c>
      <c r="G161" s="3" t="str">
        <f t="shared" si="100"/>
        <v>2019-2020</v>
      </c>
      <c r="H161" s="11">
        <f t="shared" si="101"/>
        <v>2</v>
      </c>
      <c r="I161" s="10">
        <f>IF(EDATE(I160,3)&gt;$F$157,$F$157,EDATE(I160,3))</f>
        <v>43738</v>
      </c>
      <c r="J161" s="12">
        <f>+J160</f>
        <v>1249693.6958168503</v>
      </c>
      <c r="K161" s="12">
        <f t="shared" si="106"/>
        <v>28349.215894146633</v>
      </c>
      <c r="L161" s="12">
        <v>0</v>
      </c>
      <c r="M161" s="12">
        <f t="shared" si="107"/>
        <v>-28349.215894146633</v>
      </c>
      <c r="N161" s="12">
        <f t="shared" si="108"/>
        <v>1341828.647472827</v>
      </c>
      <c r="O161" s="13">
        <f t="shared" si="102"/>
        <v>128458.0602739726</v>
      </c>
      <c r="P161" s="12">
        <f t="shared" si="109"/>
        <v>1589903.2514426825</v>
      </c>
      <c r="Q161" s="12">
        <f t="shared" si="110"/>
        <v>164534.41972185238</v>
      </c>
      <c r="R161" s="12">
        <f t="shared" si="103"/>
        <v>1425368.8317208302</v>
      </c>
    </row>
    <row r="162" spans="1:18" x14ac:dyDescent="0.2">
      <c r="A162" s="3">
        <v>1005</v>
      </c>
      <c r="B162" s="3">
        <f t="shared" si="104"/>
        <v>66</v>
      </c>
      <c r="C162" s="9">
        <f>VLOOKUP(A162,'BASE DATA'!A:S,11,0)</f>
        <v>59201</v>
      </c>
      <c r="D162" s="9">
        <f t="shared" si="105"/>
        <v>128458.0602739726</v>
      </c>
      <c r="E162" s="19" t="str">
        <f>VLOOKUP($A162,'BASE DATA'!$A:$S,13,0)</f>
        <v>Yearly</v>
      </c>
      <c r="F162" s="88">
        <f>VLOOKUP($A162,'BASE DATA'!$A:$S,10,0)</f>
        <v>44535</v>
      </c>
      <c r="G162" s="3" t="str">
        <f t="shared" si="100"/>
        <v>2019-2020</v>
      </c>
      <c r="H162" s="11">
        <f t="shared" si="101"/>
        <v>3</v>
      </c>
      <c r="I162" s="10">
        <v>43804</v>
      </c>
      <c r="J162" s="12">
        <f>+J161</f>
        <v>1249693.6958168503</v>
      </c>
      <c r="K162" s="12">
        <f t="shared" si="106"/>
        <v>20337.480967539974</v>
      </c>
      <c r="L162" s="12">
        <f>+L157</f>
        <v>710412</v>
      </c>
      <c r="M162" s="13">
        <f>L162-SUM(K157:K162)</f>
        <v>597939.56737648346</v>
      </c>
      <c r="N162" s="12">
        <f t="shared" si="108"/>
        <v>651754.12844036706</v>
      </c>
      <c r="O162" s="13">
        <f t="shared" si="102"/>
        <v>710412</v>
      </c>
      <c r="P162" s="12">
        <f t="shared" si="109"/>
        <v>1425368.8317208302</v>
      </c>
      <c r="Q162" s="12">
        <f t="shared" si="110"/>
        <v>118035.56197437237</v>
      </c>
      <c r="R162" s="12">
        <f t="shared" si="103"/>
        <v>1307333.2697464577</v>
      </c>
    </row>
    <row r="163" spans="1:18" x14ac:dyDescent="0.2">
      <c r="A163" s="3">
        <v>1005</v>
      </c>
      <c r="B163" s="3">
        <f t="shared" si="104"/>
        <v>26</v>
      </c>
      <c r="C163" s="9">
        <f>VLOOKUP(A163,'BASE DATA'!A:S,11,0)</f>
        <v>59201</v>
      </c>
      <c r="D163" s="9">
        <f t="shared" si="105"/>
        <v>50604.690410958901</v>
      </c>
      <c r="E163" s="19" t="str">
        <f>VLOOKUP($A163,'BASE DATA'!$A:$S,13,0)</f>
        <v>Yearly</v>
      </c>
      <c r="F163" s="88">
        <f>VLOOKUP($A163,'BASE DATA'!$A:$S,10,0)</f>
        <v>44535</v>
      </c>
      <c r="G163" s="3" t="str">
        <f t="shared" si="100"/>
        <v>2019-2020</v>
      </c>
      <c r="H163" s="11">
        <f t="shared" si="101"/>
        <v>3</v>
      </c>
      <c r="I163" s="10">
        <f>IF(EDATE(I161,3)&gt;$F$157,$F$157,EDATE(I161,3)+1)</f>
        <v>43830</v>
      </c>
      <c r="J163" s="12">
        <f>+N162</f>
        <v>651754.12844036706</v>
      </c>
      <c r="K163" s="12">
        <f t="shared" si="106"/>
        <v>4178.3689330149564</v>
      </c>
      <c r="L163" s="12">
        <v>0</v>
      </c>
      <c r="M163" s="12">
        <f t="shared" ref="M163:M166" si="111">+L163-K163</f>
        <v>-4178.3689330149564</v>
      </c>
      <c r="N163" s="12">
        <f t="shared" si="108"/>
        <v>655932.49737338198</v>
      </c>
      <c r="O163" s="13">
        <f t="shared" si="102"/>
        <v>659807.30958904105</v>
      </c>
      <c r="P163" s="12">
        <f t="shared" si="109"/>
        <v>1307333.2697464577</v>
      </c>
      <c r="Q163" s="12">
        <f t="shared" si="110"/>
        <v>46498.857747480026</v>
      </c>
      <c r="R163" s="12">
        <f t="shared" si="103"/>
        <v>1260834.4119989777</v>
      </c>
    </row>
    <row r="164" spans="1:18" x14ac:dyDescent="0.2">
      <c r="A164" s="3">
        <v>1005</v>
      </c>
      <c r="B164" s="3">
        <f t="shared" si="104"/>
        <v>91</v>
      </c>
      <c r="C164" s="9">
        <f>VLOOKUP(A164,'BASE DATA'!A:S,11,0)</f>
        <v>59201</v>
      </c>
      <c r="D164" s="9">
        <f t="shared" si="105"/>
        <v>177116.41643835616</v>
      </c>
      <c r="E164" s="19" t="str">
        <f>VLOOKUP($A164,'BASE DATA'!$A:$S,13,0)</f>
        <v>Yearly</v>
      </c>
      <c r="F164" s="88">
        <f>VLOOKUP($A164,'BASE DATA'!$A:$S,10,0)</f>
        <v>44535</v>
      </c>
      <c r="G164" s="3" t="str">
        <f t="shared" si="100"/>
        <v>2019-2020</v>
      </c>
      <c r="H164" s="11">
        <f t="shared" si="101"/>
        <v>4</v>
      </c>
      <c r="I164" s="10">
        <f>IF(EDATE(I163,3)&gt;$F$157,$F$157,EDATE(I163,3))</f>
        <v>43921</v>
      </c>
      <c r="J164" s="12">
        <f>+J163</f>
        <v>651754.12844036706</v>
      </c>
      <c r="K164" s="12">
        <f t="shared" si="106"/>
        <v>14624.291265552347</v>
      </c>
      <c r="L164" s="12">
        <v>0</v>
      </c>
      <c r="M164" s="12">
        <f t="shared" si="111"/>
        <v>-14624.291265552347</v>
      </c>
      <c r="N164" s="12">
        <f t="shared" si="108"/>
        <v>670556.78863893438</v>
      </c>
      <c r="O164" s="13">
        <f t="shared" si="102"/>
        <v>482690.89315068489</v>
      </c>
      <c r="P164" s="12">
        <f t="shared" si="109"/>
        <v>1260834.4119989777</v>
      </c>
      <c r="Q164" s="12">
        <f t="shared" si="110"/>
        <v>162746.00211618008</v>
      </c>
      <c r="R164" s="12">
        <f t="shared" si="103"/>
        <v>1098088.4098827976</v>
      </c>
    </row>
    <row r="165" spans="1:18" x14ac:dyDescent="0.2">
      <c r="A165" s="3">
        <v>1005</v>
      </c>
      <c r="B165" s="3">
        <f t="shared" si="104"/>
        <v>91</v>
      </c>
      <c r="C165" s="9">
        <f>VLOOKUP(A165,'BASE DATA'!A:S,11,0)</f>
        <v>59201</v>
      </c>
      <c r="D165" s="9">
        <f t="shared" si="105"/>
        <v>177116.41643835616</v>
      </c>
      <c r="E165" s="19" t="str">
        <f>VLOOKUP($A165,'BASE DATA'!$A:$S,13,0)</f>
        <v>Yearly</v>
      </c>
      <c r="F165" s="88">
        <f>VLOOKUP($A165,'BASE DATA'!$A:$S,10,0)</f>
        <v>44535</v>
      </c>
      <c r="G165" s="3" t="str">
        <f t="shared" si="100"/>
        <v>2020-2021</v>
      </c>
      <c r="H165" s="11">
        <f t="shared" si="101"/>
        <v>1</v>
      </c>
      <c r="I165" s="10">
        <f>IF(EDATE(I164,3)&gt;$F$157,$F$157,EDATE(I164,3))</f>
        <v>44012</v>
      </c>
      <c r="J165" s="12">
        <f t="shared" ref="J165:J167" si="112">+J164</f>
        <v>651754.12844036706</v>
      </c>
      <c r="K165" s="12">
        <f t="shared" si="106"/>
        <v>14624.291265552347</v>
      </c>
      <c r="L165" s="12">
        <v>0</v>
      </c>
      <c r="M165" s="12">
        <f t="shared" si="111"/>
        <v>-14624.291265552347</v>
      </c>
      <c r="N165" s="12">
        <f t="shared" si="108"/>
        <v>685181.07990448677</v>
      </c>
      <c r="O165" s="13">
        <f t="shared" si="102"/>
        <v>305574.47671232873</v>
      </c>
      <c r="P165" s="12">
        <f t="shared" si="109"/>
        <v>1098088.4098827976</v>
      </c>
      <c r="Q165" s="12">
        <f t="shared" si="110"/>
        <v>162746.00211618008</v>
      </c>
      <c r="R165" s="12">
        <f t="shared" si="103"/>
        <v>935342.4077666176</v>
      </c>
    </row>
    <row r="166" spans="1:18" x14ac:dyDescent="0.2">
      <c r="A166" s="3">
        <v>1005</v>
      </c>
      <c r="B166" s="3">
        <f t="shared" si="104"/>
        <v>92</v>
      </c>
      <c r="C166" s="9">
        <f>VLOOKUP(A166,'BASE DATA'!A:S,11,0)</f>
        <v>59201</v>
      </c>
      <c r="D166" s="9">
        <f t="shared" si="105"/>
        <v>179062.7506849315</v>
      </c>
      <c r="E166" s="19" t="str">
        <f>VLOOKUP($A166,'BASE DATA'!$A:$S,13,0)</f>
        <v>Yearly</v>
      </c>
      <c r="F166" s="88">
        <f>VLOOKUP($A166,'BASE DATA'!$A:$S,10,0)</f>
        <v>44535</v>
      </c>
      <c r="G166" s="3" t="str">
        <f t="shared" si="100"/>
        <v>2020-2021</v>
      </c>
      <c r="H166" s="11">
        <f t="shared" si="101"/>
        <v>2</v>
      </c>
      <c r="I166" s="10">
        <f>IF(EDATE(I165,3)&gt;$F$157,$F$157,EDATE(I165,3))</f>
        <v>44104</v>
      </c>
      <c r="J166" s="12">
        <f t="shared" si="112"/>
        <v>651754.12844036706</v>
      </c>
      <c r="K166" s="12">
        <f t="shared" si="106"/>
        <v>14784.997762976</v>
      </c>
      <c r="L166" s="12">
        <v>0</v>
      </c>
      <c r="M166" s="12">
        <f t="shared" si="111"/>
        <v>-14784.997762976</v>
      </c>
      <c r="N166" s="12">
        <f t="shared" si="108"/>
        <v>699966.07766746276</v>
      </c>
      <c r="O166" s="13">
        <f t="shared" si="102"/>
        <v>126511.72602739724</v>
      </c>
      <c r="P166" s="12">
        <f t="shared" si="109"/>
        <v>935342.4077666176</v>
      </c>
      <c r="Q166" s="12">
        <f t="shared" si="110"/>
        <v>164534.41972185238</v>
      </c>
      <c r="R166" s="12">
        <f t="shared" si="103"/>
        <v>770807.9880447652</v>
      </c>
    </row>
    <row r="167" spans="1:18" x14ac:dyDescent="0.2">
      <c r="A167" s="3">
        <v>1005</v>
      </c>
      <c r="B167" s="3">
        <f t="shared" si="104"/>
        <v>66</v>
      </c>
      <c r="C167" s="9">
        <f>VLOOKUP(A167,'BASE DATA'!A:S,11,0)</f>
        <v>59201</v>
      </c>
      <c r="D167" s="9">
        <f t="shared" si="105"/>
        <v>128458.0602739726</v>
      </c>
      <c r="E167" s="19" t="str">
        <f>VLOOKUP($A167,'BASE DATA'!$A:$S,13,0)</f>
        <v>Yearly</v>
      </c>
      <c r="F167" s="88">
        <f>VLOOKUP($A167,'BASE DATA'!$A:$S,10,0)</f>
        <v>44535</v>
      </c>
      <c r="G167" s="3" t="str">
        <f t="shared" si="100"/>
        <v>2020-2021</v>
      </c>
      <c r="H167" s="11">
        <f t="shared" si="101"/>
        <v>3</v>
      </c>
      <c r="I167" s="10">
        <v>44170</v>
      </c>
      <c r="J167" s="12">
        <f t="shared" si="112"/>
        <v>651754.12844036706</v>
      </c>
      <c r="K167" s="12">
        <f>((+J167*$F$2)/365)*(I167-I166)-161</f>
        <v>10445.628829961042</v>
      </c>
      <c r="L167" s="12">
        <f>+L162</f>
        <v>710412</v>
      </c>
      <c r="M167" s="13">
        <f>L167-SUM(K163:K167)</f>
        <v>651754.42194294324</v>
      </c>
      <c r="N167" s="12">
        <f t="shared" si="108"/>
        <v>-0.29350257618352771</v>
      </c>
      <c r="O167" s="13">
        <f t="shared" si="102"/>
        <v>708465.66575342463</v>
      </c>
      <c r="P167" s="12">
        <f t="shared" si="109"/>
        <v>770807.9880447652</v>
      </c>
      <c r="Q167" s="12">
        <f t="shared" si="110"/>
        <v>118035.56197437237</v>
      </c>
      <c r="R167" s="12">
        <f t="shared" si="103"/>
        <v>652772.42607039283</v>
      </c>
    </row>
    <row r="168" spans="1:18" x14ac:dyDescent="0.2">
      <c r="A168" s="3">
        <v>1005</v>
      </c>
      <c r="B168" s="3">
        <f t="shared" si="104"/>
        <v>26</v>
      </c>
      <c r="C168" s="9">
        <f>VLOOKUP(A168,'BASE DATA'!A:S,11,0)</f>
        <v>59201</v>
      </c>
      <c r="D168" s="9">
        <f>(C168*12)/366*B168</f>
        <v>50466.426229508201</v>
      </c>
      <c r="E168" s="19" t="str">
        <f>VLOOKUP($A168,'BASE DATA'!$A:$S,13,0)</f>
        <v>Yearly</v>
      </c>
      <c r="F168" s="88">
        <f>VLOOKUP($A168,'BASE DATA'!$A:$S,10,0)</f>
        <v>44535</v>
      </c>
      <c r="G168" s="3" t="str">
        <f t="shared" si="100"/>
        <v>2020-2021</v>
      </c>
      <c r="H168" s="11">
        <f t="shared" si="101"/>
        <v>3</v>
      </c>
      <c r="I168" s="10">
        <f>IF(EDATE(I166,3)&gt;$F$157,$F$157,EDATE(I166,3)+1)</f>
        <v>44196</v>
      </c>
      <c r="J168" s="12">
        <f>+N167</f>
        <v>-0.29350257618352771</v>
      </c>
      <c r="K168" s="12">
        <f t="shared" si="106"/>
        <v>-1.88163295416289E-3</v>
      </c>
      <c r="L168" s="12">
        <f>+L163*1.1</f>
        <v>0</v>
      </c>
      <c r="M168" s="12">
        <f t="shared" ref="M168:M171" si="113">+L168-K168</f>
        <v>1.88163295416289E-3</v>
      </c>
      <c r="N168" s="12">
        <f t="shared" si="108"/>
        <v>-0.29538420913769059</v>
      </c>
      <c r="O168" s="13">
        <f t="shared" si="102"/>
        <v>657999.23952391639</v>
      </c>
      <c r="P168" s="12">
        <f t="shared" si="109"/>
        <v>652772.42607039283</v>
      </c>
      <c r="Q168" s="12">
        <f t="shared" si="110"/>
        <v>46498.857747480026</v>
      </c>
      <c r="R168" s="12">
        <f t="shared" si="103"/>
        <v>606273.56832291279</v>
      </c>
    </row>
    <row r="169" spans="1:18" x14ac:dyDescent="0.2">
      <c r="A169" s="3">
        <v>1005</v>
      </c>
      <c r="B169" s="3">
        <f t="shared" si="104"/>
        <v>90</v>
      </c>
      <c r="C169" s="9">
        <f>VLOOKUP(A169,'BASE DATA'!A:S,11,0)</f>
        <v>59201</v>
      </c>
      <c r="D169" s="9">
        <f t="shared" ref="D169:D172" si="114">(C169*12)/366*B169</f>
        <v>174691.47540983607</v>
      </c>
      <c r="E169" s="19" t="str">
        <f>VLOOKUP($A169,'BASE DATA'!$A:$S,13,0)</f>
        <v>Yearly</v>
      </c>
      <c r="F169" s="88">
        <f>VLOOKUP($A169,'BASE DATA'!$A:$S,10,0)</f>
        <v>44535</v>
      </c>
      <c r="G169" s="3" t="str">
        <f t="shared" si="100"/>
        <v>2020-2021</v>
      </c>
      <c r="H169" s="11">
        <f t="shared" si="101"/>
        <v>4</v>
      </c>
      <c r="I169" s="10">
        <f>IF(EDATE(I168,3)&gt;$F$157,$F$157,EDATE(I168,3))</f>
        <v>44286</v>
      </c>
      <c r="J169" s="12">
        <f>+J168</f>
        <v>-0.29350257618352771</v>
      </c>
      <c r="K169" s="12">
        <f t="shared" si="106"/>
        <v>-6.5133448413330804E-3</v>
      </c>
      <c r="L169" s="12">
        <v>0</v>
      </c>
      <c r="M169" s="12">
        <f t="shared" si="113"/>
        <v>6.5133448413330804E-3</v>
      </c>
      <c r="N169" s="12">
        <f t="shared" si="108"/>
        <v>-0.30189755397902368</v>
      </c>
      <c r="O169" s="13">
        <f t="shared" si="102"/>
        <v>483307.76411408035</v>
      </c>
      <c r="P169" s="12">
        <f t="shared" si="109"/>
        <v>606273.56832291279</v>
      </c>
      <c r="Q169" s="12">
        <f t="shared" si="110"/>
        <v>160957.58451050776</v>
      </c>
      <c r="R169" s="12">
        <f t="shared" si="103"/>
        <v>445315.98381240503</v>
      </c>
    </row>
    <row r="170" spans="1:18" x14ac:dyDescent="0.2">
      <c r="A170" s="3">
        <v>1005</v>
      </c>
      <c r="B170" s="3">
        <f t="shared" si="104"/>
        <v>91</v>
      </c>
      <c r="C170" s="9">
        <f>VLOOKUP(A170,'BASE DATA'!A:S,11,0)</f>
        <v>59201</v>
      </c>
      <c r="D170" s="9">
        <f t="shared" si="114"/>
        <v>176632.49180327868</v>
      </c>
      <c r="E170" s="19" t="str">
        <f>VLOOKUP($A170,'BASE DATA'!$A:$S,13,0)</f>
        <v>Yearly</v>
      </c>
      <c r="F170" s="88">
        <f>VLOOKUP($A170,'BASE DATA'!$A:$S,10,0)</f>
        <v>44535</v>
      </c>
      <c r="G170" s="3" t="str">
        <f t="shared" si="100"/>
        <v>2021-2022</v>
      </c>
      <c r="H170" s="11">
        <f t="shared" si="101"/>
        <v>1</v>
      </c>
      <c r="I170" s="10">
        <f>IF(EDATE(I169,3)&gt;$F$157,$F$157,EDATE(I169,3))</f>
        <v>44377</v>
      </c>
      <c r="J170" s="12">
        <f t="shared" ref="J170:J172" si="115">+J169</f>
        <v>-0.29350257618352771</v>
      </c>
      <c r="K170" s="12">
        <f t="shared" si="106"/>
        <v>-6.5857153395701149E-3</v>
      </c>
      <c r="L170" s="12">
        <v>0</v>
      </c>
      <c r="M170" s="12">
        <f t="shared" si="113"/>
        <v>6.5857153395701149E-3</v>
      </c>
      <c r="N170" s="12">
        <f t="shared" si="108"/>
        <v>-0.30848326931859382</v>
      </c>
      <c r="O170" s="13">
        <f t="shared" si="102"/>
        <v>306675.27231080167</v>
      </c>
      <c r="P170" s="12">
        <f t="shared" si="109"/>
        <v>445315.98381240503</v>
      </c>
      <c r="Q170" s="12">
        <f t="shared" si="110"/>
        <v>162746.00211618008</v>
      </c>
      <c r="R170" s="12">
        <f t="shared" si="103"/>
        <v>282569.98169622495</v>
      </c>
    </row>
    <row r="171" spans="1:18" x14ac:dyDescent="0.2">
      <c r="A171" s="3">
        <v>1005</v>
      </c>
      <c r="B171" s="3">
        <f t="shared" si="104"/>
        <v>92</v>
      </c>
      <c r="C171" s="9">
        <f>VLOOKUP(A171,'BASE DATA'!A:S,11,0)</f>
        <v>59201</v>
      </c>
      <c r="D171" s="9">
        <f t="shared" si="114"/>
        <v>178573.50819672132</v>
      </c>
      <c r="E171" s="19" t="str">
        <f>VLOOKUP($A171,'BASE DATA'!$A:$S,13,0)</f>
        <v>Yearly</v>
      </c>
      <c r="F171" s="88">
        <f>VLOOKUP($A171,'BASE DATA'!$A:$S,10,0)</f>
        <v>44535</v>
      </c>
      <c r="G171" s="3" t="str">
        <f t="shared" si="100"/>
        <v>2021-2022</v>
      </c>
      <c r="H171" s="11">
        <f t="shared" si="101"/>
        <v>2</v>
      </c>
      <c r="I171" s="10">
        <f>IF(EDATE(I170,3)&gt;$F$157,$F$157,EDATE(I170,3))</f>
        <v>44469</v>
      </c>
      <c r="J171" s="12">
        <f t="shared" si="115"/>
        <v>-0.29350257618352771</v>
      </c>
      <c r="K171" s="12">
        <f t="shared" si="106"/>
        <v>-6.6580858378071494E-3</v>
      </c>
      <c r="L171" s="12">
        <v>0</v>
      </c>
      <c r="M171" s="12">
        <f t="shared" si="113"/>
        <v>6.6580858378071494E-3</v>
      </c>
      <c r="N171" s="12">
        <f t="shared" si="108"/>
        <v>-0.31514135515640096</v>
      </c>
      <c r="O171" s="13">
        <f t="shared" si="102"/>
        <v>128101.76411408035</v>
      </c>
      <c r="P171" s="12">
        <f t="shared" si="109"/>
        <v>282569.98169622495</v>
      </c>
      <c r="Q171" s="12">
        <f t="shared" si="110"/>
        <v>164534.41972185238</v>
      </c>
      <c r="R171" s="12">
        <f t="shared" si="103"/>
        <v>118035.56197437257</v>
      </c>
    </row>
    <row r="172" spans="1:18" x14ac:dyDescent="0.2">
      <c r="A172" s="3">
        <v>1005</v>
      </c>
      <c r="B172" s="3">
        <f t="shared" si="104"/>
        <v>66</v>
      </c>
      <c r="C172" s="9">
        <f>VLOOKUP(A172,'BASE DATA'!A:S,11,0)</f>
        <v>59201</v>
      </c>
      <c r="D172" s="9">
        <f t="shared" si="114"/>
        <v>128107.08196721312</v>
      </c>
      <c r="E172" s="19" t="str">
        <f>VLOOKUP($A172,'BASE DATA'!$A:$S,13,0)</f>
        <v>Yearly</v>
      </c>
      <c r="F172" s="88">
        <f>VLOOKUP($A172,'BASE DATA'!$A:$S,10,0)</f>
        <v>44535</v>
      </c>
      <c r="G172" s="3" t="str">
        <f t="shared" si="100"/>
        <v>2021-2022</v>
      </c>
      <c r="H172" s="11">
        <f t="shared" si="101"/>
        <v>3</v>
      </c>
      <c r="I172" s="10">
        <f>IF(EDATE(I171,3)&gt;$F$157,$F$157,EDATE(I171,3))</f>
        <v>44535</v>
      </c>
      <c r="J172" s="12">
        <f t="shared" si="115"/>
        <v>-0.29350257618352771</v>
      </c>
      <c r="K172" s="12">
        <f t="shared" si="106"/>
        <v>-4.7764528836442589E-3</v>
      </c>
      <c r="L172" s="12">
        <v>0</v>
      </c>
      <c r="M172" s="13">
        <f>L172-SUM(K168:K172)</f>
        <v>2.6415231856517497E-2</v>
      </c>
      <c r="N172" s="12">
        <f t="shared" si="108"/>
        <v>-0.31991780804004522</v>
      </c>
      <c r="O172" s="13">
        <f t="shared" si="102"/>
        <v>-5.317853132772143</v>
      </c>
      <c r="P172" s="12">
        <f t="shared" si="109"/>
        <v>118035.56197437257</v>
      </c>
      <c r="Q172" s="12">
        <f t="shared" si="110"/>
        <v>118035.56197437237</v>
      </c>
      <c r="R172" s="12">
        <f t="shared" si="103"/>
        <v>2.0372681319713593E-10</v>
      </c>
    </row>
    <row r="173" spans="1:18" x14ac:dyDescent="0.2">
      <c r="C173" s="9"/>
      <c r="D173" s="9"/>
      <c r="E173" s="19"/>
      <c r="F173" s="88"/>
      <c r="H173" s="11"/>
      <c r="I173" s="10"/>
      <c r="J173" s="12"/>
      <c r="K173" s="12"/>
      <c r="L173" s="12"/>
      <c r="M173" s="12"/>
      <c r="N173" s="12"/>
      <c r="P173" s="12"/>
      <c r="Q173" s="12"/>
      <c r="R173" s="12"/>
    </row>
    <row r="174" spans="1:18" x14ac:dyDescent="0.2">
      <c r="C174" s="9"/>
      <c r="D174" s="9"/>
      <c r="E174" s="19"/>
      <c r="F174" s="88"/>
      <c r="H174" s="11"/>
      <c r="I174" s="10"/>
      <c r="J174" s="12"/>
      <c r="K174" s="12"/>
      <c r="L174" s="12"/>
      <c r="M174" s="12"/>
      <c r="N174" s="12"/>
      <c r="P174" s="12"/>
      <c r="Q174" s="12"/>
      <c r="R174" s="12"/>
    </row>
    <row r="175" spans="1:18" x14ac:dyDescent="0.2">
      <c r="A175" s="3">
        <v>1006</v>
      </c>
      <c r="C175" s="9">
        <f>VLOOKUP($A175,'BASE DATA'!$A:$S,11,0)</f>
        <v>34333</v>
      </c>
      <c r="D175" s="9">
        <f>+C175*B175</f>
        <v>0</v>
      </c>
      <c r="E175" s="19" t="str">
        <f>VLOOKUP($A175,'BASE DATA'!$A:$S,13,0)</f>
        <v>Yearly</v>
      </c>
      <c r="F175" s="88">
        <f>VLOOKUP($A175,'BASE DATA'!$A:$S,10,0)</f>
        <v>44305</v>
      </c>
      <c r="G175" s="3" t="str">
        <f t="shared" ref="G175:G190" si="116">IF(AND(MONTH(I175)&gt;0,MONTH(I175)&lt;=3),YEAR(I175)-1&amp;"-"&amp;YEAR(I175),YEAR(I175)&amp;"-"&amp;YEAR(I175)+1)</f>
        <v>2018-2019</v>
      </c>
      <c r="H175" s="11">
        <f t="shared" ref="H175:H190" si="117">IF(AND(MONTH(I175)&gt;3,MONTH(I175)&lt;=6),1,IF(AND(MONTH(I175)&gt;6,MONTH(I175)&lt;=9),2,IF(AND(MONTH(I175)&gt;9,MONTH(I175)&lt;=12),3,4)))</f>
        <v>1</v>
      </c>
      <c r="I175" s="22">
        <f>VLOOKUP($A175,'BASE DATA'!$A:$S,9,0)</f>
        <v>43240</v>
      </c>
      <c r="J175" s="12">
        <f>VLOOKUP($A175,'BASE DATA'!$A:$T,20,0)</f>
        <v>1136753.8086019694</v>
      </c>
      <c r="K175" s="12">
        <v>0</v>
      </c>
      <c r="L175" s="12">
        <f>VLOOKUP($A175,'BASE DATA'!$A:$S,12,0)</f>
        <v>412000</v>
      </c>
      <c r="M175" s="12">
        <f>+L175-K175</f>
        <v>412000</v>
      </c>
      <c r="N175" s="12">
        <f>+J175-M175</f>
        <v>724753.80860196939</v>
      </c>
      <c r="O175" s="13">
        <f t="shared" ref="O175:O190" si="118">IF(E175="Monthly","",O174-D175+L175)</f>
        <v>412000</v>
      </c>
      <c r="P175" s="12">
        <f>+J175</f>
        <v>1136753.8086019694</v>
      </c>
      <c r="Q175" s="12">
        <v>0</v>
      </c>
      <c r="R175" s="12">
        <f>+J175-Q175</f>
        <v>1136753.8086019694</v>
      </c>
    </row>
    <row r="176" spans="1:18" x14ac:dyDescent="0.2">
      <c r="A176" s="3">
        <v>1006</v>
      </c>
      <c r="B176" s="3">
        <f>I176-I175</f>
        <v>41</v>
      </c>
      <c r="C176" s="9">
        <f>VLOOKUP(A176,'BASE DATA'!A:S,11,0)</f>
        <v>34333</v>
      </c>
      <c r="D176" s="9">
        <f>(C176*12)/365*B176</f>
        <v>46279.002739726027</v>
      </c>
      <c r="E176" s="19" t="str">
        <f>VLOOKUP($A176,'BASE DATA'!$A:$S,13,0)</f>
        <v>Yearly</v>
      </c>
      <c r="F176" s="88">
        <f>VLOOKUP($A176,'BASE DATA'!$A:$S,10,0)</f>
        <v>44305</v>
      </c>
      <c r="G176" s="3" t="str">
        <f t="shared" si="116"/>
        <v>2018-2019</v>
      </c>
      <c r="H176" s="11">
        <f t="shared" si="117"/>
        <v>1</v>
      </c>
      <c r="I176" s="10">
        <v>43281</v>
      </c>
      <c r="J176" s="12">
        <f>+N175</f>
        <v>724753.80860196939</v>
      </c>
      <c r="K176" s="12">
        <f>((+J176*$F$2)/365)*(I176-I175)</f>
        <v>7326.9631609349781</v>
      </c>
      <c r="L176" s="12">
        <v>0</v>
      </c>
      <c r="M176" s="12">
        <f>+L176-K176</f>
        <v>-7326.9631609349781</v>
      </c>
      <c r="N176" s="12">
        <f>+N175+K176-L176</f>
        <v>732080.77176290436</v>
      </c>
      <c r="O176" s="13">
        <f t="shared" si="118"/>
        <v>365720.99726027396</v>
      </c>
      <c r="P176" s="12">
        <f>+R175</f>
        <v>1136753.8086019694</v>
      </c>
      <c r="Q176" s="12">
        <f>+($P$175/($F$175-$I$175))*(I176-I175)</f>
        <v>43762.353195005395</v>
      </c>
      <c r="R176" s="12">
        <f t="shared" ref="R176:R190" si="119">+P176-Q176</f>
        <v>1092991.4554069641</v>
      </c>
    </row>
    <row r="177" spans="1:18" x14ac:dyDescent="0.2">
      <c r="A177" s="3">
        <v>1006</v>
      </c>
      <c r="B177" s="3">
        <f t="shared" ref="B177:B190" si="120">I177-I176</f>
        <v>92</v>
      </c>
      <c r="C177" s="9">
        <f>VLOOKUP(A177,'BASE DATA'!A:S,11,0)</f>
        <v>34333</v>
      </c>
      <c r="D177" s="9">
        <f t="shared" ref="D177:D179" si="121">(C177*12)/365*B177</f>
        <v>103845.56712328766</v>
      </c>
      <c r="E177" s="19" t="str">
        <f>VLOOKUP($A177,'BASE DATA'!$A:$S,13,0)</f>
        <v>Yearly</v>
      </c>
      <c r="F177" s="88">
        <f>VLOOKUP($A177,'BASE DATA'!$A:$S,10,0)</f>
        <v>44305</v>
      </c>
      <c r="G177" s="3" t="str">
        <f t="shared" si="116"/>
        <v>2018-2019</v>
      </c>
      <c r="H177" s="11">
        <f t="shared" si="117"/>
        <v>2</v>
      </c>
      <c r="I177" s="10">
        <f>IF(EDATE(I176,3)&gt;$F$175,$F$175,EDATE(I176,3))</f>
        <v>43373</v>
      </c>
      <c r="J177" s="12">
        <f>+J176</f>
        <v>724753.80860196939</v>
      </c>
      <c r="K177" s="12">
        <f t="shared" ref="K177:K190" si="122">((+J177*$F$2)/365)*(I177-I176)</f>
        <v>16440.990507463852</v>
      </c>
      <c r="L177" s="12">
        <v>0</v>
      </c>
      <c r="M177" s="12">
        <f t="shared" ref="M177:M179" si="123">+L177-K177</f>
        <v>-16440.990507463852</v>
      </c>
      <c r="N177" s="12">
        <f t="shared" ref="N177:N190" si="124">+N176+K177-L177</f>
        <v>748521.76227036817</v>
      </c>
      <c r="O177" s="13">
        <f t="shared" si="118"/>
        <v>261875.43013698631</v>
      </c>
      <c r="P177" s="12">
        <f t="shared" ref="P177:P190" si="125">+R176</f>
        <v>1092991.4554069641</v>
      </c>
      <c r="Q177" s="12">
        <f t="shared" ref="Q177:Q190" si="126">+($P$175/($F$175-$I$175))*(I177-I176)</f>
        <v>98198.451071719421</v>
      </c>
      <c r="R177" s="12">
        <f t="shared" si="119"/>
        <v>994793.00433524465</v>
      </c>
    </row>
    <row r="178" spans="1:18" x14ac:dyDescent="0.2">
      <c r="A178" s="3">
        <v>1006</v>
      </c>
      <c r="B178" s="3">
        <f t="shared" si="120"/>
        <v>92</v>
      </c>
      <c r="C178" s="9">
        <f>VLOOKUP(A178,'BASE DATA'!A:S,11,0)</f>
        <v>34333</v>
      </c>
      <c r="D178" s="9">
        <f t="shared" si="121"/>
        <v>103845.56712328766</v>
      </c>
      <c r="E178" s="19" t="str">
        <f>VLOOKUP($A178,'BASE DATA'!$A:$S,13,0)</f>
        <v>Yearly</v>
      </c>
      <c r="F178" s="88">
        <f>VLOOKUP($A178,'BASE DATA'!$A:$S,10,0)</f>
        <v>44305</v>
      </c>
      <c r="G178" s="3" t="str">
        <f t="shared" si="116"/>
        <v>2018-2019</v>
      </c>
      <c r="H178" s="11">
        <f t="shared" si="117"/>
        <v>3</v>
      </c>
      <c r="I178" s="10">
        <f>IF(EDATE(I177,3)&gt;$F$175,$F$175,EDATE(I177,3)+1)</f>
        <v>43465</v>
      </c>
      <c r="J178" s="12">
        <f>+J177</f>
        <v>724753.80860196939</v>
      </c>
      <c r="K178" s="12">
        <f t="shared" si="122"/>
        <v>16440.990507463852</v>
      </c>
      <c r="L178" s="12">
        <v>0</v>
      </c>
      <c r="M178" s="12">
        <f t="shared" si="123"/>
        <v>-16440.990507463852</v>
      </c>
      <c r="N178" s="12">
        <f t="shared" si="124"/>
        <v>764962.75277783198</v>
      </c>
      <c r="O178" s="13">
        <f t="shared" si="118"/>
        <v>158029.86301369866</v>
      </c>
      <c r="P178" s="12">
        <f t="shared" si="125"/>
        <v>994793.00433524465</v>
      </c>
      <c r="Q178" s="12">
        <f t="shared" si="126"/>
        <v>98198.451071719421</v>
      </c>
      <c r="R178" s="12">
        <f t="shared" si="119"/>
        <v>896594.55326352525</v>
      </c>
    </row>
    <row r="179" spans="1:18" x14ac:dyDescent="0.2">
      <c r="A179" s="3">
        <v>1006</v>
      </c>
      <c r="B179" s="3">
        <f t="shared" si="120"/>
        <v>90</v>
      </c>
      <c r="C179" s="9">
        <f>VLOOKUP(A179,'BASE DATA'!A:S,11,0)</f>
        <v>34333</v>
      </c>
      <c r="D179" s="9">
        <f t="shared" si="121"/>
        <v>101588.05479452055</v>
      </c>
      <c r="E179" s="19" t="str">
        <f>VLOOKUP($A179,'BASE DATA'!$A:$S,13,0)</f>
        <v>Yearly</v>
      </c>
      <c r="F179" s="88">
        <f>VLOOKUP($A179,'BASE DATA'!$A:$S,10,0)</f>
        <v>44305</v>
      </c>
      <c r="G179" s="3" t="str">
        <f t="shared" si="116"/>
        <v>2018-2019</v>
      </c>
      <c r="H179" s="11">
        <f t="shared" si="117"/>
        <v>4</v>
      </c>
      <c r="I179" s="10">
        <f>IF(EDATE(I178,3)&gt;$F$175,$F$175,EDATE(I178,3))</f>
        <v>43555</v>
      </c>
      <c r="J179" s="12">
        <f>+J178</f>
        <v>724753.80860196939</v>
      </c>
      <c r="K179" s="12">
        <f t="shared" si="122"/>
        <v>16083.577670345074</v>
      </c>
      <c r="L179" s="12">
        <v>0</v>
      </c>
      <c r="M179" s="12">
        <f t="shared" si="123"/>
        <v>-16083.577670345074</v>
      </c>
      <c r="N179" s="12">
        <f t="shared" si="124"/>
        <v>781046.33044817706</v>
      </c>
      <c r="O179" s="13">
        <f t="shared" si="118"/>
        <v>56441.808219178114</v>
      </c>
      <c r="P179" s="12">
        <f t="shared" si="125"/>
        <v>896594.55326352525</v>
      </c>
      <c r="Q179" s="12">
        <f t="shared" si="126"/>
        <v>96063.702135377695</v>
      </c>
      <c r="R179" s="12">
        <f t="shared" si="119"/>
        <v>800530.85112814757</v>
      </c>
    </row>
    <row r="180" spans="1:18" x14ac:dyDescent="0.2">
      <c r="A180" s="3">
        <v>1006</v>
      </c>
      <c r="B180" s="3">
        <f t="shared" si="120"/>
        <v>50</v>
      </c>
      <c r="C180" s="9">
        <f>VLOOKUP(A180,'BASE DATA'!A:S,11,0)</f>
        <v>34333</v>
      </c>
      <c r="D180" s="9">
        <f t="shared" ref="D180:D183" si="127">(C180*12)/366*B180</f>
        <v>56283.606557377047</v>
      </c>
      <c r="E180" s="19" t="str">
        <f>VLOOKUP($A180,'BASE DATA'!$A:$S,13,0)</f>
        <v>Yearly</v>
      </c>
      <c r="F180" s="88">
        <f>VLOOKUP($A180,'BASE DATA'!$A:$S,10,0)</f>
        <v>44305</v>
      </c>
      <c r="G180" s="3" t="str">
        <f t="shared" si="116"/>
        <v>2019-2020</v>
      </c>
      <c r="H180" s="11">
        <f t="shared" si="117"/>
        <v>1</v>
      </c>
      <c r="I180" s="10">
        <v>43605</v>
      </c>
      <c r="J180" s="12">
        <f>+J179</f>
        <v>724753.80860196939</v>
      </c>
      <c r="K180" s="12">
        <f t="shared" si="122"/>
        <v>8935.3209279694856</v>
      </c>
      <c r="L180" s="12">
        <f>+L175</f>
        <v>412000</v>
      </c>
      <c r="M180" s="13">
        <f>L180-SUM(K175:K180)</f>
        <v>346772.15722582274</v>
      </c>
      <c r="N180" s="12">
        <f t="shared" si="124"/>
        <v>377981.65137614659</v>
      </c>
      <c r="O180" s="13">
        <f t="shared" si="118"/>
        <v>412158.20166180108</v>
      </c>
      <c r="P180" s="12">
        <f t="shared" si="125"/>
        <v>800530.85112814757</v>
      </c>
      <c r="Q180" s="12">
        <f t="shared" si="126"/>
        <v>53368.72340854317</v>
      </c>
      <c r="R180" s="12">
        <f t="shared" si="119"/>
        <v>747162.12771960441</v>
      </c>
    </row>
    <row r="181" spans="1:18" x14ac:dyDescent="0.2">
      <c r="A181" s="3">
        <v>1006</v>
      </c>
      <c r="B181" s="3">
        <f t="shared" si="120"/>
        <v>41</v>
      </c>
      <c r="C181" s="9">
        <f>VLOOKUP(A181,'BASE DATA'!A:S,11,0)</f>
        <v>34333</v>
      </c>
      <c r="D181" s="9">
        <f t="shared" si="127"/>
        <v>46152.557377049183</v>
      </c>
      <c r="E181" s="19" t="str">
        <f>VLOOKUP($A181,'BASE DATA'!$A:$S,13,0)</f>
        <v>Yearly</v>
      </c>
      <c r="F181" s="88">
        <f>VLOOKUP($A181,'BASE DATA'!$A:$S,10,0)</f>
        <v>44305</v>
      </c>
      <c r="G181" s="3" t="str">
        <f t="shared" si="116"/>
        <v>2019-2020</v>
      </c>
      <c r="H181" s="11">
        <f t="shared" si="117"/>
        <v>1</v>
      </c>
      <c r="I181" s="10">
        <f>IF(EDATE(I179,3)&gt;$F$175,$F$175,EDATE(I179,3))</f>
        <v>43646</v>
      </c>
      <c r="J181" s="12">
        <f>+N180</f>
        <v>377981.65137614659</v>
      </c>
      <c r="K181" s="12">
        <f t="shared" si="122"/>
        <v>3821.2391604876188</v>
      </c>
      <c r="L181" s="12">
        <v>0</v>
      </c>
      <c r="M181" s="12">
        <f t="shared" ref="M181:M184" si="128">+L181-K181</f>
        <v>-3821.2391604876188</v>
      </c>
      <c r="N181" s="12">
        <f t="shared" si="124"/>
        <v>381802.89053663419</v>
      </c>
      <c r="O181" s="13">
        <f t="shared" si="118"/>
        <v>366005.64428475191</v>
      </c>
      <c r="P181" s="12">
        <f t="shared" si="125"/>
        <v>747162.12771960441</v>
      </c>
      <c r="Q181" s="12">
        <f t="shared" si="126"/>
        <v>43762.353195005395</v>
      </c>
      <c r="R181" s="12">
        <f t="shared" si="119"/>
        <v>703399.77452459896</v>
      </c>
    </row>
    <row r="182" spans="1:18" x14ac:dyDescent="0.2">
      <c r="A182" s="3">
        <v>1006</v>
      </c>
      <c r="B182" s="3">
        <f t="shared" si="120"/>
        <v>92</v>
      </c>
      <c r="C182" s="9">
        <f>VLOOKUP(A182,'BASE DATA'!A:S,11,0)</f>
        <v>34333</v>
      </c>
      <c r="D182" s="9">
        <f t="shared" si="127"/>
        <v>103561.83606557378</v>
      </c>
      <c r="E182" s="19" t="str">
        <f>VLOOKUP($A182,'BASE DATA'!$A:$S,13,0)</f>
        <v>Yearly</v>
      </c>
      <c r="F182" s="88">
        <f>VLOOKUP($A182,'BASE DATA'!$A:$S,10,0)</f>
        <v>44305</v>
      </c>
      <c r="G182" s="3" t="str">
        <f t="shared" si="116"/>
        <v>2019-2020</v>
      </c>
      <c r="H182" s="11">
        <f t="shared" si="117"/>
        <v>2</v>
      </c>
      <c r="I182" s="10">
        <f>IF(EDATE(I181,3)&gt;$F$175,$F$175,EDATE(I181,3))</f>
        <v>43738</v>
      </c>
      <c r="J182" s="12">
        <f>+J181</f>
        <v>377981.65137614659</v>
      </c>
      <c r="K182" s="12">
        <f t="shared" si="122"/>
        <v>8574.4878723136808</v>
      </c>
      <c r="L182" s="12">
        <v>0</v>
      </c>
      <c r="M182" s="12">
        <f t="shared" si="128"/>
        <v>-8574.4878723136808</v>
      </c>
      <c r="N182" s="12">
        <f t="shared" si="124"/>
        <v>390377.3784089479</v>
      </c>
      <c r="O182" s="13">
        <f t="shared" si="118"/>
        <v>262443.80821917811</v>
      </c>
      <c r="P182" s="12">
        <f t="shared" si="125"/>
        <v>703399.77452459896</v>
      </c>
      <c r="Q182" s="12">
        <f t="shared" si="126"/>
        <v>98198.451071719421</v>
      </c>
      <c r="R182" s="12">
        <f t="shared" si="119"/>
        <v>605201.32345287956</v>
      </c>
    </row>
    <row r="183" spans="1:18" x14ac:dyDescent="0.2">
      <c r="A183" s="3">
        <v>1006</v>
      </c>
      <c r="B183" s="3">
        <f t="shared" si="120"/>
        <v>92</v>
      </c>
      <c r="C183" s="9">
        <f>VLOOKUP(A183,'BASE DATA'!A:S,11,0)</f>
        <v>34333</v>
      </c>
      <c r="D183" s="9">
        <f t="shared" si="127"/>
        <v>103561.83606557378</v>
      </c>
      <c r="E183" s="19" t="str">
        <f>VLOOKUP($A183,'BASE DATA'!$A:$S,13,0)</f>
        <v>Yearly</v>
      </c>
      <c r="F183" s="88">
        <f>VLOOKUP($A183,'BASE DATA'!$A:$S,10,0)</f>
        <v>44305</v>
      </c>
      <c r="G183" s="3" t="str">
        <f t="shared" si="116"/>
        <v>2019-2020</v>
      </c>
      <c r="H183" s="11">
        <f t="shared" si="117"/>
        <v>3</v>
      </c>
      <c r="I183" s="10">
        <f>IF(EDATE(I182,3)&gt;$F$175,$F$175,EDATE(I182,3)+1)</f>
        <v>43830</v>
      </c>
      <c r="J183" s="12">
        <f t="shared" ref="J183:J185" si="129">+J182</f>
        <v>377981.65137614659</v>
      </c>
      <c r="K183" s="12">
        <f t="shared" si="122"/>
        <v>8574.4878723136808</v>
      </c>
      <c r="L183" s="12">
        <v>0</v>
      </c>
      <c r="M183" s="12">
        <f t="shared" si="128"/>
        <v>-8574.4878723136808</v>
      </c>
      <c r="N183" s="12">
        <f t="shared" si="124"/>
        <v>398951.86628126161</v>
      </c>
      <c r="O183" s="13">
        <f t="shared" si="118"/>
        <v>158881.97215360432</v>
      </c>
      <c r="P183" s="12">
        <f t="shared" si="125"/>
        <v>605201.32345287956</v>
      </c>
      <c r="Q183" s="12">
        <f t="shared" si="126"/>
        <v>98198.451071719421</v>
      </c>
      <c r="R183" s="12">
        <f t="shared" si="119"/>
        <v>507002.87238116015</v>
      </c>
    </row>
    <row r="184" spans="1:18" x14ac:dyDescent="0.2">
      <c r="A184" s="3">
        <v>1006</v>
      </c>
      <c r="B184" s="3">
        <f t="shared" si="120"/>
        <v>91</v>
      </c>
      <c r="C184" s="9">
        <f>VLOOKUP(A184,'BASE DATA'!A:S,11,0)</f>
        <v>34333</v>
      </c>
      <c r="D184" s="9">
        <f>(C184*12)/366*B184</f>
        <v>102436.16393442624</v>
      </c>
      <c r="E184" s="19" t="str">
        <f>VLOOKUP($A184,'BASE DATA'!$A:$S,13,0)</f>
        <v>Yearly</v>
      </c>
      <c r="F184" s="88">
        <f>VLOOKUP($A184,'BASE DATA'!$A:$S,10,0)</f>
        <v>44305</v>
      </c>
      <c r="G184" s="3" t="str">
        <f t="shared" si="116"/>
        <v>2019-2020</v>
      </c>
      <c r="H184" s="11">
        <f t="shared" si="117"/>
        <v>4</v>
      </c>
      <c r="I184" s="10">
        <f>IF(EDATE(I183,3)&gt;$F$175,$F$175,EDATE(I183,3))</f>
        <v>43921</v>
      </c>
      <c r="J184" s="12">
        <f t="shared" si="129"/>
        <v>377981.65137614659</v>
      </c>
      <c r="K184" s="12">
        <f t="shared" si="122"/>
        <v>8481.2869171798375</v>
      </c>
      <c r="L184" s="12">
        <v>0</v>
      </c>
      <c r="M184" s="12">
        <f t="shared" si="128"/>
        <v>-8481.2869171798375</v>
      </c>
      <c r="N184" s="12">
        <f t="shared" si="124"/>
        <v>407433.15319844143</v>
      </c>
      <c r="O184" s="13">
        <f t="shared" si="118"/>
        <v>56445.808219178085</v>
      </c>
      <c r="P184" s="12">
        <f t="shared" si="125"/>
        <v>507002.87238116015</v>
      </c>
      <c r="Q184" s="12">
        <f t="shared" si="126"/>
        <v>97131.076603548558</v>
      </c>
      <c r="R184" s="12">
        <f t="shared" si="119"/>
        <v>409871.79577761161</v>
      </c>
    </row>
    <row r="185" spans="1:18" x14ac:dyDescent="0.2">
      <c r="A185" s="3">
        <v>1006</v>
      </c>
      <c r="B185" s="3">
        <f t="shared" si="120"/>
        <v>50</v>
      </c>
      <c r="C185" s="9">
        <f>VLOOKUP(A185,'BASE DATA'!A:S,11,0)</f>
        <v>34333</v>
      </c>
      <c r="D185" s="9">
        <f>(C185*12)/366*B185</f>
        <v>56283.606557377047</v>
      </c>
      <c r="E185" s="19" t="str">
        <f>VLOOKUP($A185,'BASE DATA'!$A:$S,13,0)</f>
        <v>Yearly</v>
      </c>
      <c r="F185" s="88">
        <f>VLOOKUP($A185,'BASE DATA'!$A:$S,10,0)</f>
        <v>44305</v>
      </c>
      <c r="G185" s="3" t="str">
        <f t="shared" si="116"/>
        <v>2020-2021</v>
      </c>
      <c r="H185" s="11">
        <f t="shared" si="117"/>
        <v>1</v>
      </c>
      <c r="I185" s="10">
        <v>43971</v>
      </c>
      <c r="J185" s="12">
        <f t="shared" si="129"/>
        <v>377981.65137614659</v>
      </c>
      <c r="K185" s="12">
        <f>((+J185*$F$2)/365)*(I185-I184)-93</f>
        <v>4567.0477566922182</v>
      </c>
      <c r="L185" s="12">
        <f>+L180</f>
        <v>412000</v>
      </c>
      <c r="M185" s="13">
        <f>L185-SUM(K181:K185)</f>
        <v>377981.45042101294</v>
      </c>
      <c r="N185" s="12">
        <f t="shared" si="124"/>
        <v>0.20095513365231454</v>
      </c>
      <c r="O185" s="13">
        <f t="shared" si="118"/>
        <v>412162.20166180102</v>
      </c>
      <c r="P185" s="12">
        <f t="shared" si="125"/>
        <v>409871.79577761161</v>
      </c>
      <c r="Q185" s="12">
        <f t="shared" si="126"/>
        <v>53368.72340854317</v>
      </c>
      <c r="R185" s="12">
        <f t="shared" si="119"/>
        <v>356503.07236906845</v>
      </c>
    </row>
    <row r="186" spans="1:18" x14ac:dyDescent="0.2">
      <c r="A186" s="3">
        <v>1006</v>
      </c>
      <c r="B186" s="3">
        <f t="shared" si="120"/>
        <v>41</v>
      </c>
      <c r="C186" s="9">
        <f>VLOOKUP(A186,'BASE DATA'!A:S,11,0)</f>
        <v>34333</v>
      </c>
      <c r="D186" s="9">
        <f>(C186*12)/365*B186</f>
        <v>46279.002739726027</v>
      </c>
      <c r="E186" s="19" t="str">
        <f>VLOOKUP($A186,'BASE DATA'!$A:$S,13,0)</f>
        <v>Yearly</v>
      </c>
      <c r="F186" s="88">
        <f>VLOOKUP($A186,'BASE DATA'!$A:$S,10,0)</f>
        <v>44305</v>
      </c>
      <c r="G186" s="3" t="str">
        <f t="shared" si="116"/>
        <v>2020-2021</v>
      </c>
      <c r="H186" s="11">
        <f t="shared" si="117"/>
        <v>1</v>
      </c>
      <c r="I186" s="10">
        <f>IF(EDATE(I184,3)&gt;$F$175,$F$175,EDATE(I184,3))</f>
        <v>44012</v>
      </c>
      <c r="J186" s="12">
        <f>+N185</f>
        <v>0.20095513365231454</v>
      </c>
      <c r="K186" s="12">
        <f t="shared" si="122"/>
        <v>2.0315738169233988E-3</v>
      </c>
      <c r="L186" s="12">
        <f>+L181*1.1</f>
        <v>0</v>
      </c>
      <c r="M186" s="12">
        <f t="shared" ref="M186:M189" si="130">+L186-K186</f>
        <v>-2.0315738169233988E-3</v>
      </c>
      <c r="N186" s="12">
        <f t="shared" si="124"/>
        <v>0.20298670746923794</v>
      </c>
      <c r="O186" s="13">
        <f t="shared" si="118"/>
        <v>365883.19892207498</v>
      </c>
      <c r="P186" s="12">
        <f t="shared" si="125"/>
        <v>356503.07236906845</v>
      </c>
      <c r="Q186" s="12">
        <f t="shared" si="126"/>
        <v>43762.353195005395</v>
      </c>
      <c r="R186" s="12">
        <f t="shared" si="119"/>
        <v>312740.71917406307</v>
      </c>
    </row>
    <row r="187" spans="1:18" x14ac:dyDescent="0.2">
      <c r="A187" s="3">
        <v>1006</v>
      </c>
      <c r="B187" s="3">
        <f t="shared" si="120"/>
        <v>92</v>
      </c>
      <c r="C187" s="9">
        <f>VLOOKUP(A187,'BASE DATA'!A:S,11,0)</f>
        <v>34333</v>
      </c>
      <c r="D187" s="9">
        <f t="shared" ref="D187:D189" si="131">(C187*12)/365*B187</f>
        <v>103845.56712328766</v>
      </c>
      <c r="E187" s="19" t="str">
        <f>VLOOKUP($A187,'BASE DATA'!$A:$S,13,0)</f>
        <v>Yearly</v>
      </c>
      <c r="F187" s="88">
        <f>VLOOKUP($A187,'BASE DATA'!$A:$S,10,0)</f>
        <v>44305</v>
      </c>
      <c r="G187" s="3" t="str">
        <f t="shared" si="116"/>
        <v>2020-2021</v>
      </c>
      <c r="H187" s="11">
        <f t="shared" si="117"/>
        <v>2</v>
      </c>
      <c r="I187" s="10">
        <f>IF(EDATE(I186,3)&gt;$F$175,$F$175,EDATE(I186,3))</f>
        <v>44104</v>
      </c>
      <c r="J187" s="12">
        <f>+J186</f>
        <v>0.20095513365231454</v>
      </c>
      <c r="K187" s="12">
        <f t="shared" si="122"/>
        <v>4.5586534428525049E-3</v>
      </c>
      <c r="L187" s="12">
        <v>0</v>
      </c>
      <c r="M187" s="12">
        <f t="shared" si="130"/>
        <v>-4.5586534428525049E-3</v>
      </c>
      <c r="N187" s="12">
        <f t="shared" si="124"/>
        <v>0.20754536091209044</v>
      </c>
      <c r="O187" s="13">
        <f t="shared" si="118"/>
        <v>262037.63179878733</v>
      </c>
      <c r="P187" s="12">
        <f t="shared" si="125"/>
        <v>312740.71917406307</v>
      </c>
      <c r="Q187" s="12">
        <f t="shared" si="126"/>
        <v>98198.451071719421</v>
      </c>
      <c r="R187" s="12">
        <f t="shared" si="119"/>
        <v>214542.26810234366</v>
      </c>
    </row>
    <row r="188" spans="1:18" x14ac:dyDescent="0.2">
      <c r="A188" s="3">
        <v>1006</v>
      </c>
      <c r="B188" s="3">
        <f t="shared" si="120"/>
        <v>92</v>
      </c>
      <c r="C188" s="9">
        <f>VLOOKUP(A188,'BASE DATA'!A:S,11,0)</f>
        <v>34333</v>
      </c>
      <c r="D188" s="9">
        <f t="shared" si="131"/>
        <v>103845.56712328766</v>
      </c>
      <c r="E188" s="19" t="str">
        <f>VLOOKUP($A188,'BASE DATA'!$A:$S,13,0)</f>
        <v>Yearly</v>
      </c>
      <c r="F188" s="88">
        <f>VLOOKUP($A188,'BASE DATA'!$A:$S,10,0)</f>
        <v>44305</v>
      </c>
      <c r="G188" s="3" t="str">
        <f t="shared" si="116"/>
        <v>2020-2021</v>
      </c>
      <c r="H188" s="11">
        <f t="shared" si="117"/>
        <v>3</v>
      </c>
      <c r="I188" s="10">
        <f>IF(EDATE(I187,3)&gt;$F$175,$F$175,EDATE(I187,3)+1)</f>
        <v>44196</v>
      </c>
      <c r="J188" s="12">
        <f t="shared" ref="J188:J190" si="132">+J187</f>
        <v>0.20095513365231454</v>
      </c>
      <c r="K188" s="12">
        <f t="shared" si="122"/>
        <v>4.5586534428525049E-3</v>
      </c>
      <c r="L188" s="12">
        <v>0</v>
      </c>
      <c r="M188" s="12">
        <f t="shared" si="130"/>
        <v>-4.5586534428525049E-3</v>
      </c>
      <c r="N188" s="12">
        <f t="shared" si="124"/>
        <v>0.21210401435494294</v>
      </c>
      <c r="O188" s="13">
        <f t="shared" si="118"/>
        <v>158192.06467549969</v>
      </c>
      <c r="P188" s="12">
        <f t="shared" si="125"/>
        <v>214542.26810234366</v>
      </c>
      <c r="Q188" s="12">
        <f t="shared" si="126"/>
        <v>98198.451071719421</v>
      </c>
      <c r="R188" s="12">
        <f t="shared" si="119"/>
        <v>116343.81703062424</v>
      </c>
    </row>
    <row r="189" spans="1:18" x14ac:dyDescent="0.2">
      <c r="A189" s="3">
        <v>1006</v>
      </c>
      <c r="B189" s="3">
        <f t="shared" si="120"/>
        <v>90</v>
      </c>
      <c r="C189" s="9">
        <f>VLOOKUP(A189,'BASE DATA'!A:S,11,0)</f>
        <v>34333</v>
      </c>
      <c r="D189" s="9">
        <f t="shared" si="131"/>
        <v>101588.05479452055</v>
      </c>
      <c r="E189" s="19" t="str">
        <f>VLOOKUP($A189,'BASE DATA'!$A:$S,13,0)</f>
        <v>Yearly</v>
      </c>
      <c r="F189" s="88">
        <f>VLOOKUP($A189,'BASE DATA'!$A:$S,10,0)</f>
        <v>44305</v>
      </c>
      <c r="G189" s="3" t="str">
        <f t="shared" si="116"/>
        <v>2020-2021</v>
      </c>
      <c r="H189" s="11">
        <f t="shared" si="117"/>
        <v>4</v>
      </c>
      <c r="I189" s="10">
        <f>IF(EDATE(I188,3)&gt;$F$175,$F$175,EDATE(I188,3))</f>
        <v>44286</v>
      </c>
      <c r="J189" s="12">
        <f t="shared" si="132"/>
        <v>0.20095513365231454</v>
      </c>
      <c r="K189" s="12">
        <f t="shared" si="122"/>
        <v>4.4595522810513639E-3</v>
      </c>
      <c r="L189" s="12">
        <v>0</v>
      </c>
      <c r="M189" s="12">
        <f t="shared" si="130"/>
        <v>-4.4595522810513639E-3</v>
      </c>
      <c r="N189" s="12">
        <f t="shared" si="124"/>
        <v>0.2165635666359943</v>
      </c>
      <c r="O189" s="13">
        <f t="shared" si="118"/>
        <v>56604.009880979138</v>
      </c>
      <c r="P189" s="12">
        <f t="shared" si="125"/>
        <v>116343.81703062424</v>
      </c>
      <c r="Q189" s="12">
        <f t="shared" si="126"/>
        <v>96063.702135377695</v>
      </c>
      <c r="R189" s="12">
        <f t="shared" si="119"/>
        <v>20280.114895246545</v>
      </c>
    </row>
    <row r="190" spans="1:18" x14ac:dyDescent="0.2">
      <c r="A190" s="3">
        <v>1006</v>
      </c>
      <c r="B190" s="3">
        <f t="shared" si="120"/>
        <v>19</v>
      </c>
      <c r="C190" s="9">
        <f>VLOOKUP(A190,'BASE DATA'!A:S,11,0)</f>
        <v>34333</v>
      </c>
      <c r="D190" s="9">
        <f>(C190*12)/365*B190+35158</f>
        <v>56604.367123287666</v>
      </c>
      <c r="E190" s="19" t="str">
        <f>VLOOKUP($A190,'BASE DATA'!$A:$S,13,0)</f>
        <v>Yearly</v>
      </c>
      <c r="F190" s="88">
        <f>VLOOKUP($A190,'BASE DATA'!$A:$S,10,0)</f>
        <v>44305</v>
      </c>
      <c r="G190" s="3" t="str">
        <f t="shared" si="116"/>
        <v>2021-2022</v>
      </c>
      <c r="H190" s="11">
        <f t="shared" si="117"/>
        <v>1</v>
      </c>
      <c r="I190" s="10">
        <f>IF(EDATE(I189,3)&gt;$F$175,$F$175,EDATE(I189,3))</f>
        <v>44305</v>
      </c>
      <c r="J190" s="12">
        <f t="shared" si="132"/>
        <v>0.20095513365231454</v>
      </c>
      <c r="K190" s="12">
        <f t="shared" si="122"/>
        <v>9.4146103711084347E-4</v>
      </c>
      <c r="L190" s="12">
        <v>0</v>
      </c>
      <c r="M190" s="13">
        <f>L190-SUM(K186:K190)</f>
        <v>-1.6549894020790615E-2</v>
      </c>
      <c r="N190" s="12">
        <f t="shared" si="124"/>
        <v>0.21750502767310514</v>
      </c>
      <c r="O190" s="13">
        <f t="shared" si="118"/>
        <v>-0.35724230852792971</v>
      </c>
      <c r="P190" s="12">
        <f t="shared" si="125"/>
        <v>20280.114895246545</v>
      </c>
      <c r="Q190" s="12">
        <f t="shared" si="126"/>
        <v>20280.114895246403</v>
      </c>
      <c r="R190" s="12">
        <f t="shared" si="119"/>
        <v>1.4188117347657681E-10</v>
      </c>
    </row>
    <row r="191" spans="1:18" x14ac:dyDescent="0.2">
      <c r="C191" s="9"/>
      <c r="D191" s="9"/>
      <c r="E191" s="19"/>
      <c r="F191" s="88"/>
      <c r="H191" s="11"/>
      <c r="I191" s="10"/>
      <c r="J191" s="12"/>
      <c r="K191" s="12"/>
      <c r="L191" s="12"/>
      <c r="M191" s="13"/>
      <c r="N191" s="12"/>
      <c r="P191" s="12"/>
      <c r="Q191" s="12"/>
      <c r="R191" s="12"/>
    </row>
    <row r="192" spans="1:18" x14ac:dyDescent="0.2">
      <c r="C192" s="9"/>
      <c r="D192" s="9"/>
      <c r="E192" s="19"/>
      <c r="F192" s="88"/>
      <c r="H192" s="11"/>
      <c r="I192" s="10"/>
      <c r="J192" s="12"/>
      <c r="K192" s="12"/>
      <c r="L192" s="12"/>
      <c r="M192" s="12"/>
      <c r="N192" s="12"/>
      <c r="P192" s="12"/>
      <c r="Q192" s="12"/>
      <c r="R192" s="12"/>
    </row>
    <row r="193" spans="1:18" x14ac:dyDescent="0.2">
      <c r="A193" s="3">
        <v>1007</v>
      </c>
      <c r="C193" s="9">
        <f>VLOOKUP($A193,'BASE DATA'!$A:$S,11,0)</f>
        <v>32083.33</v>
      </c>
      <c r="D193" s="9">
        <f>+C193*B193</f>
        <v>0</v>
      </c>
      <c r="E193" s="19" t="str">
        <f>VLOOKUP($A193,'BASE DATA'!$A:$S,13,0)</f>
        <v>Yearly</v>
      </c>
      <c r="F193" s="88">
        <f>VLOOKUP($A193,'BASE DATA'!$A:$S,10,0)</f>
        <v>44361</v>
      </c>
      <c r="G193" s="3" t="str">
        <f t="shared" ref="G193:G208" si="133">IF(AND(MONTH(I193)&gt;0,MONTH(I193)&lt;=3),YEAR(I193)-1&amp;"-"&amp;YEAR(I193),YEAR(I193)&amp;"-"&amp;YEAR(I193)+1)</f>
        <v>2018-2019</v>
      </c>
      <c r="H193" s="11">
        <f t="shared" ref="H193:H208" si="134">IF(AND(MONTH(I193)&gt;3,MONTH(I193)&lt;=6),1,IF(AND(MONTH(I193)&gt;6,MONTH(I193)&lt;=9),2,IF(AND(MONTH(I193)&gt;9,MONTH(I193)&lt;=12),3,4)))</f>
        <v>1</v>
      </c>
      <c r="I193" s="22">
        <f>VLOOKUP($A193,'BASE DATA'!$A:$S,9,0)</f>
        <v>43266</v>
      </c>
      <c r="J193" s="12">
        <f>VLOOKUP($A193,'BASE DATA'!$A:$T,20,0)</f>
        <v>1275480.5992761552</v>
      </c>
      <c r="K193" s="12">
        <v>0</v>
      </c>
      <c r="L193" s="12">
        <f>VLOOKUP($A193,'BASE DATA'!$A:$S,12,0)</f>
        <v>385000</v>
      </c>
      <c r="M193" s="12">
        <f>+L193-K193</f>
        <v>385000</v>
      </c>
      <c r="N193" s="12">
        <f>+J193-M193</f>
        <v>890480.59927615523</v>
      </c>
      <c r="O193" s="13">
        <f t="shared" ref="O193:O208" si="135">IF(E193="Monthly","",O192-D193+L193)</f>
        <v>385000</v>
      </c>
      <c r="P193" s="12">
        <f>+J193</f>
        <v>1275480.5992761552</v>
      </c>
      <c r="Q193" s="12">
        <v>0</v>
      </c>
      <c r="R193" s="12">
        <f>+J193-Q193</f>
        <v>1275480.5992761552</v>
      </c>
    </row>
    <row r="194" spans="1:18" x14ac:dyDescent="0.2">
      <c r="A194" s="3">
        <v>1007</v>
      </c>
      <c r="B194" s="3">
        <f>I194-I193</f>
        <v>15</v>
      </c>
      <c r="C194" s="9">
        <f>VLOOKUP(A194,'BASE DATA'!A:S,11,0)</f>
        <v>32083.33</v>
      </c>
      <c r="D194" s="9">
        <f>(C194*12)/365*B194</f>
        <v>15821.916164383561</v>
      </c>
      <c r="E194" s="19" t="str">
        <f>VLOOKUP($A194,'BASE DATA'!$A:$S,13,0)</f>
        <v>Yearly</v>
      </c>
      <c r="F194" s="88">
        <f>VLOOKUP($A194,'BASE DATA'!$A:$S,10,0)</f>
        <v>44361</v>
      </c>
      <c r="G194" s="3" t="str">
        <f t="shared" si="133"/>
        <v>2018-2019</v>
      </c>
      <c r="H194" s="11">
        <f t="shared" si="134"/>
        <v>1</v>
      </c>
      <c r="I194" s="10">
        <v>43281</v>
      </c>
      <c r="J194" s="12">
        <f>+N193</f>
        <v>890480.59927615523</v>
      </c>
      <c r="K194" s="12">
        <f>((+J194*$F$2)/365)*(I194-I193)</f>
        <v>3293.5583808844094</v>
      </c>
      <c r="L194" s="12">
        <v>0</v>
      </c>
      <c r="M194" s="12">
        <f>+L194-K194</f>
        <v>-3293.5583808844094</v>
      </c>
      <c r="N194" s="12">
        <f>+N193+K194-L194</f>
        <v>893774.15765703958</v>
      </c>
      <c r="O194" s="13">
        <f t="shared" si="135"/>
        <v>369178.08383561642</v>
      </c>
      <c r="P194" s="12">
        <f>+R193</f>
        <v>1275480.5992761552</v>
      </c>
      <c r="Q194" s="12">
        <f>+($P$193/($F$193-$I$193))*(I194-I193)</f>
        <v>17472.336976385686</v>
      </c>
      <c r="R194" s="12">
        <f t="shared" ref="R194:R208" si="136">+P194-Q194</f>
        <v>1258008.2622997696</v>
      </c>
    </row>
    <row r="195" spans="1:18" x14ac:dyDescent="0.2">
      <c r="A195" s="3">
        <v>1007</v>
      </c>
      <c r="B195" s="3">
        <f t="shared" ref="B195:B208" si="137">I195-I194</f>
        <v>92</v>
      </c>
      <c r="C195" s="9">
        <f>VLOOKUP(A195,'BASE DATA'!A:S,11,0)</f>
        <v>32083.33</v>
      </c>
      <c r="D195" s="9">
        <f t="shared" ref="D195:D197" si="138">(C195*12)/365*B195</f>
        <v>97041.085808219184</v>
      </c>
      <c r="E195" s="19" t="str">
        <f>VLOOKUP($A195,'BASE DATA'!$A:$S,13,0)</f>
        <v>Yearly</v>
      </c>
      <c r="F195" s="88">
        <f>VLOOKUP($A195,'BASE DATA'!$A:$S,10,0)</f>
        <v>44361</v>
      </c>
      <c r="G195" s="3" t="str">
        <f t="shared" si="133"/>
        <v>2018-2019</v>
      </c>
      <c r="H195" s="11">
        <f t="shared" si="134"/>
        <v>2</v>
      </c>
      <c r="I195" s="10">
        <f>IF(EDATE(I194,3)&gt;$F$193,$F$193,EDATE(I194,3))</f>
        <v>43373</v>
      </c>
      <c r="J195" s="12">
        <f>+J194</f>
        <v>890480.59927615523</v>
      </c>
      <c r="K195" s="12">
        <f t="shared" ref="K195:K208" si="139">((+J195*$F$2)/365)*(I195-I194)</f>
        <v>20200.491402757711</v>
      </c>
      <c r="L195" s="12">
        <v>0</v>
      </c>
      <c r="M195" s="12">
        <f t="shared" ref="M195:M197" si="140">+L195-K195</f>
        <v>-20200.491402757711</v>
      </c>
      <c r="N195" s="12">
        <f t="shared" ref="N195:N208" si="141">+N194+K195-L195</f>
        <v>913974.64905979729</v>
      </c>
      <c r="O195" s="13">
        <f t="shared" si="135"/>
        <v>272136.9980273972</v>
      </c>
      <c r="P195" s="12">
        <f t="shared" ref="P195:P208" si="142">+R194</f>
        <v>1258008.2622997696</v>
      </c>
      <c r="Q195" s="12">
        <f t="shared" ref="Q195:Q208" si="143">+($P$193/($F$193-$I$193))*(I195-I194)</f>
        <v>107163.66678849889</v>
      </c>
      <c r="R195" s="12">
        <f t="shared" si="136"/>
        <v>1150844.5955112707</v>
      </c>
    </row>
    <row r="196" spans="1:18" x14ac:dyDescent="0.2">
      <c r="A196" s="3">
        <v>1007</v>
      </c>
      <c r="B196" s="3">
        <f t="shared" si="137"/>
        <v>92</v>
      </c>
      <c r="C196" s="9">
        <f>VLOOKUP(A196,'BASE DATA'!A:S,11,0)</f>
        <v>32083.33</v>
      </c>
      <c r="D196" s="9">
        <f t="shared" si="138"/>
        <v>97041.085808219184</v>
      </c>
      <c r="E196" s="19" t="str">
        <f>VLOOKUP($A196,'BASE DATA'!$A:$S,13,0)</f>
        <v>Yearly</v>
      </c>
      <c r="F196" s="88">
        <f>VLOOKUP($A196,'BASE DATA'!$A:$S,10,0)</f>
        <v>44361</v>
      </c>
      <c r="G196" s="3" t="str">
        <f t="shared" si="133"/>
        <v>2018-2019</v>
      </c>
      <c r="H196" s="11">
        <f t="shared" si="134"/>
        <v>3</v>
      </c>
      <c r="I196" s="10">
        <f>IF(EDATE(I195,3)&gt;$F$193,$F$193,EDATE(I195,3)+1)</f>
        <v>43465</v>
      </c>
      <c r="J196" s="12">
        <f>+J195</f>
        <v>890480.59927615523</v>
      </c>
      <c r="K196" s="12">
        <f t="shared" si="139"/>
        <v>20200.491402757711</v>
      </c>
      <c r="L196" s="12">
        <v>0</v>
      </c>
      <c r="M196" s="12">
        <f t="shared" si="140"/>
        <v>-20200.491402757711</v>
      </c>
      <c r="N196" s="12">
        <f t="shared" si="141"/>
        <v>934175.14046255499</v>
      </c>
      <c r="O196" s="13">
        <f t="shared" si="135"/>
        <v>175095.91221917802</v>
      </c>
      <c r="P196" s="12">
        <f t="shared" si="142"/>
        <v>1150844.5955112707</v>
      </c>
      <c r="Q196" s="12">
        <f t="shared" si="143"/>
        <v>107163.66678849889</v>
      </c>
      <c r="R196" s="12">
        <f t="shared" si="136"/>
        <v>1043680.9287227718</v>
      </c>
    </row>
    <row r="197" spans="1:18" x14ac:dyDescent="0.2">
      <c r="A197" s="3">
        <v>1007</v>
      </c>
      <c r="B197" s="3">
        <f t="shared" si="137"/>
        <v>90</v>
      </c>
      <c r="C197" s="9">
        <f>VLOOKUP(A197,'BASE DATA'!A:S,11,0)</f>
        <v>32083.33</v>
      </c>
      <c r="D197" s="9">
        <f t="shared" si="138"/>
        <v>94931.496986301368</v>
      </c>
      <c r="E197" s="19" t="str">
        <f>VLOOKUP($A197,'BASE DATA'!$A:$S,13,0)</f>
        <v>Yearly</v>
      </c>
      <c r="F197" s="88">
        <f>VLOOKUP($A197,'BASE DATA'!$A:$S,10,0)</f>
        <v>44361</v>
      </c>
      <c r="G197" s="3" t="str">
        <f t="shared" si="133"/>
        <v>2018-2019</v>
      </c>
      <c r="H197" s="11">
        <f t="shared" si="134"/>
        <v>4</v>
      </c>
      <c r="I197" s="10">
        <f>IF(EDATE(I196,3)&gt;$F$193,$F$193,EDATE(I196,3))</f>
        <v>43555</v>
      </c>
      <c r="J197" s="12">
        <f>+J196</f>
        <v>890480.59927615523</v>
      </c>
      <c r="K197" s="12">
        <f t="shared" si="139"/>
        <v>19761.350285306456</v>
      </c>
      <c r="L197" s="12">
        <v>0</v>
      </c>
      <c r="M197" s="12">
        <f t="shared" si="140"/>
        <v>-19761.350285306456</v>
      </c>
      <c r="N197" s="12">
        <f t="shared" si="141"/>
        <v>953936.49074786145</v>
      </c>
      <c r="O197" s="13">
        <f t="shared" si="135"/>
        <v>80164.41523287665</v>
      </c>
      <c r="P197" s="12">
        <f t="shared" si="142"/>
        <v>1043680.9287227718</v>
      </c>
      <c r="Q197" s="12">
        <f t="shared" si="143"/>
        <v>104834.02185831412</v>
      </c>
      <c r="R197" s="12">
        <f t="shared" si="136"/>
        <v>938846.90686445765</v>
      </c>
    </row>
    <row r="198" spans="1:18" x14ac:dyDescent="0.2">
      <c r="A198" s="3">
        <v>1007</v>
      </c>
      <c r="B198" s="3">
        <f t="shared" si="137"/>
        <v>76</v>
      </c>
      <c r="C198" s="9">
        <f>VLOOKUP(A198,'BASE DATA'!A:S,11,0)</f>
        <v>32083.33</v>
      </c>
      <c r="D198" s="9">
        <f>(C198*12)/365*B198</f>
        <v>80164.375232876715</v>
      </c>
      <c r="E198" s="19" t="str">
        <f>VLOOKUP($A198,'BASE DATA'!$A:$S,13,0)</f>
        <v>Yearly</v>
      </c>
      <c r="F198" s="88">
        <f>VLOOKUP($A198,'BASE DATA'!$A:$S,10,0)</f>
        <v>44361</v>
      </c>
      <c r="G198" s="3" t="str">
        <f t="shared" si="133"/>
        <v>2019-2020</v>
      </c>
      <c r="H198" s="11">
        <f t="shared" si="134"/>
        <v>1</v>
      </c>
      <c r="I198" s="10">
        <v>43631</v>
      </c>
      <c r="J198" s="12">
        <f>+J197</f>
        <v>890480.59927615523</v>
      </c>
      <c r="K198" s="12">
        <f t="shared" si="139"/>
        <v>16687.362463147674</v>
      </c>
      <c r="L198" s="12">
        <f>+L193*1.2</f>
        <v>462000</v>
      </c>
      <c r="M198" s="13">
        <f>L198-SUM(K193:K198)</f>
        <v>381856.74606514606</v>
      </c>
      <c r="N198" s="12">
        <f t="shared" si="141"/>
        <v>508623.85321100918</v>
      </c>
      <c r="O198" s="13">
        <f t="shared" si="135"/>
        <v>462000.03999999992</v>
      </c>
      <c r="P198" s="12">
        <f t="shared" si="142"/>
        <v>938846.90686445765</v>
      </c>
      <c r="Q198" s="12">
        <f t="shared" si="143"/>
        <v>88526.507347020815</v>
      </c>
      <c r="R198" s="12">
        <f t="shared" si="136"/>
        <v>850320.39951743686</v>
      </c>
    </row>
    <row r="199" spans="1:18" x14ac:dyDescent="0.2">
      <c r="A199" s="3">
        <v>1007</v>
      </c>
      <c r="B199" s="3">
        <f t="shared" si="137"/>
        <v>15</v>
      </c>
      <c r="C199" s="9">
        <f>VLOOKUP(A199,'BASE DATA'!A:S,11,0)*1.2</f>
        <v>38499.995999999999</v>
      </c>
      <c r="D199" s="9">
        <f t="shared" ref="D199:D203" si="144">(C199*12)/366*B199</f>
        <v>18934.424262295081</v>
      </c>
      <c r="E199" s="19" t="str">
        <f>VLOOKUP($A199,'BASE DATA'!$A:$S,13,0)</f>
        <v>Yearly</v>
      </c>
      <c r="F199" s="88">
        <f>VLOOKUP($A199,'BASE DATA'!$A:$S,10,0)</f>
        <v>44361</v>
      </c>
      <c r="G199" s="3" t="str">
        <f t="shared" si="133"/>
        <v>2019-2020</v>
      </c>
      <c r="H199" s="11">
        <f t="shared" si="134"/>
        <v>1</v>
      </c>
      <c r="I199" s="10">
        <f>IF(EDATE(I197,3)&gt;$F$193,$F$193,EDATE(I197,3))</f>
        <v>43646</v>
      </c>
      <c r="J199" s="12">
        <f>+N198</f>
        <v>508623.85321100918</v>
      </c>
      <c r="K199" s="12">
        <f t="shared" si="139"/>
        <v>1881.2115118763354</v>
      </c>
      <c r="L199" s="12">
        <v>0</v>
      </c>
      <c r="M199" s="12">
        <f t="shared" ref="M199:M202" si="145">+L199-K199</f>
        <v>-1881.2115118763354</v>
      </c>
      <c r="N199" s="12">
        <f t="shared" si="141"/>
        <v>510505.06472288549</v>
      </c>
      <c r="O199" s="13">
        <f t="shared" si="135"/>
        <v>443065.61573770485</v>
      </c>
      <c r="P199" s="12">
        <f t="shared" si="142"/>
        <v>850320.39951743686</v>
      </c>
      <c r="Q199" s="12">
        <f t="shared" si="143"/>
        <v>17472.336976385686</v>
      </c>
      <c r="R199" s="12">
        <f t="shared" si="136"/>
        <v>832848.06254105119</v>
      </c>
    </row>
    <row r="200" spans="1:18" x14ac:dyDescent="0.2">
      <c r="A200" s="3">
        <v>1007</v>
      </c>
      <c r="B200" s="3">
        <f t="shared" si="137"/>
        <v>92</v>
      </c>
      <c r="C200" s="9">
        <f>+C199</f>
        <v>38499.995999999999</v>
      </c>
      <c r="D200" s="9">
        <f t="shared" si="144"/>
        <v>116131.13547540983</v>
      </c>
      <c r="E200" s="19" t="str">
        <f>VLOOKUP($A200,'BASE DATA'!$A:$S,13,0)</f>
        <v>Yearly</v>
      </c>
      <c r="F200" s="88">
        <f>VLOOKUP($A200,'BASE DATA'!$A:$S,10,0)</f>
        <v>44361</v>
      </c>
      <c r="G200" s="3" t="str">
        <f t="shared" si="133"/>
        <v>2019-2020</v>
      </c>
      <c r="H200" s="11">
        <f t="shared" si="134"/>
        <v>2</v>
      </c>
      <c r="I200" s="10">
        <f>IF(EDATE(I199,3)&gt;$F$193,$F$193,EDATE(I199,3))</f>
        <v>43738</v>
      </c>
      <c r="J200" s="12">
        <f>+J199</f>
        <v>508623.85321100918</v>
      </c>
      <c r="K200" s="12">
        <f t="shared" si="139"/>
        <v>11538.097272841524</v>
      </c>
      <c r="L200" s="12">
        <v>0</v>
      </c>
      <c r="M200" s="12">
        <f t="shared" si="145"/>
        <v>-11538.097272841524</v>
      </c>
      <c r="N200" s="12">
        <f t="shared" si="141"/>
        <v>522043.16199572704</v>
      </c>
      <c r="O200" s="13">
        <f t="shared" si="135"/>
        <v>326934.48026229499</v>
      </c>
      <c r="P200" s="12">
        <f t="shared" si="142"/>
        <v>832848.06254105119</v>
      </c>
      <c r="Q200" s="12">
        <f t="shared" si="143"/>
        <v>107163.66678849889</v>
      </c>
      <c r="R200" s="12">
        <f t="shared" si="136"/>
        <v>725684.39575255231</v>
      </c>
    </row>
    <row r="201" spans="1:18" x14ac:dyDescent="0.2">
      <c r="A201" s="3">
        <v>1007</v>
      </c>
      <c r="B201" s="3">
        <f t="shared" si="137"/>
        <v>92</v>
      </c>
      <c r="C201" s="9">
        <f t="shared" ref="C201:C203" si="146">+C200</f>
        <v>38499.995999999999</v>
      </c>
      <c r="D201" s="9">
        <f t="shared" si="144"/>
        <v>116131.13547540983</v>
      </c>
      <c r="E201" s="19" t="str">
        <f>VLOOKUP($A201,'BASE DATA'!$A:$S,13,0)</f>
        <v>Yearly</v>
      </c>
      <c r="F201" s="88">
        <f>VLOOKUP($A201,'BASE DATA'!$A:$S,10,0)</f>
        <v>44361</v>
      </c>
      <c r="G201" s="3" t="str">
        <f t="shared" si="133"/>
        <v>2019-2020</v>
      </c>
      <c r="H201" s="11">
        <f t="shared" si="134"/>
        <v>3</v>
      </c>
      <c r="I201" s="10">
        <f>IF(EDATE(I200,3)&gt;$F$193,$F$193,EDATE(I200,3)+1)</f>
        <v>43830</v>
      </c>
      <c r="J201" s="12">
        <f t="shared" ref="J201:J203" si="147">+J200</f>
        <v>508623.85321100918</v>
      </c>
      <c r="K201" s="12">
        <f t="shared" si="139"/>
        <v>11538.097272841524</v>
      </c>
      <c r="L201" s="12">
        <v>0</v>
      </c>
      <c r="M201" s="12">
        <f t="shared" si="145"/>
        <v>-11538.097272841524</v>
      </c>
      <c r="N201" s="12">
        <f t="shared" si="141"/>
        <v>533581.2592685686</v>
      </c>
      <c r="O201" s="13">
        <f t="shared" si="135"/>
        <v>210803.34478688517</v>
      </c>
      <c r="P201" s="12">
        <f t="shared" si="142"/>
        <v>725684.39575255231</v>
      </c>
      <c r="Q201" s="12">
        <f t="shared" si="143"/>
        <v>107163.66678849889</v>
      </c>
      <c r="R201" s="12">
        <f t="shared" si="136"/>
        <v>618520.72896405344</v>
      </c>
    </row>
    <row r="202" spans="1:18" x14ac:dyDescent="0.2">
      <c r="A202" s="3">
        <v>1007</v>
      </c>
      <c r="B202" s="3">
        <f t="shared" si="137"/>
        <v>91</v>
      </c>
      <c r="C202" s="9">
        <f t="shared" si="146"/>
        <v>38499.995999999999</v>
      </c>
      <c r="D202" s="9">
        <f t="shared" si="144"/>
        <v>114868.84052459015</v>
      </c>
      <c r="E202" s="19" t="str">
        <f>VLOOKUP($A202,'BASE DATA'!$A:$S,13,0)</f>
        <v>Yearly</v>
      </c>
      <c r="F202" s="88">
        <f>VLOOKUP($A202,'BASE DATA'!$A:$S,10,0)</f>
        <v>44361</v>
      </c>
      <c r="G202" s="3" t="str">
        <f t="shared" si="133"/>
        <v>2019-2020</v>
      </c>
      <c r="H202" s="11">
        <f t="shared" si="134"/>
        <v>4</v>
      </c>
      <c r="I202" s="10">
        <f>IF(EDATE(I201,3)&gt;$F$193,$F$193,EDATE(I201,3))</f>
        <v>43921</v>
      </c>
      <c r="J202" s="12">
        <f t="shared" si="147"/>
        <v>508623.85321100918</v>
      </c>
      <c r="K202" s="12">
        <f t="shared" si="139"/>
        <v>11412.683172049767</v>
      </c>
      <c r="L202" s="12">
        <v>0</v>
      </c>
      <c r="M202" s="12">
        <f t="shared" si="145"/>
        <v>-11412.683172049767</v>
      </c>
      <c r="N202" s="12">
        <f t="shared" si="141"/>
        <v>544993.94244061841</v>
      </c>
      <c r="O202" s="13">
        <f t="shared" si="135"/>
        <v>95934.504262295013</v>
      </c>
      <c r="P202" s="12">
        <f t="shared" si="142"/>
        <v>618520.72896405344</v>
      </c>
      <c r="Q202" s="12">
        <f t="shared" si="143"/>
        <v>105998.84432340651</v>
      </c>
      <c r="R202" s="12">
        <f t="shared" si="136"/>
        <v>512521.88464064692</v>
      </c>
    </row>
    <row r="203" spans="1:18" x14ac:dyDescent="0.2">
      <c r="A203" s="3">
        <v>1007</v>
      </c>
      <c r="B203" s="3">
        <f t="shared" si="137"/>
        <v>76</v>
      </c>
      <c r="C203" s="9">
        <f t="shared" si="146"/>
        <v>38499.995999999999</v>
      </c>
      <c r="D203" s="9">
        <f t="shared" si="144"/>
        <v>95934.416262295083</v>
      </c>
      <c r="E203" s="19" t="str">
        <f>VLOOKUP($A203,'BASE DATA'!$A:$S,13,0)</f>
        <v>Yearly</v>
      </c>
      <c r="F203" s="88">
        <f>VLOOKUP($A203,'BASE DATA'!$A:$S,10,0)</f>
        <v>44361</v>
      </c>
      <c r="G203" s="3" t="str">
        <f t="shared" si="133"/>
        <v>2020-2021</v>
      </c>
      <c r="H203" s="11">
        <f t="shared" si="134"/>
        <v>1</v>
      </c>
      <c r="I203" s="10">
        <v>43997</v>
      </c>
      <c r="J203" s="12">
        <f t="shared" si="147"/>
        <v>508623.85321100918</v>
      </c>
      <c r="K203" s="12">
        <f>((+J203*$F$2)/365)*(I203-I202)-125</f>
        <v>9406.4716601734326</v>
      </c>
      <c r="L203" s="12">
        <f>+L198*1.2</f>
        <v>554400</v>
      </c>
      <c r="M203" s="13">
        <f>L203-SUM(K199:K203)</f>
        <v>508623.43911021744</v>
      </c>
      <c r="N203" s="12">
        <f t="shared" si="141"/>
        <v>0.4141007917933166</v>
      </c>
      <c r="O203" s="13">
        <f t="shared" si="135"/>
        <v>554400.08799999999</v>
      </c>
      <c r="P203" s="12">
        <f t="shared" si="142"/>
        <v>512521.88464064692</v>
      </c>
      <c r="Q203" s="12">
        <f t="shared" si="143"/>
        <v>88526.507347020815</v>
      </c>
      <c r="R203" s="12">
        <f t="shared" si="136"/>
        <v>423995.37729362608</v>
      </c>
    </row>
    <row r="204" spans="1:18" x14ac:dyDescent="0.2">
      <c r="A204" s="3">
        <v>1007</v>
      </c>
      <c r="B204" s="3">
        <f t="shared" si="137"/>
        <v>15</v>
      </c>
      <c r="C204" s="9">
        <f>VLOOKUP(A204,'BASE DATA'!A:S,11,0)*1.2^2</f>
        <v>46199.995199999998</v>
      </c>
      <c r="D204" s="9">
        <f>(C204*12)/365*B204</f>
        <v>22783.559276712323</v>
      </c>
      <c r="E204" s="19" t="str">
        <f>VLOOKUP($A204,'BASE DATA'!$A:$S,13,0)</f>
        <v>Yearly</v>
      </c>
      <c r="F204" s="88">
        <f>VLOOKUP($A204,'BASE DATA'!$A:$S,10,0)</f>
        <v>44361</v>
      </c>
      <c r="G204" s="3" t="str">
        <f t="shared" si="133"/>
        <v>2020-2021</v>
      </c>
      <c r="H204" s="11">
        <f t="shared" si="134"/>
        <v>1</v>
      </c>
      <c r="I204" s="10">
        <f>IF(EDATE(I202,3)&gt;$F$193,$F$193,EDATE(I202,3))</f>
        <v>44012</v>
      </c>
      <c r="J204" s="12">
        <f>+N203</f>
        <v>0.4141007917933166</v>
      </c>
      <c r="K204" s="12">
        <f t="shared" si="139"/>
        <v>1.5316056682766505E-3</v>
      </c>
      <c r="L204" s="12">
        <f>+L199*1.1</f>
        <v>0</v>
      </c>
      <c r="M204" s="12">
        <f t="shared" ref="M204:M207" si="148">+L204-K204</f>
        <v>-1.5316056682766505E-3</v>
      </c>
      <c r="N204" s="12">
        <f t="shared" si="141"/>
        <v>0.41563239746159325</v>
      </c>
      <c r="O204" s="13">
        <f t="shared" si="135"/>
        <v>531616.52872328763</v>
      </c>
      <c r="P204" s="12">
        <f t="shared" si="142"/>
        <v>423995.37729362608</v>
      </c>
      <c r="Q204" s="12">
        <f t="shared" si="143"/>
        <v>17472.336976385686</v>
      </c>
      <c r="R204" s="12">
        <f t="shared" si="136"/>
        <v>406523.0403172404</v>
      </c>
    </row>
    <row r="205" spans="1:18" x14ac:dyDescent="0.2">
      <c r="A205" s="3">
        <v>1007</v>
      </c>
      <c r="B205" s="3">
        <f t="shared" si="137"/>
        <v>92</v>
      </c>
      <c r="C205" s="9">
        <f>+C204</f>
        <v>46199.995199999998</v>
      </c>
      <c r="D205" s="9">
        <f t="shared" ref="D205:D207" si="149">(C205*12)/365*B205</f>
        <v>139739.16356383558</v>
      </c>
      <c r="E205" s="19" t="str">
        <f>VLOOKUP($A205,'BASE DATA'!$A:$S,13,0)</f>
        <v>Yearly</v>
      </c>
      <c r="F205" s="88">
        <f>VLOOKUP($A205,'BASE DATA'!$A:$S,10,0)</f>
        <v>44361</v>
      </c>
      <c r="G205" s="3" t="str">
        <f t="shared" si="133"/>
        <v>2020-2021</v>
      </c>
      <c r="H205" s="11">
        <f t="shared" si="134"/>
        <v>2</v>
      </c>
      <c r="I205" s="10">
        <f>IF(EDATE(I204,3)&gt;$F$193,$F$193,EDATE(I204,3))</f>
        <v>44104</v>
      </c>
      <c r="J205" s="12">
        <f>+J204</f>
        <v>0.4141007917933166</v>
      </c>
      <c r="K205" s="12">
        <f t="shared" si="139"/>
        <v>9.3938480987634555E-3</v>
      </c>
      <c r="L205" s="12">
        <v>0</v>
      </c>
      <c r="M205" s="12">
        <f t="shared" si="148"/>
        <v>-9.3938480987634555E-3</v>
      </c>
      <c r="N205" s="12">
        <f t="shared" si="141"/>
        <v>0.42502624556035673</v>
      </c>
      <c r="O205" s="13">
        <f t="shared" si="135"/>
        <v>391877.36515945208</v>
      </c>
      <c r="P205" s="12">
        <f t="shared" si="142"/>
        <v>406523.0403172404</v>
      </c>
      <c r="Q205" s="12">
        <f t="shared" si="143"/>
        <v>107163.66678849889</v>
      </c>
      <c r="R205" s="12">
        <f t="shared" si="136"/>
        <v>299359.37352874153</v>
      </c>
    </row>
    <row r="206" spans="1:18" x14ac:dyDescent="0.2">
      <c r="A206" s="3">
        <v>1007</v>
      </c>
      <c r="B206" s="3">
        <f t="shared" si="137"/>
        <v>92</v>
      </c>
      <c r="C206" s="9">
        <f t="shared" ref="C206:C208" si="150">+C205</f>
        <v>46199.995199999998</v>
      </c>
      <c r="D206" s="9">
        <f t="shared" si="149"/>
        <v>139739.16356383558</v>
      </c>
      <c r="E206" s="19" t="str">
        <f>VLOOKUP($A206,'BASE DATA'!$A:$S,13,0)</f>
        <v>Yearly</v>
      </c>
      <c r="F206" s="88">
        <f>VLOOKUP($A206,'BASE DATA'!$A:$S,10,0)</f>
        <v>44361</v>
      </c>
      <c r="G206" s="3" t="str">
        <f t="shared" si="133"/>
        <v>2020-2021</v>
      </c>
      <c r="H206" s="11">
        <f t="shared" si="134"/>
        <v>3</v>
      </c>
      <c r="I206" s="10">
        <f>IF(EDATE(I205,3)&gt;$F$193,$F$193,EDATE(I205,3)+1)</f>
        <v>44196</v>
      </c>
      <c r="J206" s="12">
        <f t="shared" ref="J206:J208" si="151">+J205</f>
        <v>0.4141007917933166</v>
      </c>
      <c r="K206" s="12">
        <f t="shared" si="139"/>
        <v>9.3938480987634555E-3</v>
      </c>
      <c r="L206" s="12">
        <v>0</v>
      </c>
      <c r="M206" s="12">
        <f t="shared" si="148"/>
        <v>-9.3938480987634555E-3</v>
      </c>
      <c r="N206" s="12">
        <f t="shared" si="141"/>
        <v>0.43442009365912021</v>
      </c>
      <c r="O206" s="13">
        <f t="shared" si="135"/>
        <v>252138.2015956165</v>
      </c>
      <c r="P206" s="12">
        <f t="shared" si="142"/>
        <v>299359.37352874153</v>
      </c>
      <c r="Q206" s="12">
        <f t="shared" si="143"/>
        <v>107163.66678849889</v>
      </c>
      <c r="R206" s="12">
        <f t="shared" si="136"/>
        <v>192195.70674024266</v>
      </c>
    </row>
    <row r="207" spans="1:18" x14ac:dyDescent="0.2">
      <c r="A207" s="3">
        <v>1007</v>
      </c>
      <c r="B207" s="3">
        <f t="shared" si="137"/>
        <v>90</v>
      </c>
      <c r="C207" s="9">
        <f t="shared" si="150"/>
        <v>46199.995199999998</v>
      </c>
      <c r="D207" s="9">
        <f t="shared" si="149"/>
        <v>136701.35566027396</v>
      </c>
      <c r="E207" s="19" t="str">
        <f>VLOOKUP($A207,'BASE DATA'!$A:$S,13,0)</f>
        <v>Yearly</v>
      </c>
      <c r="F207" s="88">
        <f>VLOOKUP($A207,'BASE DATA'!$A:$S,10,0)</f>
        <v>44361</v>
      </c>
      <c r="G207" s="3" t="str">
        <f t="shared" si="133"/>
        <v>2020-2021</v>
      </c>
      <c r="H207" s="11">
        <f t="shared" si="134"/>
        <v>4</v>
      </c>
      <c r="I207" s="10">
        <f>IF(EDATE(I206,3)&gt;$F$193,$F$193,EDATE(I206,3))</f>
        <v>44286</v>
      </c>
      <c r="J207" s="12">
        <f t="shared" si="151"/>
        <v>0.4141007917933166</v>
      </c>
      <c r="K207" s="12">
        <f t="shared" si="139"/>
        <v>9.1896340096599034E-3</v>
      </c>
      <c r="L207" s="12">
        <v>0</v>
      </c>
      <c r="M207" s="12">
        <f t="shared" si="148"/>
        <v>-9.1896340096599034E-3</v>
      </c>
      <c r="N207" s="12">
        <f t="shared" si="141"/>
        <v>0.4436097276687801</v>
      </c>
      <c r="O207" s="13">
        <f t="shared" si="135"/>
        <v>115436.84593534254</v>
      </c>
      <c r="P207" s="12">
        <f t="shared" si="142"/>
        <v>192195.70674024266</v>
      </c>
      <c r="Q207" s="12">
        <f t="shared" si="143"/>
        <v>104834.02185831412</v>
      </c>
      <c r="R207" s="12">
        <f t="shared" si="136"/>
        <v>87361.684881928537</v>
      </c>
    </row>
    <row r="208" spans="1:18" x14ac:dyDescent="0.2">
      <c r="A208" s="3">
        <v>1007</v>
      </c>
      <c r="B208" s="3">
        <f t="shared" si="137"/>
        <v>75</v>
      </c>
      <c r="C208" s="9">
        <f t="shared" si="150"/>
        <v>46199.995199999998</v>
      </c>
      <c r="D208" s="9">
        <f>(C208*12)/365*B208+1519</f>
        <v>115436.79638356162</v>
      </c>
      <c r="E208" s="19" t="str">
        <f>VLOOKUP($A208,'BASE DATA'!$A:$S,13,0)</f>
        <v>Yearly</v>
      </c>
      <c r="F208" s="88">
        <f>VLOOKUP($A208,'BASE DATA'!$A:$S,10,0)</f>
        <v>44361</v>
      </c>
      <c r="G208" s="3" t="str">
        <f t="shared" si="133"/>
        <v>2021-2022</v>
      </c>
      <c r="H208" s="11">
        <f t="shared" si="134"/>
        <v>1</v>
      </c>
      <c r="I208" s="10">
        <f>IF(EDATE(I207,3)&gt;$F$193,$F$193,EDATE(I207,3))</f>
        <v>44361</v>
      </c>
      <c r="J208" s="12">
        <f t="shared" si="151"/>
        <v>0.4141007917933166</v>
      </c>
      <c r="K208" s="12">
        <f t="shared" si="139"/>
        <v>7.6580283413832523E-3</v>
      </c>
      <c r="L208" s="12">
        <v>0</v>
      </c>
      <c r="M208" s="13">
        <f>L208-SUM(K204:K208)</f>
        <v>-3.7166964216846718E-2</v>
      </c>
      <c r="N208" s="12">
        <f t="shared" si="141"/>
        <v>0.45126775601016333</v>
      </c>
      <c r="O208" s="13">
        <f t="shared" si="135"/>
        <v>4.9551780917681754E-2</v>
      </c>
      <c r="P208" s="12">
        <f t="shared" si="142"/>
        <v>87361.684881928537</v>
      </c>
      <c r="Q208" s="12">
        <f t="shared" si="143"/>
        <v>87361.684881928435</v>
      </c>
      <c r="R208" s="12">
        <f t="shared" si="136"/>
        <v>0</v>
      </c>
    </row>
    <row r="209" spans="1:18" x14ac:dyDescent="0.2">
      <c r="C209" s="9"/>
      <c r="D209" s="9"/>
      <c r="E209" s="9"/>
      <c r="F209" s="88"/>
      <c r="H209" s="11"/>
      <c r="I209" s="10"/>
      <c r="J209" s="12"/>
      <c r="K209" s="12"/>
      <c r="L209" s="12"/>
      <c r="M209" s="12"/>
      <c r="N209" s="12"/>
      <c r="P209" s="12"/>
      <c r="Q209" s="12"/>
      <c r="R209" s="12"/>
    </row>
    <row r="210" spans="1:18" x14ac:dyDescent="0.2">
      <c r="C210" s="9"/>
      <c r="D210" s="9"/>
      <c r="E210" s="9"/>
      <c r="F210" s="88"/>
      <c r="H210" s="11"/>
      <c r="I210" s="10"/>
      <c r="J210" s="12"/>
      <c r="K210" s="12"/>
      <c r="L210" s="12"/>
      <c r="M210" s="12"/>
      <c r="N210" s="12"/>
      <c r="P210" s="12"/>
      <c r="Q210" s="12"/>
      <c r="R210" s="12"/>
    </row>
    <row r="211" spans="1:18" x14ac:dyDescent="0.2">
      <c r="A211" s="3">
        <v>1008</v>
      </c>
      <c r="C211" s="9">
        <f>VLOOKUP($A211,'BASE DATA'!$A:$T,11,0)</f>
        <v>20000</v>
      </c>
      <c r="D211" s="9">
        <f>+C211</f>
        <v>20000</v>
      </c>
      <c r="E211" s="9" t="str">
        <f>VLOOKUP($A211,'BASE DATA'!$A:$T,13,0)</f>
        <v>Monthly</v>
      </c>
      <c r="F211" s="88">
        <f>VLOOKUP($A211,'BASE DATA'!$A:$T,10,0)</f>
        <v>44347</v>
      </c>
      <c r="G211" s="3" t="str">
        <f t="shared" ref="G211:G247" si="152">IF(AND(MONTH(I211)&gt;0,MONTH(I211)&lt;=3),YEAR(I211)-1&amp;"-"&amp;YEAR(I211),YEAR(I211)&amp;"-"&amp;YEAR(I211)+1)</f>
        <v>2018-2019</v>
      </c>
      <c r="H211" s="11">
        <f t="shared" ref="H211:H247" si="153">IF(AND(MONTH(I211)&gt;3,MONTH(I211)&lt;=6),1,IF(AND(MONTH(I211)&gt;6,MONTH(I211)&lt;=9),2,IF(AND(MONTH(I211)&gt;9,MONTH(I211)&lt;=12),3,4)))</f>
        <v>1</v>
      </c>
      <c r="I211" s="10">
        <f>VLOOKUP($A211,'BASE DATA'!$A:$T,9,0)</f>
        <v>43252</v>
      </c>
      <c r="J211" s="12">
        <f>VLOOKUP($A211,'BASE DATA'!$A:$T,20,0)</f>
        <v>695161.64078416093</v>
      </c>
      <c r="K211" s="12">
        <v>0</v>
      </c>
      <c r="L211" s="12">
        <v>20000</v>
      </c>
      <c r="M211" s="12">
        <f>+L211-K211</f>
        <v>20000</v>
      </c>
      <c r="N211" s="12">
        <f>+J211-M211</f>
        <v>675161.64078416093</v>
      </c>
      <c r="O211" s="13" t="str">
        <f t="shared" ref="O211:O247" si="154">IF(E211="Monthly","",O210-D211+L211)</f>
        <v/>
      </c>
      <c r="P211" s="12">
        <f>+J211</f>
        <v>695161.64078416093</v>
      </c>
      <c r="Q211" s="12">
        <v>0</v>
      </c>
      <c r="R211" s="12">
        <f>+J211-Q211</f>
        <v>695161.64078416093</v>
      </c>
    </row>
    <row r="212" spans="1:18" x14ac:dyDescent="0.2">
      <c r="A212" s="3">
        <v>1008</v>
      </c>
      <c r="B212" s="3">
        <v>30</v>
      </c>
      <c r="C212" s="9">
        <f>VLOOKUP($A212,'BASE DATA'!$A:$T,11,0)</f>
        <v>20000</v>
      </c>
      <c r="D212" s="9">
        <f>+C212</f>
        <v>20000</v>
      </c>
      <c r="E212" s="9" t="str">
        <f>VLOOKUP($A212,'BASE DATA'!$A:$T,13,0)</f>
        <v>Monthly</v>
      </c>
      <c r="F212" s="88">
        <f>VLOOKUP($A212,'BASE DATA'!$A:$T,10,0)</f>
        <v>44347</v>
      </c>
      <c r="G212" s="3" t="str">
        <f t="shared" si="152"/>
        <v>2018-2019</v>
      </c>
      <c r="H212" s="11">
        <f t="shared" si="153"/>
        <v>1</v>
      </c>
      <c r="I212" s="10">
        <f>+I211+29</f>
        <v>43281</v>
      </c>
      <c r="J212" s="12">
        <f>+N211</f>
        <v>675161.64078416093</v>
      </c>
      <c r="K212" s="12">
        <f>((+J212*$F$2)/365)*(I212-I211)</f>
        <v>4827.8681710867395</v>
      </c>
      <c r="L212" s="12">
        <f>D212</f>
        <v>20000</v>
      </c>
      <c r="M212" s="12">
        <f>+L212-K212</f>
        <v>15172.131828913261</v>
      </c>
      <c r="N212" s="12">
        <f>+J212-M212</f>
        <v>659989.5089552477</v>
      </c>
      <c r="O212" s="13" t="str">
        <f t="shared" si="154"/>
        <v/>
      </c>
      <c r="P212" s="12">
        <f>+R211</f>
        <v>695161.64078416093</v>
      </c>
      <c r="Q212" s="12">
        <f>+($P$211/($F$211-$I$211))*(I212-I211)</f>
        <v>18410.673591543989</v>
      </c>
      <c r="R212" s="12">
        <f t="shared" ref="R212:R247" si="155">+P212-Q212</f>
        <v>676750.9671926169</v>
      </c>
    </row>
    <row r="213" spans="1:18" x14ac:dyDescent="0.2">
      <c r="A213" s="3">
        <v>1008</v>
      </c>
      <c r="B213" s="3">
        <v>31</v>
      </c>
      <c r="C213" s="13">
        <f>+C212</f>
        <v>20000</v>
      </c>
      <c r="D213" s="9">
        <f t="shared" ref="D213:D247" si="156">+C213</f>
        <v>20000</v>
      </c>
      <c r="E213" s="9" t="str">
        <f>VLOOKUP($A213,'BASE DATA'!$A:$T,13,0)</f>
        <v>Monthly</v>
      </c>
      <c r="F213" s="88">
        <f>VLOOKUP($A213,'BASE DATA'!$A:$T,10,0)</f>
        <v>44347</v>
      </c>
      <c r="G213" s="3" t="str">
        <f t="shared" si="152"/>
        <v>2018-2019</v>
      </c>
      <c r="H213" s="11">
        <f t="shared" si="153"/>
        <v>2</v>
      </c>
      <c r="I213" s="10">
        <f>+I212+B213</f>
        <v>43312</v>
      </c>
      <c r="J213" s="12">
        <f t="shared" ref="J213:J247" si="157">+N212</f>
        <v>659989.5089552477</v>
      </c>
      <c r="K213" s="12">
        <f t="shared" ref="K213:K221" si="158">((+J213*$F$2)/365)*(I213-I212)</f>
        <v>5044.851315027784</v>
      </c>
      <c r="L213" s="12">
        <f t="shared" ref="L213:L247" si="159">D213</f>
        <v>20000</v>
      </c>
      <c r="M213" s="12">
        <f t="shared" ref="M213:M247" si="160">+L213-K213</f>
        <v>14955.148684972217</v>
      </c>
      <c r="N213" s="12">
        <f t="shared" ref="N213:N247" si="161">+J213-M213</f>
        <v>645034.3602702755</v>
      </c>
      <c r="O213" s="13" t="str">
        <f t="shared" si="154"/>
        <v/>
      </c>
      <c r="P213" s="12">
        <f t="shared" ref="P213:P247" si="162">+R212</f>
        <v>676750.9671926169</v>
      </c>
      <c r="Q213" s="12">
        <f t="shared" ref="Q213:Q247" si="163">+($P$211/($F$211-$I$211))*(I213-I212)</f>
        <v>19680.375218547022</v>
      </c>
      <c r="R213" s="12">
        <f t="shared" si="155"/>
        <v>657070.59197406983</v>
      </c>
    </row>
    <row r="214" spans="1:18" x14ac:dyDescent="0.2">
      <c r="A214" s="3">
        <v>1008</v>
      </c>
      <c r="B214" s="3">
        <v>31</v>
      </c>
      <c r="C214" s="13">
        <f t="shared" ref="C214:C222" si="164">+C213</f>
        <v>20000</v>
      </c>
      <c r="D214" s="9">
        <f t="shared" si="156"/>
        <v>20000</v>
      </c>
      <c r="E214" s="9" t="str">
        <f>VLOOKUP($A214,'BASE DATA'!$A:$T,13,0)</f>
        <v>Monthly</v>
      </c>
      <c r="F214" s="88">
        <f>VLOOKUP($A214,'BASE DATA'!$A:$T,10,0)</f>
        <v>44347</v>
      </c>
      <c r="G214" s="3" t="str">
        <f t="shared" si="152"/>
        <v>2018-2019</v>
      </c>
      <c r="H214" s="11">
        <f t="shared" si="153"/>
        <v>2</v>
      </c>
      <c r="I214" s="10">
        <f t="shared" ref="I214:I247" si="165">+I213+B214</f>
        <v>43343</v>
      </c>
      <c r="J214" s="12">
        <f t="shared" si="157"/>
        <v>645034.3602702755</v>
      </c>
      <c r="K214" s="12">
        <f t="shared" si="158"/>
        <v>4930.5366168604614</v>
      </c>
      <c r="L214" s="12">
        <f t="shared" si="159"/>
        <v>20000</v>
      </c>
      <c r="M214" s="12">
        <f t="shared" si="160"/>
        <v>15069.463383139539</v>
      </c>
      <c r="N214" s="12">
        <f t="shared" si="161"/>
        <v>629964.89688713592</v>
      </c>
      <c r="O214" s="13" t="str">
        <f t="shared" si="154"/>
        <v/>
      </c>
      <c r="P214" s="12">
        <f t="shared" si="162"/>
        <v>657070.59197406983</v>
      </c>
      <c r="Q214" s="12">
        <f t="shared" si="163"/>
        <v>19680.375218547022</v>
      </c>
      <c r="R214" s="12">
        <f t="shared" si="155"/>
        <v>637390.21675552276</v>
      </c>
    </row>
    <row r="215" spans="1:18" x14ac:dyDescent="0.2">
      <c r="A215" s="3">
        <v>1008</v>
      </c>
      <c r="B215" s="3">
        <v>30</v>
      </c>
      <c r="C215" s="13">
        <f t="shared" si="164"/>
        <v>20000</v>
      </c>
      <c r="D215" s="9">
        <f t="shared" si="156"/>
        <v>20000</v>
      </c>
      <c r="E215" s="9" t="str">
        <f>VLOOKUP($A215,'BASE DATA'!$A:$T,13,0)</f>
        <v>Monthly</v>
      </c>
      <c r="F215" s="88">
        <f>VLOOKUP($A215,'BASE DATA'!$A:$T,10,0)</f>
        <v>44347</v>
      </c>
      <c r="G215" s="3" t="str">
        <f t="shared" si="152"/>
        <v>2018-2019</v>
      </c>
      <c r="H215" s="11">
        <f t="shared" si="153"/>
        <v>2</v>
      </c>
      <c r="I215" s="10">
        <f t="shared" si="165"/>
        <v>43373</v>
      </c>
      <c r="J215" s="12">
        <f t="shared" si="157"/>
        <v>629964.89688713592</v>
      </c>
      <c r="K215" s="12">
        <f t="shared" si="158"/>
        <v>4660.0143057404566</v>
      </c>
      <c r="L215" s="12">
        <f t="shared" si="159"/>
        <v>20000</v>
      </c>
      <c r="M215" s="12">
        <f t="shared" si="160"/>
        <v>15339.985694259543</v>
      </c>
      <c r="N215" s="12">
        <f t="shared" si="161"/>
        <v>614624.9111928764</v>
      </c>
      <c r="O215" s="13" t="str">
        <f t="shared" si="154"/>
        <v/>
      </c>
      <c r="P215" s="12">
        <f t="shared" si="162"/>
        <v>637390.21675552276</v>
      </c>
      <c r="Q215" s="12">
        <f t="shared" si="163"/>
        <v>19045.524405045508</v>
      </c>
      <c r="R215" s="12">
        <f t="shared" si="155"/>
        <v>618344.69235047721</v>
      </c>
    </row>
    <row r="216" spans="1:18" x14ac:dyDescent="0.2">
      <c r="A216" s="3">
        <v>1008</v>
      </c>
      <c r="B216" s="3">
        <v>31</v>
      </c>
      <c r="C216" s="13">
        <f t="shared" si="164"/>
        <v>20000</v>
      </c>
      <c r="D216" s="9">
        <f t="shared" si="156"/>
        <v>20000</v>
      </c>
      <c r="E216" s="9" t="str">
        <f>VLOOKUP($A216,'BASE DATA'!$A:$T,13,0)</f>
        <v>Monthly</v>
      </c>
      <c r="F216" s="88">
        <f>VLOOKUP($A216,'BASE DATA'!$A:$T,10,0)</f>
        <v>44347</v>
      </c>
      <c r="G216" s="3" t="str">
        <f t="shared" si="152"/>
        <v>2018-2019</v>
      </c>
      <c r="H216" s="11">
        <f t="shared" si="153"/>
        <v>3</v>
      </c>
      <c r="I216" s="10">
        <f t="shared" si="165"/>
        <v>43404</v>
      </c>
      <c r="J216" s="12">
        <f t="shared" si="157"/>
        <v>614624.9111928764</v>
      </c>
      <c r="K216" s="12">
        <f t="shared" si="158"/>
        <v>4698.0917869263703</v>
      </c>
      <c r="L216" s="12">
        <f t="shared" si="159"/>
        <v>20000</v>
      </c>
      <c r="M216" s="12">
        <f t="shared" si="160"/>
        <v>15301.90821307363</v>
      </c>
      <c r="N216" s="12">
        <f t="shared" si="161"/>
        <v>599323.00297980278</v>
      </c>
      <c r="O216" s="13" t="str">
        <f t="shared" si="154"/>
        <v/>
      </c>
      <c r="P216" s="12">
        <f t="shared" si="162"/>
        <v>618344.69235047721</v>
      </c>
      <c r="Q216" s="12">
        <f t="shared" si="163"/>
        <v>19680.375218547022</v>
      </c>
      <c r="R216" s="12">
        <f t="shared" si="155"/>
        <v>598664.31713193015</v>
      </c>
    </row>
    <row r="217" spans="1:18" x14ac:dyDescent="0.2">
      <c r="A217" s="3">
        <v>1008</v>
      </c>
      <c r="B217" s="3">
        <v>30</v>
      </c>
      <c r="C217" s="13">
        <f t="shared" si="164"/>
        <v>20000</v>
      </c>
      <c r="D217" s="9">
        <f t="shared" si="156"/>
        <v>20000</v>
      </c>
      <c r="E217" s="9" t="str">
        <f>VLOOKUP($A217,'BASE DATA'!$A:$T,13,0)</f>
        <v>Monthly</v>
      </c>
      <c r="F217" s="88">
        <f>VLOOKUP($A217,'BASE DATA'!$A:$T,10,0)</f>
        <v>44347</v>
      </c>
      <c r="G217" s="3" t="str">
        <f t="shared" si="152"/>
        <v>2018-2019</v>
      </c>
      <c r="H217" s="11">
        <f t="shared" si="153"/>
        <v>3</v>
      </c>
      <c r="I217" s="10">
        <f t="shared" si="165"/>
        <v>43434</v>
      </c>
      <c r="J217" s="12">
        <f t="shared" si="157"/>
        <v>599323.00297980278</v>
      </c>
      <c r="K217" s="12">
        <f t="shared" si="158"/>
        <v>4433.3482412204585</v>
      </c>
      <c r="L217" s="12">
        <f t="shared" si="159"/>
        <v>20000</v>
      </c>
      <c r="M217" s="12">
        <f t="shared" si="160"/>
        <v>15566.651758779542</v>
      </c>
      <c r="N217" s="12">
        <f t="shared" si="161"/>
        <v>583756.35122102324</v>
      </c>
      <c r="O217" s="13" t="str">
        <f t="shared" si="154"/>
        <v/>
      </c>
      <c r="P217" s="12">
        <f t="shared" si="162"/>
        <v>598664.31713193015</v>
      </c>
      <c r="Q217" s="12">
        <f t="shared" si="163"/>
        <v>19045.524405045508</v>
      </c>
      <c r="R217" s="12">
        <f t="shared" si="155"/>
        <v>579618.7927268846</v>
      </c>
    </row>
    <row r="218" spans="1:18" x14ac:dyDescent="0.2">
      <c r="A218" s="3">
        <v>1008</v>
      </c>
      <c r="B218" s="3">
        <v>31</v>
      </c>
      <c r="C218" s="13">
        <f t="shared" si="164"/>
        <v>20000</v>
      </c>
      <c r="D218" s="9">
        <f t="shared" si="156"/>
        <v>20000</v>
      </c>
      <c r="E218" s="9" t="str">
        <f>VLOOKUP($A218,'BASE DATA'!$A:$T,13,0)</f>
        <v>Monthly</v>
      </c>
      <c r="F218" s="88">
        <f>VLOOKUP($A218,'BASE DATA'!$A:$T,10,0)</f>
        <v>44347</v>
      </c>
      <c r="G218" s="3" t="str">
        <f t="shared" si="152"/>
        <v>2018-2019</v>
      </c>
      <c r="H218" s="11">
        <f t="shared" si="153"/>
        <v>3</v>
      </c>
      <c r="I218" s="10">
        <f t="shared" si="165"/>
        <v>43465</v>
      </c>
      <c r="J218" s="12">
        <f t="shared" si="157"/>
        <v>583756.35122102324</v>
      </c>
      <c r="K218" s="12">
        <f t="shared" si="158"/>
        <v>4462.1375887853555</v>
      </c>
      <c r="L218" s="12">
        <f t="shared" si="159"/>
        <v>20000</v>
      </c>
      <c r="M218" s="12">
        <f t="shared" si="160"/>
        <v>15537.862411214644</v>
      </c>
      <c r="N218" s="12">
        <f t="shared" si="161"/>
        <v>568218.48880980862</v>
      </c>
      <c r="O218" s="13" t="str">
        <f t="shared" si="154"/>
        <v/>
      </c>
      <c r="P218" s="12">
        <f t="shared" si="162"/>
        <v>579618.7927268846</v>
      </c>
      <c r="Q218" s="12">
        <f t="shared" si="163"/>
        <v>19680.375218547022</v>
      </c>
      <c r="R218" s="12">
        <f t="shared" si="155"/>
        <v>559938.41750833753</v>
      </c>
    </row>
    <row r="219" spans="1:18" x14ac:dyDescent="0.2">
      <c r="A219" s="3">
        <v>1008</v>
      </c>
      <c r="B219" s="3">
        <v>31</v>
      </c>
      <c r="C219" s="13">
        <f t="shared" si="164"/>
        <v>20000</v>
      </c>
      <c r="D219" s="9">
        <f t="shared" si="156"/>
        <v>20000</v>
      </c>
      <c r="E219" s="9" t="str">
        <f>VLOOKUP($A219,'BASE DATA'!$A:$T,13,0)</f>
        <v>Monthly</v>
      </c>
      <c r="F219" s="88">
        <f>VLOOKUP($A219,'BASE DATA'!$A:$T,10,0)</f>
        <v>44347</v>
      </c>
      <c r="G219" s="3" t="str">
        <f t="shared" si="152"/>
        <v>2018-2019</v>
      </c>
      <c r="H219" s="11">
        <f t="shared" si="153"/>
        <v>4</v>
      </c>
      <c r="I219" s="10">
        <f t="shared" si="165"/>
        <v>43496</v>
      </c>
      <c r="J219" s="12">
        <f t="shared" si="157"/>
        <v>568218.48880980862</v>
      </c>
      <c r="K219" s="12">
        <f t="shared" si="158"/>
        <v>4343.3687226831944</v>
      </c>
      <c r="L219" s="12">
        <f t="shared" si="159"/>
        <v>20000</v>
      </c>
      <c r="M219" s="12">
        <f t="shared" si="160"/>
        <v>15656.631277316807</v>
      </c>
      <c r="N219" s="12">
        <f t="shared" si="161"/>
        <v>552561.85753249179</v>
      </c>
      <c r="O219" s="13" t="str">
        <f t="shared" si="154"/>
        <v/>
      </c>
      <c r="P219" s="12">
        <f t="shared" si="162"/>
        <v>559938.41750833753</v>
      </c>
      <c r="Q219" s="12">
        <f t="shared" si="163"/>
        <v>19680.375218547022</v>
      </c>
      <c r="R219" s="12">
        <f t="shared" si="155"/>
        <v>540258.04228979046</v>
      </c>
    </row>
    <row r="220" spans="1:18" x14ac:dyDescent="0.2">
      <c r="A220" s="3">
        <v>1008</v>
      </c>
      <c r="B220" s="3">
        <v>28</v>
      </c>
      <c r="C220" s="13">
        <f t="shared" si="164"/>
        <v>20000</v>
      </c>
      <c r="D220" s="9">
        <f t="shared" si="156"/>
        <v>20000</v>
      </c>
      <c r="E220" s="9" t="str">
        <f>VLOOKUP($A220,'BASE DATA'!$A:$T,13,0)</f>
        <v>Monthly</v>
      </c>
      <c r="F220" s="88">
        <f>VLOOKUP($A220,'BASE DATA'!$A:$T,10,0)</f>
        <v>44347</v>
      </c>
      <c r="G220" s="3" t="str">
        <f t="shared" si="152"/>
        <v>2018-2019</v>
      </c>
      <c r="H220" s="11">
        <f t="shared" si="153"/>
        <v>4</v>
      </c>
      <c r="I220" s="10">
        <f t="shared" si="165"/>
        <v>43524</v>
      </c>
      <c r="J220" s="12">
        <f t="shared" si="157"/>
        <v>552561.85753249179</v>
      </c>
      <c r="K220" s="12">
        <f t="shared" si="158"/>
        <v>3814.9476191284366</v>
      </c>
      <c r="L220" s="12">
        <f t="shared" si="159"/>
        <v>20000</v>
      </c>
      <c r="M220" s="12">
        <f t="shared" si="160"/>
        <v>16185.052380871562</v>
      </c>
      <c r="N220" s="12">
        <f t="shared" si="161"/>
        <v>536376.80515162018</v>
      </c>
      <c r="O220" s="13" t="str">
        <f t="shared" si="154"/>
        <v/>
      </c>
      <c r="P220" s="12">
        <f t="shared" si="162"/>
        <v>540258.04228979046</v>
      </c>
      <c r="Q220" s="12">
        <f t="shared" si="163"/>
        <v>17775.822778042471</v>
      </c>
      <c r="R220" s="12">
        <f t="shared" si="155"/>
        <v>522482.219511748</v>
      </c>
    </row>
    <row r="221" spans="1:18" x14ac:dyDescent="0.2">
      <c r="A221" s="3">
        <v>1008</v>
      </c>
      <c r="B221" s="3">
        <v>31</v>
      </c>
      <c r="C221" s="13">
        <f t="shared" si="164"/>
        <v>20000</v>
      </c>
      <c r="D221" s="9">
        <f t="shared" si="156"/>
        <v>20000</v>
      </c>
      <c r="E221" s="9" t="str">
        <f>VLOOKUP($A221,'BASE DATA'!$A:$T,13,0)</f>
        <v>Monthly</v>
      </c>
      <c r="F221" s="88">
        <f>VLOOKUP($A221,'BASE DATA'!$A:$T,10,0)</f>
        <v>44347</v>
      </c>
      <c r="G221" s="3" t="str">
        <f t="shared" si="152"/>
        <v>2018-2019</v>
      </c>
      <c r="H221" s="11">
        <f t="shared" si="153"/>
        <v>4</v>
      </c>
      <c r="I221" s="10">
        <f t="shared" si="165"/>
        <v>43555</v>
      </c>
      <c r="J221" s="12">
        <f t="shared" si="157"/>
        <v>536376.80515162018</v>
      </c>
      <c r="K221" s="12">
        <f t="shared" si="158"/>
        <v>4099.97612704937</v>
      </c>
      <c r="L221" s="12">
        <f t="shared" si="159"/>
        <v>20000</v>
      </c>
      <c r="M221" s="12">
        <f t="shared" si="160"/>
        <v>15900.023872950631</v>
      </c>
      <c r="N221" s="12">
        <f t="shared" si="161"/>
        <v>520476.78127866954</v>
      </c>
      <c r="O221" s="13" t="str">
        <f t="shared" si="154"/>
        <v/>
      </c>
      <c r="P221" s="12">
        <f t="shared" si="162"/>
        <v>522482.219511748</v>
      </c>
      <c r="Q221" s="12">
        <f t="shared" si="163"/>
        <v>19680.375218547022</v>
      </c>
      <c r="R221" s="12">
        <f t="shared" si="155"/>
        <v>502801.84429320099</v>
      </c>
    </row>
    <row r="222" spans="1:18" x14ac:dyDescent="0.2">
      <c r="A222" s="3">
        <v>1008</v>
      </c>
      <c r="B222" s="3">
        <v>30</v>
      </c>
      <c r="C222" s="13">
        <f t="shared" si="164"/>
        <v>20000</v>
      </c>
      <c r="D222" s="9">
        <f t="shared" si="156"/>
        <v>20000</v>
      </c>
      <c r="E222" s="9" t="str">
        <f>VLOOKUP($A222,'BASE DATA'!$A:$T,13,0)</f>
        <v>Monthly</v>
      </c>
      <c r="F222" s="88">
        <f>VLOOKUP($A222,'BASE DATA'!$A:$T,10,0)</f>
        <v>44347</v>
      </c>
      <c r="G222" s="3" t="str">
        <f t="shared" si="152"/>
        <v>2019-2020</v>
      </c>
      <c r="H222" s="11">
        <f t="shared" si="153"/>
        <v>1</v>
      </c>
      <c r="I222" s="10">
        <f t="shared" si="165"/>
        <v>43585</v>
      </c>
      <c r="J222" s="12">
        <f t="shared" si="157"/>
        <v>520476.78127866954</v>
      </c>
      <c r="K222" s="12">
        <f t="shared" ref="K222:K233" si="166">((+J222*$F$2)/366)*(I222-I221)</f>
        <v>3839.582812711496</v>
      </c>
      <c r="L222" s="12">
        <f t="shared" si="159"/>
        <v>20000</v>
      </c>
      <c r="M222" s="12">
        <f t="shared" si="160"/>
        <v>16160.417187288504</v>
      </c>
      <c r="N222" s="12">
        <f t="shared" si="161"/>
        <v>504316.36409138102</v>
      </c>
      <c r="O222" s="13" t="str">
        <f t="shared" si="154"/>
        <v/>
      </c>
      <c r="P222" s="12">
        <f t="shared" si="162"/>
        <v>502801.84429320099</v>
      </c>
      <c r="Q222" s="12">
        <f t="shared" si="163"/>
        <v>19045.524405045508</v>
      </c>
      <c r="R222" s="12">
        <f t="shared" si="155"/>
        <v>483756.3198881555</v>
      </c>
    </row>
    <row r="223" spans="1:18" x14ac:dyDescent="0.2">
      <c r="A223" s="3">
        <v>1008</v>
      </c>
      <c r="B223" s="3">
        <v>31</v>
      </c>
      <c r="C223" s="13">
        <f>+C222*1.1</f>
        <v>22000</v>
      </c>
      <c r="D223" s="9">
        <f t="shared" si="156"/>
        <v>22000</v>
      </c>
      <c r="E223" s="9" t="str">
        <f>VLOOKUP($A223,'BASE DATA'!$A:$T,13,0)</f>
        <v>Monthly</v>
      </c>
      <c r="F223" s="88">
        <f>VLOOKUP($A223,'BASE DATA'!$A:$T,10,0)</f>
        <v>44347</v>
      </c>
      <c r="G223" s="3" t="str">
        <f t="shared" si="152"/>
        <v>2019-2020</v>
      </c>
      <c r="H223" s="11">
        <f t="shared" si="153"/>
        <v>1</v>
      </c>
      <c r="I223" s="10">
        <f t="shared" si="165"/>
        <v>43616</v>
      </c>
      <c r="J223" s="12">
        <f t="shared" si="157"/>
        <v>504316.36409138102</v>
      </c>
      <c r="K223" s="12">
        <f t="shared" si="166"/>
        <v>3844.3788410244615</v>
      </c>
      <c r="L223" s="12">
        <f t="shared" si="159"/>
        <v>22000</v>
      </c>
      <c r="M223" s="12">
        <f t="shared" si="160"/>
        <v>18155.62115897554</v>
      </c>
      <c r="N223" s="12">
        <f t="shared" si="161"/>
        <v>486160.7429324055</v>
      </c>
      <c r="O223" s="13" t="str">
        <f t="shared" si="154"/>
        <v/>
      </c>
      <c r="P223" s="12">
        <f t="shared" si="162"/>
        <v>483756.3198881555</v>
      </c>
      <c r="Q223" s="12">
        <f t="shared" si="163"/>
        <v>19680.375218547022</v>
      </c>
      <c r="R223" s="12">
        <f t="shared" si="155"/>
        <v>464075.94466960849</v>
      </c>
    </row>
    <row r="224" spans="1:18" x14ac:dyDescent="0.2">
      <c r="A224" s="3">
        <v>1008</v>
      </c>
      <c r="B224" s="3">
        <v>30</v>
      </c>
      <c r="C224" s="13">
        <f>+C223</f>
        <v>22000</v>
      </c>
      <c r="D224" s="9">
        <f t="shared" si="156"/>
        <v>22000</v>
      </c>
      <c r="E224" s="9" t="str">
        <f>VLOOKUP($A224,'BASE DATA'!$A:$T,13,0)</f>
        <v>Monthly</v>
      </c>
      <c r="F224" s="88">
        <f>VLOOKUP($A224,'BASE DATA'!$A:$T,10,0)</f>
        <v>44347</v>
      </c>
      <c r="G224" s="3" t="str">
        <f t="shared" si="152"/>
        <v>2019-2020</v>
      </c>
      <c r="H224" s="11">
        <f t="shared" si="153"/>
        <v>1</v>
      </c>
      <c r="I224" s="10">
        <f t="shared" si="165"/>
        <v>43646</v>
      </c>
      <c r="J224" s="12">
        <f t="shared" si="157"/>
        <v>486160.7429324055</v>
      </c>
      <c r="K224" s="12">
        <f t="shared" si="166"/>
        <v>3586.43171015709</v>
      </c>
      <c r="L224" s="12">
        <f t="shared" si="159"/>
        <v>22000</v>
      </c>
      <c r="M224" s="12">
        <f t="shared" si="160"/>
        <v>18413.568289842911</v>
      </c>
      <c r="N224" s="12">
        <f t="shared" si="161"/>
        <v>467747.17464256258</v>
      </c>
      <c r="O224" s="13" t="str">
        <f t="shared" si="154"/>
        <v/>
      </c>
      <c r="P224" s="12">
        <f t="shared" si="162"/>
        <v>464075.94466960849</v>
      </c>
      <c r="Q224" s="12">
        <f t="shared" si="163"/>
        <v>19045.524405045508</v>
      </c>
      <c r="R224" s="12">
        <f t="shared" si="155"/>
        <v>445030.420264563</v>
      </c>
    </row>
    <row r="225" spans="1:18" x14ac:dyDescent="0.2">
      <c r="A225" s="3">
        <v>1008</v>
      </c>
      <c r="B225" s="3">
        <v>31</v>
      </c>
      <c r="C225" s="13">
        <f t="shared" ref="C225:C234" si="167">+C224</f>
        <v>22000</v>
      </c>
      <c r="D225" s="9">
        <f t="shared" si="156"/>
        <v>22000</v>
      </c>
      <c r="E225" s="9" t="str">
        <f>VLOOKUP($A225,'BASE DATA'!$A:$T,13,0)</f>
        <v>Monthly</v>
      </c>
      <c r="F225" s="88">
        <f>VLOOKUP($A225,'BASE DATA'!$A:$T,10,0)</f>
        <v>44347</v>
      </c>
      <c r="G225" s="3" t="str">
        <f t="shared" si="152"/>
        <v>2019-2020</v>
      </c>
      <c r="H225" s="11">
        <f t="shared" si="153"/>
        <v>2</v>
      </c>
      <c r="I225" s="10">
        <f t="shared" si="165"/>
        <v>43677</v>
      </c>
      <c r="J225" s="12">
        <f t="shared" si="157"/>
        <v>467747.17464256258</v>
      </c>
      <c r="K225" s="12">
        <f t="shared" si="166"/>
        <v>3565.6137083408453</v>
      </c>
      <c r="L225" s="12">
        <f t="shared" si="159"/>
        <v>22000</v>
      </c>
      <c r="M225" s="12">
        <f t="shared" si="160"/>
        <v>18434.386291659153</v>
      </c>
      <c r="N225" s="12">
        <f t="shared" si="161"/>
        <v>449312.78835090343</v>
      </c>
      <c r="O225" s="13" t="str">
        <f t="shared" si="154"/>
        <v/>
      </c>
      <c r="P225" s="12">
        <f t="shared" si="162"/>
        <v>445030.420264563</v>
      </c>
      <c r="Q225" s="12">
        <f t="shared" si="163"/>
        <v>19680.375218547022</v>
      </c>
      <c r="R225" s="12">
        <f t="shared" si="155"/>
        <v>425350.04504601599</v>
      </c>
    </row>
    <row r="226" spans="1:18" x14ac:dyDescent="0.2">
      <c r="A226" s="3">
        <v>1008</v>
      </c>
      <c r="B226" s="3">
        <v>31</v>
      </c>
      <c r="C226" s="13">
        <f t="shared" si="167"/>
        <v>22000</v>
      </c>
      <c r="D226" s="9">
        <f t="shared" si="156"/>
        <v>22000</v>
      </c>
      <c r="E226" s="9" t="str">
        <f>VLOOKUP($A226,'BASE DATA'!$A:$T,13,0)</f>
        <v>Monthly</v>
      </c>
      <c r="F226" s="88">
        <f>VLOOKUP($A226,'BASE DATA'!$A:$T,10,0)</f>
        <v>44347</v>
      </c>
      <c r="G226" s="3" t="str">
        <f t="shared" si="152"/>
        <v>2019-2020</v>
      </c>
      <c r="H226" s="11">
        <f t="shared" si="153"/>
        <v>2</v>
      </c>
      <c r="I226" s="10">
        <f t="shared" si="165"/>
        <v>43708</v>
      </c>
      <c r="J226" s="12">
        <f t="shared" si="157"/>
        <v>449312.78835090343</v>
      </c>
      <c r="K226" s="12">
        <f t="shared" si="166"/>
        <v>3425.0892882486901</v>
      </c>
      <c r="L226" s="12">
        <f t="shared" si="159"/>
        <v>22000</v>
      </c>
      <c r="M226" s="12">
        <f t="shared" si="160"/>
        <v>18574.910711751309</v>
      </c>
      <c r="N226" s="12">
        <f t="shared" si="161"/>
        <v>430737.87763915211</v>
      </c>
      <c r="O226" s="13" t="str">
        <f t="shared" si="154"/>
        <v/>
      </c>
      <c r="P226" s="12">
        <f t="shared" si="162"/>
        <v>425350.04504601599</v>
      </c>
      <c r="Q226" s="12">
        <f t="shared" si="163"/>
        <v>19680.375218547022</v>
      </c>
      <c r="R226" s="12">
        <f t="shared" si="155"/>
        <v>405669.66982746898</v>
      </c>
    </row>
    <row r="227" spans="1:18" x14ac:dyDescent="0.2">
      <c r="A227" s="3">
        <v>1008</v>
      </c>
      <c r="B227" s="3">
        <v>30</v>
      </c>
      <c r="C227" s="13">
        <f t="shared" si="167"/>
        <v>22000</v>
      </c>
      <c r="D227" s="9">
        <f t="shared" si="156"/>
        <v>22000</v>
      </c>
      <c r="E227" s="9" t="str">
        <f>VLOOKUP($A227,'BASE DATA'!$A:$T,13,0)</f>
        <v>Monthly</v>
      </c>
      <c r="F227" s="88">
        <f>VLOOKUP($A227,'BASE DATA'!$A:$T,10,0)</f>
        <v>44347</v>
      </c>
      <c r="G227" s="3" t="str">
        <f t="shared" si="152"/>
        <v>2019-2020</v>
      </c>
      <c r="H227" s="11">
        <f t="shared" si="153"/>
        <v>2</v>
      </c>
      <c r="I227" s="10">
        <f t="shared" si="165"/>
        <v>43738</v>
      </c>
      <c r="J227" s="12">
        <f t="shared" si="157"/>
        <v>430737.87763915211</v>
      </c>
      <c r="K227" s="12">
        <f t="shared" si="166"/>
        <v>3177.574507174073</v>
      </c>
      <c r="L227" s="12">
        <f t="shared" si="159"/>
        <v>22000</v>
      </c>
      <c r="M227" s="12">
        <f t="shared" si="160"/>
        <v>18822.425492825925</v>
      </c>
      <c r="N227" s="12">
        <f t="shared" si="161"/>
        <v>411915.45214632619</v>
      </c>
      <c r="O227" s="13" t="str">
        <f t="shared" si="154"/>
        <v/>
      </c>
      <c r="P227" s="12">
        <f t="shared" si="162"/>
        <v>405669.66982746898</v>
      </c>
      <c r="Q227" s="12">
        <f t="shared" si="163"/>
        <v>19045.524405045508</v>
      </c>
      <c r="R227" s="12">
        <f t="shared" si="155"/>
        <v>386624.14542242349</v>
      </c>
    </row>
    <row r="228" spans="1:18" x14ac:dyDescent="0.2">
      <c r="A228" s="3">
        <v>1008</v>
      </c>
      <c r="B228" s="3">
        <v>31</v>
      </c>
      <c r="C228" s="13">
        <f t="shared" si="167"/>
        <v>22000</v>
      </c>
      <c r="D228" s="9">
        <f t="shared" si="156"/>
        <v>22000</v>
      </c>
      <c r="E228" s="9" t="str">
        <f>VLOOKUP($A228,'BASE DATA'!$A:$T,13,0)</f>
        <v>Monthly</v>
      </c>
      <c r="F228" s="88">
        <f>VLOOKUP($A228,'BASE DATA'!$A:$T,10,0)</f>
        <v>44347</v>
      </c>
      <c r="G228" s="3" t="str">
        <f t="shared" si="152"/>
        <v>2019-2020</v>
      </c>
      <c r="H228" s="11">
        <f t="shared" si="153"/>
        <v>3</v>
      </c>
      <c r="I228" s="10">
        <f t="shared" si="165"/>
        <v>43769</v>
      </c>
      <c r="J228" s="12">
        <f t="shared" si="157"/>
        <v>411915.45214632619</v>
      </c>
      <c r="K228" s="12">
        <f t="shared" si="166"/>
        <v>3140.0112335744539</v>
      </c>
      <c r="L228" s="12">
        <f t="shared" si="159"/>
        <v>22000</v>
      </c>
      <c r="M228" s="12">
        <f t="shared" si="160"/>
        <v>18859.988766425548</v>
      </c>
      <c r="N228" s="12">
        <f t="shared" si="161"/>
        <v>393055.46337990067</v>
      </c>
      <c r="O228" s="13" t="str">
        <f t="shared" si="154"/>
        <v/>
      </c>
      <c r="P228" s="12">
        <f t="shared" si="162"/>
        <v>386624.14542242349</v>
      </c>
      <c r="Q228" s="12">
        <f t="shared" si="163"/>
        <v>19680.375218547022</v>
      </c>
      <c r="R228" s="12">
        <f t="shared" si="155"/>
        <v>366943.77020387648</v>
      </c>
    </row>
    <row r="229" spans="1:18" x14ac:dyDescent="0.2">
      <c r="A229" s="3">
        <v>1008</v>
      </c>
      <c r="B229" s="3">
        <v>30</v>
      </c>
      <c r="C229" s="13">
        <f t="shared" si="167"/>
        <v>22000</v>
      </c>
      <c r="D229" s="9">
        <f t="shared" si="156"/>
        <v>22000</v>
      </c>
      <c r="E229" s="9" t="str">
        <f>VLOOKUP($A229,'BASE DATA'!$A:$T,13,0)</f>
        <v>Monthly</v>
      </c>
      <c r="F229" s="88">
        <f>VLOOKUP($A229,'BASE DATA'!$A:$T,10,0)</f>
        <v>44347</v>
      </c>
      <c r="G229" s="3" t="str">
        <f t="shared" si="152"/>
        <v>2019-2020</v>
      </c>
      <c r="H229" s="11">
        <f t="shared" si="153"/>
        <v>3</v>
      </c>
      <c r="I229" s="10">
        <f t="shared" si="165"/>
        <v>43799</v>
      </c>
      <c r="J229" s="12">
        <f t="shared" si="157"/>
        <v>393055.46337990067</v>
      </c>
      <c r="K229" s="12">
        <f t="shared" si="166"/>
        <v>2899.5894839500866</v>
      </c>
      <c r="L229" s="12">
        <f t="shared" si="159"/>
        <v>22000</v>
      </c>
      <c r="M229" s="12">
        <f t="shared" si="160"/>
        <v>19100.410516049913</v>
      </c>
      <c r="N229" s="12">
        <f t="shared" si="161"/>
        <v>373955.05286385078</v>
      </c>
      <c r="O229" s="13" t="str">
        <f t="shared" si="154"/>
        <v/>
      </c>
      <c r="P229" s="12">
        <f t="shared" si="162"/>
        <v>366943.77020387648</v>
      </c>
      <c r="Q229" s="12">
        <f t="shared" si="163"/>
        <v>19045.524405045508</v>
      </c>
      <c r="R229" s="12">
        <f t="shared" si="155"/>
        <v>347898.24579883099</v>
      </c>
    </row>
    <row r="230" spans="1:18" x14ac:dyDescent="0.2">
      <c r="A230" s="3">
        <v>1008</v>
      </c>
      <c r="B230" s="3">
        <v>31</v>
      </c>
      <c r="C230" s="13">
        <f t="shared" si="167"/>
        <v>22000</v>
      </c>
      <c r="D230" s="9">
        <f t="shared" si="156"/>
        <v>22000</v>
      </c>
      <c r="E230" s="9" t="str">
        <f>VLOOKUP($A230,'BASE DATA'!$A:$T,13,0)</f>
        <v>Monthly</v>
      </c>
      <c r="F230" s="88">
        <f>VLOOKUP($A230,'BASE DATA'!$A:$T,10,0)</f>
        <v>44347</v>
      </c>
      <c r="G230" s="3" t="str">
        <f t="shared" si="152"/>
        <v>2019-2020</v>
      </c>
      <c r="H230" s="11">
        <f t="shared" si="153"/>
        <v>3</v>
      </c>
      <c r="I230" s="10">
        <f t="shared" si="165"/>
        <v>43830</v>
      </c>
      <c r="J230" s="12">
        <f t="shared" si="157"/>
        <v>373955.05286385078</v>
      </c>
      <c r="K230" s="12">
        <f t="shared" si="166"/>
        <v>2850.6409767490268</v>
      </c>
      <c r="L230" s="12">
        <f t="shared" si="159"/>
        <v>22000</v>
      </c>
      <c r="M230" s="12">
        <f t="shared" si="160"/>
        <v>19149.359023250974</v>
      </c>
      <c r="N230" s="12">
        <f t="shared" si="161"/>
        <v>354805.69384059979</v>
      </c>
      <c r="O230" s="13" t="str">
        <f t="shared" si="154"/>
        <v/>
      </c>
      <c r="P230" s="12">
        <f t="shared" si="162"/>
        <v>347898.24579883099</v>
      </c>
      <c r="Q230" s="12">
        <f t="shared" si="163"/>
        <v>19680.375218547022</v>
      </c>
      <c r="R230" s="12">
        <f t="shared" si="155"/>
        <v>328217.87058028398</v>
      </c>
    </row>
    <row r="231" spans="1:18" x14ac:dyDescent="0.2">
      <c r="A231" s="3">
        <v>1008</v>
      </c>
      <c r="B231" s="3">
        <v>31</v>
      </c>
      <c r="C231" s="13">
        <f t="shared" si="167"/>
        <v>22000</v>
      </c>
      <c r="D231" s="9">
        <f t="shared" si="156"/>
        <v>22000</v>
      </c>
      <c r="E231" s="9" t="str">
        <f>VLOOKUP($A231,'BASE DATA'!$A:$T,13,0)</f>
        <v>Monthly</v>
      </c>
      <c r="F231" s="88">
        <f>VLOOKUP($A231,'BASE DATA'!$A:$T,10,0)</f>
        <v>44347</v>
      </c>
      <c r="G231" s="3" t="str">
        <f t="shared" si="152"/>
        <v>2019-2020</v>
      </c>
      <c r="H231" s="11">
        <f t="shared" si="153"/>
        <v>4</v>
      </c>
      <c r="I231" s="10">
        <f t="shared" si="165"/>
        <v>43861</v>
      </c>
      <c r="J231" s="12">
        <f t="shared" si="157"/>
        <v>354805.69384059979</v>
      </c>
      <c r="K231" s="12">
        <f t="shared" si="166"/>
        <v>2704.6663546865393</v>
      </c>
      <c r="L231" s="12">
        <f t="shared" si="159"/>
        <v>22000</v>
      </c>
      <c r="M231" s="12">
        <f t="shared" si="160"/>
        <v>19295.333645313462</v>
      </c>
      <c r="N231" s="12">
        <f t="shared" si="161"/>
        <v>335510.36019528634</v>
      </c>
      <c r="O231" s="13" t="str">
        <f t="shared" si="154"/>
        <v/>
      </c>
      <c r="P231" s="12">
        <f t="shared" si="162"/>
        <v>328217.87058028398</v>
      </c>
      <c r="Q231" s="12">
        <f t="shared" si="163"/>
        <v>19680.375218547022</v>
      </c>
      <c r="R231" s="12">
        <f t="shared" si="155"/>
        <v>308537.49536173698</v>
      </c>
    </row>
    <row r="232" spans="1:18" x14ac:dyDescent="0.2">
      <c r="A232" s="3">
        <v>1008</v>
      </c>
      <c r="B232" s="3">
        <v>29</v>
      </c>
      <c r="C232" s="13">
        <f t="shared" si="167"/>
        <v>22000</v>
      </c>
      <c r="D232" s="9">
        <f t="shared" si="156"/>
        <v>22000</v>
      </c>
      <c r="E232" s="9" t="str">
        <f>VLOOKUP($A232,'BASE DATA'!$A:$T,13,0)</f>
        <v>Monthly</v>
      </c>
      <c r="F232" s="88">
        <f>VLOOKUP($A232,'BASE DATA'!$A:$T,10,0)</f>
        <v>44347</v>
      </c>
      <c r="G232" s="3" t="str">
        <f t="shared" si="152"/>
        <v>2019-2020</v>
      </c>
      <c r="H232" s="11">
        <f t="shared" si="153"/>
        <v>4</v>
      </c>
      <c r="I232" s="10">
        <f t="shared" si="165"/>
        <v>43890</v>
      </c>
      <c r="J232" s="12">
        <f t="shared" si="157"/>
        <v>335510.36019528634</v>
      </c>
      <c r="K232" s="12">
        <f t="shared" si="166"/>
        <v>2392.57388008114</v>
      </c>
      <c r="L232" s="12">
        <f t="shared" si="159"/>
        <v>22000</v>
      </c>
      <c r="M232" s="12">
        <f t="shared" si="160"/>
        <v>19607.426119918859</v>
      </c>
      <c r="N232" s="12">
        <f t="shared" si="161"/>
        <v>315902.93407536746</v>
      </c>
      <c r="O232" s="13" t="str">
        <f t="shared" si="154"/>
        <v/>
      </c>
      <c r="P232" s="12">
        <f t="shared" si="162"/>
        <v>308537.49536173698</v>
      </c>
      <c r="Q232" s="12">
        <f t="shared" si="163"/>
        <v>18410.673591543989</v>
      </c>
      <c r="R232" s="12">
        <f t="shared" si="155"/>
        <v>290126.821770193</v>
      </c>
    </row>
    <row r="233" spans="1:18" x14ac:dyDescent="0.2">
      <c r="A233" s="3">
        <v>1008</v>
      </c>
      <c r="B233" s="3">
        <v>31</v>
      </c>
      <c r="C233" s="13">
        <f t="shared" si="167"/>
        <v>22000</v>
      </c>
      <c r="D233" s="9">
        <f t="shared" si="156"/>
        <v>22000</v>
      </c>
      <c r="E233" s="9" t="str">
        <f>VLOOKUP($A233,'BASE DATA'!$A:$T,13,0)</f>
        <v>Monthly</v>
      </c>
      <c r="F233" s="88">
        <f>VLOOKUP($A233,'BASE DATA'!$A:$T,10,0)</f>
        <v>44347</v>
      </c>
      <c r="G233" s="3" t="str">
        <f t="shared" si="152"/>
        <v>2019-2020</v>
      </c>
      <c r="H233" s="11">
        <f t="shared" si="153"/>
        <v>4</v>
      </c>
      <c r="I233" s="10">
        <f t="shared" si="165"/>
        <v>43921</v>
      </c>
      <c r="J233" s="12">
        <f t="shared" si="157"/>
        <v>315902.93407536746</v>
      </c>
      <c r="K233" s="12">
        <f t="shared" si="166"/>
        <v>2408.1125302466535</v>
      </c>
      <c r="L233" s="12">
        <f t="shared" si="159"/>
        <v>22000</v>
      </c>
      <c r="M233" s="12">
        <f t="shared" si="160"/>
        <v>19591.887469753347</v>
      </c>
      <c r="N233" s="12">
        <f t="shared" si="161"/>
        <v>296311.04660561413</v>
      </c>
      <c r="O233" s="13" t="str">
        <f t="shared" si="154"/>
        <v/>
      </c>
      <c r="P233" s="12">
        <f t="shared" si="162"/>
        <v>290126.821770193</v>
      </c>
      <c r="Q233" s="12">
        <f t="shared" si="163"/>
        <v>19680.375218547022</v>
      </c>
      <c r="R233" s="12">
        <f t="shared" si="155"/>
        <v>270446.44655164599</v>
      </c>
    </row>
    <row r="234" spans="1:18" x14ac:dyDescent="0.2">
      <c r="A234" s="3">
        <v>1008</v>
      </c>
      <c r="B234" s="3">
        <v>30</v>
      </c>
      <c r="C234" s="13">
        <f t="shared" si="167"/>
        <v>22000</v>
      </c>
      <c r="D234" s="9">
        <f t="shared" si="156"/>
        <v>22000</v>
      </c>
      <c r="E234" s="9" t="str">
        <f>VLOOKUP($A234,'BASE DATA'!$A:$T,13,0)</f>
        <v>Monthly</v>
      </c>
      <c r="F234" s="88">
        <f>VLOOKUP($A234,'BASE DATA'!$A:$T,10,0)</f>
        <v>44347</v>
      </c>
      <c r="G234" s="3" t="str">
        <f t="shared" si="152"/>
        <v>2020-2021</v>
      </c>
      <c r="H234" s="11">
        <f t="shared" si="153"/>
        <v>1</v>
      </c>
      <c r="I234" s="10">
        <f t="shared" si="165"/>
        <v>43951</v>
      </c>
      <c r="J234" s="12">
        <f t="shared" si="157"/>
        <v>296311.04660561413</v>
      </c>
      <c r="K234" s="12">
        <f t="shared" ref="K234:K247" si="168">((+J234*$F$2)/365)*(I234-I233)</f>
        <v>2191.8899337949538</v>
      </c>
      <c r="L234" s="12">
        <f t="shared" si="159"/>
        <v>22000</v>
      </c>
      <c r="M234" s="12">
        <f t="shared" si="160"/>
        <v>19808.110066205045</v>
      </c>
      <c r="N234" s="12">
        <f t="shared" si="161"/>
        <v>276502.9365394091</v>
      </c>
      <c r="O234" s="13" t="str">
        <f t="shared" si="154"/>
        <v/>
      </c>
      <c r="P234" s="12">
        <f t="shared" si="162"/>
        <v>270446.44655164599</v>
      </c>
      <c r="Q234" s="12">
        <f t="shared" si="163"/>
        <v>19045.524405045508</v>
      </c>
      <c r="R234" s="12">
        <f t="shared" si="155"/>
        <v>251400.9221466005</v>
      </c>
    </row>
    <row r="235" spans="1:18" x14ac:dyDescent="0.2">
      <c r="A235" s="3">
        <v>1008</v>
      </c>
      <c r="B235" s="3">
        <v>31</v>
      </c>
      <c r="C235" s="13">
        <f>+C234*1.1</f>
        <v>24200.000000000004</v>
      </c>
      <c r="D235" s="9">
        <f t="shared" si="156"/>
        <v>24200.000000000004</v>
      </c>
      <c r="E235" s="9" t="str">
        <f>VLOOKUP($A235,'BASE DATA'!$A:$T,13,0)</f>
        <v>Monthly</v>
      </c>
      <c r="F235" s="88">
        <f>VLOOKUP($A235,'BASE DATA'!$A:$T,10,0)</f>
        <v>44347</v>
      </c>
      <c r="G235" s="3" t="str">
        <f t="shared" si="152"/>
        <v>2020-2021</v>
      </c>
      <c r="H235" s="11">
        <f t="shared" si="153"/>
        <v>1</v>
      </c>
      <c r="I235" s="10">
        <f t="shared" si="165"/>
        <v>43982</v>
      </c>
      <c r="J235" s="12">
        <f t="shared" si="157"/>
        <v>276502.9365394091</v>
      </c>
      <c r="K235" s="12">
        <f t="shared" si="168"/>
        <v>2113.54299436973</v>
      </c>
      <c r="L235" s="12">
        <f t="shared" si="159"/>
        <v>24200.000000000004</v>
      </c>
      <c r="M235" s="12">
        <f t="shared" si="160"/>
        <v>22086.457005630273</v>
      </c>
      <c r="N235" s="12">
        <f t="shared" si="161"/>
        <v>254416.47953377882</v>
      </c>
      <c r="O235" s="13" t="str">
        <f t="shared" si="154"/>
        <v/>
      </c>
      <c r="P235" s="12">
        <f t="shared" si="162"/>
        <v>251400.9221466005</v>
      </c>
      <c r="Q235" s="12">
        <f t="shared" si="163"/>
        <v>19680.375218547022</v>
      </c>
      <c r="R235" s="12">
        <f t="shared" si="155"/>
        <v>231720.54692805349</v>
      </c>
    </row>
    <row r="236" spans="1:18" x14ac:dyDescent="0.2">
      <c r="A236" s="3">
        <v>1008</v>
      </c>
      <c r="B236" s="3">
        <v>30</v>
      </c>
      <c r="C236" s="13">
        <f>+C235</f>
        <v>24200.000000000004</v>
      </c>
      <c r="D236" s="9">
        <f t="shared" si="156"/>
        <v>24200.000000000004</v>
      </c>
      <c r="E236" s="9" t="str">
        <f>VLOOKUP($A236,'BASE DATA'!$A:$T,13,0)</f>
        <v>Monthly</v>
      </c>
      <c r="F236" s="88">
        <f>VLOOKUP($A236,'BASE DATA'!$A:$T,10,0)</f>
        <v>44347</v>
      </c>
      <c r="G236" s="3" t="str">
        <f t="shared" si="152"/>
        <v>2020-2021</v>
      </c>
      <c r="H236" s="11">
        <f t="shared" si="153"/>
        <v>1</v>
      </c>
      <c r="I236" s="10">
        <f t="shared" si="165"/>
        <v>44012</v>
      </c>
      <c r="J236" s="12">
        <f t="shared" si="157"/>
        <v>254416.47953377882</v>
      </c>
      <c r="K236" s="12">
        <f t="shared" si="168"/>
        <v>1881.9849170991859</v>
      </c>
      <c r="L236" s="12">
        <f t="shared" si="159"/>
        <v>24200.000000000004</v>
      </c>
      <c r="M236" s="12">
        <f t="shared" si="160"/>
        <v>22318.015082900816</v>
      </c>
      <c r="N236" s="12">
        <f t="shared" si="161"/>
        <v>232098.464450878</v>
      </c>
      <c r="O236" s="13" t="str">
        <f t="shared" si="154"/>
        <v/>
      </c>
      <c r="P236" s="12">
        <f t="shared" si="162"/>
        <v>231720.54692805349</v>
      </c>
      <c r="Q236" s="12">
        <f t="shared" si="163"/>
        <v>19045.524405045508</v>
      </c>
      <c r="R236" s="12">
        <f t="shared" si="155"/>
        <v>212675.022523008</v>
      </c>
    </row>
    <row r="237" spans="1:18" x14ac:dyDescent="0.2">
      <c r="A237" s="3">
        <v>1008</v>
      </c>
      <c r="B237" s="3">
        <v>31</v>
      </c>
      <c r="C237" s="13">
        <f t="shared" ref="C237:C246" si="169">+C236</f>
        <v>24200.000000000004</v>
      </c>
      <c r="D237" s="9">
        <f t="shared" si="156"/>
        <v>24200.000000000004</v>
      </c>
      <c r="E237" s="9" t="str">
        <f>VLOOKUP($A237,'BASE DATA'!$A:$T,13,0)</f>
        <v>Monthly</v>
      </c>
      <c r="F237" s="88">
        <f>VLOOKUP($A237,'BASE DATA'!$A:$T,10,0)</f>
        <v>44347</v>
      </c>
      <c r="G237" s="3" t="str">
        <f t="shared" si="152"/>
        <v>2020-2021</v>
      </c>
      <c r="H237" s="11">
        <f t="shared" si="153"/>
        <v>2</v>
      </c>
      <c r="I237" s="10">
        <f t="shared" si="165"/>
        <v>44043</v>
      </c>
      <c r="J237" s="12">
        <f t="shared" si="157"/>
        <v>232098.464450878</v>
      </c>
      <c r="K237" s="12">
        <f t="shared" si="168"/>
        <v>1774.1225090902728</v>
      </c>
      <c r="L237" s="12">
        <f t="shared" si="159"/>
        <v>24200.000000000004</v>
      </c>
      <c r="M237" s="12">
        <f t="shared" si="160"/>
        <v>22425.87749090973</v>
      </c>
      <c r="N237" s="12">
        <f t="shared" si="161"/>
        <v>209672.58695996826</v>
      </c>
      <c r="O237" s="13" t="str">
        <f t="shared" si="154"/>
        <v/>
      </c>
      <c r="P237" s="12">
        <f t="shared" si="162"/>
        <v>212675.022523008</v>
      </c>
      <c r="Q237" s="12">
        <f t="shared" si="163"/>
        <v>19680.375218547022</v>
      </c>
      <c r="R237" s="12">
        <f t="shared" si="155"/>
        <v>192994.64730446099</v>
      </c>
    </row>
    <row r="238" spans="1:18" x14ac:dyDescent="0.2">
      <c r="A238" s="3">
        <v>1008</v>
      </c>
      <c r="B238" s="3">
        <v>31</v>
      </c>
      <c r="C238" s="13">
        <f t="shared" si="169"/>
        <v>24200.000000000004</v>
      </c>
      <c r="D238" s="9">
        <f t="shared" si="156"/>
        <v>24200.000000000004</v>
      </c>
      <c r="E238" s="9" t="str">
        <f>VLOOKUP($A238,'BASE DATA'!$A:$T,13,0)</f>
        <v>Monthly</v>
      </c>
      <c r="F238" s="88">
        <f>VLOOKUP($A238,'BASE DATA'!$A:$T,10,0)</f>
        <v>44347</v>
      </c>
      <c r="G238" s="3" t="str">
        <f t="shared" si="152"/>
        <v>2020-2021</v>
      </c>
      <c r="H238" s="11">
        <f t="shared" si="153"/>
        <v>2</v>
      </c>
      <c r="I238" s="10">
        <f t="shared" si="165"/>
        <v>44074</v>
      </c>
      <c r="J238" s="12">
        <f t="shared" si="157"/>
        <v>209672.58695996826</v>
      </c>
      <c r="K238" s="12">
        <f t="shared" si="168"/>
        <v>1602.7027879953737</v>
      </c>
      <c r="L238" s="12">
        <f t="shared" si="159"/>
        <v>24200.000000000004</v>
      </c>
      <c r="M238" s="12">
        <f t="shared" si="160"/>
        <v>22597.297212004629</v>
      </c>
      <c r="N238" s="12">
        <f t="shared" si="161"/>
        <v>187075.28974796363</v>
      </c>
      <c r="O238" s="13" t="str">
        <f t="shared" si="154"/>
        <v/>
      </c>
      <c r="P238" s="12">
        <f t="shared" si="162"/>
        <v>192994.64730446099</v>
      </c>
      <c r="Q238" s="12">
        <f t="shared" si="163"/>
        <v>19680.375218547022</v>
      </c>
      <c r="R238" s="12">
        <f t="shared" si="155"/>
        <v>173314.27208591398</v>
      </c>
    </row>
    <row r="239" spans="1:18" x14ac:dyDescent="0.2">
      <c r="A239" s="3">
        <v>1008</v>
      </c>
      <c r="B239" s="3">
        <v>30</v>
      </c>
      <c r="C239" s="13">
        <f t="shared" si="169"/>
        <v>24200.000000000004</v>
      </c>
      <c r="D239" s="9">
        <f t="shared" si="156"/>
        <v>24200.000000000004</v>
      </c>
      <c r="E239" s="9" t="str">
        <f>VLOOKUP($A239,'BASE DATA'!$A:$T,13,0)</f>
        <v>Monthly</v>
      </c>
      <c r="F239" s="88">
        <f>VLOOKUP($A239,'BASE DATA'!$A:$T,10,0)</f>
        <v>44347</v>
      </c>
      <c r="G239" s="3" t="str">
        <f t="shared" si="152"/>
        <v>2020-2021</v>
      </c>
      <c r="H239" s="11">
        <f t="shared" si="153"/>
        <v>2</v>
      </c>
      <c r="I239" s="10">
        <f t="shared" si="165"/>
        <v>44104</v>
      </c>
      <c r="J239" s="12">
        <f t="shared" si="157"/>
        <v>187075.28974796363</v>
      </c>
      <c r="K239" s="12">
        <f t="shared" si="168"/>
        <v>1383.8446090945254</v>
      </c>
      <c r="L239" s="12">
        <f t="shared" si="159"/>
        <v>24200.000000000004</v>
      </c>
      <c r="M239" s="12">
        <f t="shared" si="160"/>
        <v>22816.155390905478</v>
      </c>
      <c r="N239" s="12">
        <f t="shared" si="161"/>
        <v>164259.13435705815</v>
      </c>
      <c r="O239" s="13" t="str">
        <f t="shared" si="154"/>
        <v/>
      </c>
      <c r="P239" s="12">
        <f t="shared" si="162"/>
        <v>173314.27208591398</v>
      </c>
      <c r="Q239" s="12">
        <f t="shared" si="163"/>
        <v>19045.524405045508</v>
      </c>
      <c r="R239" s="12">
        <f t="shared" si="155"/>
        <v>154268.74768086849</v>
      </c>
    </row>
    <row r="240" spans="1:18" x14ac:dyDescent="0.2">
      <c r="A240" s="3">
        <v>1008</v>
      </c>
      <c r="B240" s="3">
        <v>31</v>
      </c>
      <c r="C240" s="13">
        <f t="shared" si="169"/>
        <v>24200.000000000004</v>
      </c>
      <c r="D240" s="9">
        <f t="shared" si="156"/>
        <v>24200.000000000004</v>
      </c>
      <c r="E240" s="9" t="str">
        <f>VLOOKUP($A240,'BASE DATA'!$A:$T,13,0)</f>
        <v>Monthly</v>
      </c>
      <c r="F240" s="88">
        <f>VLOOKUP($A240,'BASE DATA'!$A:$T,10,0)</f>
        <v>44347</v>
      </c>
      <c r="G240" s="3" t="str">
        <f t="shared" si="152"/>
        <v>2020-2021</v>
      </c>
      <c r="H240" s="11">
        <f t="shared" si="153"/>
        <v>3</v>
      </c>
      <c r="I240" s="10">
        <f t="shared" si="165"/>
        <v>44135</v>
      </c>
      <c r="J240" s="12">
        <f t="shared" si="157"/>
        <v>164259.13435705815</v>
      </c>
      <c r="K240" s="12">
        <f t="shared" si="168"/>
        <v>1255.5698215238144</v>
      </c>
      <c r="L240" s="12">
        <f t="shared" si="159"/>
        <v>24200.000000000004</v>
      </c>
      <c r="M240" s="12">
        <f t="shared" si="160"/>
        <v>22944.430178476188</v>
      </c>
      <c r="N240" s="12">
        <f t="shared" si="161"/>
        <v>141314.70417858197</v>
      </c>
      <c r="O240" s="13" t="str">
        <f t="shared" si="154"/>
        <v/>
      </c>
      <c r="P240" s="12">
        <f t="shared" si="162"/>
        <v>154268.74768086849</v>
      </c>
      <c r="Q240" s="12">
        <f t="shared" si="163"/>
        <v>19680.375218547022</v>
      </c>
      <c r="R240" s="12">
        <f t="shared" si="155"/>
        <v>134588.37246232148</v>
      </c>
    </row>
    <row r="241" spans="1:18" x14ac:dyDescent="0.2">
      <c r="A241" s="3">
        <v>1008</v>
      </c>
      <c r="B241" s="3">
        <v>30</v>
      </c>
      <c r="C241" s="13">
        <f t="shared" si="169"/>
        <v>24200.000000000004</v>
      </c>
      <c r="D241" s="9">
        <f t="shared" si="156"/>
        <v>24200.000000000004</v>
      </c>
      <c r="E241" s="9" t="str">
        <f>VLOOKUP($A241,'BASE DATA'!$A:$T,13,0)</f>
        <v>Monthly</v>
      </c>
      <c r="F241" s="88">
        <f>VLOOKUP($A241,'BASE DATA'!$A:$T,10,0)</f>
        <v>44347</v>
      </c>
      <c r="G241" s="3" t="str">
        <f t="shared" si="152"/>
        <v>2020-2021</v>
      </c>
      <c r="H241" s="11">
        <f t="shared" si="153"/>
        <v>3</v>
      </c>
      <c r="I241" s="10">
        <f t="shared" si="165"/>
        <v>44165</v>
      </c>
      <c r="J241" s="12">
        <f t="shared" si="157"/>
        <v>141314.70417858197</v>
      </c>
      <c r="K241" s="12">
        <f t="shared" si="168"/>
        <v>1045.3416473484144</v>
      </c>
      <c r="L241" s="12">
        <f t="shared" si="159"/>
        <v>24200.000000000004</v>
      </c>
      <c r="M241" s="12">
        <f t="shared" si="160"/>
        <v>23154.65835265159</v>
      </c>
      <c r="N241" s="12">
        <f t="shared" si="161"/>
        <v>118160.04582593039</v>
      </c>
      <c r="O241" s="13" t="str">
        <f t="shared" si="154"/>
        <v/>
      </c>
      <c r="P241" s="12">
        <f t="shared" si="162"/>
        <v>134588.37246232148</v>
      </c>
      <c r="Q241" s="12">
        <f t="shared" si="163"/>
        <v>19045.524405045508</v>
      </c>
      <c r="R241" s="12">
        <f t="shared" si="155"/>
        <v>115542.84805727597</v>
      </c>
    </row>
    <row r="242" spans="1:18" x14ac:dyDescent="0.2">
      <c r="A242" s="3">
        <v>1008</v>
      </c>
      <c r="B242" s="3">
        <v>31</v>
      </c>
      <c r="C242" s="13">
        <f t="shared" si="169"/>
        <v>24200.000000000004</v>
      </c>
      <c r="D242" s="9">
        <f t="shared" si="156"/>
        <v>24200.000000000004</v>
      </c>
      <c r="E242" s="9" t="str">
        <f>VLOOKUP($A242,'BASE DATA'!$A:$T,13,0)</f>
        <v>Monthly</v>
      </c>
      <c r="F242" s="88">
        <f>VLOOKUP($A242,'BASE DATA'!$A:$T,10,0)</f>
        <v>44347</v>
      </c>
      <c r="G242" s="3" t="str">
        <f t="shared" si="152"/>
        <v>2020-2021</v>
      </c>
      <c r="H242" s="11">
        <f t="shared" si="153"/>
        <v>3</v>
      </c>
      <c r="I242" s="10">
        <f t="shared" si="165"/>
        <v>44196</v>
      </c>
      <c r="J242" s="12">
        <f t="shared" si="157"/>
        <v>118160.04582593039</v>
      </c>
      <c r="K242" s="12">
        <f t="shared" si="168"/>
        <v>903.19596672423506</v>
      </c>
      <c r="L242" s="12">
        <f t="shared" si="159"/>
        <v>24200.000000000004</v>
      </c>
      <c r="M242" s="12">
        <f t="shared" si="160"/>
        <v>23296.80403327577</v>
      </c>
      <c r="N242" s="12">
        <f t="shared" si="161"/>
        <v>94863.241792654619</v>
      </c>
      <c r="O242" s="13" t="str">
        <f t="shared" si="154"/>
        <v/>
      </c>
      <c r="P242" s="12">
        <f t="shared" si="162"/>
        <v>115542.84805727597</v>
      </c>
      <c r="Q242" s="12">
        <f t="shared" si="163"/>
        <v>19680.375218547022</v>
      </c>
      <c r="R242" s="12">
        <f t="shared" si="155"/>
        <v>95862.472838728951</v>
      </c>
    </row>
    <row r="243" spans="1:18" x14ac:dyDescent="0.2">
      <c r="A243" s="3">
        <v>1008</v>
      </c>
      <c r="B243" s="3">
        <v>31</v>
      </c>
      <c r="C243" s="13">
        <f t="shared" si="169"/>
        <v>24200.000000000004</v>
      </c>
      <c r="D243" s="9">
        <f t="shared" si="156"/>
        <v>24200.000000000004</v>
      </c>
      <c r="E243" s="9" t="str">
        <f>VLOOKUP($A243,'BASE DATA'!$A:$T,13,0)</f>
        <v>Monthly</v>
      </c>
      <c r="F243" s="88">
        <f>VLOOKUP($A243,'BASE DATA'!$A:$T,10,0)</f>
        <v>44347</v>
      </c>
      <c r="G243" s="3" t="str">
        <f t="shared" si="152"/>
        <v>2020-2021</v>
      </c>
      <c r="H243" s="11">
        <f t="shared" si="153"/>
        <v>4</v>
      </c>
      <c r="I243" s="10">
        <f t="shared" si="165"/>
        <v>44227</v>
      </c>
      <c r="J243" s="12">
        <f t="shared" si="157"/>
        <v>94863.241792654619</v>
      </c>
      <c r="K243" s="12">
        <f t="shared" si="168"/>
        <v>725.11902630549707</v>
      </c>
      <c r="L243" s="12">
        <f t="shared" si="159"/>
        <v>24200.000000000004</v>
      </c>
      <c r="M243" s="12">
        <f t="shared" si="160"/>
        <v>23474.880973694508</v>
      </c>
      <c r="N243" s="12">
        <f t="shared" si="161"/>
        <v>71388.360818960107</v>
      </c>
      <c r="O243" s="13" t="str">
        <f t="shared" si="154"/>
        <v/>
      </c>
      <c r="P243" s="12">
        <f t="shared" si="162"/>
        <v>95862.472838728951</v>
      </c>
      <c r="Q243" s="12">
        <f t="shared" si="163"/>
        <v>19680.375218547022</v>
      </c>
      <c r="R243" s="12">
        <f t="shared" si="155"/>
        <v>76182.097620181929</v>
      </c>
    </row>
    <row r="244" spans="1:18" x14ac:dyDescent="0.2">
      <c r="A244" s="3">
        <v>1008</v>
      </c>
      <c r="B244" s="3">
        <v>28</v>
      </c>
      <c r="C244" s="13">
        <f t="shared" si="169"/>
        <v>24200.000000000004</v>
      </c>
      <c r="D244" s="9">
        <f t="shared" si="156"/>
        <v>24200.000000000004</v>
      </c>
      <c r="E244" s="9" t="str">
        <f>VLOOKUP($A244,'BASE DATA'!$A:$T,13,0)</f>
        <v>Monthly</v>
      </c>
      <c r="F244" s="88">
        <f>VLOOKUP($A244,'BASE DATA'!$A:$T,10,0)</f>
        <v>44347</v>
      </c>
      <c r="G244" s="3" t="str">
        <f t="shared" si="152"/>
        <v>2020-2021</v>
      </c>
      <c r="H244" s="11">
        <f t="shared" si="153"/>
        <v>4</v>
      </c>
      <c r="I244" s="10">
        <f t="shared" si="165"/>
        <v>44255</v>
      </c>
      <c r="J244" s="12">
        <f t="shared" si="157"/>
        <v>71388.360818960107</v>
      </c>
      <c r="K244" s="12">
        <f t="shared" si="168"/>
        <v>492.87306647610819</v>
      </c>
      <c r="L244" s="12">
        <f t="shared" si="159"/>
        <v>24200.000000000004</v>
      </c>
      <c r="M244" s="12">
        <f t="shared" si="160"/>
        <v>23707.126933523894</v>
      </c>
      <c r="N244" s="12">
        <f t="shared" si="161"/>
        <v>47681.233885436217</v>
      </c>
      <c r="O244" s="13" t="str">
        <f t="shared" si="154"/>
        <v/>
      </c>
      <c r="P244" s="12">
        <f t="shared" si="162"/>
        <v>76182.097620181929</v>
      </c>
      <c r="Q244" s="12">
        <f t="shared" si="163"/>
        <v>17775.822778042471</v>
      </c>
      <c r="R244" s="12">
        <f t="shared" si="155"/>
        <v>58406.274842139457</v>
      </c>
    </row>
    <row r="245" spans="1:18" x14ac:dyDescent="0.2">
      <c r="A245" s="3">
        <v>1008</v>
      </c>
      <c r="B245" s="3">
        <v>31</v>
      </c>
      <c r="C245" s="13">
        <f t="shared" si="169"/>
        <v>24200.000000000004</v>
      </c>
      <c r="D245" s="9">
        <f t="shared" si="156"/>
        <v>24200.000000000004</v>
      </c>
      <c r="E245" s="9" t="str">
        <f>VLOOKUP($A245,'BASE DATA'!$A:$T,13,0)</f>
        <v>Monthly</v>
      </c>
      <c r="F245" s="88">
        <f>VLOOKUP($A245,'BASE DATA'!$A:$T,10,0)</f>
        <v>44347</v>
      </c>
      <c r="G245" s="3" t="str">
        <f t="shared" si="152"/>
        <v>2020-2021</v>
      </c>
      <c r="H245" s="11">
        <f t="shared" si="153"/>
        <v>4</v>
      </c>
      <c r="I245" s="10">
        <f t="shared" si="165"/>
        <v>44286</v>
      </c>
      <c r="J245" s="12">
        <f t="shared" si="157"/>
        <v>47681.233885436217</v>
      </c>
      <c r="K245" s="12">
        <f t="shared" si="168"/>
        <v>364.46751380922478</v>
      </c>
      <c r="L245" s="12">
        <f t="shared" si="159"/>
        <v>24200.000000000004</v>
      </c>
      <c r="M245" s="12">
        <f t="shared" si="160"/>
        <v>23835.532486190779</v>
      </c>
      <c r="N245" s="12">
        <f t="shared" si="161"/>
        <v>23845.701399245438</v>
      </c>
      <c r="O245" s="13" t="str">
        <f t="shared" si="154"/>
        <v/>
      </c>
      <c r="P245" s="12">
        <f t="shared" si="162"/>
        <v>58406.274842139457</v>
      </c>
      <c r="Q245" s="12">
        <f t="shared" si="163"/>
        <v>19680.375218547022</v>
      </c>
      <c r="R245" s="12">
        <f t="shared" si="155"/>
        <v>38725.899623592435</v>
      </c>
    </row>
    <row r="246" spans="1:18" x14ac:dyDescent="0.2">
      <c r="A246" s="3">
        <v>1008</v>
      </c>
      <c r="B246" s="3">
        <v>30</v>
      </c>
      <c r="C246" s="13">
        <f t="shared" si="169"/>
        <v>24200.000000000004</v>
      </c>
      <c r="D246" s="9">
        <f t="shared" si="156"/>
        <v>24200.000000000004</v>
      </c>
      <c r="E246" s="9" t="str">
        <f>VLOOKUP($A246,'BASE DATA'!$A:$T,13,0)</f>
        <v>Monthly</v>
      </c>
      <c r="F246" s="88">
        <f>VLOOKUP($A246,'BASE DATA'!$A:$T,10,0)</f>
        <v>44347</v>
      </c>
      <c r="G246" s="3" t="str">
        <f t="shared" si="152"/>
        <v>2021-2022</v>
      </c>
      <c r="H246" s="11">
        <f t="shared" si="153"/>
        <v>1</v>
      </c>
      <c r="I246" s="10">
        <f t="shared" si="165"/>
        <v>44316</v>
      </c>
      <c r="J246" s="12">
        <f t="shared" si="157"/>
        <v>23845.701399245438</v>
      </c>
      <c r="K246" s="12">
        <f t="shared" si="168"/>
        <v>176.39285966565117</v>
      </c>
      <c r="L246" s="12">
        <f t="shared" si="159"/>
        <v>24200.000000000004</v>
      </c>
      <c r="M246" s="8">
        <f>+L246-K246-178</f>
        <v>23845.607140334352</v>
      </c>
      <c r="N246" s="12">
        <f t="shared" si="161"/>
        <v>9.4258911085489672E-2</v>
      </c>
      <c r="O246" s="13" t="str">
        <f t="shared" si="154"/>
        <v/>
      </c>
      <c r="P246" s="12">
        <f t="shared" si="162"/>
        <v>38725.899623592435</v>
      </c>
      <c r="Q246" s="12">
        <f t="shared" si="163"/>
        <v>19045.524405045508</v>
      </c>
      <c r="R246" s="12">
        <f t="shared" si="155"/>
        <v>19680.375218546927</v>
      </c>
    </row>
    <row r="247" spans="1:18" x14ac:dyDescent="0.2">
      <c r="A247" s="3">
        <v>1008</v>
      </c>
      <c r="B247" s="3">
        <v>31</v>
      </c>
      <c r="C247" s="13"/>
      <c r="D247" s="9">
        <f t="shared" si="156"/>
        <v>0</v>
      </c>
      <c r="E247" s="9" t="str">
        <f>VLOOKUP($A247,'BASE DATA'!$A:$T,13,0)</f>
        <v>Monthly</v>
      </c>
      <c r="F247" s="88">
        <f>VLOOKUP($A247,'BASE DATA'!$A:$T,10,0)</f>
        <v>44347</v>
      </c>
      <c r="G247" s="3" t="str">
        <f t="shared" si="152"/>
        <v>2021-2022</v>
      </c>
      <c r="H247" s="11">
        <f t="shared" si="153"/>
        <v>1</v>
      </c>
      <c r="I247" s="10">
        <f t="shared" si="165"/>
        <v>44347</v>
      </c>
      <c r="J247" s="12">
        <f t="shared" si="157"/>
        <v>9.4258911085489672E-2</v>
      </c>
      <c r="K247" s="12">
        <f t="shared" si="168"/>
        <v>7.2049962172196209E-4</v>
      </c>
      <c r="L247" s="12">
        <f t="shared" si="159"/>
        <v>0</v>
      </c>
      <c r="M247" s="12">
        <f t="shared" si="160"/>
        <v>-7.2049962172196209E-4</v>
      </c>
      <c r="N247" s="12">
        <f t="shared" si="161"/>
        <v>9.4979410707211637E-2</v>
      </c>
      <c r="O247" s="13" t="str">
        <f t="shared" si="154"/>
        <v/>
      </c>
      <c r="P247" s="12">
        <f t="shared" si="162"/>
        <v>19680.375218546927</v>
      </c>
      <c r="Q247" s="12">
        <f t="shared" si="163"/>
        <v>19680.375218547022</v>
      </c>
      <c r="R247" s="12">
        <f t="shared" si="155"/>
        <v>-9.4587448984384537E-11</v>
      </c>
    </row>
    <row r="248" spans="1:18" x14ac:dyDescent="0.2">
      <c r="C248" s="9"/>
      <c r="D248" s="9"/>
      <c r="E248" s="9"/>
      <c r="F248" s="10"/>
      <c r="H248" s="11"/>
      <c r="I248" s="10"/>
      <c r="J248" s="12"/>
      <c r="K248" s="12"/>
      <c r="L248" s="13"/>
      <c r="M248" s="12"/>
      <c r="N248" s="12"/>
      <c r="P248" s="12"/>
      <c r="Q248" s="12"/>
      <c r="R248" s="12"/>
    </row>
    <row r="249" spans="1:18" x14ac:dyDescent="0.2">
      <c r="C249" s="9"/>
      <c r="D249" s="9"/>
      <c r="E249" s="9"/>
      <c r="F249" s="10"/>
      <c r="H249" s="11"/>
      <c r="I249" s="10"/>
      <c r="J249" s="12"/>
      <c r="K249" s="12"/>
      <c r="L249" s="13"/>
      <c r="M249" s="12"/>
      <c r="N249" s="12"/>
      <c r="P249" s="12"/>
      <c r="Q249" s="12"/>
      <c r="R249" s="12"/>
    </row>
    <row r="250" spans="1:18" x14ac:dyDescent="0.2">
      <c r="C250" s="9"/>
      <c r="D250" s="9"/>
      <c r="E250" s="19"/>
      <c r="F250" s="20"/>
      <c r="H250" s="11"/>
      <c r="I250" s="22"/>
      <c r="J250" s="12"/>
      <c r="K250" s="12"/>
      <c r="L250" s="9"/>
      <c r="M250" s="12"/>
      <c r="N250" s="12"/>
      <c r="O250" s="13"/>
      <c r="P250" s="12"/>
      <c r="Q250" s="12"/>
      <c r="R250" s="12"/>
    </row>
    <row r="251" spans="1:18" x14ac:dyDescent="0.2">
      <c r="C251" s="9"/>
      <c r="D251" s="9"/>
      <c r="E251" s="19"/>
      <c r="F251" s="20"/>
      <c r="H251" s="11"/>
      <c r="I251" s="10"/>
      <c r="J251" s="12"/>
      <c r="K251" s="12"/>
      <c r="L251" s="13"/>
      <c r="M251" s="12"/>
      <c r="N251" s="12"/>
      <c r="O251" s="13"/>
      <c r="P251" s="12"/>
      <c r="Q251" s="12"/>
      <c r="R251" s="12"/>
    </row>
    <row r="252" spans="1:18" x14ac:dyDescent="0.2">
      <c r="C252" s="9"/>
      <c r="D252" s="9"/>
      <c r="E252" s="19"/>
      <c r="F252" s="20"/>
      <c r="H252" s="11"/>
      <c r="I252" s="10"/>
      <c r="J252" s="12"/>
      <c r="K252" s="12"/>
      <c r="L252" s="13"/>
      <c r="M252" s="12"/>
      <c r="N252" s="12"/>
      <c r="O252" s="13"/>
      <c r="P252" s="12"/>
      <c r="Q252" s="12"/>
      <c r="R252" s="12"/>
    </row>
    <row r="253" spans="1:18" x14ac:dyDescent="0.2">
      <c r="C253" s="9"/>
      <c r="D253" s="9"/>
      <c r="E253" s="19"/>
      <c r="F253" s="20"/>
      <c r="H253" s="11"/>
      <c r="I253" s="10"/>
      <c r="J253" s="12"/>
      <c r="K253" s="12"/>
      <c r="L253" s="13"/>
      <c r="M253" s="12"/>
      <c r="N253" s="12"/>
      <c r="O253" s="13"/>
      <c r="P253" s="12"/>
      <c r="Q253" s="12"/>
      <c r="R253" s="12"/>
    </row>
    <row r="254" spans="1:18" x14ac:dyDescent="0.2">
      <c r="C254" s="9"/>
      <c r="D254" s="9"/>
      <c r="E254" s="19"/>
      <c r="F254" s="20"/>
      <c r="H254" s="11"/>
      <c r="I254" s="10"/>
      <c r="J254" s="12"/>
      <c r="K254" s="12"/>
      <c r="L254" s="13"/>
      <c r="M254" s="12"/>
      <c r="N254" s="12"/>
      <c r="O254" s="13"/>
      <c r="P254" s="12"/>
      <c r="Q254" s="12"/>
      <c r="R254" s="12"/>
    </row>
    <row r="255" spans="1:18" x14ac:dyDescent="0.2">
      <c r="C255" s="9"/>
      <c r="D255" s="9"/>
      <c r="E255" s="19"/>
      <c r="F255" s="20"/>
      <c r="H255" s="11"/>
      <c r="I255" s="10"/>
      <c r="J255" s="12"/>
      <c r="K255" s="12"/>
      <c r="L255" s="13"/>
      <c r="M255" s="13"/>
      <c r="N255" s="12"/>
      <c r="O255" s="13"/>
      <c r="P255" s="12"/>
      <c r="Q255" s="12"/>
      <c r="R255" s="12"/>
    </row>
    <row r="256" spans="1:18" x14ac:dyDescent="0.2">
      <c r="C256" s="9"/>
      <c r="D256" s="9"/>
      <c r="E256" s="19"/>
      <c r="F256" s="20"/>
      <c r="H256" s="11"/>
      <c r="I256" s="10"/>
      <c r="J256" s="12"/>
      <c r="K256" s="12"/>
      <c r="L256" s="13"/>
      <c r="M256" s="12"/>
      <c r="N256" s="12"/>
      <c r="O256" s="13"/>
      <c r="P256" s="12"/>
      <c r="Q256" s="12"/>
      <c r="R256" s="12"/>
    </row>
    <row r="257" spans="3:18" x14ac:dyDescent="0.2">
      <c r="C257" s="9"/>
      <c r="D257" s="9"/>
      <c r="E257" s="19"/>
      <c r="F257" s="20"/>
      <c r="H257" s="11"/>
      <c r="I257" s="10"/>
      <c r="J257" s="12"/>
      <c r="K257" s="12"/>
      <c r="L257" s="13"/>
      <c r="M257" s="12"/>
      <c r="N257" s="12"/>
      <c r="O257" s="13"/>
      <c r="P257" s="12"/>
      <c r="Q257" s="12"/>
      <c r="R257" s="12"/>
    </row>
    <row r="258" spans="3:18" x14ac:dyDescent="0.2">
      <c r="C258" s="9"/>
      <c r="D258" s="9"/>
      <c r="E258" s="19"/>
      <c r="F258" s="20"/>
      <c r="H258" s="11"/>
      <c r="I258" s="10"/>
      <c r="J258" s="12"/>
      <c r="K258" s="12"/>
      <c r="L258" s="13"/>
      <c r="M258" s="12"/>
      <c r="N258" s="12"/>
      <c r="O258" s="13"/>
      <c r="P258" s="12"/>
      <c r="Q258" s="12"/>
      <c r="R258" s="12"/>
    </row>
    <row r="259" spans="3:18" x14ac:dyDescent="0.2">
      <c r="C259" s="9"/>
      <c r="D259" s="9"/>
      <c r="E259" s="19"/>
      <c r="F259" s="20"/>
      <c r="H259" s="11"/>
      <c r="I259" s="10"/>
      <c r="J259" s="12"/>
      <c r="K259" s="12"/>
      <c r="L259" s="13"/>
      <c r="M259" s="12"/>
      <c r="N259" s="12"/>
      <c r="O259" s="13"/>
      <c r="P259" s="12"/>
      <c r="Q259" s="12"/>
      <c r="R259" s="12"/>
    </row>
    <row r="260" spans="3:18" x14ac:dyDescent="0.2">
      <c r="C260" s="9"/>
      <c r="D260" s="9"/>
      <c r="E260" s="19"/>
      <c r="F260" s="20"/>
      <c r="H260" s="11"/>
      <c r="I260" s="10"/>
      <c r="J260" s="12"/>
      <c r="K260" s="12"/>
      <c r="L260" s="13"/>
      <c r="M260" s="13"/>
      <c r="N260" s="12"/>
      <c r="O260" s="13"/>
      <c r="P260" s="12"/>
      <c r="Q260" s="12"/>
      <c r="R260" s="12"/>
    </row>
    <row r="261" spans="3:18" x14ac:dyDescent="0.2">
      <c r="C261" s="9"/>
      <c r="D261" s="9"/>
      <c r="E261" s="19"/>
      <c r="F261" s="20"/>
      <c r="H261" s="11"/>
      <c r="I261" s="10"/>
      <c r="J261" s="12"/>
      <c r="K261" s="12"/>
      <c r="L261" s="13"/>
      <c r="M261" s="12"/>
      <c r="N261" s="12"/>
      <c r="O261" s="13"/>
      <c r="P261" s="12"/>
      <c r="Q261" s="12"/>
      <c r="R261" s="12"/>
    </row>
    <row r="262" spans="3:18" x14ac:dyDescent="0.2">
      <c r="C262" s="9"/>
      <c r="D262" s="9"/>
      <c r="E262" s="19"/>
      <c r="F262" s="20"/>
      <c r="H262" s="11"/>
      <c r="I262" s="10"/>
      <c r="J262" s="12"/>
      <c r="K262" s="12"/>
      <c r="L262" s="13"/>
      <c r="M262" s="12"/>
      <c r="N262" s="12"/>
      <c r="O262" s="13"/>
      <c r="P262" s="12"/>
      <c r="Q262" s="12"/>
      <c r="R262" s="12"/>
    </row>
    <row r="263" spans="3:18" x14ac:dyDescent="0.2">
      <c r="C263" s="9"/>
      <c r="D263" s="9"/>
      <c r="E263" s="19"/>
      <c r="F263" s="20"/>
      <c r="H263" s="11"/>
      <c r="I263" s="10"/>
      <c r="J263" s="12"/>
      <c r="K263" s="12"/>
      <c r="L263" s="13"/>
      <c r="M263" s="12"/>
      <c r="N263" s="12"/>
      <c r="O263" s="13"/>
      <c r="P263" s="12"/>
      <c r="Q263" s="12"/>
      <c r="R263" s="12"/>
    </row>
    <row r="264" spans="3:18" x14ac:dyDescent="0.2">
      <c r="C264" s="9"/>
      <c r="D264" s="9"/>
      <c r="E264" s="19"/>
      <c r="F264" s="20"/>
      <c r="H264" s="11"/>
      <c r="I264" s="10"/>
      <c r="J264" s="12"/>
      <c r="K264" s="12"/>
      <c r="L264" s="13"/>
      <c r="M264" s="12"/>
      <c r="N264" s="12"/>
      <c r="O264" s="13"/>
      <c r="P264" s="12"/>
      <c r="Q264" s="12"/>
      <c r="R264" s="12"/>
    </row>
    <row r="265" spans="3:18" x14ac:dyDescent="0.2">
      <c r="C265" s="9"/>
      <c r="D265" s="9"/>
      <c r="E265" s="19"/>
      <c r="F265" s="20"/>
      <c r="H265" s="11"/>
      <c r="I265" s="10"/>
      <c r="J265" s="12"/>
      <c r="K265" s="12"/>
      <c r="L265" s="13"/>
      <c r="M265" s="13"/>
      <c r="N265" s="12"/>
      <c r="O265" s="13"/>
      <c r="P265" s="12"/>
      <c r="Q265" s="12"/>
      <c r="R265" s="12"/>
    </row>
    <row r="266" spans="3:18" x14ac:dyDescent="0.2">
      <c r="C266" s="9"/>
      <c r="D266" s="9"/>
      <c r="E266" s="9"/>
      <c r="F266" s="10"/>
      <c r="H266" s="11"/>
      <c r="I266" s="10"/>
      <c r="J266" s="12"/>
      <c r="K266" s="12"/>
      <c r="L266" s="13"/>
      <c r="M266" s="12"/>
      <c r="N266" s="12"/>
      <c r="P266" s="12"/>
      <c r="Q266" s="12"/>
      <c r="R266" s="12"/>
    </row>
    <row r="267" spans="3:18" x14ac:dyDescent="0.2">
      <c r="C267" s="9"/>
      <c r="D267" s="9"/>
      <c r="E267" s="9"/>
      <c r="F267" s="10"/>
      <c r="H267" s="11"/>
      <c r="I267" s="10"/>
      <c r="J267" s="12"/>
      <c r="K267" s="12"/>
      <c r="L267" s="13"/>
      <c r="M267" s="12"/>
      <c r="N267" s="12"/>
      <c r="P267" s="12"/>
      <c r="Q267" s="12"/>
      <c r="R267" s="12"/>
    </row>
    <row r="268" spans="3:18" x14ac:dyDescent="0.2">
      <c r="C268" s="9"/>
      <c r="D268" s="9"/>
      <c r="E268" s="9"/>
      <c r="F268" s="21"/>
      <c r="H268" s="11"/>
      <c r="I268" s="22"/>
      <c r="J268" s="12"/>
      <c r="K268" s="12"/>
      <c r="L268" s="13"/>
      <c r="M268" s="12"/>
      <c r="N268" s="12"/>
      <c r="O268" s="13"/>
      <c r="P268" s="12"/>
      <c r="Q268" s="12"/>
      <c r="R268" s="12"/>
    </row>
    <row r="269" spans="3:18" x14ac:dyDescent="0.2">
      <c r="C269" s="9"/>
      <c r="D269" s="9"/>
      <c r="E269" s="9"/>
      <c r="F269" s="21"/>
      <c r="H269" s="11"/>
      <c r="I269" s="10"/>
      <c r="J269" s="12"/>
      <c r="K269" s="12"/>
      <c r="L269" s="13"/>
      <c r="M269" s="12"/>
      <c r="N269" s="12"/>
      <c r="O269" s="13"/>
      <c r="P269" s="12"/>
      <c r="Q269" s="12"/>
      <c r="R269" s="12"/>
    </row>
    <row r="270" spans="3:18" x14ac:dyDescent="0.2">
      <c r="C270" s="9"/>
      <c r="D270" s="9"/>
      <c r="E270" s="9"/>
      <c r="F270" s="21"/>
      <c r="H270" s="11"/>
      <c r="I270" s="10"/>
      <c r="J270" s="12"/>
      <c r="K270" s="12"/>
      <c r="L270" s="13"/>
      <c r="M270" s="12"/>
      <c r="N270" s="12"/>
      <c r="O270" s="13"/>
      <c r="P270" s="12"/>
      <c r="Q270" s="12"/>
      <c r="R270" s="12"/>
    </row>
    <row r="271" spans="3:18" x14ac:dyDescent="0.2">
      <c r="C271" s="9"/>
      <c r="D271" s="9"/>
      <c r="E271" s="9"/>
      <c r="F271" s="21"/>
      <c r="H271" s="11"/>
      <c r="I271" s="10"/>
      <c r="J271" s="12"/>
      <c r="K271" s="12"/>
      <c r="L271" s="13"/>
      <c r="M271" s="12"/>
      <c r="N271" s="12"/>
      <c r="O271" s="13"/>
      <c r="P271" s="12"/>
      <c r="Q271" s="12"/>
      <c r="R271" s="12"/>
    </row>
    <row r="272" spans="3:18" x14ac:dyDescent="0.2">
      <c r="C272" s="9"/>
      <c r="D272" s="9"/>
      <c r="E272" s="9"/>
      <c r="F272" s="21"/>
      <c r="H272" s="11"/>
      <c r="I272" s="10"/>
      <c r="J272" s="12"/>
      <c r="K272" s="12"/>
      <c r="L272" s="13"/>
      <c r="M272" s="12"/>
      <c r="N272" s="12"/>
      <c r="O272" s="13"/>
      <c r="P272" s="12"/>
      <c r="Q272" s="12"/>
      <c r="R272" s="12"/>
    </row>
    <row r="273" spans="3:18" x14ac:dyDescent="0.2">
      <c r="C273" s="9"/>
      <c r="D273" s="9"/>
      <c r="E273" s="9"/>
      <c r="F273" s="21"/>
      <c r="H273" s="11"/>
      <c r="I273" s="10"/>
      <c r="J273" s="12"/>
      <c r="K273" s="12"/>
      <c r="L273" s="13"/>
      <c r="M273" s="12"/>
      <c r="N273" s="12"/>
      <c r="O273" s="13"/>
      <c r="P273" s="12"/>
      <c r="Q273" s="12"/>
      <c r="R273" s="12"/>
    </row>
    <row r="274" spans="3:18" x14ac:dyDescent="0.2">
      <c r="C274" s="9"/>
      <c r="D274" s="9"/>
      <c r="E274" s="9"/>
      <c r="F274" s="21"/>
      <c r="H274" s="11"/>
      <c r="I274" s="10"/>
      <c r="J274" s="12"/>
      <c r="K274" s="12"/>
      <c r="L274" s="13"/>
      <c r="M274" s="12"/>
      <c r="N274" s="12"/>
      <c r="O274" s="13"/>
      <c r="P274" s="12"/>
      <c r="Q274" s="12"/>
      <c r="R274" s="12"/>
    </row>
    <row r="275" spans="3:18" x14ac:dyDescent="0.2">
      <c r="C275" s="9"/>
      <c r="D275" s="9"/>
      <c r="E275" s="9"/>
      <c r="F275" s="21"/>
      <c r="H275" s="11"/>
      <c r="I275" s="10"/>
      <c r="J275" s="12"/>
      <c r="K275" s="12"/>
      <c r="L275" s="13"/>
      <c r="M275" s="12"/>
      <c r="N275" s="12"/>
      <c r="O275" s="13"/>
      <c r="P275" s="12"/>
      <c r="Q275" s="12"/>
      <c r="R275" s="12"/>
    </row>
    <row r="276" spans="3:18" x14ac:dyDescent="0.2">
      <c r="C276" s="9"/>
      <c r="D276" s="9"/>
      <c r="E276" s="9"/>
      <c r="F276" s="21"/>
      <c r="H276" s="11"/>
      <c r="I276" s="10"/>
      <c r="J276" s="12"/>
      <c r="K276" s="12"/>
      <c r="L276" s="13"/>
      <c r="M276" s="12"/>
      <c r="N276" s="12"/>
      <c r="O276" s="13"/>
      <c r="P276" s="12"/>
      <c r="Q276" s="12"/>
      <c r="R276" s="12"/>
    </row>
    <row r="277" spans="3:18" x14ac:dyDescent="0.2">
      <c r="C277" s="9"/>
      <c r="D277" s="9"/>
      <c r="E277" s="9"/>
      <c r="F277" s="21"/>
      <c r="H277" s="11"/>
      <c r="I277" s="10"/>
      <c r="J277" s="12"/>
      <c r="K277" s="12"/>
      <c r="L277" s="13"/>
      <c r="M277" s="12"/>
      <c r="N277" s="12"/>
      <c r="O277" s="13"/>
      <c r="P277" s="12"/>
      <c r="Q277" s="12"/>
      <c r="R277" s="12"/>
    </row>
    <row r="278" spans="3:18" x14ac:dyDescent="0.2">
      <c r="C278" s="9"/>
      <c r="D278" s="9"/>
      <c r="E278" s="9"/>
      <c r="F278" s="21"/>
      <c r="H278" s="11"/>
      <c r="I278" s="10"/>
      <c r="J278" s="12"/>
      <c r="K278" s="12"/>
      <c r="L278" s="13"/>
      <c r="M278" s="12"/>
      <c r="N278" s="12"/>
      <c r="O278" s="13"/>
      <c r="P278" s="12"/>
      <c r="Q278" s="12"/>
      <c r="R278" s="12"/>
    </row>
    <row r="279" spans="3:18" x14ac:dyDescent="0.2">
      <c r="C279" s="9"/>
      <c r="D279" s="9"/>
      <c r="E279" s="9"/>
      <c r="F279" s="21"/>
      <c r="H279" s="11"/>
      <c r="I279" s="10"/>
      <c r="J279" s="12"/>
      <c r="K279" s="12"/>
      <c r="L279" s="13"/>
      <c r="M279" s="12"/>
      <c r="N279" s="12"/>
      <c r="O279" s="13"/>
      <c r="P279" s="12"/>
      <c r="Q279" s="12"/>
      <c r="R279" s="12"/>
    </row>
    <row r="280" spans="3:18" x14ac:dyDescent="0.2">
      <c r="C280" s="9"/>
      <c r="D280" s="9"/>
      <c r="E280" s="9"/>
      <c r="F280" s="21"/>
      <c r="H280" s="11"/>
      <c r="I280" s="10"/>
      <c r="J280" s="12"/>
      <c r="K280" s="12"/>
      <c r="L280" s="13"/>
      <c r="M280" s="12"/>
      <c r="N280" s="12"/>
      <c r="O280" s="13"/>
      <c r="P280" s="12"/>
      <c r="Q280" s="12"/>
      <c r="R280" s="12"/>
    </row>
    <row r="281" spans="3:18" x14ac:dyDescent="0.2">
      <c r="C281" s="9"/>
      <c r="D281" s="9"/>
      <c r="E281" s="9"/>
      <c r="F281" s="21"/>
      <c r="H281" s="11"/>
      <c r="I281" s="10"/>
      <c r="J281" s="12"/>
      <c r="K281" s="12"/>
      <c r="L281" s="13"/>
      <c r="M281" s="12"/>
      <c r="N281" s="12"/>
      <c r="O281" s="13"/>
      <c r="P281" s="12"/>
      <c r="Q281" s="12"/>
      <c r="R281" s="12"/>
    </row>
    <row r="282" spans="3:18" x14ac:dyDescent="0.2">
      <c r="C282" s="9"/>
      <c r="D282" s="9"/>
      <c r="E282" s="9"/>
      <c r="F282" s="21"/>
      <c r="H282" s="11"/>
      <c r="I282" s="10"/>
      <c r="J282" s="12"/>
      <c r="K282" s="12"/>
      <c r="L282" s="13"/>
      <c r="M282" s="12"/>
      <c r="N282" s="12"/>
      <c r="O282" s="13"/>
      <c r="P282" s="12"/>
      <c r="Q282" s="12"/>
      <c r="R282" s="12"/>
    </row>
    <row r="283" spans="3:18" x14ac:dyDescent="0.2">
      <c r="C283" s="9"/>
      <c r="D283" s="9"/>
      <c r="E283" s="9"/>
      <c r="F283" s="21"/>
      <c r="H283" s="11"/>
      <c r="I283" s="10"/>
      <c r="J283" s="12"/>
      <c r="K283" s="12"/>
      <c r="L283" s="13"/>
      <c r="M283" s="12"/>
      <c r="N283" s="12"/>
      <c r="O283" s="13"/>
      <c r="P283" s="12"/>
      <c r="Q283" s="12"/>
      <c r="R283" s="12"/>
    </row>
    <row r="284" spans="3:18" x14ac:dyDescent="0.2">
      <c r="C284" s="9"/>
      <c r="D284" s="9"/>
      <c r="E284" s="9"/>
      <c r="F284" s="21"/>
      <c r="H284" s="11"/>
      <c r="I284" s="10"/>
      <c r="J284" s="12"/>
      <c r="K284" s="12"/>
      <c r="L284" s="13"/>
      <c r="M284" s="12"/>
      <c r="N284" s="12"/>
      <c r="O284" s="13"/>
      <c r="P284" s="12"/>
      <c r="Q284" s="12"/>
      <c r="R284" s="12"/>
    </row>
    <row r="285" spans="3:18" x14ac:dyDescent="0.2">
      <c r="C285" s="9"/>
      <c r="D285" s="9"/>
      <c r="E285" s="9"/>
      <c r="F285" s="21"/>
      <c r="H285" s="11"/>
      <c r="I285" s="10"/>
      <c r="J285" s="12"/>
      <c r="K285" s="12"/>
      <c r="L285" s="13"/>
      <c r="M285" s="12"/>
      <c r="N285" s="12"/>
      <c r="O285" s="13"/>
      <c r="P285" s="12"/>
      <c r="Q285" s="12"/>
      <c r="R285" s="12"/>
    </row>
    <row r="286" spans="3:18" x14ac:dyDescent="0.2">
      <c r="C286" s="9"/>
      <c r="D286" s="9"/>
      <c r="E286" s="9"/>
      <c r="F286" s="21"/>
      <c r="H286" s="11"/>
      <c r="I286" s="10"/>
      <c r="J286" s="12"/>
      <c r="K286" s="12"/>
      <c r="L286" s="13"/>
      <c r="M286" s="12"/>
      <c r="N286" s="12"/>
      <c r="O286" s="13"/>
      <c r="P286" s="12"/>
      <c r="Q286" s="12"/>
      <c r="R286" s="12"/>
    </row>
    <row r="287" spans="3:18" x14ac:dyDescent="0.2">
      <c r="C287" s="9"/>
      <c r="D287" s="9"/>
      <c r="E287" s="9"/>
      <c r="F287" s="21"/>
      <c r="H287" s="11"/>
      <c r="I287" s="10"/>
      <c r="J287" s="12"/>
      <c r="K287" s="12"/>
      <c r="L287" s="13"/>
      <c r="M287" s="12"/>
      <c r="N287" s="12"/>
      <c r="O287" s="13"/>
      <c r="P287" s="12"/>
      <c r="Q287" s="12"/>
      <c r="R287" s="12"/>
    </row>
    <row r="288" spans="3:18" x14ac:dyDescent="0.2">
      <c r="C288" s="9"/>
      <c r="D288" s="9"/>
      <c r="E288" s="9"/>
      <c r="F288" s="21"/>
      <c r="H288" s="11"/>
      <c r="I288" s="10"/>
      <c r="J288" s="12"/>
      <c r="K288" s="12"/>
      <c r="L288" s="13"/>
      <c r="M288" s="12"/>
      <c r="N288" s="12"/>
      <c r="O288" s="13"/>
      <c r="P288" s="12"/>
      <c r="Q288" s="12"/>
      <c r="R288" s="12"/>
    </row>
    <row r="289" spans="3:18" x14ac:dyDescent="0.2">
      <c r="C289" s="9"/>
      <c r="D289" s="9"/>
      <c r="E289" s="9"/>
      <c r="F289" s="21"/>
      <c r="H289" s="11"/>
      <c r="I289" s="10"/>
      <c r="J289" s="12"/>
      <c r="K289" s="12"/>
      <c r="L289" s="13"/>
      <c r="M289" s="12"/>
      <c r="N289" s="12"/>
      <c r="O289" s="13"/>
      <c r="P289" s="12"/>
      <c r="Q289" s="12"/>
      <c r="R289" s="12"/>
    </row>
    <row r="290" spans="3:18" x14ac:dyDescent="0.2">
      <c r="C290" s="9"/>
      <c r="D290" s="9"/>
      <c r="E290" s="9"/>
      <c r="F290" s="21"/>
      <c r="H290" s="11"/>
      <c r="I290" s="10"/>
      <c r="J290" s="12"/>
      <c r="K290" s="12"/>
      <c r="L290" s="13"/>
      <c r="M290" s="12"/>
      <c r="N290" s="12"/>
      <c r="O290" s="13"/>
      <c r="P290" s="12"/>
      <c r="Q290" s="12"/>
      <c r="R290" s="12"/>
    </row>
    <row r="291" spans="3:18" x14ac:dyDescent="0.2">
      <c r="C291" s="9"/>
      <c r="D291" s="9"/>
      <c r="E291" s="9"/>
      <c r="F291" s="21"/>
      <c r="H291" s="11"/>
      <c r="I291" s="10"/>
      <c r="J291" s="12"/>
      <c r="K291" s="12"/>
      <c r="L291" s="13"/>
      <c r="M291" s="12"/>
      <c r="N291" s="12"/>
      <c r="O291" s="13"/>
      <c r="P291" s="12"/>
      <c r="Q291" s="12"/>
      <c r="R291" s="12"/>
    </row>
    <row r="292" spans="3:18" x14ac:dyDescent="0.2">
      <c r="C292" s="9"/>
      <c r="D292" s="9"/>
      <c r="E292" s="9"/>
      <c r="F292" s="21"/>
      <c r="H292" s="11"/>
      <c r="I292" s="10"/>
      <c r="J292" s="12"/>
      <c r="K292" s="12"/>
      <c r="L292" s="13"/>
      <c r="M292" s="12"/>
      <c r="N292" s="12"/>
      <c r="O292" s="13"/>
      <c r="P292" s="12"/>
      <c r="Q292" s="12"/>
      <c r="R292" s="12"/>
    </row>
    <row r="293" spans="3:18" x14ac:dyDescent="0.2">
      <c r="C293" s="9"/>
      <c r="D293" s="9"/>
      <c r="E293" s="9"/>
      <c r="F293" s="21"/>
      <c r="H293" s="11"/>
      <c r="I293" s="10"/>
      <c r="J293" s="12"/>
      <c r="K293" s="12"/>
      <c r="L293" s="13"/>
      <c r="M293" s="12"/>
      <c r="N293" s="12"/>
      <c r="O293" s="13"/>
      <c r="P293" s="12"/>
      <c r="Q293" s="12"/>
      <c r="R293" s="12"/>
    </row>
    <row r="294" spans="3:18" x14ac:dyDescent="0.2">
      <c r="C294" s="9"/>
      <c r="D294" s="9"/>
      <c r="E294" s="9"/>
      <c r="F294" s="21"/>
      <c r="H294" s="11"/>
      <c r="I294" s="10"/>
      <c r="J294" s="12"/>
      <c r="K294" s="12"/>
      <c r="L294" s="13"/>
      <c r="M294" s="12"/>
      <c r="N294" s="12"/>
      <c r="O294" s="13"/>
      <c r="P294" s="12"/>
      <c r="Q294" s="12"/>
      <c r="R294" s="12"/>
    </row>
    <row r="295" spans="3:18" x14ac:dyDescent="0.2">
      <c r="C295" s="9"/>
      <c r="D295" s="9"/>
      <c r="E295" s="9"/>
      <c r="F295" s="21"/>
      <c r="H295" s="11"/>
      <c r="I295" s="10"/>
      <c r="J295" s="12"/>
      <c r="K295" s="12"/>
      <c r="L295" s="13"/>
      <c r="M295" s="12"/>
      <c r="N295" s="12"/>
      <c r="O295" s="13"/>
      <c r="P295" s="12"/>
      <c r="Q295" s="12"/>
      <c r="R295" s="12"/>
    </row>
    <row r="296" spans="3:18" x14ac:dyDescent="0.2">
      <c r="C296" s="9"/>
      <c r="D296" s="9"/>
      <c r="E296" s="9"/>
      <c r="F296" s="21"/>
      <c r="H296" s="11"/>
      <c r="I296" s="10"/>
      <c r="J296" s="12"/>
      <c r="K296" s="12"/>
      <c r="L296" s="13"/>
      <c r="M296" s="12"/>
      <c r="N296" s="12"/>
      <c r="O296" s="13"/>
      <c r="P296" s="12"/>
      <c r="Q296" s="12"/>
      <c r="R296" s="12"/>
    </row>
    <row r="297" spans="3:18" x14ac:dyDescent="0.2">
      <c r="C297" s="9"/>
      <c r="D297" s="9"/>
      <c r="E297" s="9"/>
      <c r="F297" s="21"/>
      <c r="H297" s="11"/>
      <c r="I297" s="10"/>
      <c r="J297" s="12"/>
      <c r="K297" s="12"/>
      <c r="L297" s="13"/>
      <c r="M297" s="12"/>
      <c r="N297" s="12"/>
      <c r="O297" s="13"/>
      <c r="P297" s="12"/>
      <c r="Q297" s="12"/>
      <c r="R297" s="12"/>
    </row>
    <row r="298" spans="3:18" x14ac:dyDescent="0.2">
      <c r="C298" s="9"/>
      <c r="D298" s="9"/>
      <c r="E298" s="9"/>
      <c r="F298" s="21"/>
      <c r="H298" s="11"/>
      <c r="I298" s="10"/>
      <c r="J298" s="12"/>
      <c r="K298" s="12"/>
      <c r="L298" s="13"/>
      <c r="M298" s="12"/>
      <c r="N298" s="12"/>
      <c r="O298" s="13"/>
      <c r="P298" s="12"/>
      <c r="Q298" s="12"/>
      <c r="R298" s="12"/>
    </row>
    <row r="299" spans="3:18" x14ac:dyDescent="0.2">
      <c r="C299" s="9"/>
      <c r="D299" s="9"/>
      <c r="E299" s="9"/>
      <c r="F299" s="21"/>
      <c r="H299" s="11"/>
      <c r="I299" s="10"/>
      <c r="J299" s="12"/>
      <c r="K299" s="12"/>
      <c r="L299" s="13"/>
      <c r="M299" s="12"/>
      <c r="N299" s="12"/>
      <c r="O299" s="13"/>
      <c r="P299" s="12"/>
      <c r="Q299" s="12"/>
      <c r="R299" s="12"/>
    </row>
    <row r="300" spans="3:18" x14ac:dyDescent="0.2">
      <c r="C300" s="9"/>
      <c r="D300" s="9"/>
      <c r="E300" s="9"/>
      <c r="F300" s="21"/>
      <c r="H300" s="11"/>
      <c r="I300" s="10"/>
      <c r="J300" s="12"/>
      <c r="K300" s="12"/>
      <c r="L300" s="13"/>
      <c r="M300" s="12"/>
      <c r="N300" s="12"/>
      <c r="O300" s="13"/>
      <c r="P300" s="12"/>
      <c r="Q300" s="12"/>
      <c r="R300" s="12"/>
    </row>
    <row r="301" spans="3:18" x14ac:dyDescent="0.2">
      <c r="C301" s="9"/>
      <c r="D301" s="9"/>
      <c r="E301" s="9"/>
      <c r="F301" s="21"/>
      <c r="H301" s="11"/>
      <c r="I301" s="10"/>
      <c r="J301" s="12"/>
      <c r="K301" s="12"/>
      <c r="L301" s="13"/>
      <c r="M301" s="12"/>
      <c r="N301" s="12"/>
      <c r="O301" s="13"/>
      <c r="P301" s="12"/>
      <c r="Q301" s="12"/>
      <c r="R301" s="12"/>
    </row>
    <row r="302" spans="3:18" x14ac:dyDescent="0.2">
      <c r="C302" s="9"/>
      <c r="D302" s="9"/>
      <c r="E302" s="9"/>
      <c r="F302" s="21"/>
      <c r="H302" s="11"/>
      <c r="I302" s="10"/>
      <c r="J302" s="12"/>
      <c r="K302" s="12"/>
      <c r="L302" s="13"/>
      <c r="M302" s="12"/>
      <c r="N302" s="12"/>
      <c r="O302" s="13"/>
      <c r="P302" s="12"/>
      <c r="Q302" s="12"/>
      <c r="R302" s="12"/>
    </row>
    <row r="303" spans="3:18" x14ac:dyDescent="0.2">
      <c r="C303" s="9"/>
      <c r="D303" s="9"/>
      <c r="E303" s="9"/>
      <c r="F303" s="21"/>
      <c r="H303" s="11"/>
      <c r="I303" s="10"/>
      <c r="J303" s="12"/>
      <c r="K303" s="12"/>
      <c r="L303" s="13"/>
      <c r="M303" s="8"/>
      <c r="N303" s="12"/>
      <c r="O303" s="13"/>
      <c r="P303" s="12"/>
      <c r="Q303" s="12"/>
      <c r="R303" s="12"/>
    </row>
    <row r="304" spans="3:18" x14ac:dyDescent="0.2">
      <c r="C304" s="13"/>
      <c r="D304" s="9"/>
      <c r="E304" s="9"/>
      <c r="F304" s="21"/>
      <c r="H304" s="11"/>
      <c r="I304" s="10"/>
      <c r="J304" s="12"/>
      <c r="K304" s="12"/>
      <c r="L304" s="13"/>
      <c r="M304" s="12"/>
      <c r="N304" s="12"/>
      <c r="O304" s="13"/>
      <c r="P304" s="12"/>
      <c r="Q304" s="12"/>
      <c r="R304" s="12"/>
    </row>
    <row r="305" spans="3:18" x14ac:dyDescent="0.2">
      <c r="C305" s="9"/>
      <c r="D305" s="9"/>
      <c r="E305" s="9"/>
      <c r="F305" s="10"/>
      <c r="H305" s="11"/>
      <c r="I305" s="10"/>
      <c r="J305" s="12"/>
      <c r="K305" s="12"/>
      <c r="L305" s="13"/>
      <c r="M305" s="12"/>
      <c r="N305" s="12"/>
      <c r="P305" s="12"/>
      <c r="Q305" s="12"/>
      <c r="R305" s="12"/>
    </row>
    <row r="306" spans="3:18" x14ac:dyDescent="0.2">
      <c r="C306" s="9"/>
      <c r="D306" s="9"/>
      <c r="E306" s="9"/>
      <c r="F306" s="13"/>
      <c r="G306" s="13"/>
      <c r="H306" s="11"/>
      <c r="I306" s="10"/>
      <c r="J306" s="12"/>
      <c r="K306" s="12"/>
      <c r="L306" s="12"/>
      <c r="M306" s="12"/>
      <c r="N306" s="12"/>
      <c r="P306" s="12"/>
      <c r="Q306" s="12"/>
      <c r="R306" s="12"/>
    </row>
    <row r="307" spans="3:18" x14ac:dyDescent="0.2">
      <c r="C307" s="9"/>
      <c r="D307" s="9"/>
      <c r="E307" s="9"/>
      <c r="F307" s="21"/>
      <c r="H307" s="11"/>
      <c r="I307" s="22"/>
      <c r="J307" s="12"/>
      <c r="K307" s="12"/>
      <c r="L307" s="13"/>
      <c r="M307" s="12"/>
      <c r="N307" s="12"/>
      <c r="O307" s="13"/>
      <c r="P307" s="12"/>
      <c r="Q307" s="12"/>
      <c r="R307" s="12"/>
    </row>
    <row r="308" spans="3:18" x14ac:dyDescent="0.2">
      <c r="C308" s="9"/>
      <c r="D308" s="9"/>
      <c r="E308" s="9"/>
      <c r="F308" s="21"/>
      <c r="H308" s="11"/>
      <c r="I308" s="22"/>
      <c r="J308" s="12"/>
      <c r="K308" s="12"/>
      <c r="L308" s="13"/>
      <c r="M308" s="12"/>
      <c r="N308" s="12"/>
      <c r="O308" s="13"/>
      <c r="P308" s="12"/>
      <c r="Q308" s="12"/>
      <c r="R308" s="12"/>
    </row>
    <row r="309" spans="3:18" x14ac:dyDescent="0.2">
      <c r="C309" s="9"/>
      <c r="D309" s="9"/>
      <c r="E309" s="9"/>
      <c r="F309" s="21"/>
      <c r="H309" s="11"/>
      <c r="I309" s="10"/>
      <c r="J309" s="12"/>
      <c r="K309" s="12"/>
      <c r="L309" s="13"/>
      <c r="M309" s="12"/>
      <c r="N309" s="12"/>
      <c r="O309" s="13"/>
      <c r="P309" s="12"/>
      <c r="Q309" s="12"/>
      <c r="R309" s="12"/>
    </row>
    <row r="310" spans="3:18" x14ac:dyDescent="0.2">
      <c r="C310" s="9"/>
      <c r="D310" s="9"/>
      <c r="E310" s="9"/>
      <c r="F310" s="21"/>
      <c r="H310" s="11"/>
      <c r="I310" s="10"/>
      <c r="J310" s="12"/>
      <c r="K310" s="12"/>
      <c r="L310" s="13"/>
      <c r="M310" s="12"/>
      <c r="N310" s="12"/>
      <c r="O310" s="13"/>
      <c r="P310" s="12"/>
      <c r="Q310" s="12"/>
      <c r="R310" s="12"/>
    </row>
    <row r="311" spans="3:18" x14ac:dyDescent="0.2">
      <c r="C311" s="9"/>
      <c r="D311" s="9"/>
      <c r="E311" s="9"/>
      <c r="F311" s="21"/>
      <c r="H311" s="11"/>
      <c r="I311" s="10"/>
      <c r="J311" s="12"/>
      <c r="K311" s="12"/>
      <c r="L311" s="13"/>
      <c r="M311" s="12"/>
      <c r="N311" s="12"/>
      <c r="O311" s="13"/>
      <c r="P311" s="12"/>
      <c r="Q311" s="12"/>
      <c r="R311" s="12"/>
    </row>
    <row r="312" spans="3:18" x14ac:dyDescent="0.2">
      <c r="C312" s="9"/>
      <c r="D312" s="9"/>
      <c r="E312" s="9"/>
      <c r="F312" s="21"/>
      <c r="H312" s="11"/>
      <c r="I312" s="10"/>
      <c r="J312" s="12"/>
      <c r="K312" s="12"/>
      <c r="L312" s="13"/>
      <c r="M312" s="12"/>
      <c r="N312" s="12"/>
      <c r="O312" s="13"/>
      <c r="P312" s="12"/>
      <c r="Q312" s="12"/>
      <c r="R312" s="12"/>
    </row>
    <row r="313" spans="3:18" x14ac:dyDescent="0.2">
      <c r="C313" s="9"/>
      <c r="D313" s="9"/>
      <c r="E313" s="9"/>
      <c r="F313" s="21"/>
      <c r="H313" s="11"/>
      <c r="I313" s="10"/>
      <c r="J313" s="12"/>
      <c r="K313" s="12"/>
      <c r="L313" s="13"/>
      <c r="M313" s="12"/>
      <c r="N313" s="12"/>
      <c r="O313" s="13"/>
      <c r="P313" s="12"/>
      <c r="Q313" s="12"/>
      <c r="R313" s="12"/>
    </row>
    <row r="314" spans="3:18" x14ac:dyDescent="0.2">
      <c r="C314" s="9"/>
      <c r="D314" s="9"/>
      <c r="E314" s="9"/>
      <c r="F314" s="21"/>
      <c r="H314" s="11"/>
      <c r="I314" s="10"/>
      <c r="J314" s="12"/>
      <c r="K314" s="12"/>
      <c r="L314" s="13"/>
      <c r="M314" s="12"/>
      <c r="N314" s="12"/>
      <c r="O314" s="13"/>
      <c r="P314" s="12"/>
      <c r="Q314" s="12"/>
      <c r="R314" s="12"/>
    </row>
    <row r="315" spans="3:18" x14ac:dyDescent="0.2">
      <c r="C315" s="9"/>
      <c r="D315" s="9"/>
      <c r="E315" s="9"/>
      <c r="F315" s="21"/>
      <c r="H315" s="11"/>
      <c r="I315" s="10"/>
      <c r="J315" s="12"/>
      <c r="K315" s="12"/>
      <c r="L315" s="13"/>
      <c r="M315" s="12"/>
      <c r="N315" s="12"/>
      <c r="O315" s="13"/>
      <c r="P315" s="12"/>
      <c r="Q315" s="12"/>
      <c r="R315" s="12"/>
    </row>
    <row r="316" spans="3:18" x14ac:dyDescent="0.2">
      <c r="C316" s="9"/>
      <c r="D316" s="9"/>
      <c r="E316" s="9"/>
      <c r="F316" s="21"/>
      <c r="H316" s="11"/>
      <c r="I316" s="10"/>
      <c r="J316" s="12"/>
      <c r="K316" s="12"/>
      <c r="L316" s="13"/>
      <c r="M316" s="12"/>
      <c r="N316" s="12"/>
      <c r="O316" s="13"/>
      <c r="P316" s="12"/>
      <c r="Q316" s="12"/>
      <c r="R316" s="12"/>
    </row>
    <row r="317" spans="3:18" x14ac:dyDescent="0.2">
      <c r="C317" s="9"/>
      <c r="D317" s="9"/>
      <c r="E317" s="9"/>
      <c r="F317" s="21"/>
      <c r="H317" s="11"/>
      <c r="I317" s="10"/>
      <c r="J317" s="12"/>
      <c r="K317" s="12"/>
      <c r="L317" s="13"/>
      <c r="M317" s="12"/>
      <c r="N317" s="12"/>
      <c r="O317" s="13"/>
      <c r="P317" s="12"/>
      <c r="Q317" s="12"/>
      <c r="R317" s="12"/>
    </row>
    <row r="318" spans="3:18" x14ac:dyDescent="0.2">
      <c r="C318" s="9"/>
      <c r="D318" s="9"/>
      <c r="E318" s="9"/>
      <c r="F318" s="21"/>
      <c r="H318" s="11"/>
      <c r="I318" s="10"/>
      <c r="J318" s="12"/>
      <c r="K318" s="12"/>
      <c r="L318" s="13"/>
      <c r="M318" s="12"/>
      <c r="N318" s="12"/>
      <c r="O318" s="13"/>
      <c r="P318" s="12"/>
      <c r="Q318" s="12"/>
      <c r="R318" s="12"/>
    </row>
    <row r="319" spans="3:18" x14ac:dyDescent="0.2">
      <c r="C319" s="9"/>
      <c r="D319" s="9"/>
      <c r="E319" s="9"/>
      <c r="F319" s="21"/>
      <c r="H319" s="11"/>
      <c r="I319" s="10"/>
      <c r="J319" s="12"/>
      <c r="K319" s="12"/>
      <c r="L319" s="13"/>
      <c r="M319" s="12"/>
      <c r="N319" s="12"/>
      <c r="O319" s="13"/>
      <c r="P319" s="12"/>
      <c r="Q319" s="12"/>
      <c r="R319" s="12"/>
    </row>
    <row r="320" spans="3:18" x14ac:dyDescent="0.2">
      <c r="C320" s="9"/>
      <c r="D320" s="9"/>
      <c r="E320" s="9"/>
      <c r="F320" s="21"/>
      <c r="H320" s="11"/>
      <c r="I320" s="10"/>
      <c r="J320" s="12"/>
      <c r="K320" s="12"/>
      <c r="L320" s="13"/>
      <c r="M320" s="12"/>
      <c r="N320" s="12"/>
      <c r="O320" s="13"/>
      <c r="P320" s="12"/>
      <c r="Q320" s="12"/>
      <c r="R320" s="12"/>
    </row>
    <row r="321" spans="3:18" x14ac:dyDescent="0.2">
      <c r="C321" s="9"/>
      <c r="D321" s="9"/>
      <c r="E321" s="9"/>
      <c r="F321" s="21"/>
      <c r="H321" s="11"/>
      <c r="I321" s="10"/>
      <c r="J321" s="12"/>
      <c r="K321" s="12"/>
      <c r="L321" s="13"/>
      <c r="M321" s="12"/>
      <c r="N321" s="12"/>
      <c r="O321" s="13"/>
      <c r="P321" s="12"/>
      <c r="Q321" s="12"/>
      <c r="R321" s="12"/>
    </row>
    <row r="322" spans="3:18" x14ac:dyDescent="0.2">
      <c r="C322" s="9"/>
      <c r="D322" s="9"/>
      <c r="E322" s="9"/>
      <c r="F322" s="21"/>
      <c r="H322" s="11"/>
      <c r="I322" s="10"/>
      <c r="J322" s="12"/>
      <c r="K322" s="12"/>
      <c r="L322" s="13"/>
      <c r="M322" s="12"/>
      <c r="N322" s="12"/>
      <c r="O322" s="13"/>
      <c r="P322" s="12"/>
      <c r="Q322" s="12"/>
      <c r="R322" s="12"/>
    </row>
    <row r="323" spans="3:18" x14ac:dyDescent="0.2">
      <c r="C323" s="9"/>
      <c r="D323" s="9"/>
      <c r="E323" s="9"/>
      <c r="F323" s="21"/>
      <c r="H323" s="11"/>
      <c r="I323" s="10"/>
      <c r="J323" s="12"/>
      <c r="K323" s="12"/>
      <c r="L323" s="13"/>
      <c r="M323" s="12"/>
      <c r="N323" s="12"/>
      <c r="O323" s="13"/>
      <c r="P323" s="12"/>
      <c r="Q323" s="12"/>
      <c r="R323" s="12"/>
    </row>
    <row r="324" spans="3:18" x14ac:dyDescent="0.2">
      <c r="C324" s="9"/>
      <c r="D324" s="9"/>
      <c r="E324" s="9"/>
      <c r="F324" s="21"/>
      <c r="H324" s="11"/>
      <c r="I324" s="10"/>
      <c r="J324" s="12"/>
      <c r="K324" s="12"/>
      <c r="L324" s="13"/>
      <c r="M324" s="12"/>
      <c r="N324" s="12"/>
      <c r="O324" s="13"/>
      <c r="P324" s="12"/>
      <c r="Q324" s="12"/>
      <c r="R324" s="12"/>
    </row>
    <row r="325" spans="3:18" x14ac:dyDescent="0.2">
      <c r="C325" s="9"/>
      <c r="D325" s="9"/>
      <c r="E325" s="9"/>
      <c r="F325" s="21"/>
      <c r="H325" s="11"/>
      <c r="I325" s="10"/>
      <c r="J325" s="12"/>
      <c r="K325" s="12"/>
      <c r="L325" s="13"/>
      <c r="M325" s="12"/>
      <c r="N325" s="12"/>
      <c r="O325" s="13"/>
      <c r="P325" s="12"/>
      <c r="Q325" s="12"/>
      <c r="R325" s="12"/>
    </row>
    <row r="326" spans="3:18" x14ac:dyDescent="0.2">
      <c r="C326" s="9"/>
      <c r="D326" s="9"/>
      <c r="E326" s="9"/>
      <c r="F326" s="21"/>
      <c r="H326" s="11"/>
      <c r="I326" s="10"/>
      <c r="J326" s="12"/>
      <c r="K326" s="12"/>
      <c r="L326" s="13"/>
      <c r="M326" s="12"/>
      <c r="N326" s="12"/>
      <c r="O326" s="13"/>
      <c r="P326" s="12"/>
      <c r="Q326" s="12"/>
      <c r="R326" s="12"/>
    </row>
    <row r="327" spans="3:18" x14ac:dyDescent="0.2">
      <c r="C327" s="9"/>
      <c r="D327" s="9"/>
      <c r="E327" s="9"/>
      <c r="F327" s="21"/>
      <c r="H327" s="11"/>
      <c r="I327" s="10"/>
      <c r="J327" s="12"/>
      <c r="K327" s="12"/>
      <c r="L327" s="13"/>
      <c r="M327" s="12"/>
      <c r="N327" s="12"/>
      <c r="O327" s="13"/>
      <c r="P327" s="12"/>
      <c r="Q327" s="12"/>
      <c r="R327" s="12"/>
    </row>
    <row r="328" spans="3:18" x14ac:dyDescent="0.2">
      <c r="C328" s="9"/>
      <c r="D328" s="9"/>
      <c r="E328" s="9"/>
      <c r="F328" s="21"/>
      <c r="H328" s="11"/>
      <c r="I328" s="10"/>
      <c r="J328" s="12"/>
      <c r="K328" s="12"/>
      <c r="L328" s="13"/>
      <c r="M328" s="12"/>
      <c r="N328" s="12"/>
      <c r="O328" s="13"/>
      <c r="P328" s="12"/>
      <c r="Q328" s="12"/>
      <c r="R328" s="12"/>
    </row>
    <row r="329" spans="3:18" x14ac:dyDescent="0.2">
      <c r="C329" s="9"/>
      <c r="D329" s="9"/>
      <c r="E329" s="9"/>
      <c r="F329" s="21"/>
      <c r="H329" s="11"/>
      <c r="I329" s="10"/>
      <c r="J329" s="12"/>
      <c r="K329" s="12"/>
      <c r="L329" s="13"/>
      <c r="M329" s="12"/>
      <c r="N329" s="12"/>
      <c r="O329" s="13"/>
      <c r="P329" s="12"/>
      <c r="Q329" s="12"/>
      <c r="R329" s="12"/>
    </row>
    <row r="330" spans="3:18" x14ac:dyDescent="0.2">
      <c r="C330" s="9"/>
      <c r="D330" s="9"/>
      <c r="E330" s="9"/>
      <c r="F330" s="21"/>
      <c r="H330" s="11"/>
      <c r="I330" s="10"/>
      <c r="J330" s="12"/>
      <c r="K330" s="12"/>
      <c r="L330" s="13"/>
      <c r="M330" s="12"/>
      <c r="N330" s="12"/>
      <c r="O330" s="13"/>
      <c r="P330" s="12"/>
      <c r="Q330" s="12"/>
      <c r="R330" s="12"/>
    </row>
    <row r="331" spans="3:18" x14ac:dyDescent="0.2">
      <c r="C331" s="9"/>
      <c r="D331" s="9"/>
      <c r="E331" s="9"/>
      <c r="F331" s="21"/>
      <c r="H331" s="11"/>
      <c r="I331" s="10"/>
      <c r="J331" s="12"/>
      <c r="K331" s="12"/>
      <c r="L331" s="13"/>
      <c r="M331" s="12"/>
      <c r="N331" s="12"/>
      <c r="O331" s="13"/>
      <c r="P331" s="12"/>
      <c r="Q331" s="12"/>
      <c r="R331" s="12"/>
    </row>
    <row r="332" spans="3:18" x14ac:dyDescent="0.2">
      <c r="C332" s="9"/>
      <c r="D332" s="9"/>
      <c r="E332" s="9"/>
      <c r="F332" s="21"/>
      <c r="H332" s="11"/>
      <c r="I332" s="10"/>
      <c r="J332" s="12"/>
      <c r="K332" s="12"/>
      <c r="L332" s="13"/>
      <c r="M332" s="12"/>
      <c r="N332" s="12"/>
      <c r="O332" s="13"/>
      <c r="P332" s="12"/>
      <c r="Q332" s="12"/>
      <c r="R332" s="12"/>
    </row>
    <row r="333" spans="3:18" x14ac:dyDescent="0.2">
      <c r="C333" s="9"/>
      <c r="D333" s="9"/>
      <c r="E333" s="9"/>
      <c r="F333" s="21"/>
      <c r="H333" s="11"/>
      <c r="I333" s="10"/>
      <c r="J333" s="12"/>
      <c r="K333" s="12"/>
      <c r="L333" s="13"/>
      <c r="M333" s="12"/>
      <c r="N333" s="12"/>
      <c r="O333" s="13"/>
      <c r="P333" s="12"/>
      <c r="Q333" s="12"/>
      <c r="R333" s="12"/>
    </row>
    <row r="334" spans="3:18" x14ac:dyDescent="0.2">
      <c r="C334" s="9"/>
      <c r="D334" s="9"/>
      <c r="E334" s="9"/>
      <c r="F334" s="21"/>
      <c r="H334" s="11"/>
      <c r="I334" s="10"/>
      <c r="J334" s="12"/>
      <c r="K334" s="12"/>
      <c r="L334" s="13"/>
      <c r="M334" s="12"/>
      <c r="N334" s="12"/>
      <c r="O334" s="13"/>
      <c r="P334" s="12"/>
      <c r="Q334" s="12"/>
      <c r="R334" s="12"/>
    </row>
    <row r="335" spans="3:18" x14ac:dyDescent="0.2">
      <c r="C335" s="9"/>
      <c r="D335" s="9"/>
      <c r="E335" s="9"/>
      <c r="F335" s="21"/>
      <c r="H335" s="11"/>
      <c r="I335" s="10"/>
      <c r="J335" s="12"/>
      <c r="K335" s="12"/>
      <c r="L335" s="13"/>
      <c r="M335" s="12"/>
      <c r="N335" s="12"/>
      <c r="O335" s="13"/>
      <c r="P335" s="12"/>
      <c r="Q335" s="12"/>
      <c r="R335" s="12"/>
    </row>
    <row r="336" spans="3:18" x14ac:dyDescent="0.2">
      <c r="C336" s="9"/>
      <c r="D336" s="9"/>
      <c r="E336" s="9"/>
      <c r="F336" s="21"/>
      <c r="H336" s="11"/>
      <c r="I336" s="10"/>
      <c r="J336" s="12"/>
      <c r="K336" s="12"/>
      <c r="L336" s="13"/>
      <c r="M336" s="12"/>
      <c r="N336" s="12"/>
      <c r="O336" s="13"/>
      <c r="P336" s="12"/>
      <c r="Q336" s="12"/>
      <c r="R336" s="12"/>
    </row>
    <row r="337" spans="3:18" x14ac:dyDescent="0.2">
      <c r="C337" s="9"/>
      <c r="D337" s="9"/>
      <c r="E337" s="9"/>
      <c r="F337" s="21"/>
      <c r="H337" s="11"/>
      <c r="I337" s="10"/>
      <c r="J337" s="12"/>
      <c r="K337" s="12"/>
      <c r="L337" s="13"/>
      <c r="M337" s="12"/>
      <c r="N337" s="12"/>
      <c r="O337" s="13"/>
      <c r="P337" s="12"/>
      <c r="Q337" s="12"/>
      <c r="R337" s="12"/>
    </row>
    <row r="338" spans="3:18" x14ac:dyDescent="0.2">
      <c r="C338" s="9"/>
      <c r="D338" s="9"/>
      <c r="E338" s="9"/>
      <c r="F338" s="21"/>
      <c r="H338" s="11"/>
      <c r="I338" s="10"/>
      <c r="J338" s="12"/>
      <c r="K338" s="12"/>
      <c r="L338" s="13"/>
      <c r="M338" s="12"/>
      <c r="N338" s="12"/>
      <c r="O338" s="13"/>
      <c r="P338" s="12"/>
      <c r="Q338" s="12"/>
      <c r="R338" s="12"/>
    </row>
    <row r="339" spans="3:18" x14ac:dyDescent="0.2">
      <c r="C339" s="9"/>
      <c r="D339" s="9"/>
      <c r="E339" s="9"/>
      <c r="F339" s="21"/>
      <c r="H339" s="11"/>
      <c r="I339" s="10"/>
      <c r="J339" s="12"/>
      <c r="K339" s="12"/>
      <c r="L339" s="13"/>
      <c r="M339" s="12"/>
      <c r="N339" s="12"/>
      <c r="O339" s="13"/>
      <c r="P339" s="12"/>
      <c r="Q339" s="12"/>
      <c r="R339" s="12"/>
    </row>
    <row r="340" spans="3:18" x14ac:dyDescent="0.2">
      <c r="C340" s="9"/>
      <c r="D340" s="9"/>
      <c r="E340" s="9"/>
      <c r="F340" s="21"/>
      <c r="H340" s="11"/>
      <c r="I340" s="10"/>
      <c r="J340" s="12"/>
      <c r="K340" s="12"/>
      <c r="L340" s="13"/>
      <c r="M340" s="12"/>
      <c r="N340" s="12"/>
      <c r="O340" s="13"/>
      <c r="P340" s="12"/>
      <c r="Q340" s="12"/>
      <c r="R340" s="12"/>
    </row>
    <row r="341" spans="3:18" x14ac:dyDescent="0.2">
      <c r="C341" s="9"/>
      <c r="D341" s="9"/>
      <c r="E341" s="9"/>
      <c r="F341" s="21"/>
      <c r="H341" s="11"/>
      <c r="I341" s="10"/>
      <c r="J341" s="12"/>
      <c r="K341" s="12"/>
      <c r="L341" s="13"/>
      <c r="M341" s="12"/>
      <c r="N341" s="12"/>
      <c r="O341" s="13"/>
      <c r="P341" s="12"/>
      <c r="Q341" s="12"/>
      <c r="R341" s="12"/>
    </row>
    <row r="342" spans="3:18" x14ac:dyDescent="0.2">
      <c r="C342" s="9"/>
      <c r="D342" s="9"/>
      <c r="E342" s="9"/>
      <c r="F342" s="21"/>
      <c r="H342" s="11"/>
      <c r="I342" s="10"/>
      <c r="J342" s="12"/>
      <c r="K342" s="12"/>
      <c r="L342" s="13"/>
      <c r="M342" s="8"/>
      <c r="N342" s="12"/>
      <c r="O342" s="13"/>
      <c r="P342" s="12"/>
      <c r="Q342" s="12"/>
      <c r="R342" s="12"/>
    </row>
    <row r="343" spans="3:18" x14ac:dyDescent="0.2">
      <c r="C343" s="9"/>
      <c r="D343" s="9"/>
      <c r="E343" s="9"/>
      <c r="F343" s="21"/>
      <c r="H343" s="11"/>
      <c r="I343" s="10"/>
      <c r="J343" s="12"/>
      <c r="K343" s="12"/>
      <c r="L343" s="13"/>
      <c r="M343" s="12"/>
      <c r="N343" s="12"/>
      <c r="O343" s="13"/>
      <c r="P343" s="12"/>
      <c r="Q343" s="12"/>
      <c r="R343" s="12"/>
    </row>
    <row r="344" spans="3:18" x14ac:dyDescent="0.2">
      <c r="C344" s="13"/>
      <c r="D344" s="9"/>
      <c r="E344" s="9"/>
      <c r="F344" s="21"/>
      <c r="H344" s="11"/>
      <c r="I344" s="10"/>
      <c r="J344" s="12"/>
      <c r="K344" s="12"/>
      <c r="L344" s="13"/>
      <c r="M344" s="12"/>
      <c r="N344" s="12"/>
      <c r="O344" s="13"/>
      <c r="P344" s="12"/>
      <c r="Q344" s="12"/>
      <c r="R344" s="12"/>
    </row>
    <row r="345" spans="3:18" x14ac:dyDescent="0.2">
      <c r="C345" s="9"/>
      <c r="D345" s="9"/>
      <c r="E345" s="9"/>
      <c r="F345" s="10"/>
      <c r="H345" s="11"/>
      <c r="I345" s="10"/>
      <c r="J345" s="12"/>
      <c r="K345" s="12"/>
      <c r="L345" s="13"/>
      <c r="M345" s="12"/>
      <c r="N345" s="12"/>
      <c r="P345" s="12"/>
      <c r="Q345" s="12"/>
      <c r="R345" s="12"/>
    </row>
    <row r="346" spans="3:18" x14ac:dyDescent="0.2">
      <c r="C346" s="9"/>
      <c r="D346" s="9"/>
      <c r="E346" s="9"/>
      <c r="F346" s="10"/>
      <c r="H346" s="11"/>
      <c r="I346" s="10"/>
      <c r="J346" s="12"/>
      <c r="K346" s="12"/>
      <c r="L346" s="13"/>
      <c r="M346" s="12"/>
      <c r="N346" s="12"/>
      <c r="P346" s="12"/>
      <c r="Q346" s="12"/>
      <c r="R346" s="12"/>
    </row>
    <row r="347" spans="3:18" x14ac:dyDescent="0.2">
      <c r="C347" s="9"/>
      <c r="D347" s="9"/>
      <c r="E347" s="9"/>
      <c r="F347" s="21"/>
      <c r="H347" s="11"/>
      <c r="I347" s="22"/>
      <c r="J347" s="12"/>
      <c r="K347" s="12"/>
      <c r="L347" s="13"/>
      <c r="M347" s="12"/>
      <c r="N347" s="12"/>
      <c r="O347" s="13"/>
      <c r="P347" s="12"/>
      <c r="Q347" s="12"/>
      <c r="R347" s="12"/>
    </row>
    <row r="348" spans="3:18" x14ac:dyDescent="0.2">
      <c r="C348" s="9"/>
      <c r="D348" s="9"/>
      <c r="E348" s="9"/>
      <c r="F348" s="21"/>
      <c r="H348" s="11"/>
      <c r="I348" s="22"/>
      <c r="J348" s="12"/>
      <c r="K348" s="12"/>
      <c r="L348" s="13"/>
      <c r="M348" s="12"/>
      <c r="N348" s="12"/>
      <c r="O348" s="13"/>
      <c r="P348" s="12"/>
      <c r="Q348" s="12"/>
      <c r="R348" s="12"/>
    </row>
    <row r="349" spans="3:18" x14ac:dyDescent="0.2">
      <c r="C349" s="9"/>
      <c r="D349" s="9"/>
      <c r="E349" s="9"/>
      <c r="F349" s="21"/>
      <c r="H349" s="11"/>
      <c r="I349" s="10"/>
      <c r="J349" s="12"/>
      <c r="K349" s="12"/>
      <c r="L349" s="13"/>
      <c r="M349" s="12"/>
      <c r="N349" s="12"/>
      <c r="O349" s="13"/>
      <c r="P349" s="12"/>
      <c r="Q349" s="12"/>
      <c r="R349" s="12"/>
    </row>
    <row r="350" spans="3:18" x14ac:dyDescent="0.2">
      <c r="C350" s="9"/>
      <c r="D350" s="9"/>
      <c r="E350" s="9"/>
      <c r="F350" s="21"/>
      <c r="H350" s="11"/>
      <c r="I350" s="10"/>
      <c r="J350" s="12"/>
      <c r="K350" s="12"/>
      <c r="L350" s="13"/>
      <c r="M350" s="12"/>
      <c r="N350" s="12"/>
      <c r="O350" s="13"/>
      <c r="P350" s="12"/>
      <c r="Q350" s="12"/>
      <c r="R350" s="12"/>
    </row>
    <row r="351" spans="3:18" x14ac:dyDescent="0.2">
      <c r="C351" s="9"/>
      <c r="D351" s="9"/>
      <c r="E351" s="9"/>
      <c r="F351" s="21"/>
      <c r="H351" s="11"/>
      <c r="I351" s="10"/>
      <c r="J351" s="12"/>
      <c r="K351" s="12"/>
      <c r="L351" s="13"/>
      <c r="M351" s="12"/>
      <c r="N351" s="12"/>
      <c r="O351" s="13"/>
      <c r="P351" s="12"/>
      <c r="Q351" s="12"/>
      <c r="R351" s="12"/>
    </row>
    <row r="352" spans="3:18" x14ac:dyDescent="0.2">
      <c r="C352" s="9"/>
      <c r="D352" s="9"/>
      <c r="E352" s="9"/>
      <c r="F352" s="21"/>
      <c r="H352" s="11"/>
      <c r="I352" s="10"/>
      <c r="J352" s="12"/>
      <c r="K352" s="12"/>
      <c r="L352" s="13"/>
      <c r="M352" s="12"/>
      <c r="N352" s="12"/>
      <c r="O352" s="13"/>
      <c r="P352" s="12"/>
      <c r="Q352" s="12"/>
      <c r="R352" s="12"/>
    </row>
    <row r="353" spans="3:18" x14ac:dyDescent="0.2">
      <c r="C353" s="9"/>
      <c r="D353" s="9"/>
      <c r="E353" s="9"/>
      <c r="F353" s="21"/>
      <c r="H353" s="11"/>
      <c r="I353" s="10"/>
      <c r="J353" s="12"/>
      <c r="K353" s="12"/>
      <c r="L353" s="13"/>
      <c r="M353" s="12"/>
      <c r="N353" s="12"/>
      <c r="O353" s="13"/>
      <c r="P353" s="12"/>
      <c r="Q353" s="12"/>
      <c r="R353" s="12"/>
    </row>
    <row r="354" spans="3:18" x14ac:dyDescent="0.2">
      <c r="C354" s="9"/>
      <c r="D354" s="9"/>
      <c r="E354" s="9"/>
      <c r="F354" s="21"/>
      <c r="H354" s="11"/>
      <c r="I354" s="10"/>
      <c r="J354" s="12"/>
      <c r="K354" s="12"/>
      <c r="L354" s="13"/>
      <c r="M354" s="12"/>
      <c r="N354" s="12"/>
      <c r="O354" s="13"/>
      <c r="P354" s="12"/>
      <c r="Q354" s="12"/>
      <c r="R354" s="12"/>
    </row>
    <row r="355" spans="3:18" x14ac:dyDescent="0.2">
      <c r="C355" s="9"/>
      <c r="D355" s="9"/>
      <c r="E355" s="9"/>
      <c r="F355" s="21"/>
      <c r="H355" s="11"/>
      <c r="I355" s="10"/>
      <c r="J355" s="12"/>
      <c r="K355" s="12"/>
      <c r="L355" s="13"/>
      <c r="M355" s="12"/>
      <c r="N355" s="12"/>
      <c r="O355" s="13"/>
      <c r="P355" s="12"/>
      <c r="Q355" s="12"/>
      <c r="R355" s="12"/>
    </row>
    <row r="356" spans="3:18" x14ac:dyDescent="0.2">
      <c r="C356" s="9"/>
      <c r="D356" s="9"/>
      <c r="E356" s="9"/>
      <c r="F356" s="21"/>
      <c r="H356" s="11"/>
      <c r="I356" s="10"/>
      <c r="J356" s="12"/>
      <c r="K356" s="12"/>
      <c r="L356" s="13"/>
      <c r="M356" s="12"/>
      <c r="N356" s="12"/>
      <c r="O356" s="13"/>
      <c r="P356" s="12"/>
      <c r="Q356" s="12"/>
      <c r="R356" s="12"/>
    </row>
    <row r="357" spans="3:18" x14ac:dyDescent="0.2">
      <c r="C357" s="9"/>
      <c r="D357" s="9"/>
      <c r="E357" s="9"/>
      <c r="F357" s="21"/>
      <c r="H357" s="11"/>
      <c r="I357" s="10"/>
      <c r="J357" s="12"/>
      <c r="K357" s="12"/>
      <c r="L357" s="13"/>
      <c r="M357" s="12"/>
      <c r="N357" s="12"/>
      <c r="O357" s="13"/>
      <c r="P357" s="12"/>
      <c r="Q357" s="12"/>
      <c r="R357" s="12"/>
    </row>
    <row r="358" spans="3:18" x14ac:dyDescent="0.2">
      <c r="C358" s="9"/>
      <c r="D358" s="9"/>
      <c r="E358" s="9"/>
      <c r="F358" s="21"/>
      <c r="H358" s="11"/>
      <c r="I358" s="10"/>
      <c r="J358" s="12"/>
      <c r="K358" s="12"/>
      <c r="L358" s="13"/>
      <c r="M358" s="12"/>
      <c r="N358" s="12"/>
      <c r="O358" s="13"/>
      <c r="P358" s="12"/>
      <c r="Q358" s="12"/>
      <c r="R358" s="12"/>
    </row>
    <row r="359" spans="3:18" x14ac:dyDescent="0.2">
      <c r="C359" s="9"/>
      <c r="D359" s="9"/>
      <c r="E359" s="9"/>
      <c r="F359" s="21"/>
      <c r="H359" s="11"/>
      <c r="I359" s="10"/>
      <c r="J359" s="12"/>
      <c r="K359" s="12"/>
      <c r="L359" s="13"/>
      <c r="M359" s="12"/>
      <c r="N359" s="12"/>
      <c r="O359" s="13"/>
      <c r="P359" s="12"/>
      <c r="Q359" s="12"/>
      <c r="R359" s="12"/>
    </row>
    <row r="360" spans="3:18" x14ac:dyDescent="0.2">
      <c r="C360" s="9"/>
      <c r="D360" s="9"/>
      <c r="E360" s="9"/>
      <c r="F360" s="21"/>
      <c r="H360" s="11"/>
      <c r="I360" s="10"/>
      <c r="J360" s="12"/>
      <c r="K360" s="12"/>
      <c r="L360" s="13"/>
      <c r="M360" s="12"/>
      <c r="N360" s="12"/>
      <c r="O360" s="13"/>
      <c r="P360" s="12"/>
      <c r="Q360" s="12"/>
      <c r="R360" s="12"/>
    </row>
    <row r="361" spans="3:18" x14ac:dyDescent="0.2">
      <c r="C361" s="9"/>
      <c r="D361" s="9"/>
      <c r="E361" s="9"/>
      <c r="F361" s="21"/>
      <c r="H361" s="11"/>
      <c r="I361" s="10"/>
      <c r="J361" s="12"/>
      <c r="K361" s="12"/>
      <c r="L361" s="13"/>
      <c r="M361" s="12"/>
      <c r="N361" s="12"/>
      <c r="O361" s="13"/>
      <c r="P361" s="12"/>
      <c r="Q361" s="12"/>
      <c r="R361" s="12"/>
    </row>
    <row r="362" spans="3:18" x14ac:dyDescent="0.2">
      <c r="C362" s="9"/>
      <c r="D362" s="9"/>
      <c r="E362" s="9"/>
      <c r="F362" s="21"/>
      <c r="H362" s="11"/>
      <c r="I362" s="10"/>
      <c r="J362" s="12"/>
      <c r="K362" s="12"/>
      <c r="L362" s="13"/>
      <c r="M362" s="12"/>
      <c r="N362" s="12"/>
      <c r="O362" s="13"/>
      <c r="P362" s="12"/>
      <c r="Q362" s="12"/>
      <c r="R362" s="12"/>
    </row>
    <row r="363" spans="3:18" x14ac:dyDescent="0.2">
      <c r="C363" s="9"/>
      <c r="D363" s="9"/>
      <c r="E363" s="9"/>
      <c r="F363" s="21"/>
      <c r="H363" s="11"/>
      <c r="I363" s="10"/>
      <c r="J363" s="12"/>
      <c r="K363" s="12"/>
      <c r="L363" s="13"/>
      <c r="M363" s="12"/>
      <c r="N363" s="12"/>
      <c r="O363" s="13"/>
      <c r="P363" s="12"/>
      <c r="Q363" s="12"/>
      <c r="R363" s="12"/>
    </row>
    <row r="364" spans="3:18" x14ac:dyDescent="0.2">
      <c r="C364" s="9"/>
      <c r="D364" s="9"/>
      <c r="E364" s="9"/>
      <c r="F364" s="21"/>
      <c r="H364" s="11"/>
      <c r="I364" s="10"/>
      <c r="J364" s="12"/>
      <c r="K364" s="12"/>
      <c r="L364" s="13"/>
      <c r="M364" s="12"/>
      <c r="N364" s="12"/>
      <c r="O364" s="13"/>
      <c r="P364" s="12"/>
      <c r="Q364" s="12"/>
      <c r="R364" s="12"/>
    </row>
    <row r="365" spans="3:18" x14ac:dyDescent="0.2">
      <c r="C365" s="9"/>
      <c r="D365" s="9"/>
      <c r="E365" s="9"/>
      <c r="F365" s="21"/>
      <c r="H365" s="11"/>
      <c r="I365" s="10"/>
      <c r="J365" s="12"/>
      <c r="K365" s="12"/>
      <c r="L365" s="13"/>
      <c r="M365" s="12"/>
      <c r="N365" s="12"/>
      <c r="O365" s="13"/>
      <c r="P365" s="12"/>
      <c r="Q365" s="12"/>
      <c r="R365" s="12"/>
    </row>
    <row r="366" spans="3:18" x14ac:dyDescent="0.2">
      <c r="C366" s="9"/>
      <c r="D366" s="9"/>
      <c r="E366" s="9"/>
      <c r="F366" s="21"/>
      <c r="H366" s="11"/>
      <c r="I366" s="10"/>
      <c r="J366" s="12"/>
      <c r="K366" s="12"/>
      <c r="L366" s="13"/>
      <c r="M366" s="12"/>
      <c r="N366" s="12"/>
      <c r="O366" s="13"/>
      <c r="P366" s="12"/>
      <c r="Q366" s="12"/>
      <c r="R366" s="12"/>
    </row>
    <row r="367" spans="3:18" x14ac:dyDescent="0.2">
      <c r="C367" s="9"/>
      <c r="D367" s="9"/>
      <c r="E367" s="9"/>
      <c r="F367" s="21"/>
      <c r="H367" s="11"/>
      <c r="I367" s="10"/>
      <c r="J367" s="12"/>
      <c r="K367" s="12"/>
      <c r="L367" s="13"/>
      <c r="M367" s="12"/>
      <c r="N367" s="12"/>
      <c r="O367" s="13"/>
      <c r="P367" s="12"/>
      <c r="Q367" s="12"/>
      <c r="R367" s="12"/>
    </row>
    <row r="368" spans="3:18" x14ac:dyDescent="0.2">
      <c r="C368" s="9"/>
      <c r="D368" s="9"/>
      <c r="E368" s="9"/>
      <c r="F368" s="21"/>
      <c r="H368" s="11"/>
      <c r="I368" s="10"/>
      <c r="J368" s="12"/>
      <c r="K368" s="12"/>
      <c r="L368" s="13"/>
      <c r="M368" s="12"/>
      <c r="N368" s="12"/>
      <c r="O368" s="13"/>
      <c r="P368" s="12"/>
      <c r="Q368" s="12"/>
      <c r="R368" s="12"/>
    </row>
    <row r="369" spans="3:18" x14ac:dyDescent="0.2">
      <c r="C369" s="9"/>
      <c r="D369" s="9"/>
      <c r="E369" s="9"/>
      <c r="F369" s="21"/>
      <c r="H369" s="11"/>
      <c r="I369" s="10"/>
      <c r="J369" s="12"/>
      <c r="K369" s="12"/>
      <c r="L369" s="13"/>
      <c r="M369" s="12"/>
      <c r="N369" s="12"/>
      <c r="O369" s="13"/>
      <c r="P369" s="12"/>
      <c r="Q369" s="12"/>
      <c r="R369" s="12"/>
    </row>
    <row r="370" spans="3:18" x14ac:dyDescent="0.2">
      <c r="C370" s="9"/>
      <c r="D370" s="9"/>
      <c r="E370" s="9"/>
      <c r="F370" s="21"/>
      <c r="H370" s="11"/>
      <c r="I370" s="10"/>
      <c r="J370" s="12"/>
      <c r="K370" s="12"/>
      <c r="L370" s="13"/>
      <c r="M370" s="12"/>
      <c r="N370" s="12"/>
      <c r="O370" s="13"/>
      <c r="P370" s="12"/>
      <c r="Q370" s="12"/>
      <c r="R370" s="12"/>
    </row>
    <row r="371" spans="3:18" x14ac:dyDescent="0.2">
      <c r="C371" s="9"/>
      <c r="D371" s="9"/>
      <c r="E371" s="9"/>
      <c r="F371" s="21"/>
      <c r="H371" s="11"/>
      <c r="I371" s="10"/>
      <c r="J371" s="12"/>
      <c r="K371" s="12"/>
      <c r="L371" s="13"/>
      <c r="M371" s="12"/>
      <c r="N371" s="12"/>
      <c r="O371" s="13"/>
      <c r="P371" s="12"/>
      <c r="Q371" s="12"/>
      <c r="R371" s="12"/>
    </row>
    <row r="372" spans="3:18" x14ac:dyDescent="0.2">
      <c r="C372" s="9"/>
      <c r="D372" s="9"/>
      <c r="E372" s="9"/>
      <c r="F372" s="21"/>
      <c r="H372" s="11"/>
      <c r="I372" s="10"/>
      <c r="J372" s="12"/>
      <c r="K372" s="12"/>
      <c r="L372" s="13"/>
      <c r="M372" s="12"/>
      <c r="N372" s="12"/>
      <c r="O372" s="13"/>
      <c r="P372" s="12"/>
      <c r="Q372" s="12"/>
      <c r="R372" s="12"/>
    </row>
    <row r="373" spans="3:18" x14ac:dyDescent="0.2">
      <c r="C373" s="9"/>
      <c r="D373" s="9"/>
      <c r="E373" s="9"/>
      <c r="F373" s="21"/>
      <c r="H373" s="11"/>
      <c r="I373" s="10"/>
      <c r="J373" s="12"/>
      <c r="K373" s="12"/>
      <c r="L373" s="13"/>
      <c r="M373" s="12"/>
      <c r="N373" s="12"/>
      <c r="O373" s="13"/>
      <c r="P373" s="12"/>
      <c r="Q373" s="12"/>
      <c r="R373" s="12"/>
    </row>
    <row r="374" spans="3:18" x14ac:dyDescent="0.2">
      <c r="C374" s="9"/>
      <c r="D374" s="9"/>
      <c r="E374" s="9"/>
      <c r="F374" s="21"/>
      <c r="H374" s="11"/>
      <c r="I374" s="10"/>
      <c r="J374" s="12"/>
      <c r="K374" s="12"/>
      <c r="L374" s="13"/>
      <c r="M374" s="12"/>
      <c r="N374" s="12"/>
      <c r="O374" s="13"/>
      <c r="P374" s="12"/>
      <c r="Q374" s="12"/>
      <c r="R374" s="12"/>
    </row>
    <row r="375" spans="3:18" x14ac:dyDescent="0.2">
      <c r="C375" s="9"/>
      <c r="D375" s="9"/>
      <c r="E375" s="9"/>
      <c r="F375" s="21"/>
      <c r="H375" s="11"/>
      <c r="I375" s="10"/>
      <c r="J375" s="12"/>
      <c r="K375" s="12"/>
      <c r="L375" s="13"/>
      <c r="M375" s="12"/>
      <c r="N375" s="12"/>
      <c r="O375" s="13"/>
      <c r="P375" s="12"/>
      <c r="Q375" s="12"/>
      <c r="R375" s="12"/>
    </row>
    <row r="376" spans="3:18" x14ac:dyDescent="0.2">
      <c r="C376" s="9"/>
      <c r="D376" s="9"/>
      <c r="E376" s="9"/>
      <c r="F376" s="21"/>
      <c r="H376" s="11"/>
      <c r="I376" s="10"/>
      <c r="J376" s="12"/>
      <c r="K376" s="12"/>
      <c r="L376" s="13"/>
      <c r="M376" s="12"/>
      <c r="N376" s="12"/>
      <c r="O376" s="13"/>
      <c r="P376" s="12"/>
      <c r="Q376" s="12"/>
      <c r="R376" s="12"/>
    </row>
    <row r="377" spans="3:18" x14ac:dyDescent="0.2">
      <c r="C377" s="9"/>
      <c r="D377" s="9"/>
      <c r="E377" s="9"/>
      <c r="F377" s="21"/>
      <c r="H377" s="11"/>
      <c r="I377" s="10"/>
      <c r="J377" s="12"/>
      <c r="K377" s="12"/>
      <c r="L377" s="13"/>
      <c r="M377" s="12"/>
      <c r="N377" s="12"/>
      <c r="O377" s="13"/>
      <c r="P377" s="12"/>
      <c r="Q377" s="12"/>
      <c r="R377" s="12"/>
    </row>
    <row r="378" spans="3:18" x14ac:dyDescent="0.2">
      <c r="C378" s="9"/>
      <c r="D378" s="9"/>
      <c r="E378" s="9"/>
      <c r="F378" s="21"/>
      <c r="H378" s="11"/>
      <c r="I378" s="10"/>
      <c r="J378" s="12"/>
      <c r="K378" s="12"/>
      <c r="L378" s="13"/>
      <c r="M378" s="12"/>
      <c r="N378" s="12"/>
      <c r="O378" s="13"/>
      <c r="P378" s="12"/>
      <c r="Q378" s="12"/>
      <c r="R378" s="12"/>
    </row>
    <row r="379" spans="3:18" x14ac:dyDescent="0.2">
      <c r="C379" s="9"/>
      <c r="D379" s="9"/>
      <c r="E379" s="9"/>
      <c r="F379" s="21"/>
      <c r="H379" s="11"/>
      <c r="I379" s="10"/>
      <c r="J379" s="12"/>
      <c r="K379" s="12"/>
      <c r="L379" s="13"/>
      <c r="M379" s="12"/>
      <c r="N379" s="12"/>
      <c r="O379" s="13"/>
      <c r="P379" s="12"/>
      <c r="Q379" s="12"/>
      <c r="R379" s="12"/>
    </row>
    <row r="380" spans="3:18" x14ac:dyDescent="0.2">
      <c r="C380" s="9"/>
      <c r="D380" s="9"/>
      <c r="E380" s="9"/>
      <c r="F380" s="21"/>
      <c r="H380" s="11"/>
      <c r="I380" s="10"/>
      <c r="J380" s="12"/>
      <c r="K380" s="12"/>
      <c r="L380" s="13"/>
      <c r="M380" s="12"/>
      <c r="N380" s="12"/>
      <c r="O380" s="13"/>
      <c r="P380" s="12"/>
      <c r="Q380" s="12"/>
      <c r="R380" s="12"/>
    </row>
    <row r="381" spans="3:18" x14ac:dyDescent="0.2">
      <c r="C381" s="9"/>
      <c r="D381" s="9"/>
      <c r="E381" s="9"/>
      <c r="F381" s="21"/>
      <c r="H381" s="11"/>
      <c r="I381" s="10"/>
      <c r="J381" s="12"/>
      <c r="K381" s="12"/>
      <c r="L381" s="13"/>
      <c r="M381" s="12"/>
      <c r="N381" s="12"/>
      <c r="O381" s="13"/>
      <c r="P381" s="12"/>
      <c r="Q381" s="12"/>
      <c r="R381" s="12"/>
    </row>
    <row r="382" spans="3:18" x14ac:dyDescent="0.2">
      <c r="C382" s="9"/>
      <c r="D382" s="9"/>
      <c r="E382" s="9"/>
      <c r="F382" s="21"/>
      <c r="H382" s="11"/>
      <c r="I382" s="10"/>
      <c r="J382" s="12"/>
      <c r="K382" s="12"/>
      <c r="L382" s="13"/>
      <c r="M382" s="8"/>
      <c r="N382" s="12"/>
      <c r="O382" s="13"/>
      <c r="P382" s="12"/>
      <c r="Q382" s="12"/>
      <c r="R382" s="12"/>
    </row>
    <row r="383" spans="3:18" x14ac:dyDescent="0.2">
      <c r="C383" s="9"/>
      <c r="D383" s="9"/>
      <c r="E383" s="9"/>
      <c r="F383" s="21"/>
      <c r="H383" s="11"/>
      <c r="I383" s="10"/>
      <c r="J383" s="12"/>
      <c r="K383" s="12"/>
      <c r="L383" s="13"/>
      <c r="M383" s="12"/>
      <c r="N383" s="12"/>
      <c r="O383" s="13"/>
      <c r="P383" s="12"/>
      <c r="Q383" s="12"/>
      <c r="R383" s="12"/>
    </row>
    <row r="384" spans="3:18" x14ac:dyDescent="0.2">
      <c r="C384" s="13"/>
      <c r="D384" s="9"/>
      <c r="E384" s="9"/>
      <c r="F384" s="21"/>
      <c r="H384" s="11"/>
      <c r="I384" s="10"/>
      <c r="J384" s="12"/>
      <c r="K384" s="12"/>
      <c r="L384" s="13"/>
      <c r="M384" s="12"/>
      <c r="N384" s="12"/>
      <c r="O384" s="13"/>
      <c r="P384" s="12"/>
      <c r="Q384" s="12"/>
      <c r="R384" s="12"/>
    </row>
    <row r="387" spans="3:18" x14ac:dyDescent="0.2">
      <c r="C387" s="9"/>
      <c r="D387" s="9"/>
      <c r="E387" s="9"/>
      <c r="F387" s="21"/>
      <c r="H387" s="11"/>
      <c r="I387" s="22"/>
      <c r="J387" s="12"/>
      <c r="K387" s="12"/>
      <c r="L387" s="13"/>
      <c r="M387" s="12"/>
      <c r="N387" s="12"/>
      <c r="O387" s="13"/>
      <c r="P387" s="12"/>
      <c r="Q387" s="12"/>
      <c r="R387" s="12"/>
    </row>
    <row r="388" spans="3:18" x14ac:dyDescent="0.2">
      <c r="C388" s="9"/>
      <c r="D388" s="9"/>
      <c r="E388" s="9"/>
      <c r="F388" s="21"/>
      <c r="H388" s="11"/>
      <c r="I388" s="10"/>
      <c r="J388" s="12"/>
      <c r="K388" s="12"/>
      <c r="L388" s="13"/>
      <c r="M388" s="12"/>
      <c r="N388" s="12"/>
      <c r="O388" s="13"/>
      <c r="P388" s="12"/>
      <c r="Q388" s="12"/>
      <c r="R388" s="12"/>
    </row>
    <row r="389" spans="3:18" x14ac:dyDescent="0.2">
      <c r="C389" s="9"/>
      <c r="D389" s="9"/>
      <c r="E389" s="9"/>
      <c r="F389" s="21"/>
      <c r="H389" s="11"/>
      <c r="I389" s="10"/>
      <c r="J389" s="12"/>
      <c r="K389" s="12"/>
      <c r="L389" s="13"/>
      <c r="M389" s="12"/>
      <c r="N389" s="12"/>
      <c r="O389" s="13"/>
      <c r="P389" s="12"/>
      <c r="Q389" s="12"/>
      <c r="R389" s="12"/>
    </row>
    <row r="390" spans="3:18" x14ac:dyDescent="0.2">
      <c r="C390" s="9"/>
      <c r="D390" s="9"/>
      <c r="E390" s="9"/>
      <c r="F390" s="21"/>
      <c r="H390" s="11"/>
      <c r="I390" s="10"/>
      <c r="J390" s="12"/>
      <c r="K390" s="12"/>
      <c r="L390" s="13"/>
      <c r="M390" s="12"/>
      <c r="N390" s="12"/>
      <c r="O390" s="13"/>
      <c r="P390" s="12"/>
      <c r="Q390" s="12"/>
      <c r="R390" s="12"/>
    </row>
    <row r="391" spans="3:18" x14ac:dyDescent="0.2">
      <c r="C391" s="9"/>
      <c r="D391" s="9"/>
      <c r="E391" s="9"/>
      <c r="F391" s="21"/>
      <c r="H391" s="11"/>
      <c r="I391" s="10"/>
      <c r="J391" s="12"/>
      <c r="K391" s="12"/>
      <c r="L391" s="13"/>
      <c r="M391" s="12"/>
      <c r="N391" s="12"/>
      <c r="O391" s="13"/>
      <c r="P391" s="12"/>
      <c r="Q391" s="12"/>
      <c r="R391" s="12"/>
    </row>
    <row r="392" spans="3:18" x14ac:dyDescent="0.2">
      <c r="C392" s="9"/>
      <c r="D392" s="9"/>
      <c r="E392" s="9"/>
      <c r="F392" s="21"/>
      <c r="H392" s="11"/>
      <c r="I392" s="10"/>
      <c r="J392" s="12"/>
      <c r="K392" s="12"/>
      <c r="L392" s="13"/>
      <c r="M392" s="12"/>
      <c r="N392" s="12"/>
      <c r="O392" s="13"/>
      <c r="P392" s="12"/>
      <c r="Q392" s="12"/>
      <c r="R392" s="12"/>
    </row>
    <row r="393" spans="3:18" x14ac:dyDescent="0.2">
      <c r="C393" s="9"/>
      <c r="D393" s="9"/>
      <c r="E393" s="9"/>
      <c r="F393" s="21"/>
      <c r="H393" s="11"/>
      <c r="I393" s="10"/>
      <c r="J393" s="12"/>
      <c r="K393" s="12"/>
      <c r="L393" s="13"/>
      <c r="M393" s="12"/>
      <c r="N393" s="12"/>
      <c r="O393" s="13"/>
      <c r="P393" s="12"/>
      <c r="Q393" s="12"/>
      <c r="R393" s="12"/>
    </row>
    <row r="394" spans="3:18" x14ac:dyDescent="0.2">
      <c r="C394" s="9"/>
      <c r="D394" s="9"/>
      <c r="E394" s="9"/>
      <c r="F394" s="21"/>
      <c r="H394" s="11"/>
      <c r="I394" s="10"/>
      <c r="J394" s="12"/>
      <c r="K394" s="12"/>
      <c r="L394" s="13"/>
      <c r="M394" s="12"/>
      <c r="N394" s="12"/>
      <c r="O394" s="13"/>
      <c r="P394" s="12"/>
      <c r="Q394" s="12"/>
      <c r="R394" s="12"/>
    </row>
    <row r="395" spans="3:18" x14ac:dyDescent="0.2">
      <c r="C395" s="9"/>
      <c r="D395" s="9"/>
      <c r="E395" s="9"/>
      <c r="F395" s="21"/>
      <c r="H395" s="11"/>
      <c r="I395" s="10"/>
      <c r="J395" s="12"/>
      <c r="K395" s="12"/>
      <c r="L395" s="13"/>
      <c r="M395" s="12"/>
      <c r="N395" s="12"/>
      <c r="O395" s="13"/>
      <c r="P395" s="12"/>
      <c r="Q395" s="12"/>
      <c r="R395" s="12"/>
    </row>
    <row r="396" spans="3:18" x14ac:dyDescent="0.2">
      <c r="C396" s="9"/>
      <c r="D396" s="9"/>
      <c r="E396" s="9"/>
      <c r="F396" s="21"/>
      <c r="H396" s="11"/>
      <c r="I396" s="10"/>
      <c r="J396" s="12"/>
      <c r="K396" s="12"/>
      <c r="L396" s="13"/>
      <c r="M396" s="12"/>
      <c r="N396" s="12"/>
      <c r="O396" s="13"/>
      <c r="P396" s="12"/>
      <c r="Q396" s="12"/>
      <c r="R396" s="12"/>
    </row>
    <row r="397" spans="3:18" x14ac:dyDescent="0.2">
      <c r="C397" s="9"/>
      <c r="D397" s="9"/>
      <c r="E397" s="9"/>
      <c r="F397" s="21"/>
      <c r="H397" s="11"/>
      <c r="I397" s="10"/>
      <c r="J397" s="12"/>
      <c r="K397" s="12"/>
      <c r="L397" s="13"/>
      <c r="M397" s="12"/>
      <c r="N397" s="12"/>
      <c r="O397" s="13"/>
      <c r="P397" s="12"/>
      <c r="Q397" s="12"/>
      <c r="R397" s="12"/>
    </row>
    <row r="398" spans="3:18" x14ac:dyDescent="0.2">
      <c r="C398" s="9"/>
      <c r="D398" s="9"/>
      <c r="E398" s="9"/>
      <c r="F398" s="21"/>
      <c r="H398" s="11"/>
      <c r="I398" s="10"/>
      <c r="J398" s="12"/>
      <c r="K398" s="12"/>
      <c r="L398" s="13"/>
      <c r="M398" s="12"/>
      <c r="N398" s="12"/>
      <c r="O398" s="13"/>
      <c r="P398" s="12"/>
      <c r="Q398" s="12"/>
      <c r="R398" s="12"/>
    </row>
    <row r="399" spans="3:18" x14ac:dyDescent="0.2">
      <c r="C399" s="9"/>
      <c r="D399" s="9"/>
      <c r="E399" s="9"/>
      <c r="F399" s="21"/>
      <c r="H399" s="11"/>
      <c r="I399" s="10"/>
      <c r="J399" s="12"/>
      <c r="K399" s="12"/>
      <c r="L399" s="13"/>
      <c r="M399" s="12"/>
      <c r="N399" s="12"/>
      <c r="O399" s="13"/>
      <c r="P399" s="12"/>
      <c r="Q399" s="12"/>
      <c r="R399" s="12"/>
    </row>
    <row r="400" spans="3:18" x14ac:dyDescent="0.2">
      <c r="C400" s="9"/>
      <c r="D400" s="9"/>
      <c r="E400" s="9"/>
      <c r="F400" s="21"/>
      <c r="H400" s="11"/>
      <c r="I400" s="10"/>
      <c r="J400" s="12"/>
      <c r="K400" s="12"/>
      <c r="L400" s="13"/>
      <c r="M400" s="12"/>
      <c r="N400" s="12"/>
      <c r="O400" s="13"/>
      <c r="P400" s="12"/>
      <c r="Q400" s="12"/>
      <c r="R400" s="12"/>
    </row>
    <row r="401" spans="3:18" x14ac:dyDescent="0.2">
      <c r="C401" s="9"/>
      <c r="D401" s="9"/>
      <c r="E401" s="9"/>
      <c r="F401" s="21"/>
      <c r="H401" s="11"/>
      <c r="I401" s="10"/>
      <c r="J401" s="12"/>
      <c r="K401" s="12"/>
      <c r="L401" s="13"/>
      <c r="M401" s="12"/>
      <c r="N401" s="12"/>
      <c r="O401" s="13"/>
      <c r="P401" s="12"/>
      <c r="Q401" s="12"/>
      <c r="R401" s="12"/>
    </row>
    <row r="402" spans="3:18" x14ac:dyDescent="0.2">
      <c r="C402" s="9"/>
      <c r="D402" s="9"/>
      <c r="E402" s="9"/>
      <c r="F402" s="21"/>
      <c r="H402" s="11"/>
      <c r="I402" s="10"/>
      <c r="J402" s="12"/>
      <c r="K402" s="12"/>
      <c r="L402" s="13"/>
      <c r="M402" s="12"/>
      <c r="N402" s="12"/>
      <c r="O402" s="13"/>
      <c r="P402" s="12"/>
      <c r="Q402" s="12"/>
      <c r="R402" s="12"/>
    </row>
    <row r="403" spans="3:18" x14ac:dyDescent="0.2">
      <c r="C403" s="9"/>
      <c r="D403" s="9"/>
      <c r="E403" s="9"/>
      <c r="F403" s="21"/>
      <c r="H403" s="11"/>
      <c r="I403" s="10"/>
      <c r="J403" s="12"/>
      <c r="K403" s="12"/>
      <c r="L403" s="13"/>
      <c r="M403" s="12"/>
      <c r="N403" s="12"/>
      <c r="O403" s="13"/>
      <c r="P403" s="12"/>
      <c r="Q403" s="12"/>
      <c r="R403" s="12"/>
    </row>
    <row r="404" spans="3:18" x14ac:dyDescent="0.2">
      <c r="C404" s="9"/>
      <c r="D404" s="9"/>
      <c r="E404" s="9"/>
      <c r="F404" s="21"/>
      <c r="H404" s="11"/>
      <c r="I404" s="10"/>
      <c r="J404" s="12"/>
      <c r="K404" s="12"/>
      <c r="L404" s="13"/>
      <c r="M404" s="12"/>
      <c r="N404" s="12"/>
      <c r="O404" s="13"/>
      <c r="P404" s="12"/>
      <c r="Q404" s="12"/>
      <c r="R404" s="12"/>
    </row>
    <row r="405" spans="3:18" x14ac:dyDescent="0.2">
      <c r="C405" s="9"/>
      <c r="D405" s="9"/>
      <c r="E405" s="9"/>
      <c r="F405" s="21"/>
      <c r="H405" s="11"/>
      <c r="I405" s="10"/>
      <c r="J405" s="12"/>
      <c r="K405" s="12"/>
      <c r="L405" s="13"/>
      <c r="M405" s="12"/>
      <c r="N405" s="12"/>
      <c r="O405" s="13"/>
      <c r="P405" s="12"/>
      <c r="Q405" s="12"/>
      <c r="R405" s="12"/>
    </row>
    <row r="406" spans="3:18" x14ac:dyDescent="0.2">
      <c r="C406" s="9"/>
      <c r="D406" s="9"/>
      <c r="E406" s="9"/>
      <c r="F406" s="21"/>
      <c r="H406" s="11"/>
      <c r="I406" s="10"/>
      <c r="J406" s="12"/>
      <c r="K406" s="12"/>
      <c r="L406" s="13"/>
      <c r="M406" s="12"/>
      <c r="N406" s="12"/>
      <c r="O406" s="13"/>
      <c r="P406" s="12"/>
      <c r="Q406" s="12"/>
      <c r="R406" s="12"/>
    </row>
    <row r="407" spans="3:18" x14ac:dyDescent="0.2">
      <c r="C407" s="9"/>
      <c r="D407" s="9"/>
      <c r="E407" s="9"/>
      <c r="F407" s="21"/>
      <c r="H407" s="11"/>
      <c r="I407" s="10"/>
      <c r="J407" s="12"/>
      <c r="K407" s="12"/>
      <c r="L407" s="13"/>
      <c r="M407" s="12"/>
      <c r="N407" s="12"/>
      <c r="O407" s="13"/>
      <c r="P407" s="12"/>
      <c r="Q407" s="12"/>
      <c r="R407" s="12"/>
    </row>
    <row r="408" spans="3:18" x14ac:dyDescent="0.2">
      <c r="C408" s="9"/>
      <c r="D408" s="9"/>
      <c r="E408" s="9"/>
      <c r="F408" s="21"/>
      <c r="H408" s="11"/>
      <c r="I408" s="10"/>
      <c r="J408" s="12"/>
      <c r="K408" s="12"/>
      <c r="L408" s="13"/>
      <c r="M408" s="12"/>
      <c r="N408" s="12"/>
      <c r="O408" s="13"/>
      <c r="P408" s="12"/>
      <c r="Q408" s="12"/>
      <c r="R408" s="12"/>
    </row>
    <row r="409" spans="3:18" x14ac:dyDescent="0.2">
      <c r="C409" s="9"/>
      <c r="D409" s="9"/>
      <c r="E409" s="9"/>
      <c r="F409" s="21"/>
      <c r="H409" s="11"/>
      <c r="I409" s="10"/>
      <c r="J409" s="12"/>
      <c r="K409" s="12"/>
      <c r="L409" s="13"/>
      <c r="M409" s="12"/>
      <c r="N409" s="12"/>
      <c r="O409" s="13"/>
      <c r="P409" s="12"/>
      <c r="Q409" s="12"/>
      <c r="R409" s="12"/>
    </row>
    <row r="410" spans="3:18" x14ac:dyDescent="0.2">
      <c r="C410" s="9"/>
      <c r="D410" s="9"/>
      <c r="E410" s="9"/>
      <c r="F410" s="21"/>
      <c r="H410" s="11"/>
      <c r="I410" s="10"/>
      <c r="J410" s="12"/>
      <c r="K410" s="12"/>
      <c r="L410" s="13"/>
      <c r="M410" s="12"/>
      <c r="N410" s="12"/>
      <c r="O410" s="13"/>
      <c r="P410" s="12"/>
      <c r="Q410" s="12"/>
      <c r="R410" s="12"/>
    </row>
    <row r="411" spans="3:18" x14ac:dyDescent="0.2">
      <c r="C411" s="9"/>
      <c r="D411" s="9"/>
      <c r="E411" s="9"/>
      <c r="F411" s="21"/>
      <c r="H411" s="11"/>
      <c r="I411" s="10"/>
      <c r="J411" s="12"/>
      <c r="K411" s="12"/>
      <c r="L411" s="13"/>
      <c r="M411" s="12"/>
      <c r="N411" s="12"/>
      <c r="O411" s="13"/>
      <c r="P411" s="12"/>
      <c r="Q411" s="12"/>
      <c r="R411" s="12"/>
    </row>
    <row r="412" spans="3:18" x14ac:dyDescent="0.2">
      <c r="C412" s="9"/>
      <c r="D412" s="9"/>
      <c r="E412" s="9"/>
      <c r="F412" s="21"/>
      <c r="H412" s="11"/>
      <c r="I412" s="10"/>
      <c r="J412" s="12"/>
      <c r="K412" s="12"/>
      <c r="L412" s="13"/>
      <c r="M412" s="12"/>
      <c r="N412" s="12"/>
      <c r="O412" s="13"/>
      <c r="P412" s="12"/>
      <c r="Q412" s="12"/>
      <c r="R412" s="12"/>
    </row>
    <row r="413" spans="3:18" x14ac:dyDescent="0.2">
      <c r="C413" s="9"/>
      <c r="D413" s="9"/>
      <c r="E413" s="9"/>
      <c r="F413" s="21"/>
      <c r="H413" s="11"/>
      <c r="I413" s="10"/>
      <c r="J413" s="12"/>
      <c r="K413" s="12"/>
      <c r="L413" s="13"/>
      <c r="M413" s="12"/>
      <c r="N413" s="12"/>
      <c r="O413" s="13"/>
      <c r="P413" s="12"/>
      <c r="Q413" s="12"/>
      <c r="R413" s="12"/>
    </row>
    <row r="414" spans="3:18" x14ac:dyDescent="0.2">
      <c r="C414" s="9"/>
      <c r="D414" s="9"/>
      <c r="E414" s="9"/>
      <c r="F414" s="21"/>
      <c r="H414" s="11"/>
      <c r="I414" s="10"/>
      <c r="J414" s="12"/>
      <c r="K414" s="12"/>
      <c r="L414" s="13"/>
      <c r="M414" s="12"/>
      <c r="N414" s="12"/>
      <c r="O414" s="13"/>
      <c r="P414" s="12"/>
      <c r="Q414" s="12"/>
      <c r="R414" s="12"/>
    </row>
    <row r="415" spans="3:18" x14ac:dyDescent="0.2">
      <c r="C415" s="9"/>
      <c r="D415" s="9"/>
      <c r="E415" s="9"/>
      <c r="F415" s="21"/>
      <c r="H415" s="11"/>
      <c r="I415" s="10"/>
      <c r="J415" s="12"/>
      <c r="K415" s="12"/>
      <c r="L415" s="13"/>
      <c r="M415" s="12"/>
      <c r="N415" s="12"/>
      <c r="O415" s="13"/>
      <c r="P415" s="12"/>
      <c r="Q415" s="12"/>
      <c r="R415" s="12"/>
    </row>
    <row r="416" spans="3:18" x14ac:dyDescent="0.2">
      <c r="C416" s="9"/>
      <c r="D416" s="9"/>
      <c r="E416" s="9"/>
      <c r="F416" s="21"/>
      <c r="H416" s="11"/>
      <c r="I416" s="10"/>
      <c r="J416" s="12"/>
      <c r="K416" s="12"/>
      <c r="L416" s="13"/>
      <c r="M416" s="12"/>
      <c r="N416" s="12"/>
      <c r="O416" s="13"/>
      <c r="P416" s="12"/>
      <c r="Q416" s="12"/>
      <c r="R416" s="12"/>
    </row>
    <row r="417" spans="3:18" x14ac:dyDescent="0.2">
      <c r="C417" s="9"/>
      <c r="D417" s="9"/>
      <c r="E417" s="9"/>
      <c r="F417" s="21"/>
      <c r="H417" s="11"/>
      <c r="I417" s="10"/>
      <c r="J417" s="12"/>
      <c r="K417" s="12"/>
      <c r="L417" s="13"/>
      <c r="M417" s="12"/>
      <c r="N417" s="12"/>
      <c r="O417" s="13"/>
      <c r="P417" s="12"/>
      <c r="Q417" s="12"/>
      <c r="R417" s="12"/>
    </row>
    <row r="418" spans="3:18" x14ac:dyDescent="0.2">
      <c r="C418" s="9"/>
      <c r="D418" s="9"/>
      <c r="E418" s="9"/>
      <c r="F418" s="21"/>
      <c r="H418" s="11"/>
      <c r="I418" s="10"/>
      <c r="J418" s="12"/>
      <c r="K418" s="12"/>
      <c r="L418" s="13"/>
      <c r="M418" s="12"/>
      <c r="N418" s="12"/>
      <c r="O418" s="13"/>
      <c r="P418" s="12"/>
      <c r="Q418" s="12"/>
      <c r="R418" s="12"/>
    </row>
    <row r="419" spans="3:18" x14ac:dyDescent="0.2">
      <c r="C419" s="9"/>
      <c r="D419" s="9"/>
      <c r="E419" s="9"/>
      <c r="F419" s="21"/>
      <c r="H419" s="11"/>
      <c r="I419" s="10"/>
      <c r="J419" s="12"/>
      <c r="K419" s="12"/>
      <c r="L419" s="13"/>
      <c r="M419" s="12"/>
      <c r="N419" s="12"/>
      <c r="O419" s="13"/>
      <c r="P419" s="12"/>
      <c r="Q419" s="12"/>
      <c r="R419" s="12"/>
    </row>
    <row r="420" spans="3:18" x14ac:dyDescent="0.2">
      <c r="C420" s="9"/>
      <c r="D420" s="9"/>
      <c r="E420" s="9"/>
      <c r="F420" s="21"/>
      <c r="H420" s="11"/>
      <c r="I420" s="10"/>
      <c r="J420" s="12"/>
      <c r="K420" s="12"/>
      <c r="L420" s="13"/>
      <c r="M420" s="12"/>
      <c r="N420" s="12"/>
      <c r="O420" s="13"/>
      <c r="P420" s="12"/>
      <c r="Q420" s="12"/>
      <c r="R420" s="12"/>
    </row>
    <row r="421" spans="3:18" x14ac:dyDescent="0.2">
      <c r="C421" s="9"/>
      <c r="D421" s="9"/>
      <c r="E421" s="9"/>
      <c r="F421" s="21"/>
      <c r="H421" s="11"/>
      <c r="I421" s="10"/>
      <c r="J421" s="12"/>
      <c r="K421" s="12"/>
      <c r="L421" s="13"/>
      <c r="M421" s="12"/>
      <c r="N421" s="12"/>
      <c r="O421" s="13"/>
      <c r="P421" s="12"/>
      <c r="Q421" s="12"/>
      <c r="R421" s="12"/>
    </row>
    <row r="422" spans="3:18" x14ac:dyDescent="0.2">
      <c r="C422" s="9"/>
      <c r="D422" s="9"/>
      <c r="E422" s="9"/>
      <c r="F422" s="21"/>
      <c r="H422" s="11"/>
      <c r="I422" s="10"/>
      <c r="J422" s="12"/>
      <c r="K422" s="12"/>
      <c r="L422" s="13"/>
      <c r="M422" s="8"/>
      <c r="N422" s="12"/>
      <c r="O422" s="13"/>
      <c r="P422" s="12"/>
      <c r="Q422" s="12"/>
      <c r="R422" s="12"/>
    </row>
    <row r="423" spans="3:18" x14ac:dyDescent="0.2">
      <c r="C423" s="9"/>
      <c r="D423" s="9"/>
      <c r="E423" s="9"/>
      <c r="F423" s="21"/>
      <c r="H423" s="11"/>
      <c r="I423" s="10"/>
      <c r="J423" s="12"/>
      <c r="K423" s="12"/>
      <c r="L423" s="13"/>
      <c r="M423" s="12"/>
      <c r="N423" s="12"/>
      <c r="O423" s="13"/>
      <c r="P423" s="12"/>
      <c r="Q423" s="12"/>
      <c r="R423" s="12"/>
    </row>
    <row r="424" spans="3:18" x14ac:dyDescent="0.2">
      <c r="C424" s="13"/>
      <c r="D424" s="9"/>
      <c r="E424" s="9"/>
      <c r="F424" s="21"/>
      <c r="H424" s="11"/>
      <c r="I424" s="10"/>
      <c r="J424" s="12"/>
      <c r="K424" s="12"/>
      <c r="L424" s="13"/>
      <c r="M424" s="12"/>
      <c r="N424" s="12"/>
      <c r="P424" s="12"/>
      <c r="Q424" s="12"/>
      <c r="R424" s="12"/>
    </row>
    <row r="426" spans="3:18" x14ac:dyDescent="0.2">
      <c r="C426" s="9"/>
      <c r="D426" s="9"/>
      <c r="E426" s="19"/>
      <c r="F426" s="20"/>
      <c r="H426" s="11"/>
      <c r="I426" s="22"/>
      <c r="J426" s="12"/>
      <c r="K426" s="12"/>
      <c r="L426" s="9"/>
      <c r="M426" s="12"/>
      <c r="N426" s="12"/>
      <c r="O426" s="13"/>
      <c r="P426" s="12"/>
      <c r="Q426" s="12"/>
      <c r="R426" s="12"/>
    </row>
    <row r="427" spans="3:18" x14ac:dyDescent="0.2">
      <c r="C427" s="9"/>
      <c r="D427" s="9"/>
      <c r="E427" s="19"/>
      <c r="F427" s="20"/>
      <c r="H427" s="11"/>
      <c r="I427" s="10"/>
      <c r="J427" s="12"/>
      <c r="K427" s="12"/>
      <c r="L427" s="13"/>
      <c r="M427" s="12"/>
      <c r="N427" s="12"/>
      <c r="O427" s="13"/>
      <c r="P427" s="12"/>
      <c r="Q427" s="12"/>
      <c r="R427" s="12"/>
    </row>
    <row r="428" spans="3:18" x14ac:dyDescent="0.2">
      <c r="C428" s="9"/>
      <c r="D428" s="9"/>
      <c r="E428" s="19"/>
      <c r="F428" s="20"/>
      <c r="H428" s="11"/>
      <c r="I428" s="10"/>
      <c r="J428" s="12"/>
      <c r="K428" s="12"/>
      <c r="L428" s="13"/>
      <c r="M428" s="12"/>
      <c r="N428" s="12"/>
      <c r="O428" s="13"/>
      <c r="P428" s="12"/>
      <c r="Q428" s="12"/>
      <c r="R428" s="12"/>
    </row>
    <row r="429" spans="3:18" x14ac:dyDescent="0.2">
      <c r="C429" s="9"/>
      <c r="D429" s="9"/>
      <c r="E429" s="19"/>
      <c r="F429" s="20"/>
      <c r="H429" s="11"/>
      <c r="I429" s="10"/>
      <c r="J429" s="12"/>
      <c r="K429" s="12"/>
      <c r="L429" s="13"/>
      <c r="M429" s="12"/>
      <c r="N429" s="12"/>
      <c r="O429" s="13"/>
      <c r="P429" s="12"/>
      <c r="Q429" s="12"/>
      <c r="R429" s="12"/>
    </row>
    <row r="430" spans="3:18" x14ac:dyDescent="0.2">
      <c r="C430" s="9"/>
      <c r="D430" s="9"/>
      <c r="E430" s="19"/>
      <c r="F430" s="20"/>
      <c r="H430" s="11"/>
      <c r="I430" s="10"/>
      <c r="J430" s="12"/>
      <c r="K430" s="12"/>
      <c r="L430" s="13"/>
      <c r="M430" s="12"/>
      <c r="N430" s="12"/>
      <c r="O430" s="13"/>
      <c r="P430" s="12"/>
      <c r="Q430" s="12"/>
      <c r="R430" s="12"/>
    </row>
    <row r="431" spans="3:18" x14ac:dyDescent="0.2">
      <c r="C431" s="9"/>
      <c r="D431" s="9"/>
      <c r="E431" s="19"/>
      <c r="F431" s="20"/>
      <c r="H431" s="11"/>
      <c r="I431" s="10"/>
      <c r="J431" s="12"/>
      <c r="K431" s="12"/>
      <c r="L431" s="13"/>
      <c r="M431" s="13"/>
      <c r="N431" s="12"/>
      <c r="O431" s="13"/>
      <c r="P431" s="12"/>
      <c r="Q431" s="12"/>
      <c r="R431" s="12"/>
    </row>
    <row r="432" spans="3:18" x14ac:dyDescent="0.2">
      <c r="C432" s="9"/>
      <c r="D432" s="9"/>
      <c r="E432" s="19"/>
      <c r="F432" s="20"/>
      <c r="H432" s="11"/>
      <c r="I432" s="10"/>
      <c r="J432" s="12"/>
      <c r="K432" s="12"/>
      <c r="L432" s="13"/>
      <c r="M432" s="12"/>
      <c r="N432" s="12"/>
      <c r="O432" s="13"/>
      <c r="P432" s="12"/>
      <c r="Q432" s="12"/>
      <c r="R432" s="12"/>
    </row>
    <row r="433" spans="3:18" x14ac:dyDescent="0.2">
      <c r="C433" s="9"/>
      <c r="D433" s="9"/>
      <c r="E433" s="19"/>
      <c r="F433" s="20"/>
      <c r="H433" s="11"/>
      <c r="I433" s="10"/>
      <c r="J433" s="12"/>
      <c r="K433" s="12"/>
      <c r="L433" s="13"/>
      <c r="M433" s="12"/>
      <c r="N433" s="12"/>
      <c r="O433" s="13"/>
      <c r="P433" s="12"/>
      <c r="Q433" s="12"/>
      <c r="R433" s="12"/>
    </row>
    <row r="434" spans="3:18" x14ac:dyDescent="0.2">
      <c r="C434" s="9"/>
      <c r="D434" s="9"/>
      <c r="E434" s="19"/>
      <c r="F434" s="20"/>
      <c r="H434" s="11"/>
      <c r="I434" s="10"/>
      <c r="J434" s="12"/>
      <c r="K434" s="12"/>
      <c r="L434" s="13"/>
      <c r="M434" s="12"/>
      <c r="N434" s="12"/>
      <c r="O434" s="13"/>
      <c r="P434" s="12"/>
      <c r="Q434" s="12"/>
      <c r="R434" s="12"/>
    </row>
    <row r="435" spans="3:18" x14ac:dyDescent="0.2">
      <c r="C435" s="9"/>
      <c r="D435" s="9"/>
      <c r="E435" s="19"/>
      <c r="F435" s="20"/>
      <c r="H435" s="11"/>
      <c r="I435" s="10"/>
      <c r="J435" s="12"/>
      <c r="K435" s="12"/>
      <c r="L435" s="13"/>
      <c r="M435" s="12"/>
      <c r="N435" s="12"/>
      <c r="O435" s="13"/>
      <c r="P435" s="12"/>
      <c r="Q435" s="12"/>
      <c r="R435" s="12"/>
    </row>
    <row r="436" spans="3:18" x14ac:dyDescent="0.2">
      <c r="C436" s="9"/>
      <c r="D436" s="9"/>
      <c r="E436" s="19"/>
      <c r="F436" s="20"/>
      <c r="H436" s="11"/>
      <c r="I436" s="10"/>
      <c r="J436" s="12"/>
      <c r="K436" s="12"/>
      <c r="L436" s="13"/>
      <c r="M436" s="13"/>
      <c r="N436" s="12"/>
      <c r="O436" s="13"/>
      <c r="P436" s="12"/>
      <c r="Q436" s="12"/>
      <c r="R436" s="12"/>
    </row>
    <row r="437" spans="3:18" x14ac:dyDescent="0.2">
      <c r="C437" s="9"/>
      <c r="D437" s="9"/>
      <c r="E437" s="19"/>
      <c r="F437" s="20"/>
      <c r="H437" s="11"/>
      <c r="I437" s="10"/>
      <c r="J437" s="12"/>
      <c r="K437" s="12"/>
      <c r="L437" s="13"/>
      <c r="M437" s="12"/>
      <c r="N437" s="12"/>
      <c r="O437" s="13"/>
      <c r="P437" s="12"/>
      <c r="Q437" s="12"/>
      <c r="R437" s="12"/>
    </row>
    <row r="438" spans="3:18" x14ac:dyDescent="0.2">
      <c r="C438" s="9"/>
      <c r="D438" s="9"/>
      <c r="E438" s="19"/>
      <c r="F438" s="20"/>
      <c r="H438" s="11"/>
      <c r="I438" s="10"/>
      <c r="J438" s="12"/>
      <c r="K438" s="12"/>
      <c r="L438" s="13"/>
      <c r="M438" s="12"/>
      <c r="N438" s="12"/>
      <c r="O438" s="13"/>
      <c r="P438" s="12"/>
      <c r="Q438" s="12"/>
      <c r="R438" s="12"/>
    </row>
    <row r="439" spans="3:18" x14ac:dyDescent="0.2">
      <c r="C439" s="9"/>
      <c r="D439" s="9"/>
      <c r="E439" s="19"/>
      <c r="F439" s="20"/>
      <c r="H439" s="11"/>
      <c r="I439" s="10"/>
      <c r="J439" s="12"/>
      <c r="K439" s="12"/>
      <c r="L439" s="13"/>
      <c r="M439" s="12"/>
      <c r="N439" s="12"/>
      <c r="O439" s="13"/>
      <c r="P439" s="12"/>
      <c r="Q439" s="12"/>
      <c r="R439" s="12"/>
    </row>
    <row r="440" spans="3:18" x14ac:dyDescent="0.2">
      <c r="C440" s="9"/>
      <c r="D440" s="9"/>
      <c r="E440" s="19"/>
      <c r="F440" s="20"/>
      <c r="H440" s="11"/>
      <c r="I440" s="10"/>
      <c r="J440" s="12"/>
      <c r="K440" s="12"/>
      <c r="L440" s="13"/>
      <c r="M440" s="12"/>
      <c r="N440" s="12"/>
      <c r="O440" s="13"/>
      <c r="P440" s="12"/>
      <c r="Q440" s="12"/>
      <c r="R440" s="12"/>
    </row>
    <row r="441" spans="3:18" x14ac:dyDescent="0.2">
      <c r="C441" s="9"/>
      <c r="D441" s="9"/>
      <c r="E441" s="19"/>
      <c r="F441" s="20"/>
      <c r="H441" s="11"/>
      <c r="I441" s="10"/>
      <c r="J441" s="12"/>
      <c r="K441" s="12"/>
      <c r="L441" s="13"/>
      <c r="M441" s="13"/>
      <c r="N441" s="12"/>
      <c r="O441" s="13"/>
      <c r="P441" s="12"/>
      <c r="Q441" s="12"/>
      <c r="R441" s="12"/>
    </row>
    <row r="444" spans="3:18" x14ac:dyDescent="0.2">
      <c r="C444" s="9"/>
      <c r="D444" s="9"/>
      <c r="E444" s="19"/>
      <c r="F444" s="20"/>
      <c r="H444" s="11"/>
      <c r="I444" s="22"/>
      <c r="J444" s="12"/>
      <c r="K444" s="12"/>
      <c r="L444" s="9"/>
      <c r="M444" s="12"/>
      <c r="N444" s="12"/>
      <c r="O444" s="13"/>
      <c r="P444" s="12"/>
      <c r="Q444" s="12"/>
      <c r="R444" s="12"/>
    </row>
    <row r="445" spans="3:18" x14ac:dyDescent="0.2">
      <c r="C445" s="9"/>
      <c r="D445" s="9"/>
      <c r="E445" s="19"/>
      <c r="F445" s="20"/>
      <c r="H445" s="11"/>
      <c r="I445" s="10"/>
      <c r="J445" s="12"/>
      <c r="K445" s="12"/>
      <c r="L445" s="13"/>
      <c r="M445" s="12"/>
      <c r="N445" s="12"/>
      <c r="O445" s="13"/>
      <c r="P445" s="12"/>
      <c r="Q445" s="12"/>
      <c r="R445" s="12"/>
    </row>
    <row r="446" spans="3:18" x14ac:dyDescent="0.2">
      <c r="C446" s="9"/>
      <c r="D446" s="9"/>
      <c r="E446" s="19"/>
      <c r="F446" s="20"/>
      <c r="H446" s="11"/>
      <c r="I446" s="10"/>
      <c r="J446" s="12"/>
      <c r="K446" s="12"/>
      <c r="L446" s="13"/>
      <c r="M446" s="12"/>
      <c r="N446" s="12"/>
      <c r="O446" s="13"/>
      <c r="P446" s="12"/>
      <c r="Q446" s="12"/>
      <c r="R446" s="12"/>
    </row>
    <row r="447" spans="3:18" x14ac:dyDescent="0.2">
      <c r="C447" s="9"/>
      <c r="D447" s="9"/>
      <c r="E447" s="19"/>
      <c r="F447" s="20"/>
      <c r="H447" s="11"/>
      <c r="I447" s="10"/>
      <c r="J447" s="12"/>
      <c r="K447" s="12"/>
      <c r="L447" s="13"/>
      <c r="M447" s="12"/>
      <c r="N447" s="12"/>
      <c r="O447" s="13"/>
      <c r="P447" s="12"/>
      <c r="Q447" s="12"/>
      <c r="R447" s="12"/>
    </row>
    <row r="448" spans="3:18" x14ac:dyDescent="0.2">
      <c r="C448" s="9"/>
      <c r="D448" s="9"/>
      <c r="E448" s="19"/>
      <c r="F448" s="20"/>
      <c r="H448" s="11"/>
      <c r="I448" s="10"/>
      <c r="J448" s="12"/>
      <c r="K448" s="12"/>
      <c r="L448" s="13"/>
      <c r="M448" s="12"/>
      <c r="N448" s="12"/>
      <c r="O448" s="13"/>
      <c r="P448" s="12"/>
      <c r="Q448" s="12"/>
      <c r="R448" s="12"/>
    </row>
    <row r="449" spans="3:18" x14ac:dyDescent="0.2">
      <c r="C449" s="9"/>
      <c r="D449" s="9"/>
      <c r="E449" s="19"/>
      <c r="F449" s="20"/>
      <c r="H449" s="11"/>
      <c r="I449" s="10"/>
      <c r="J449" s="12"/>
      <c r="K449" s="12"/>
      <c r="L449" s="13"/>
      <c r="M449" s="13"/>
      <c r="N449" s="12"/>
      <c r="O449" s="13"/>
      <c r="P449" s="12"/>
      <c r="Q449" s="12"/>
      <c r="R449" s="12"/>
    </row>
    <row r="450" spans="3:18" x14ac:dyDescent="0.2">
      <c r="C450" s="9"/>
      <c r="D450" s="9"/>
      <c r="E450" s="19"/>
      <c r="F450" s="20"/>
      <c r="H450" s="11"/>
      <c r="I450" s="10"/>
      <c r="J450" s="12"/>
      <c r="K450" s="12"/>
      <c r="L450" s="13"/>
      <c r="M450" s="12"/>
      <c r="N450" s="12"/>
      <c r="O450" s="13"/>
      <c r="P450" s="12"/>
      <c r="Q450" s="12"/>
      <c r="R450" s="12"/>
    </row>
    <row r="451" spans="3:18" x14ac:dyDescent="0.2">
      <c r="C451" s="9"/>
      <c r="D451" s="9"/>
      <c r="E451" s="19"/>
      <c r="F451" s="20"/>
      <c r="H451" s="11"/>
      <c r="I451" s="10"/>
      <c r="J451" s="12"/>
      <c r="K451" s="12"/>
      <c r="L451" s="13"/>
      <c r="M451" s="12"/>
      <c r="N451" s="12"/>
      <c r="O451" s="13"/>
      <c r="P451" s="12"/>
      <c r="Q451" s="12"/>
      <c r="R451" s="12"/>
    </row>
    <row r="452" spans="3:18" x14ac:dyDescent="0.2">
      <c r="C452" s="9"/>
      <c r="D452" s="9"/>
      <c r="E452" s="19"/>
      <c r="F452" s="20"/>
      <c r="H452" s="11"/>
      <c r="I452" s="10"/>
      <c r="J452" s="12"/>
      <c r="K452" s="12"/>
      <c r="L452" s="13"/>
      <c r="M452" s="12"/>
      <c r="N452" s="12"/>
      <c r="O452" s="13"/>
      <c r="P452" s="12"/>
      <c r="Q452" s="12"/>
      <c r="R452" s="12"/>
    </row>
    <row r="453" spans="3:18" x14ac:dyDescent="0.2">
      <c r="C453" s="9"/>
      <c r="D453" s="9"/>
      <c r="E453" s="19"/>
      <c r="F453" s="20"/>
      <c r="H453" s="11"/>
      <c r="I453" s="10"/>
      <c r="J453" s="12"/>
      <c r="K453" s="12"/>
      <c r="L453" s="13"/>
      <c r="M453" s="12"/>
      <c r="N453" s="12"/>
      <c r="O453" s="13"/>
      <c r="P453" s="12"/>
      <c r="Q453" s="12"/>
      <c r="R453" s="12"/>
    </row>
    <row r="454" spans="3:18" x14ac:dyDescent="0.2">
      <c r="C454" s="9"/>
      <c r="D454" s="9"/>
      <c r="E454" s="19"/>
      <c r="F454" s="20"/>
      <c r="H454" s="11"/>
      <c r="I454" s="10"/>
      <c r="J454" s="12"/>
      <c r="K454" s="12"/>
      <c r="L454" s="13"/>
      <c r="M454" s="13"/>
      <c r="N454" s="12"/>
      <c r="O454" s="13"/>
      <c r="P454" s="12"/>
      <c r="Q454" s="12"/>
      <c r="R454" s="12"/>
    </row>
    <row r="455" spans="3:18" x14ac:dyDescent="0.2">
      <c r="C455" s="9"/>
      <c r="D455" s="9"/>
      <c r="E455" s="19"/>
      <c r="F455" s="20"/>
      <c r="H455" s="11"/>
      <c r="I455" s="10"/>
      <c r="J455" s="12"/>
      <c r="K455" s="12"/>
      <c r="L455" s="13"/>
      <c r="M455" s="12"/>
      <c r="N455" s="12"/>
      <c r="O455" s="13"/>
      <c r="P455" s="12"/>
      <c r="Q455" s="12"/>
      <c r="R455" s="12"/>
    </row>
    <row r="456" spans="3:18" x14ac:dyDescent="0.2">
      <c r="C456" s="9"/>
      <c r="D456" s="9"/>
      <c r="E456" s="19"/>
      <c r="F456" s="20"/>
      <c r="H456" s="11"/>
      <c r="I456" s="10"/>
      <c r="J456" s="12"/>
      <c r="K456" s="12"/>
      <c r="L456" s="13"/>
      <c r="M456" s="12"/>
      <c r="N456" s="12"/>
      <c r="O456" s="13"/>
      <c r="P456" s="12"/>
      <c r="Q456" s="12"/>
      <c r="R456" s="12"/>
    </row>
    <row r="457" spans="3:18" x14ac:dyDescent="0.2">
      <c r="C457" s="9"/>
      <c r="D457" s="9"/>
      <c r="E457" s="19"/>
      <c r="F457" s="20"/>
      <c r="H457" s="11"/>
      <c r="I457" s="10"/>
      <c r="J457" s="12"/>
      <c r="K457" s="12"/>
      <c r="L457" s="13"/>
      <c r="M457" s="12"/>
      <c r="N457" s="12"/>
      <c r="O457" s="13"/>
      <c r="P457" s="12"/>
      <c r="Q457" s="12"/>
      <c r="R457" s="12"/>
    </row>
    <row r="458" spans="3:18" x14ac:dyDescent="0.2">
      <c r="C458" s="9"/>
      <c r="D458" s="9"/>
      <c r="E458" s="19"/>
      <c r="F458" s="20"/>
      <c r="H458" s="11"/>
      <c r="I458" s="10"/>
      <c r="J458" s="12"/>
      <c r="K458" s="12"/>
      <c r="L458" s="13"/>
      <c r="M458" s="12"/>
      <c r="N458" s="12"/>
      <c r="O458" s="13"/>
      <c r="P458" s="12"/>
      <c r="Q458" s="12"/>
      <c r="R458" s="12"/>
    </row>
    <row r="459" spans="3:18" x14ac:dyDescent="0.2">
      <c r="C459" s="9"/>
      <c r="D459" s="9"/>
      <c r="E459" s="19"/>
      <c r="F459" s="20"/>
      <c r="H459" s="11"/>
      <c r="I459" s="10"/>
      <c r="J459" s="12"/>
      <c r="K459" s="12"/>
      <c r="L459" s="13"/>
      <c r="M459" s="13"/>
      <c r="N459" s="12"/>
      <c r="O459" s="13"/>
      <c r="P459" s="12"/>
      <c r="Q459" s="12"/>
      <c r="R459" s="12"/>
    </row>
    <row r="462" spans="3:18" x14ac:dyDescent="0.2">
      <c r="C462" s="9"/>
      <c r="D462" s="9"/>
      <c r="E462" s="19"/>
      <c r="F462" s="20"/>
      <c r="H462" s="11"/>
      <c r="I462" s="22"/>
      <c r="J462" s="12"/>
      <c r="K462" s="12"/>
      <c r="L462" s="9"/>
      <c r="M462" s="12"/>
      <c r="N462" s="12"/>
      <c r="O462" s="13"/>
      <c r="P462" s="12"/>
      <c r="Q462" s="12"/>
      <c r="R462" s="12"/>
    </row>
    <row r="463" spans="3:18" x14ac:dyDescent="0.2">
      <c r="C463" s="9"/>
      <c r="D463" s="9"/>
      <c r="E463" s="19"/>
      <c r="F463" s="20"/>
      <c r="H463" s="11"/>
      <c r="I463" s="10"/>
      <c r="J463" s="12"/>
      <c r="K463" s="12"/>
      <c r="L463" s="13"/>
      <c r="M463" s="12"/>
      <c r="N463" s="12"/>
      <c r="O463" s="13"/>
      <c r="P463" s="12"/>
      <c r="Q463" s="12"/>
      <c r="R463" s="12"/>
    </row>
    <row r="464" spans="3:18" x14ac:dyDescent="0.2">
      <c r="C464" s="9"/>
      <c r="D464" s="9"/>
      <c r="E464" s="19"/>
      <c r="F464" s="20"/>
      <c r="H464" s="11"/>
      <c r="I464" s="10"/>
      <c r="J464" s="12"/>
      <c r="K464" s="12"/>
      <c r="L464" s="13"/>
      <c r="M464" s="12"/>
      <c r="N464" s="12"/>
      <c r="O464" s="13"/>
      <c r="P464" s="12"/>
      <c r="Q464" s="12"/>
      <c r="R464" s="12"/>
    </row>
    <row r="465" spans="2:18" x14ac:dyDescent="0.2">
      <c r="C465" s="9"/>
      <c r="D465" s="9"/>
      <c r="E465" s="19"/>
      <c r="F465" s="20"/>
      <c r="H465" s="11"/>
      <c r="I465" s="10"/>
      <c r="J465" s="12"/>
      <c r="K465" s="12"/>
      <c r="L465" s="13"/>
      <c r="M465" s="12"/>
      <c r="N465" s="12"/>
      <c r="O465" s="13"/>
      <c r="P465" s="12"/>
      <c r="Q465" s="12"/>
      <c r="R465" s="12"/>
    </row>
    <row r="466" spans="2:18" x14ac:dyDescent="0.2">
      <c r="C466" s="9"/>
      <c r="D466" s="9"/>
      <c r="E466" s="19"/>
      <c r="F466" s="20"/>
      <c r="H466" s="11"/>
      <c r="I466" s="10"/>
      <c r="J466" s="12"/>
      <c r="K466" s="12"/>
      <c r="L466" s="13"/>
      <c r="M466" s="12"/>
      <c r="N466" s="12"/>
      <c r="O466" s="13"/>
      <c r="P466" s="12"/>
      <c r="Q466" s="12"/>
      <c r="R466" s="12"/>
    </row>
    <row r="467" spans="2:18" x14ac:dyDescent="0.2">
      <c r="C467" s="9"/>
      <c r="D467" s="9"/>
      <c r="E467" s="19"/>
      <c r="F467" s="20"/>
      <c r="H467" s="11"/>
      <c r="I467" s="10"/>
      <c r="J467" s="12"/>
      <c r="K467" s="12"/>
      <c r="L467" s="13"/>
      <c r="M467" s="13"/>
      <c r="N467" s="12"/>
      <c r="O467" s="13"/>
      <c r="P467" s="12"/>
      <c r="Q467" s="12"/>
      <c r="R467" s="12"/>
    </row>
    <row r="468" spans="2:18" x14ac:dyDescent="0.2">
      <c r="C468" s="9"/>
      <c r="D468" s="9"/>
      <c r="E468" s="19"/>
      <c r="F468" s="20"/>
      <c r="H468" s="11"/>
      <c r="I468" s="10"/>
      <c r="J468" s="12"/>
      <c r="K468" s="12"/>
      <c r="L468" s="13"/>
      <c r="M468" s="12"/>
      <c r="N468" s="12"/>
      <c r="O468" s="13"/>
      <c r="P468" s="12"/>
      <c r="Q468" s="12"/>
      <c r="R468" s="12"/>
    </row>
    <row r="469" spans="2:18" x14ac:dyDescent="0.2">
      <c r="C469" s="9"/>
      <c r="D469" s="9"/>
      <c r="E469" s="19"/>
      <c r="F469" s="20"/>
      <c r="H469" s="11"/>
      <c r="I469" s="10"/>
      <c r="J469" s="12"/>
      <c r="K469" s="12"/>
      <c r="L469" s="13"/>
      <c r="M469" s="12"/>
      <c r="N469" s="12"/>
      <c r="O469" s="13"/>
      <c r="P469" s="12"/>
      <c r="Q469" s="12"/>
      <c r="R469" s="12"/>
    </row>
    <row r="470" spans="2:18" x14ac:dyDescent="0.2">
      <c r="C470" s="9"/>
      <c r="D470" s="9"/>
      <c r="E470" s="19"/>
      <c r="F470" s="20"/>
      <c r="H470" s="11"/>
      <c r="I470" s="10"/>
      <c r="J470" s="12"/>
      <c r="K470" s="12"/>
      <c r="L470" s="13"/>
      <c r="M470" s="12"/>
      <c r="N470" s="12"/>
      <c r="O470" s="13"/>
      <c r="P470" s="12"/>
      <c r="Q470" s="12"/>
      <c r="R470" s="12"/>
    </row>
    <row r="471" spans="2:18" x14ac:dyDescent="0.2">
      <c r="C471" s="9"/>
      <c r="D471" s="9"/>
      <c r="E471" s="19"/>
      <c r="F471" s="20"/>
      <c r="H471" s="11"/>
      <c r="I471" s="10"/>
      <c r="J471" s="12"/>
      <c r="K471" s="12"/>
      <c r="L471" s="13"/>
      <c r="M471" s="12"/>
      <c r="N471" s="12"/>
      <c r="O471" s="13"/>
      <c r="P471" s="12"/>
      <c r="Q471" s="12"/>
      <c r="R471" s="12"/>
    </row>
    <row r="472" spans="2:18" x14ac:dyDescent="0.2">
      <c r="C472" s="9"/>
      <c r="D472" s="9"/>
      <c r="E472" s="19"/>
      <c r="F472" s="20"/>
      <c r="H472" s="11"/>
      <c r="I472" s="10"/>
      <c r="J472" s="12"/>
      <c r="K472" s="12"/>
      <c r="L472" s="13"/>
      <c r="M472" s="13"/>
      <c r="N472" s="12"/>
      <c r="O472" s="13"/>
      <c r="P472" s="12"/>
      <c r="Q472" s="12"/>
      <c r="R472" s="12"/>
    </row>
    <row r="475" spans="2:18" x14ac:dyDescent="0.2">
      <c r="C475" s="9"/>
      <c r="D475" s="9"/>
      <c r="E475" s="9"/>
      <c r="F475" s="21"/>
      <c r="H475" s="11"/>
      <c r="I475" s="22"/>
      <c r="J475" s="12"/>
      <c r="K475" s="12"/>
      <c r="L475" s="13"/>
      <c r="M475" s="12"/>
      <c r="N475" s="12"/>
      <c r="O475" s="13"/>
      <c r="P475" s="12"/>
      <c r="Q475" s="12"/>
      <c r="R475" s="12"/>
    </row>
    <row r="476" spans="2:18" x14ac:dyDescent="0.2">
      <c r="B476" s="23"/>
      <c r="C476" s="9"/>
      <c r="D476" s="9"/>
      <c r="E476" s="9"/>
      <c r="F476" s="21"/>
      <c r="H476" s="11"/>
      <c r="I476" s="10"/>
      <c r="J476" s="12"/>
      <c r="K476" s="12"/>
      <c r="L476" s="13"/>
      <c r="M476" s="12"/>
      <c r="N476" s="12"/>
      <c r="O476" s="13"/>
      <c r="P476" s="12"/>
      <c r="Q476" s="12"/>
      <c r="R476" s="12"/>
    </row>
    <row r="477" spans="2:18" x14ac:dyDescent="0.2">
      <c r="C477" s="9"/>
      <c r="D477" s="9"/>
      <c r="E477" s="9"/>
      <c r="F477" s="21"/>
      <c r="H477" s="11"/>
      <c r="I477" s="10"/>
      <c r="J477" s="12"/>
      <c r="K477" s="12"/>
      <c r="L477" s="13"/>
      <c r="M477" s="12"/>
      <c r="N477" s="12"/>
      <c r="O477" s="13"/>
      <c r="P477" s="12"/>
      <c r="Q477" s="12"/>
      <c r="R477" s="12"/>
    </row>
    <row r="478" spans="2:18" x14ac:dyDescent="0.2">
      <c r="C478" s="9"/>
      <c r="D478" s="9"/>
      <c r="E478" s="9"/>
      <c r="F478" s="21"/>
      <c r="H478" s="11"/>
      <c r="I478" s="10"/>
      <c r="J478" s="12"/>
      <c r="K478" s="12"/>
      <c r="L478" s="13"/>
      <c r="M478" s="12"/>
      <c r="N478" s="12"/>
      <c r="O478" s="13"/>
      <c r="P478" s="12"/>
      <c r="Q478" s="12"/>
      <c r="R478" s="12"/>
    </row>
    <row r="479" spans="2:18" x14ac:dyDescent="0.2">
      <c r="C479" s="9"/>
      <c r="D479" s="9"/>
      <c r="E479" s="9"/>
      <c r="F479" s="21"/>
      <c r="H479" s="11"/>
      <c r="I479" s="10"/>
      <c r="J479" s="12"/>
      <c r="K479" s="12"/>
      <c r="L479" s="13"/>
      <c r="M479" s="12"/>
      <c r="N479" s="12"/>
      <c r="O479" s="13"/>
      <c r="P479" s="12"/>
      <c r="Q479" s="12"/>
      <c r="R479" s="12"/>
    </row>
    <row r="480" spans="2:18" x14ac:dyDescent="0.2">
      <c r="C480" s="9"/>
      <c r="D480" s="9"/>
      <c r="E480" s="9"/>
      <c r="F480" s="21"/>
      <c r="H480" s="11"/>
      <c r="I480" s="10"/>
      <c r="J480" s="12"/>
      <c r="K480" s="12"/>
      <c r="L480" s="13"/>
      <c r="M480" s="12"/>
      <c r="N480" s="12"/>
      <c r="O480" s="13"/>
      <c r="P480" s="12"/>
      <c r="Q480" s="12"/>
      <c r="R480" s="12"/>
    </row>
    <row r="481" spans="3:18" x14ac:dyDescent="0.2">
      <c r="C481" s="9"/>
      <c r="D481" s="9"/>
      <c r="E481" s="9"/>
      <c r="F481" s="21"/>
      <c r="H481" s="11"/>
      <c r="I481" s="10"/>
      <c r="J481" s="12"/>
      <c r="K481" s="12"/>
      <c r="L481" s="13"/>
      <c r="M481" s="12"/>
      <c r="N481" s="12"/>
      <c r="O481" s="13"/>
      <c r="P481" s="12"/>
      <c r="Q481" s="12"/>
      <c r="R481" s="12"/>
    </row>
    <row r="482" spans="3:18" x14ac:dyDescent="0.2">
      <c r="C482" s="9"/>
      <c r="D482" s="9"/>
      <c r="E482" s="9"/>
      <c r="F482" s="21"/>
      <c r="H482" s="11"/>
      <c r="I482" s="10"/>
      <c r="J482" s="12"/>
      <c r="K482" s="12"/>
      <c r="L482" s="13"/>
      <c r="M482" s="12"/>
      <c r="N482" s="12"/>
      <c r="O482" s="13"/>
      <c r="P482" s="12"/>
      <c r="Q482" s="12"/>
      <c r="R482" s="12"/>
    </row>
    <row r="483" spans="3:18" x14ac:dyDescent="0.2">
      <c r="C483" s="9"/>
      <c r="D483" s="9"/>
      <c r="E483" s="9"/>
      <c r="F483" s="21"/>
      <c r="H483" s="11"/>
      <c r="I483" s="10"/>
      <c r="J483" s="12"/>
      <c r="K483" s="12"/>
      <c r="L483" s="13"/>
      <c r="M483" s="12"/>
      <c r="N483" s="12"/>
      <c r="O483" s="13"/>
      <c r="P483" s="12"/>
      <c r="Q483" s="12"/>
      <c r="R483" s="12"/>
    </row>
    <row r="484" spans="3:18" x14ac:dyDescent="0.2">
      <c r="C484" s="9"/>
      <c r="D484" s="9"/>
      <c r="E484" s="9"/>
      <c r="F484" s="21"/>
      <c r="H484" s="11"/>
      <c r="I484" s="10"/>
      <c r="J484" s="12"/>
      <c r="K484" s="12"/>
      <c r="L484" s="13"/>
      <c r="M484" s="12"/>
      <c r="N484" s="12"/>
      <c r="O484" s="13"/>
      <c r="P484" s="12"/>
      <c r="Q484" s="12"/>
      <c r="R484" s="12"/>
    </row>
    <row r="485" spans="3:18" x14ac:dyDescent="0.2">
      <c r="C485" s="9"/>
      <c r="D485" s="9"/>
      <c r="E485" s="9"/>
      <c r="F485" s="21"/>
      <c r="H485" s="11"/>
      <c r="I485" s="10"/>
      <c r="J485" s="12"/>
      <c r="K485" s="12"/>
      <c r="L485" s="13"/>
      <c r="M485" s="12"/>
      <c r="N485" s="12"/>
      <c r="O485" s="13"/>
      <c r="P485" s="12"/>
      <c r="Q485" s="12"/>
      <c r="R485" s="12"/>
    </row>
    <row r="486" spans="3:18" x14ac:dyDescent="0.2">
      <c r="C486" s="9"/>
      <c r="D486" s="9"/>
      <c r="E486" s="9"/>
      <c r="F486" s="21"/>
      <c r="H486" s="11"/>
      <c r="I486" s="10"/>
      <c r="J486" s="12"/>
      <c r="K486" s="12"/>
      <c r="L486" s="13"/>
      <c r="M486" s="12"/>
      <c r="N486" s="12"/>
      <c r="O486" s="13"/>
      <c r="P486" s="12"/>
      <c r="Q486" s="12"/>
      <c r="R486" s="12"/>
    </row>
    <row r="487" spans="3:18" x14ac:dyDescent="0.2">
      <c r="C487" s="9"/>
      <c r="D487" s="9"/>
      <c r="E487" s="9"/>
      <c r="F487" s="21"/>
      <c r="H487" s="11"/>
      <c r="I487" s="10"/>
      <c r="J487" s="12"/>
      <c r="K487" s="12"/>
      <c r="L487" s="13"/>
      <c r="M487" s="12"/>
      <c r="N487" s="12"/>
      <c r="O487" s="13"/>
      <c r="P487" s="12"/>
      <c r="Q487" s="12"/>
      <c r="R487" s="12"/>
    </row>
    <row r="488" spans="3:18" x14ac:dyDescent="0.2">
      <c r="C488" s="9"/>
      <c r="D488" s="9"/>
      <c r="E488" s="9"/>
      <c r="F488" s="21"/>
      <c r="H488" s="11"/>
      <c r="I488" s="10"/>
      <c r="J488" s="12"/>
      <c r="K488" s="12"/>
      <c r="L488" s="13"/>
      <c r="M488" s="12"/>
      <c r="N488" s="12"/>
      <c r="O488" s="13"/>
      <c r="P488" s="12"/>
      <c r="Q488" s="12"/>
      <c r="R488" s="12"/>
    </row>
    <row r="489" spans="3:18" x14ac:dyDescent="0.2">
      <c r="C489" s="9"/>
      <c r="D489" s="9"/>
      <c r="E489" s="9"/>
      <c r="F489" s="21"/>
      <c r="H489" s="11"/>
      <c r="I489" s="10"/>
      <c r="J489" s="12"/>
      <c r="K489" s="12"/>
      <c r="L489" s="13"/>
      <c r="M489" s="12"/>
      <c r="N489" s="12"/>
      <c r="O489" s="13"/>
      <c r="P489" s="12"/>
      <c r="Q489" s="12"/>
      <c r="R489" s="12"/>
    </row>
    <row r="490" spans="3:18" x14ac:dyDescent="0.2">
      <c r="C490" s="9"/>
      <c r="D490" s="9"/>
      <c r="E490" s="9"/>
      <c r="F490" s="21"/>
      <c r="H490" s="11"/>
      <c r="I490" s="10"/>
      <c r="J490" s="12"/>
      <c r="K490" s="12"/>
      <c r="L490" s="13"/>
      <c r="M490" s="12"/>
      <c r="N490" s="12"/>
      <c r="O490" s="13"/>
      <c r="P490" s="12"/>
      <c r="Q490" s="12"/>
      <c r="R490" s="12"/>
    </row>
    <row r="491" spans="3:18" x14ac:dyDescent="0.2">
      <c r="C491" s="9"/>
      <c r="D491" s="9"/>
      <c r="E491" s="9"/>
      <c r="F491" s="21"/>
      <c r="H491" s="11"/>
      <c r="I491" s="10"/>
      <c r="J491" s="12"/>
      <c r="K491" s="12"/>
      <c r="L491" s="13"/>
      <c r="M491" s="12"/>
      <c r="N491" s="12"/>
      <c r="O491" s="13"/>
      <c r="P491" s="12"/>
      <c r="Q491" s="12"/>
      <c r="R491" s="12"/>
    </row>
    <row r="492" spans="3:18" x14ac:dyDescent="0.2">
      <c r="C492" s="9"/>
      <c r="D492" s="9"/>
      <c r="E492" s="9"/>
      <c r="F492" s="21"/>
      <c r="H492" s="11"/>
      <c r="I492" s="10"/>
      <c r="J492" s="12"/>
      <c r="K492" s="12"/>
      <c r="L492" s="13"/>
      <c r="M492" s="12"/>
      <c r="N492" s="12"/>
      <c r="O492" s="13"/>
      <c r="P492" s="12"/>
      <c r="Q492" s="12"/>
      <c r="R492" s="12"/>
    </row>
    <row r="493" spans="3:18" x14ac:dyDescent="0.2">
      <c r="C493" s="9"/>
      <c r="D493" s="9"/>
      <c r="E493" s="9"/>
      <c r="F493" s="21"/>
      <c r="H493" s="11"/>
      <c r="I493" s="10"/>
      <c r="J493" s="12"/>
      <c r="K493" s="12"/>
      <c r="L493" s="13"/>
      <c r="M493" s="12"/>
      <c r="N493" s="12"/>
      <c r="O493" s="13"/>
      <c r="P493" s="12"/>
      <c r="Q493" s="12"/>
      <c r="R493" s="12"/>
    </row>
    <row r="494" spans="3:18" x14ac:dyDescent="0.2">
      <c r="C494" s="9"/>
      <c r="D494" s="9"/>
      <c r="E494" s="9"/>
      <c r="F494" s="21"/>
      <c r="H494" s="11"/>
      <c r="I494" s="10"/>
      <c r="J494" s="12"/>
      <c r="K494" s="12"/>
      <c r="L494" s="13"/>
      <c r="M494" s="12"/>
      <c r="N494" s="12"/>
      <c r="O494" s="13"/>
      <c r="P494" s="12"/>
      <c r="Q494" s="12"/>
      <c r="R494" s="12"/>
    </row>
    <row r="495" spans="3:18" x14ac:dyDescent="0.2">
      <c r="C495" s="9"/>
      <c r="D495" s="9"/>
      <c r="E495" s="9"/>
      <c r="F495" s="21"/>
      <c r="H495" s="11"/>
      <c r="I495" s="10"/>
      <c r="J495" s="12"/>
      <c r="K495" s="12"/>
      <c r="L495" s="13"/>
      <c r="M495" s="12"/>
      <c r="N495" s="12"/>
      <c r="O495" s="13"/>
      <c r="P495" s="12"/>
      <c r="Q495" s="12"/>
      <c r="R495" s="12"/>
    </row>
    <row r="496" spans="3:18" x14ac:dyDescent="0.2">
      <c r="C496" s="9"/>
      <c r="D496" s="9"/>
      <c r="E496" s="9"/>
      <c r="F496" s="21"/>
      <c r="H496" s="11"/>
      <c r="I496" s="10"/>
      <c r="J496" s="12"/>
      <c r="K496" s="12"/>
      <c r="L496" s="13"/>
      <c r="M496" s="12"/>
      <c r="N496" s="12"/>
      <c r="O496" s="13"/>
      <c r="P496" s="12"/>
      <c r="Q496" s="12"/>
      <c r="R496" s="12"/>
    </row>
    <row r="497" spans="3:18" x14ac:dyDescent="0.2">
      <c r="C497" s="9"/>
      <c r="D497" s="9"/>
      <c r="E497" s="9"/>
      <c r="F497" s="21"/>
      <c r="H497" s="11"/>
      <c r="I497" s="10"/>
      <c r="J497" s="12"/>
      <c r="K497" s="12"/>
      <c r="L497" s="13"/>
      <c r="M497" s="12"/>
      <c r="N497" s="12"/>
      <c r="O497" s="13"/>
      <c r="P497" s="12"/>
      <c r="Q497" s="12"/>
      <c r="R497" s="12"/>
    </row>
    <row r="498" spans="3:18" x14ac:dyDescent="0.2">
      <c r="C498" s="9"/>
      <c r="D498" s="9"/>
      <c r="E498" s="9"/>
      <c r="F498" s="21"/>
      <c r="H498" s="11"/>
      <c r="I498" s="10"/>
      <c r="J498" s="12"/>
      <c r="K498" s="12"/>
      <c r="L498" s="13"/>
      <c r="M498" s="12"/>
      <c r="N498" s="12"/>
      <c r="O498" s="13"/>
      <c r="P498" s="12"/>
      <c r="Q498" s="12"/>
      <c r="R498" s="12"/>
    </row>
    <row r="499" spans="3:18" x14ac:dyDescent="0.2">
      <c r="C499" s="9"/>
      <c r="D499" s="9"/>
      <c r="E499" s="9"/>
      <c r="F499" s="21"/>
      <c r="H499" s="11"/>
      <c r="I499" s="10"/>
      <c r="J499" s="12"/>
      <c r="K499" s="12"/>
      <c r="L499" s="13"/>
      <c r="M499" s="12"/>
      <c r="N499" s="12"/>
      <c r="O499" s="13"/>
      <c r="P499" s="12"/>
      <c r="Q499" s="12"/>
      <c r="R499" s="12"/>
    </row>
    <row r="500" spans="3:18" x14ac:dyDescent="0.2">
      <c r="C500" s="9"/>
      <c r="D500" s="9"/>
      <c r="E500" s="9"/>
      <c r="F500" s="21"/>
      <c r="H500" s="11"/>
      <c r="I500" s="10"/>
      <c r="J500" s="12"/>
      <c r="K500" s="12"/>
      <c r="L500" s="13"/>
      <c r="M500" s="12"/>
      <c r="N500" s="12"/>
      <c r="O500" s="13"/>
      <c r="P500" s="12"/>
      <c r="Q500" s="12"/>
      <c r="R500" s="12"/>
    </row>
    <row r="501" spans="3:18" x14ac:dyDescent="0.2">
      <c r="C501" s="9"/>
      <c r="D501" s="9"/>
      <c r="E501" s="9"/>
      <c r="F501" s="21"/>
      <c r="H501" s="11"/>
      <c r="I501" s="10"/>
      <c r="J501" s="12"/>
      <c r="K501" s="12"/>
      <c r="L501" s="13"/>
      <c r="M501" s="12"/>
      <c r="N501" s="12"/>
      <c r="O501" s="13"/>
      <c r="P501" s="12"/>
      <c r="Q501" s="12"/>
      <c r="R501" s="12"/>
    </row>
    <row r="502" spans="3:18" x14ac:dyDescent="0.2">
      <c r="C502" s="9"/>
      <c r="D502" s="9"/>
      <c r="E502" s="9"/>
      <c r="F502" s="21"/>
      <c r="H502" s="11"/>
      <c r="I502" s="10"/>
      <c r="J502" s="12"/>
      <c r="K502" s="12"/>
      <c r="L502" s="13"/>
      <c r="M502" s="12"/>
      <c r="N502" s="12"/>
      <c r="O502" s="13"/>
      <c r="P502" s="12"/>
      <c r="Q502" s="12"/>
      <c r="R502" s="12"/>
    </row>
    <row r="503" spans="3:18" x14ac:dyDescent="0.2">
      <c r="C503" s="9"/>
      <c r="D503" s="9"/>
      <c r="E503" s="9"/>
      <c r="F503" s="21"/>
      <c r="H503" s="11"/>
      <c r="I503" s="10"/>
      <c r="J503" s="12"/>
      <c r="K503" s="12"/>
      <c r="L503" s="13"/>
      <c r="M503" s="12"/>
      <c r="N503" s="12"/>
      <c r="O503" s="13"/>
      <c r="P503" s="12"/>
      <c r="Q503" s="12"/>
      <c r="R503" s="12"/>
    </row>
    <row r="504" spans="3:18" x14ac:dyDescent="0.2">
      <c r="C504" s="9"/>
      <c r="D504" s="9"/>
      <c r="E504" s="9"/>
      <c r="F504" s="21"/>
      <c r="H504" s="11"/>
      <c r="I504" s="10"/>
      <c r="J504" s="12"/>
      <c r="K504" s="12"/>
      <c r="L504" s="13"/>
      <c r="M504" s="12"/>
      <c r="N504" s="12"/>
      <c r="O504" s="13"/>
      <c r="P504" s="12"/>
      <c r="Q504" s="12"/>
      <c r="R504" s="12"/>
    </row>
    <row r="505" spans="3:18" x14ac:dyDescent="0.2">
      <c r="C505" s="9"/>
      <c r="D505" s="9"/>
      <c r="E505" s="9"/>
      <c r="F505" s="21"/>
      <c r="H505" s="11"/>
      <c r="I505" s="10"/>
      <c r="J505" s="12"/>
      <c r="K505" s="12"/>
      <c r="L505" s="13"/>
      <c r="M505" s="12"/>
      <c r="N505" s="12"/>
      <c r="O505" s="13"/>
      <c r="P505" s="12"/>
      <c r="Q505" s="12"/>
      <c r="R505" s="12"/>
    </row>
    <row r="506" spans="3:18" x14ac:dyDescent="0.2">
      <c r="C506" s="9"/>
      <c r="D506" s="9"/>
      <c r="E506" s="9"/>
      <c r="F506" s="21"/>
      <c r="H506" s="11"/>
      <c r="I506" s="10"/>
      <c r="J506" s="12"/>
      <c r="K506" s="12"/>
      <c r="L506" s="13"/>
      <c r="M506" s="12"/>
      <c r="N506" s="12"/>
      <c r="O506" s="13"/>
      <c r="P506" s="12"/>
      <c r="Q506" s="12"/>
      <c r="R506" s="12"/>
    </row>
    <row r="507" spans="3:18" x14ac:dyDescent="0.2">
      <c r="C507" s="9"/>
      <c r="D507" s="9"/>
      <c r="E507" s="9"/>
      <c r="F507" s="21"/>
      <c r="H507" s="11"/>
      <c r="I507" s="10"/>
      <c r="J507" s="12"/>
      <c r="K507" s="12"/>
      <c r="L507" s="13"/>
      <c r="M507" s="12"/>
      <c r="N507" s="12"/>
      <c r="O507" s="13"/>
      <c r="P507" s="12"/>
      <c r="Q507" s="12"/>
      <c r="R507" s="12"/>
    </row>
    <row r="508" spans="3:18" x14ac:dyDescent="0.2">
      <c r="C508" s="9"/>
      <c r="D508" s="9"/>
      <c r="E508" s="9"/>
      <c r="F508" s="21"/>
      <c r="H508" s="11"/>
      <c r="I508" s="10"/>
      <c r="J508" s="12"/>
      <c r="K508" s="12"/>
      <c r="L508" s="13"/>
      <c r="M508" s="12"/>
      <c r="N508" s="12"/>
      <c r="O508" s="13"/>
      <c r="P508" s="12"/>
      <c r="Q508" s="12"/>
      <c r="R508" s="12"/>
    </row>
    <row r="509" spans="3:18" x14ac:dyDescent="0.2">
      <c r="C509" s="9"/>
      <c r="D509" s="9"/>
      <c r="E509" s="9"/>
      <c r="F509" s="21"/>
      <c r="H509" s="11"/>
      <c r="I509" s="10"/>
      <c r="J509" s="12"/>
      <c r="K509" s="12"/>
      <c r="L509" s="13"/>
      <c r="M509" s="12"/>
      <c r="N509" s="12"/>
      <c r="O509" s="13"/>
      <c r="P509" s="12"/>
      <c r="Q509" s="12"/>
      <c r="R509" s="12"/>
    </row>
    <row r="510" spans="3:18" x14ac:dyDescent="0.2">
      <c r="C510" s="9"/>
      <c r="D510" s="9"/>
      <c r="E510" s="9"/>
      <c r="F510" s="21"/>
      <c r="H510" s="11"/>
      <c r="I510" s="10"/>
      <c r="J510" s="12"/>
      <c r="K510" s="12"/>
      <c r="L510" s="13"/>
      <c r="M510" s="8"/>
      <c r="N510" s="12"/>
      <c r="O510" s="13"/>
      <c r="P510" s="12"/>
      <c r="Q510" s="12"/>
      <c r="R510" s="12"/>
    </row>
    <row r="511" spans="3:18" x14ac:dyDescent="0.2">
      <c r="C511" s="9"/>
      <c r="D511" s="9"/>
      <c r="E511" s="9"/>
      <c r="F511" s="21"/>
      <c r="H511" s="11"/>
      <c r="I511" s="10"/>
      <c r="J511" s="12"/>
      <c r="K511" s="12"/>
      <c r="L511" s="13"/>
      <c r="M511" s="12"/>
      <c r="N511" s="12"/>
      <c r="O511" s="13"/>
      <c r="P511" s="12"/>
      <c r="Q511" s="12"/>
      <c r="R511" s="12"/>
    </row>
    <row r="514" spans="3:18" x14ac:dyDescent="0.2">
      <c r="C514" s="9"/>
      <c r="D514" s="9"/>
      <c r="E514" s="19"/>
      <c r="F514" s="20"/>
      <c r="H514" s="11"/>
      <c r="I514" s="22"/>
      <c r="J514" s="12"/>
      <c r="K514" s="12"/>
      <c r="L514" s="9"/>
      <c r="M514" s="12"/>
      <c r="N514" s="12"/>
      <c r="O514" s="13"/>
      <c r="P514" s="12"/>
      <c r="Q514" s="12"/>
      <c r="R514" s="12"/>
    </row>
    <row r="515" spans="3:18" x14ac:dyDescent="0.2">
      <c r="C515" s="9"/>
      <c r="D515" s="9"/>
      <c r="E515" s="19"/>
      <c r="F515" s="20"/>
      <c r="H515" s="11"/>
      <c r="I515" s="10"/>
      <c r="J515" s="12"/>
      <c r="K515" s="12"/>
      <c r="L515" s="13"/>
      <c r="M515" s="12"/>
      <c r="N515" s="12"/>
      <c r="O515" s="13"/>
      <c r="P515" s="12"/>
      <c r="Q515" s="12"/>
      <c r="R515" s="12"/>
    </row>
    <row r="516" spans="3:18" x14ac:dyDescent="0.2">
      <c r="C516" s="9"/>
      <c r="D516" s="9"/>
      <c r="E516" s="19"/>
      <c r="F516" s="20"/>
      <c r="H516" s="11"/>
      <c r="I516" s="10"/>
      <c r="J516" s="12"/>
      <c r="K516" s="12"/>
      <c r="L516" s="13"/>
      <c r="M516" s="12"/>
      <c r="N516" s="12"/>
      <c r="O516" s="13"/>
      <c r="P516" s="12"/>
      <c r="Q516" s="12"/>
      <c r="R516" s="12"/>
    </row>
    <row r="517" spans="3:18" x14ac:dyDescent="0.2">
      <c r="C517" s="9"/>
      <c r="D517" s="9"/>
      <c r="E517" s="19"/>
      <c r="F517" s="20"/>
      <c r="H517" s="11"/>
      <c r="I517" s="10"/>
      <c r="J517" s="12"/>
      <c r="K517" s="12"/>
      <c r="L517" s="13"/>
      <c r="M517" s="12"/>
      <c r="N517" s="12"/>
      <c r="O517" s="13"/>
      <c r="P517" s="12"/>
      <c r="Q517" s="12"/>
      <c r="R517" s="12"/>
    </row>
    <row r="518" spans="3:18" x14ac:dyDescent="0.2">
      <c r="C518" s="9"/>
      <c r="D518" s="9"/>
      <c r="E518" s="19"/>
      <c r="F518" s="20"/>
      <c r="H518" s="11"/>
      <c r="I518" s="10"/>
      <c r="J518" s="12"/>
      <c r="K518" s="12"/>
      <c r="L518" s="13"/>
      <c r="M518" s="12"/>
      <c r="N518" s="12"/>
      <c r="O518" s="13"/>
      <c r="P518" s="12"/>
      <c r="Q518" s="12"/>
      <c r="R518" s="12"/>
    </row>
    <row r="519" spans="3:18" x14ac:dyDescent="0.2">
      <c r="C519" s="9"/>
      <c r="D519" s="9"/>
      <c r="E519" s="19"/>
      <c r="F519" s="20"/>
      <c r="H519" s="11"/>
      <c r="I519" s="10"/>
      <c r="J519" s="12"/>
      <c r="K519" s="12"/>
      <c r="L519" s="13"/>
      <c r="M519" s="13"/>
      <c r="N519" s="12"/>
      <c r="O519" s="13"/>
      <c r="P519" s="12"/>
      <c r="Q519" s="12"/>
      <c r="R519" s="12"/>
    </row>
    <row r="520" spans="3:18" x14ac:dyDescent="0.2">
      <c r="C520" s="9"/>
      <c r="D520" s="9"/>
      <c r="E520" s="19"/>
      <c r="F520" s="20"/>
      <c r="H520" s="11"/>
      <c r="I520" s="10"/>
      <c r="J520" s="12"/>
      <c r="K520" s="12"/>
      <c r="L520" s="13"/>
      <c r="M520" s="12"/>
      <c r="N520" s="12"/>
      <c r="O520" s="13"/>
      <c r="P520" s="12"/>
      <c r="Q520" s="12"/>
      <c r="R520" s="12"/>
    </row>
    <row r="521" spans="3:18" x14ac:dyDescent="0.2">
      <c r="C521" s="9"/>
      <c r="D521" s="9"/>
      <c r="E521" s="19"/>
      <c r="F521" s="20"/>
      <c r="H521" s="11"/>
      <c r="I521" s="10"/>
      <c r="J521" s="12"/>
      <c r="K521" s="12"/>
      <c r="L521" s="13"/>
      <c r="M521" s="12"/>
      <c r="N521" s="12"/>
      <c r="O521" s="13"/>
      <c r="P521" s="12"/>
      <c r="Q521" s="12"/>
      <c r="R521" s="12"/>
    </row>
    <row r="522" spans="3:18" x14ac:dyDescent="0.2">
      <c r="C522" s="9"/>
      <c r="D522" s="9"/>
      <c r="E522" s="19"/>
      <c r="F522" s="20"/>
      <c r="H522" s="11"/>
      <c r="I522" s="10"/>
      <c r="J522" s="12"/>
      <c r="K522" s="12"/>
      <c r="L522" s="13"/>
      <c r="M522" s="12"/>
      <c r="N522" s="12"/>
      <c r="O522" s="13"/>
      <c r="P522" s="12"/>
      <c r="Q522" s="12"/>
      <c r="R522" s="12"/>
    </row>
    <row r="523" spans="3:18" x14ac:dyDescent="0.2">
      <c r="C523" s="9"/>
      <c r="D523" s="9"/>
      <c r="E523" s="19"/>
      <c r="F523" s="20"/>
      <c r="H523" s="11"/>
      <c r="I523" s="10"/>
      <c r="J523" s="12"/>
      <c r="K523" s="12"/>
      <c r="L523" s="13"/>
      <c r="M523" s="12"/>
      <c r="N523" s="12"/>
      <c r="O523" s="13"/>
      <c r="P523" s="12"/>
      <c r="Q523" s="12"/>
      <c r="R523" s="12"/>
    </row>
    <row r="524" spans="3:18" x14ac:dyDescent="0.2">
      <c r="C524" s="9"/>
      <c r="D524" s="9"/>
      <c r="E524" s="19"/>
      <c r="F524" s="20"/>
      <c r="H524" s="11"/>
      <c r="I524" s="10"/>
      <c r="J524" s="12"/>
      <c r="K524" s="12"/>
      <c r="L524" s="13"/>
      <c r="M524" s="13"/>
      <c r="N524" s="12"/>
      <c r="O524" s="13"/>
      <c r="P524" s="12"/>
      <c r="Q524" s="12"/>
      <c r="R524" s="12"/>
    </row>
    <row r="525" spans="3:18" x14ac:dyDescent="0.2">
      <c r="C525" s="9"/>
      <c r="D525" s="9"/>
      <c r="E525" s="19"/>
      <c r="F525" s="20"/>
      <c r="H525" s="11"/>
      <c r="I525" s="10"/>
      <c r="J525" s="12"/>
      <c r="K525" s="12"/>
      <c r="L525" s="13"/>
      <c r="M525" s="12"/>
      <c r="N525" s="12"/>
      <c r="O525" s="13"/>
      <c r="P525" s="12"/>
      <c r="Q525" s="12"/>
      <c r="R525" s="12"/>
    </row>
    <row r="526" spans="3:18" x14ac:dyDescent="0.2">
      <c r="C526" s="9"/>
      <c r="D526" s="9"/>
      <c r="E526" s="19"/>
      <c r="F526" s="20"/>
      <c r="H526" s="11"/>
      <c r="I526" s="10"/>
      <c r="J526" s="12"/>
      <c r="K526" s="12"/>
      <c r="L526" s="13"/>
      <c r="M526" s="12"/>
      <c r="N526" s="12"/>
      <c r="O526" s="13"/>
      <c r="P526" s="12"/>
      <c r="Q526" s="12"/>
      <c r="R526" s="12"/>
    </row>
    <row r="527" spans="3:18" x14ac:dyDescent="0.2">
      <c r="C527" s="9"/>
      <c r="D527" s="9"/>
      <c r="E527" s="19"/>
      <c r="F527" s="20"/>
      <c r="H527" s="11"/>
      <c r="I527" s="10"/>
      <c r="J527" s="12"/>
      <c r="K527" s="12"/>
      <c r="L527" s="13"/>
      <c r="M527" s="12"/>
      <c r="N527" s="12"/>
      <c r="O527" s="13"/>
      <c r="P527" s="12"/>
      <c r="Q527" s="12"/>
      <c r="R527" s="12"/>
    </row>
    <row r="528" spans="3:18" x14ac:dyDescent="0.2">
      <c r="C528" s="9"/>
      <c r="D528" s="9"/>
      <c r="E528" s="19"/>
      <c r="F528" s="20"/>
      <c r="H528" s="11"/>
      <c r="I528" s="10"/>
      <c r="J528" s="12"/>
      <c r="K528" s="12"/>
      <c r="L528" s="13"/>
      <c r="M528" s="12"/>
      <c r="N528" s="12"/>
      <c r="O528" s="13"/>
      <c r="P528" s="12"/>
      <c r="Q528" s="12"/>
      <c r="R528" s="12"/>
    </row>
    <row r="529" spans="3:18" x14ac:dyDescent="0.2">
      <c r="C529" s="9"/>
      <c r="D529" s="9"/>
      <c r="E529" s="19"/>
      <c r="F529" s="20"/>
      <c r="H529" s="11"/>
      <c r="I529" s="10"/>
      <c r="J529" s="12"/>
      <c r="K529" s="12"/>
      <c r="L529" s="13"/>
      <c r="M529" s="13"/>
      <c r="N529" s="12"/>
      <c r="O529" s="13"/>
      <c r="P529" s="12"/>
      <c r="Q529" s="12"/>
      <c r="R529" s="12"/>
    </row>
    <row r="532" spans="3:18" x14ac:dyDescent="0.2">
      <c r="C532" s="9"/>
      <c r="D532" s="9"/>
      <c r="E532" s="19"/>
      <c r="F532" s="20"/>
      <c r="H532" s="11"/>
      <c r="I532" s="22"/>
      <c r="J532" s="12"/>
      <c r="K532" s="12"/>
      <c r="L532" s="9"/>
      <c r="M532" s="12"/>
      <c r="N532" s="12"/>
      <c r="O532" s="13"/>
      <c r="P532" s="12"/>
      <c r="Q532" s="12"/>
      <c r="R532" s="12"/>
    </row>
    <row r="533" spans="3:18" x14ac:dyDescent="0.2">
      <c r="C533" s="9"/>
      <c r="D533" s="9"/>
      <c r="E533" s="19"/>
      <c r="F533" s="20"/>
      <c r="H533" s="11"/>
      <c r="I533" s="10"/>
      <c r="J533" s="12"/>
      <c r="K533" s="12"/>
      <c r="L533" s="13"/>
      <c r="M533" s="12"/>
      <c r="N533" s="12"/>
      <c r="O533" s="13"/>
      <c r="P533" s="12"/>
      <c r="Q533" s="12"/>
      <c r="R533" s="12"/>
    </row>
    <row r="534" spans="3:18" x14ac:dyDescent="0.2">
      <c r="C534" s="9"/>
      <c r="D534" s="9"/>
      <c r="E534" s="19"/>
      <c r="F534" s="20"/>
      <c r="H534" s="11"/>
      <c r="I534" s="10"/>
      <c r="J534" s="12"/>
      <c r="K534" s="12"/>
      <c r="L534" s="13"/>
      <c r="M534" s="12"/>
      <c r="N534" s="12"/>
      <c r="O534" s="13"/>
      <c r="P534" s="12"/>
      <c r="Q534" s="12"/>
      <c r="R534" s="12"/>
    </row>
    <row r="535" spans="3:18" x14ac:dyDescent="0.2">
      <c r="C535" s="9"/>
      <c r="D535" s="9"/>
      <c r="E535" s="19"/>
      <c r="F535" s="20"/>
      <c r="H535" s="11"/>
      <c r="I535" s="10"/>
      <c r="J535" s="12"/>
      <c r="K535" s="12"/>
      <c r="L535" s="13"/>
      <c r="M535" s="12"/>
      <c r="N535" s="12"/>
      <c r="O535" s="13"/>
      <c r="P535" s="12"/>
      <c r="Q535" s="12"/>
      <c r="R535" s="12"/>
    </row>
    <row r="536" spans="3:18" x14ac:dyDescent="0.2">
      <c r="C536" s="9"/>
      <c r="D536" s="9"/>
      <c r="E536" s="19"/>
      <c r="F536" s="20"/>
      <c r="H536" s="11"/>
      <c r="I536" s="10"/>
      <c r="J536" s="12"/>
      <c r="K536" s="12"/>
      <c r="L536" s="13"/>
      <c r="M536" s="12"/>
      <c r="N536" s="12"/>
      <c r="O536" s="13"/>
      <c r="P536" s="12"/>
      <c r="Q536" s="12"/>
      <c r="R536" s="12"/>
    </row>
    <row r="537" spans="3:18" x14ac:dyDescent="0.2">
      <c r="C537" s="9"/>
      <c r="D537" s="9"/>
      <c r="E537" s="19"/>
      <c r="F537" s="20"/>
      <c r="H537" s="11"/>
      <c r="I537" s="10"/>
      <c r="J537" s="12"/>
      <c r="K537" s="12"/>
      <c r="L537" s="13"/>
      <c r="M537" s="13"/>
      <c r="N537" s="12"/>
      <c r="O537" s="13"/>
      <c r="P537" s="12"/>
      <c r="Q537" s="12"/>
      <c r="R537" s="12"/>
    </row>
    <row r="538" spans="3:18" x14ac:dyDescent="0.2">
      <c r="C538" s="9"/>
      <c r="D538" s="9"/>
      <c r="E538" s="19"/>
      <c r="F538" s="20"/>
      <c r="H538" s="11"/>
      <c r="I538" s="10"/>
      <c r="J538" s="12"/>
      <c r="K538" s="12"/>
      <c r="L538" s="13"/>
      <c r="M538" s="12"/>
      <c r="N538" s="12"/>
      <c r="O538" s="13"/>
      <c r="P538" s="12"/>
      <c r="Q538" s="12"/>
      <c r="R538" s="12"/>
    </row>
    <row r="539" spans="3:18" x14ac:dyDescent="0.2">
      <c r="C539" s="9"/>
      <c r="D539" s="9"/>
      <c r="E539" s="19"/>
      <c r="F539" s="20"/>
      <c r="H539" s="11"/>
      <c r="I539" s="10"/>
      <c r="J539" s="12"/>
      <c r="K539" s="12"/>
      <c r="L539" s="13"/>
      <c r="M539" s="12"/>
      <c r="N539" s="12"/>
      <c r="O539" s="13"/>
      <c r="P539" s="12"/>
      <c r="Q539" s="12"/>
      <c r="R539" s="12"/>
    </row>
    <row r="540" spans="3:18" x14ac:dyDescent="0.2">
      <c r="C540" s="9"/>
      <c r="D540" s="9"/>
      <c r="E540" s="19"/>
      <c r="F540" s="20"/>
      <c r="H540" s="11"/>
      <c r="I540" s="10"/>
      <c r="J540" s="12"/>
      <c r="K540" s="12"/>
      <c r="L540" s="13"/>
      <c r="M540" s="12"/>
      <c r="N540" s="12"/>
      <c r="O540" s="13"/>
      <c r="P540" s="12"/>
      <c r="Q540" s="12"/>
      <c r="R540" s="12"/>
    </row>
    <row r="541" spans="3:18" x14ac:dyDescent="0.2">
      <c r="C541" s="9"/>
      <c r="D541" s="9"/>
      <c r="E541" s="19"/>
      <c r="F541" s="20"/>
      <c r="H541" s="11"/>
      <c r="I541" s="10"/>
      <c r="J541" s="12"/>
      <c r="K541" s="12"/>
      <c r="L541" s="13"/>
      <c r="M541" s="12"/>
      <c r="N541" s="12"/>
      <c r="O541" s="13"/>
      <c r="P541" s="12"/>
      <c r="Q541" s="12"/>
      <c r="R541" s="12"/>
    </row>
    <row r="542" spans="3:18" x14ac:dyDescent="0.2">
      <c r="C542" s="9"/>
      <c r="D542" s="9"/>
      <c r="E542" s="19"/>
      <c r="F542" s="20"/>
      <c r="H542" s="11"/>
      <c r="I542" s="10"/>
      <c r="J542" s="12"/>
      <c r="K542" s="12"/>
      <c r="L542" s="13"/>
      <c r="M542" s="13"/>
      <c r="N542" s="12"/>
      <c r="O542" s="13"/>
      <c r="P542" s="12"/>
      <c r="Q542" s="12"/>
      <c r="R542" s="12"/>
    </row>
    <row r="543" spans="3:18" x14ac:dyDescent="0.2">
      <c r="C543" s="9"/>
      <c r="D543" s="9"/>
      <c r="E543" s="19"/>
      <c r="F543" s="20"/>
      <c r="H543" s="11"/>
      <c r="I543" s="10"/>
      <c r="J543" s="12"/>
      <c r="K543" s="12"/>
      <c r="L543" s="13"/>
      <c r="M543" s="12"/>
      <c r="N543" s="12"/>
      <c r="O543" s="13"/>
      <c r="P543" s="12"/>
      <c r="Q543" s="12"/>
      <c r="R543" s="12"/>
    </row>
    <row r="544" spans="3:18" x14ac:dyDescent="0.2">
      <c r="C544" s="9"/>
      <c r="D544" s="9"/>
      <c r="E544" s="19"/>
      <c r="F544" s="20"/>
      <c r="H544" s="11"/>
      <c r="I544" s="10"/>
      <c r="J544" s="12"/>
      <c r="K544" s="12"/>
      <c r="L544" s="13"/>
      <c r="M544" s="12"/>
      <c r="N544" s="12"/>
      <c r="O544" s="13"/>
      <c r="P544" s="12"/>
      <c r="Q544" s="12"/>
      <c r="R544" s="12"/>
    </row>
    <row r="545" spans="3:18" x14ac:dyDescent="0.2">
      <c r="C545" s="9"/>
      <c r="D545" s="9"/>
      <c r="E545" s="19"/>
      <c r="F545" s="20"/>
      <c r="H545" s="11"/>
      <c r="I545" s="10"/>
      <c r="J545" s="12"/>
      <c r="K545" s="12"/>
      <c r="L545" s="13"/>
      <c r="M545" s="12"/>
      <c r="N545" s="12"/>
      <c r="O545" s="13"/>
      <c r="P545" s="12"/>
      <c r="Q545" s="12"/>
      <c r="R545" s="12"/>
    </row>
    <row r="546" spans="3:18" x14ac:dyDescent="0.2">
      <c r="C546" s="9"/>
      <c r="D546" s="9"/>
      <c r="E546" s="19"/>
      <c r="F546" s="20"/>
      <c r="H546" s="11"/>
      <c r="I546" s="10"/>
      <c r="J546" s="12"/>
      <c r="K546" s="12"/>
      <c r="L546" s="13"/>
      <c r="M546" s="12"/>
      <c r="N546" s="12"/>
      <c r="O546" s="13"/>
      <c r="P546" s="12"/>
      <c r="Q546" s="12"/>
      <c r="R546" s="12"/>
    </row>
    <row r="547" spans="3:18" x14ac:dyDescent="0.2">
      <c r="C547" s="9"/>
      <c r="D547" s="9"/>
      <c r="E547" s="19"/>
      <c r="F547" s="20"/>
      <c r="H547" s="11"/>
      <c r="I547" s="10"/>
      <c r="J547" s="12"/>
      <c r="K547" s="12"/>
      <c r="L547" s="13"/>
      <c r="M547" s="12"/>
      <c r="N547" s="12"/>
      <c r="O547" s="13"/>
      <c r="P547" s="12"/>
      <c r="Q547" s="12"/>
      <c r="R547" s="12"/>
    </row>
    <row r="550" spans="3:18" x14ac:dyDescent="0.2">
      <c r="C550" s="9"/>
      <c r="D550" s="9"/>
      <c r="E550" s="19"/>
      <c r="F550" s="20"/>
      <c r="H550" s="11"/>
      <c r="I550" s="22"/>
      <c r="J550" s="12"/>
      <c r="K550" s="12"/>
      <c r="L550" s="9"/>
      <c r="M550" s="12"/>
      <c r="N550" s="12"/>
      <c r="O550" s="13"/>
      <c r="P550" s="12"/>
      <c r="Q550" s="12"/>
      <c r="R550" s="12"/>
    </row>
    <row r="551" spans="3:18" x14ac:dyDescent="0.2">
      <c r="C551" s="9"/>
      <c r="D551" s="9"/>
      <c r="E551" s="19"/>
      <c r="F551" s="20"/>
      <c r="H551" s="11"/>
      <c r="I551" s="10"/>
      <c r="J551" s="12"/>
      <c r="K551" s="12"/>
      <c r="L551" s="13"/>
      <c r="M551" s="12"/>
      <c r="N551" s="12"/>
      <c r="O551" s="13"/>
      <c r="P551" s="12"/>
      <c r="Q551" s="12"/>
      <c r="R551" s="12"/>
    </row>
    <row r="552" spans="3:18" x14ac:dyDescent="0.2">
      <c r="C552" s="9"/>
      <c r="D552" s="9"/>
      <c r="E552" s="19"/>
      <c r="F552" s="20"/>
      <c r="H552" s="11"/>
      <c r="I552" s="10"/>
      <c r="J552" s="12"/>
      <c r="K552" s="12"/>
      <c r="L552" s="13"/>
      <c r="M552" s="12"/>
      <c r="N552" s="12"/>
      <c r="O552" s="13"/>
      <c r="P552" s="12"/>
      <c r="Q552" s="12"/>
      <c r="R552" s="12"/>
    </row>
    <row r="553" spans="3:18" x14ac:dyDescent="0.2">
      <c r="C553" s="9"/>
      <c r="D553" s="9"/>
      <c r="E553" s="19"/>
      <c r="F553" s="20"/>
      <c r="H553" s="11"/>
      <c r="I553" s="10"/>
      <c r="J553" s="12"/>
      <c r="K553" s="12"/>
      <c r="L553" s="13"/>
      <c r="M553" s="12"/>
      <c r="N553" s="12"/>
      <c r="O553" s="13"/>
      <c r="P553" s="12"/>
      <c r="Q553" s="12"/>
      <c r="R553" s="12"/>
    </row>
    <row r="554" spans="3:18" x14ac:dyDescent="0.2">
      <c r="C554" s="9"/>
      <c r="D554" s="9"/>
      <c r="E554" s="19"/>
      <c r="F554" s="20"/>
      <c r="H554" s="11"/>
      <c r="I554" s="10"/>
      <c r="J554" s="12"/>
      <c r="K554" s="12"/>
      <c r="L554" s="13"/>
      <c r="M554" s="12"/>
      <c r="N554" s="12"/>
      <c r="O554" s="13"/>
      <c r="P554" s="12"/>
      <c r="Q554" s="12"/>
      <c r="R554" s="12"/>
    </row>
    <row r="555" spans="3:18" x14ac:dyDescent="0.2">
      <c r="C555" s="9"/>
      <c r="D555" s="9"/>
      <c r="E555" s="19"/>
      <c r="F555" s="20"/>
      <c r="H555" s="11"/>
      <c r="I555" s="10"/>
      <c r="J555" s="12"/>
      <c r="K555" s="12"/>
      <c r="L555" s="13"/>
      <c r="M555" s="13"/>
      <c r="N555" s="12"/>
      <c r="O555" s="13"/>
      <c r="P555" s="12"/>
      <c r="Q555" s="12"/>
      <c r="R555" s="12"/>
    </row>
    <row r="556" spans="3:18" x14ac:dyDescent="0.2">
      <c r="C556" s="9"/>
      <c r="D556" s="9"/>
      <c r="E556" s="19"/>
      <c r="F556" s="20"/>
      <c r="H556" s="11"/>
      <c r="I556" s="10"/>
      <c r="J556" s="12"/>
      <c r="K556" s="12"/>
      <c r="L556" s="13"/>
      <c r="M556" s="12"/>
      <c r="N556" s="12"/>
      <c r="O556" s="13"/>
      <c r="P556" s="12"/>
      <c r="Q556" s="12"/>
      <c r="R556" s="12"/>
    </row>
    <row r="557" spans="3:18" x14ac:dyDescent="0.2">
      <c r="C557" s="9"/>
      <c r="D557" s="9"/>
      <c r="E557" s="19"/>
      <c r="F557" s="20"/>
      <c r="H557" s="11"/>
      <c r="I557" s="10"/>
      <c r="J557" s="12"/>
      <c r="K557" s="12"/>
      <c r="L557" s="13"/>
      <c r="M557" s="12"/>
      <c r="N557" s="12"/>
      <c r="O557" s="13"/>
      <c r="P557" s="12"/>
      <c r="Q557" s="12"/>
      <c r="R557" s="12"/>
    </row>
    <row r="558" spans="3:18" x14ac:dyDescent="0.2">
      <c r="C558" s="9"/>
      <c r="D558" s="9"/>
      <c r="E558" s="19"/>
      <c r="F558" s="20"/>
      <c r="H558" s="11"/>
      <c r="I558" s="10"/>
      <c r="J558" s="12"/>
      <c r="K558" s="12"/>
      <c r="L558" s="13"/>
      <c r="M558" s="12"/>
      <c r="N558" s="12"/>
      <c r="O558" s="13"/>
      <c r="P558" s="12"/>
      <c r="Q558" s="12"/>
      <c r="R558" s="12"/>
    </row>
    <row r="559" spans="3:18" x14ac:dyDescent="0.2">
      <c r="C559" s="9"/>
      <c r="D559" s="9"/>
      <c r="E559" s="19"/>
      <c r="F559" s="20"/>
      <c r="H559" s="11"/>
      <c r="I559" s="10"/>
      <c r="J559" s="12"/>
      <c r="K559" s="12"/>
      <c r="L559" s="13"/>
      <c r="M559" s="12"/>
      <c r="N559" s="12"/>
      <c r="O559" s="13"/>
      <c r="P559" s="12"/>
      <c r="Q559" s="12"/>
      <c r="R559" s="12"/>
    </row>
    <row r="560" spans="3:18" x14ac:dyDescent="0.2">
      <c r="C560" s="9"/>
      <c r="D560" s="9"/>
      <c r="E560" s="19"/>
      <c r="F560" s="20"/>
      <c r="H560" s="11"/>
      <c r="I560" s="10"/>
      <c r="J560" s="12"/>
      <c r="K560" s="12"/>
      <c r="L560" s="13"/>
      <c r="M560" s="13"/>
      <c r="N560" s="12"/>
      <c r="O560" s="13"/>
      <c r="P560" s="12"/>
      <c r="Q560" s="12"/>
      <c r="R560" s="12"/>
    </row>
    <row r="561" spans="3:18" x14ac:dyDescent="0.2">
      <c r="C561" s="9"/>
      <c r="D561" s="9"/>
      <c r="E561" s="19"/>
      <c r="F561" s="20"/>
      <c r="H561" s="11"/>
      <c r="I561" s="10"/>
      <c r="J561" s="12"/>
      <c r="K561" s="12"/>
      <c r="L561" s="13"/>
      <c r="M561" s="12"/>
      <c r="N561" s="12"/>
      <c r="O561" s="13"/>
      <c r="P561" s="12"/>
      <c r="Q561" s="12"/>
      <c r="R561" s="12"/>
    </row>
    <row r="562" spans="3:18" x14ac:dyDescent="0.2">
      <c r="C562" s="9"/>
      <c r="D562" s="9"/>
      <c r="E562" s="19"/>
      <c r="F562" s="20"/>
      <c r="H562" s="11"/>
      <c r="I562" s="10"/>
      <c r="J562" s="12"/>
      <c r="K562" s="12"/>
      <c r="L562" s="13"/>
      <c r="M562" s="12"/>
      <c r="N562" s="12"/>
      <c r="O562" s="13"/>
      <c r="P562" s="12"/>
      <c r="Q562" s="12"/>
      <c r="R562" s="12"/>
    </row>
    <row r="563" spans="3:18" x14ac:dyDescent="0.2">
      <c r="C563" s="9"/>
      <c r="D563" s="9"/>
      <c r="E563" s="19"/>
      <c r="F563" s="20"/>
      <c r="H563" s="11"/>
      <c r="I563" s="10"/>
      <c r="J563" s="12"/>
      <c r="K563" s="12"/>
      <c r="L563" s="13"/>
      <c r="M563" s="12"/>
      <c r="N563" s="12"/>
      <c r="O563" s="13"/>
      <c r="P563" s="12"/>
      <c r="Q563" s="12"/>
      <c r="R563" s="12"/>
    </row>
    <row r="564" spans="3:18" x14ac:dyDescent="0.2">
      <c r="C564" s="9"/>
      <c r="D564" s="9"/>
      <c r="E564" s="19"/>
      <c r="F564" s="20"/>
      <c r="H564" s="11"/>
      <c r="I564" s="10"/>
      <c r="J564" s="12"/>
      <c r="K564" s="12"/>
      <c r="L564" s="13"/>
      <c r="M564" s="12"/>
      <c r="N564" s="12"/>
      <c r="O564" s="13"/>
      <c r="P564" s="12"/>
      <c r="Q564" s="12"/>
      <c r="R564" s="12"/>
    </row>
    <row r="565" spans="3:18" x14ac:dyDescent="0.2">
      <c r="C565" s="9"/>
      <c r="D565" s="9"/>
      <c r="E565" s="19"/>
      <c r="F565" s="20"/>
      <c r="H565" s="11"/>
      <c r="I565" s="10"/>
      <c r="J565" s="12"/>
      <c r="K565" s="12"/>
      <c r="L565" s="13"/>
      <c r="M565" s="13"/>
      <c r="N565" s="12"/>
      <c r="O565" s="13"/>
      <c r="P565" s="12"/>
      <c r="Q565" s="12"/>
      <c r="R565" s="12"/>
    </row>
    <row r="568" spans="3:18" x14ac:dyDescent="0.2">
      <c r="C568" s="9"/>
      <c r="D568" s="9"/>
      <c r="E568" s="19"/>
      <c r="F568" s="20"/>
      <c r="H568" s="11"/>
      <c r="I568" s="22"/>
      <c r="J568" s="12"/>
      <c r="K568" s="12"/>
      <c r="L568" s="9"/>
      <c r="M568" s="12"/>
      <c r="N568" s="12"/>
      <c r="O568" s="13"/>
      <c r="P568" s="12"/>
      <c r="Q568" s="12"/>
      <c r="R568" s="12"/>
    </row>
    <row r="569" spans="3:18" x14ac:dyDescent="0.2">
      <c r="C569" s="9"/>
      <c r="D569" s="9"/>
      <c r="E569" s="19"/>
      <c r="F569" s="20"/>
      <c r="H569" s="11"/>
      <c r="I569" s="10"/>
      <c r="J569" s="12"/>
      <c r="K569" s="12"/>
      <c r="L569" s="13"/>
      <c r="M569" s="12"/>
      <c r="N569" s="12"/>
      <c r="O569" s="13"/>
      <c r="P569" s="12"/>
      <c r="Q569" s="12"/>
      <c r="R569" s="12"/>
    </row>
    <row r="570" spans="3:18" x14ac:dyDescent="0.2">
      <c r="C570" s="9"/>
      <c r="D570" s="9"/>
      <c r="E570" s="19"/>
      <c r="F570" s="20"/>
      <c r="H570" s="11"/>
      <c r="I570" s="10"/>
      <c r="J570" s="12"/>
      <c r="K570" s="12"/>
      <c r="L570" s="13"/>
      <c r="M570" s="12"/>
      <c r="N570" s="12"/>
      <c r="O570" s="13"/>
      <c r="P570" s="12"/>
      <c r="Q570" s="12"/>
      <c r="R570" s="12"/>
    </row>
    <row r="571" spans="3:18" x14ac:dyDescent="0.2">
      <c r="C571" s="9"/>
      <c r="D571" s="9"/>
      <c r="E571" s="19"/>
      <c r="F571" s="20"/>
      <c r="H571" s="11"/>
      <c r="I571" s="10"/>
      <c r="J571" s="12"/>
      <c r="K571" s="12"/>
      <c r="L571" s="13"/>
      <c r="M571" s="12"/>
      <c r="N571" s="12"/>
      <c r="O571" s="13"/>
      <c r="P571" s="12"/>
      <c r="Q571" s="12"/>
      <c r="R571" s="12"/>
    </row>
    <row r="572" spans="3:18" x14ac:dyDescent="0.2">
      <c r="C572" s="9"/>
      <c r="D572" s="9"/>
      <c r="E572" s="19"/>
      <c r="F572" s="20"/>
      <c r="H572" s="11"/>
      <c r="I572" s="10"/>
      <c r="J572" s="12"/>
      <c r="K572" s="12"/>
      <c r="L572" s="13"/>
      <c r="M572" s="12"/>
      <c r="N572" s="12"/>
      <c r="O572" s="13"/>
      <c r="P572" s="12"/>
      <c r="Q572" s="12"/>
      <c r="R572" s="12"/>
    </row>
    <row r="573" spans="3:18" x14ac:dyDescent="0.2">
      <c r="C573" s="9"/>
      <c r="D573" s="9"/>
      <c r="E573" s="19"/>
      <c r="F573" s="20"/>
      <c r="H573" s="11"/>
      <c r="I573" s="10"/>
      <c r="J573" s="12"/>
      <c r="K573" s="12"/>
      <c r="L573" s="13"/>
      <c r="M573" s="13"/>
      <c r="N573" s="12"/>
      <c r="O573" s="13"/>
      <c r="P573" s="12"/>
      <c r="Q573" s="12"/>
      <c r="R573" s="12"/>
    </row>
    <row r="574" spans="3:18" x14ac:dyDescent="0.2">
      <c r="C574" s="9"/>
      <c r="D574" s="9"/>
      <c r="E574" s="19"/>
      <c r="F574" s="20"/>
      <c r="H574" s="11"/>
      <c r="I574" s="10"/>
      <c r="J574" s="12"/>
      <c r="K574" s="12"/>
      <c r="L574" s="13"/>
      <c r="M574" s="12"/>
      <c r="N574" s="12"/>
      <c r="O574" s="13"/>
      <c r="P574" s="12"/>
      <c r="Q574" s="12"/>
      <c r="R574" s="12"/>
    </row>
    <row r="575" spans="3:18" x14ac:dyDescent="0.2">
      <c r="C575" s="9"/>
      <c r="D575" s="9"/>
      <c r="E575" s="19"/>
      <c r="F575" s="20"/>
      <c r="H575" s="11"/>
      <c r="I575" s="10"/>
      <c r="J575" s="12"/>
      <c r="K575" s="12"/>
      <c r="L575" s="13"/>
      <c r="M575" s="12"/>
      <c r="N575" s="12"/>
      <c r="O575" s="13"/>
      <c r="P575" s="12"/>
      <c r="Q575" s="12"/>
      <c r="R575" s="12"/>
    </row>
    <row r="576" spans="3:18" x14ac:dyDescent="0.2">
      <c r="C576" s="9"/>
      <c r="D576" s="9"/>
      <c r="E576" s="19"/>
      <c r="F576" s="20"/>
      <c r="H576" s="11"/>
      <c r="I576" s="10"/>
      <c r="J576" s="12"/>
      <c r="K576" s="12"/>
      <c r="L576" s="13"/>
      <c r="M576" s="12"/>
      <c r="N576" s="12"/>
      <c r="O576" s="13"/>
      <c r="P576" s="12"/>
      <c r="Q576" s="12"/>
      <c r="R576" s="12"/>
    </row>
    <row r="577" spans="3:18" x14ac:dyDescent="0.2">
      <c r="C577" s="9"/>
      <c r="D577" s="9"/>
      <c r="E577" s="19"/>
      <c r="F577" s="20"/>
      <c r="H577" s="11"/>
      <c r="I577" s="10"/>
      <c r="J577" s="12"/>
      <c r="K577" s="12"/>
      <c r="L577" s="13"/>
      <c r="M577" s="12"/>
      <c r="N577" s="12"/>
      <c r="O577" s="13"/>
      <c r="P577" s="12"/>
      <c r="Q577" s="12"/>
      <c r="R577" s="12"/>
    </row>
    <row r="578" spans="3:18" x14ac:dyDescent="0.2">
      <c r="C578" s="9"/>
      <c r="D578" s="9"/>
      <c r="E578" s="19"/>
      <c r="F578" s="20"/>
      <c r="H578" s="11"/>
      <c r="I578" s="10"/>
      <c r="J578" s="12"/>
      <c r="K578" s="12"/>
      <c r="L578" s="13"/>
      <c r="M578" s="13"/>
      <c r="N578" s="12"/>
      <c r="O578" s="13"/>
      <c r="P578" s="12"/>
      <c r="Q578" s="12"/>
      <c r="R578" s="12"/>
    </row>
    <row r="579" spans="3:18" x14ac:dyDescent="0.2">
      <c r="C579" s="9"/>
      <c r="D579" s="9"/>
      <c r="E579" s="19"/>
      <c r="F579" s="20"/>
      <c r="H579" s="11"/>
      <c r="I579" s="10"/>
      <c r="J579" s="12"/>
      <c r="K579" s="12"/>
      <c r="L579" s="13"/>
      <c r="M579" s="12"/>
      <c r="N579" s="12"/>
      <c r="O579" s="13"/>
      <c r="P579" s="12"/>
      <c r="Q579" s="12"/>
      <c r="R579" s="12"/>
    </row>
    <row r="580" spans="3:18" x14ac:dyDescent="0.2">
      <c r="C580" s="9"/>
      <c r="D580" s="9"/>
      <c r="E580" s="19"/>
      <c r="F580" s="20"/>
      <c r="H580" s="11"/>
      <c r="I580" s="10"/>
      <c r="J580" s="12"/>
      <c r="K580" s="12"/>
      <c r="L580" s="13"/>
      <c r="M580" s="12"/>
      <c r="N580" s="12"/>
      <c r="O580" s="13"/>
      <c r="P580" s="12"/>
      <c r="Q580" s="12"/>
      <c r="R580" s="12"/>
    </row>
    <row r="581" spans="3:18" x14ac:dyDescent="0.2">
      <c r="C581" s="9"/>
      <c r="D581" s="9"/>
      <c r="E581" s="19"/>
      <c r="F581" s="20"/>
      <c r="H581" s="11"/>
      <c r="I581" s="10"/>
      <c r="J581" s="12"/>
      <c r="K581" s="12"/>
      <c r="L581" s="13"/>
      <c r="M581" s="12"/>
      <c r="N581" s="12"/>
      <c r="O581" s="13"/>
      <c r="P581" s="12"/>
      <c r="Q581" s="12"/>
      <c r="R581" s="12"/>
    </row>
    <row r="582" spans="3:18" x14ac:dyDescent="0.2">
      <c r="C582" s="9"/>
      <c r="D582" s="9"/>
      <c r="E582" s="19"/>
      <c r="F582" s="20"/>
      <c r="H582" s="11"/>
      <c r="I582" s="10"/>
      <c r="J582" s="12"/>
      <c r="K582" s="12"/>
      <c r="L582" s="13"/>
      <c r="M582" s="12"/>
      <c r="N582" s="12"/>
      <c r="O582" s="13"/>
      <c r="P582" s="12"/>
      <c r="Q582" s="12"/>
      <c r="R582" s="12"/>
    </row>
    <row r="583" spans="3:18" x14ac:dyDescent="0.2">
      <c r="C583" s="9"/>
      <c r="D583" s="9"/>
      <c r="E583" s="19"/>
      <c r="F583" s="20"/>
      <c r="H583" s="11"/>
      <c r="I583" s="10"/>
      <c r="J583" s="12"/>
      <c r="K583" s="12"/>
      <c r="L583" s="13"/>
      <c r="M583" s="13"/>
      <c r="N583" s="12"/>
      <c r="O583" s="13"/>
      <c r="P583" s="12"/>
      <c r="Q583" s="12"/>
      <c r="R583" s="12"/>
    </row>
    <row r="586" spans="3:18" x14ac:dyDescent="0.2">
      <c r="C586" s="9"/>
      <c r="D586" s="9"/>
      <c r="E586" s="19"/>
      <c r="F586" s="20"/>
      <c r="H586" s="11"/>
      <c r="I586" s="22"/>
      <c r="J586" s="12"/>
      <c r="K586" s="12"/>
      <c r="L586" s="9"/>
      <c r="M586" s="12"/>
      <c r="N586" s="12"/>
      <c r="O586" s="13"/>
      <c r="P586" s="12"/>
      <c r="Q586" s="12"/>
      <c r="R586" s="12"/>
    </row>
    <row r="587" spans="3:18" x14ac:dyDescent="0.2">
      <c r="C587" s="9"/>
      <c r="D587" s="9"/>
      <c r="E587" s="19"/>
      <c r="F587" s="20"/>
      <c r="H587" s="11"/>
      <c r="I587" s="10"/>
      <c r="J587" s="12"/>
      <c r="K587" s="12"/>
      <c r="L587" s="13"/>
      <c r="M587" s="12"/>
      <c r="N587" s="12"/>
      <c r="O587" s="13"/>
      <c r="P587" s="12"/>
      <c r="Q587" s="12"/>
      <c r="R587" s="12"/>
    </row>
    <row r="588" spans="3:18" x14ac:dyDescent="0.2">
      <c r="C588" s="9"/>
      <c r="D588" s="9"/>
      <c r="E588" s="19"/>
      <c r="F588" s="20"/>
      <c r="H588" s="11"/>
      <c r="I588" s="10"/>
      <c r="J588" s="12"/>
      <c r="K588" s="12"/>
      <c r="L588" s="13"/>
      <c r="M588" s="12"/>
      <c r="N588" s="12"/>
      <c r="O588" s="13"/>
      <c r="P588" s="12"/>
      <c r="Q588" s="12"/>
      <c r="R588" s="12"/>
    </row>
    <row r="589" spans="3:18" x14ac:dyDescent="0.2">
      <c r="C589" s="9"/>
      <c r="D589" s="9"/>
      <c r="E589" s="19"/>
      <c r="F589" s="20"/>
      <c r="H589" s="11"/>
      <c r="I589" s="10"/>
      <c r="J589" s="12"/>
      <c r="K589" s="12"/>
      <c r="L589" s="13"/>
      <c r="M589" s="12"/>
      <c r="N589" s="12"/>
      <c r="O589" s="13"/>
      <c r="P589" s="12"/>
      <c r="Q589" s="12"/>
      <c r="R589" s="12"/>
    </row>
    <row r="590" spans="3:18" x14ac:dyDescent="0.2">
      <c r="C590" s="9"/>
      <c r="D590" s="9"/>
      <c r="E590" s="19"/>
      <c r="F590" s="20"/>
      <c r="H590" s="11"/>
      <c r="I590" s="10"/>
      <c r="J590" s="12"/>
      <c r="K590" s="12"/>
      <c r="L590" s="13"/>
      <c r="M590" s="12"/>
      <c r="N590" s="12"/>
      <c r="O590" s="13"/>
      <c r="P590" s="12"/>
      <c r="Q590" s="12"/>
      <c r="R590" s="12"/>
    </row>
    <row r="591" spans="3:18" x14ac:dyDescent="0.2">
      <c r="C591" s="9"/>
      <c r="D591" s="9"/>
      <c r="E591" s="19"/>
      <c r="F591" s="20"/>
      <c r="H591" s="11"/>
      <c r="I591" s="10"/>
      <c r="J591" s="12"/>
      <c r="K591" s="12"/>
      <c r="L591" s="13"/>
      <c r="M591" s="13"/>
      <c r="N591" s="12"/>
      <c r="O591" s="13"/>
      <c r="P591" s="12"/>
      <c r="Q591" s="12"/>
      <c r="R591" s="12"/>
    </row>
    <row r="592" spans="3:18" x14ac:dyDescent="0.2">
      <c r="C592" s="9"/>
      <c r="D592" s="9"/>
      <c r="E592" s="19"/>
      <c r="F592" s="20"/>
      <c r="H592" s="11"/>
      <c r="I592" s="10"/>
      <c r="J592" s="12"/>
      <c r="K592" s="12"/>
      <c r="L592" s="13"/>
      <c r="M592" s="12"/>
      <c r="N592" s="12"/>
      <c r="O592" s="13"/>
      <c r="P592" s="12"/>
      <c r="Q592" s="12"/>
      <c r="R592" s="12"/>
    </row>
    <row r="593" spans="3:18" x14ac:dyDescent="0.2">
      <c r="C593" s="9"/>
      <c r="D593" s="9"/>
      <c r="E593" s="19"/>
      <c r="F593" s="20"/>
      <c r="H593" s="11"/>
      <c r="I593" s="10"/>
      <c r="J593" s="12"/>
      <c r="K593" s="12"/>
      <c r="L593" s="13"/>
      <c r="M593" s="12"/>
      <c r="N593" s="12"/>
      <c r="O593" s="13"/>
      <c r="P593" s="12"/>
      <c r="Q593" s="12"/>
      <c r="R593" s="12"/>
    </row>
    <row r="594" spans="3:18" x14ac:dyDescent="0.2">
      <c r="C594" s="9"/>
      <c r="D594" s="9"/>
      <c r="E594" s="19"/>
      <c r="F594" s="20"/>
      <c r="H594" s="11"/>
      <c r="I594" s="10"/>
      <c r="J594" s="12"/>
      <c r="K594" s="12"/>
      <c r="L594" s="13"/>
      <c r="M594" s="12"/>
      <c r="N594" s="12"/>
      <c r="O594" s="13"/>
      <c r="P594" s="12"/>
      <c r="Q594" s="12"/>
      <c r="R594" s="12"/>
    </row>
    <row r="595" spans="3:18" x14ac:dyDescent="0.2">
      <c r="C595" s="9"/>
      <c r="D595" s="9"/>
      <c r="E595" s="19"/>
      <c r="F595" s="20"/>
      <c r="H595" s="11"/>
      <c r="I595" s="10"/>
      <c r="J595" s="12"/>
      <c r="K595" s="12"/>
      <c r="L595" s="13"/>
      <c r="M595" s="12"/>
      <c r="N595" s="12"/>
      <c r="O595" s="13"/>
      <c r="P595" s="12"/>
      <c r="Q595" s="12"/>
      <c r="R595" s="12"/>
    </row>
    <row r="596" spans="3:18" x14ac:dyDescent="0.2">
      <c r="C596" s="9"/>
      <c r="D596" s="9"/>
      <c r="E596" s="19"/>
      <c r="F596" s="20"/>
      <c r="H596" s="11"/>
      <c r="I596" s="10"/>
      <c r="J596" s="12"/>
      <c r="K596" s="12"/>
      <c r="L596" s="13"/>
      <c r="M596" s="13"/>
      <c r="N596" s="12"/>
      <c r="O596" s="13"/>
      <c r="P596" s="12"/>
      <c r="Q596" s="12"/>
      <c r="R596" s="12"/>
    </row>
    <row r="597" spans="3:18" x14ac:dyDescent="0.2">
      <c r="C597" s="9"/>
      <c r="D597" s="9"/>
      <c r="E597" s="19"/>
      <c r="F597" s="20"/>
      <c r="H597" s="11"/>
      <c r="I597" s="10"/>
      <c r="J597" s="12"/>
      <c r="K597" s="12"/>
      <c r="L597" s="13"/>
      <c r="M597" s="12"/>
      <c r="N597" s="12"/>
      <c r="O597" s="13"/>
      <c r="P597" s="12"/>
      <c r="Q597" s="12"/>
      <c r="R597" s="12"/>
    </row>
    <row r="598" spans="3:18" x14ac:dyDescent="0.2">
      <c r="C598" s="9"/>
      <c r="D598" s="9"/>
      <c r="E598" s="19"/>
      <c r="F598" s="20"/>
      <c r="H598" s="11"/>
      <c r="I598" s="10"/>
      <c r="J598" s="12"/>
      <c r="K598" s="12"/>
      <c r="L598" s="13"/>
      <c r="M598" s="12"/>
      <c r="N598" s="12"/>
      <c r="O598" s="13"/>
      <c r="P598" s="12"/>
      <c r="Q598" s="12"/>
      <c r="R598" s="12"/>
    </row>
    <row r="599" spans="3:18" x14ac:dyDescent="0.2">
      <c r="C599" s="9"/>
      <c r="D599" s="9"/>
      <c r="E599" s="19"/>
      <c r="F599" s="20"/>
      <c r="H599" s="11"/>
      <c r="I599" s="10"/>
      <c r="J599" s="12"/>
      <c r="K599" s="12"/>
      <c r="L599" s="13"/>
      <c r="M599" s="12"/>
      <c r="N599" s="12"/>
      <c r="O599" s="13"/>
      <c r="P599" s="12"/>
      <c r="Q599" s="12"/>
      <c r="R599" s="12"/>
    </row>
    <row r="600" spans="3:18" x14ac:dyDescent="0.2">
      <c r="C600" s="9"/>
      <c r="D600" s="9"/>
      <c r="E600" s="19"/>
      <c r="F600" s="20"/>
      <c r="H600" s="11"/>
      <c r="I600" s="10"/>
      <c r="J600" s="12"/>
      <c r="K600" s="12"/>
      <c r="L600" s="13"/>
      <c r="M600" s="12"/>
      <c r="N600" s="12"/>
      <c r="O600" s="13"/>
      <c r="P600" s="12"/>
      <c r="Q600" s="12"/>
      <c r="R600" s="12"/>
    </row>
    <row r="601" spans="3:18" x14ac:dyDescent="0.2">
      <c r="C601" s="9"/>
      <c r="D601" s="9"/>
      <c r="E601" s="19"/>
      <c r="F601" s="20"/>
      <c r="H601" s="11"/>
      <c r="I601" s="10"/>
      <c r="J601" s="12"/>
      <c r="K601" s="12"/>
      <c r="L601" s="13"/>
      <c r="M601" s="13"/>
      <c r="N601" s="12"/>
      <c r="O601" s="13"/>
      <c r="P601" s="12"/>
      <c r="Q601" s="12"/>
      <c r="R601" s="12"/>
    </row>
    <row r="604" spans="3:18" x14ac:dyDescent="0.2">
      <c r="C604" s="9"/>
      <c r="D604" s="9"/>
      <c r="E604" s="19"/>
      <c r="F604" s="20"/>
      <c r="H604" s="11"/>
      <c r="I604" s="22"/>
      <c r="J604" s="12"/>
      <c r="K604" s="12"/>
      <c r="L604" s="9"/>
      <c r="M604" s="12"/>
      <c r="N604" s="12"/>
      <c r="O604" s="13"/>
      <c r="P604" s="12"/>
      <c r="Q604" s="12"/>
      <c r="R604" s="12"/>
    </row>
    <row r="605" spans="3:18" x14ac:dyDescent="0.2">
      <c r="C605" s="9"/>
      <c r="D605" s="9"/>
      <c r="E605" s="19"/>
      <c r="F605" s="20"/>
      <c r="H605" s="11"/>
      <c r="I605" s="10"/>
      <c r="J605" s="12"/>
      <c r="K605" s="12"/>
      <c r="L605" s="13"/>
      <c r="M605" s="12"/>
      <c r="N605" s="12"/>
      <c r="O605" s="13"/>
      <c r="P605" s="12"/>
      <c r="Q605" s="12"/>
      <c r="R605" s="12"/>
    </row>
    <row r="606" spans="3:18" x14ac:dyDescent="0.2">
      <c r="C606" s="9"/>
      <c r="D606" s="9"/>
      <c r="E606" s="19"/>
      <c r="F606" s="20"/>
      <c r="H606" s="11"/>
      <c r="I606" s="10"/>
      <c r="J606" s="12"/>
      <c r="K606" s="12"/>
      <c r="L606" s="13"/>
      <c r="M606" s="12"/>
      <c r="N606" s="12"/>
      <c r="O606" s="13"/>
      <c r="P606" s="12"/>
      <c r="Q606" s="12"/>
      <c r="R606" s="12"/>
    </row>
    <row r="607" spans="3:18" x14ac:dyDescent="0.2">
      <c r="C607" s="9"/>
      <c r="D607" s="9"/>
      <c r="E607" s="19"/>
      <c r="F607" s="20"/>
      <c r="H607" s="11"/>
      <c r="I607" s="10"/>
      <c r="J607" s="12"/>
      <c r="K607" s="12"/>
      <c r="L607" s="13"/>
      <c r="M607" s="12"/>
      <c r="N607" s="12"/>
      <c r="O607" s="13"/>
      <c r="P607" s="12"/>
      <c r="Q607" s="12"/>
      <c r="R607" s="12"/>
    </row>
    <row r="608" spans="3:18" x14ac:dyDescent="0.2">
      <c r="C608" s="9"/>
      <c r="D608" s="9"/>
      <c r="E608" s="19"/>
      <c r="F608" s="20"/>
      <c r="H608" s="11"/>
      <c r="I608" s="10"/>
      <c r="J608" s="12"/>
      <c r="K608" s="12"/>
      <c r="L608" s="13"/>
      <c r="M608" s="12"/>
      <c r="N608" s="12"/>
      <c r="O608" s="13"/>
      <c r="P608" s="12"/>
      <c r="Q608" s="12"/>
      <c r="R608" s="12"/>
    </row>
    <row r="609" spans="3:18" x14ac:dyDescent="0.2">
      <c r="C609" s="9"/>
      <c r="D609" s="9"/>
      <c r="E609" s="19"/>
      <c r="F609" s="20"/>
      <c r="H609" s="11"/>
      <c r="I609" s="10"/>
      <c r="J609" s="12"/>
      <c r="K609" s="12"/>
      <c r="L609" s="13"/>
      <c r="M609" s="13"/>
      <c r="N609" s="12"/>
      <c r="O609" s="13"/>
      <c r="P609" s="12"/>
      <c r="Q609" s="12"/>
      <c r="R609" s="12"/>
    </row>
    <row r="610" spans="3:18" x14ac:dyDescent="0.2">
      <c r="C610" s="9"/>
      <c r="D610" s="9"/>
      <c r="E610" s="19"/>
      <c r="F610" s="20"/>
      <c r="H610" s="11"/>
      <c r="I610" s="10"/>
      <c r="J610" s="12"/>
      <c r="K610" s="12"/>
      <c r="L610" s="13"/>
      <c r="M610" s="12"/>
      <c r="N610" s="12"/>
      <c r="O610" s="13"/>
      <c r="P610" s="12"/>
      <c r="Q610" s="12"/>
      <c r="R610" s="12"/>
    </row>
    <row r="611" spans="3:18" x14ac:dyDescent="0.2">
      <c r="C611" s="9"/>
      <c r="D611" s="9"/>
      <c r="E611" s="19"/>
      <c r="F611" s="20"/>
      <c r="H611" s="11"/>
      <c r="I611" s="10"/>
      <c r="J611" s="12"/>
      <c r="K611" s="12"/>
      <c r="L611" s="13"/>
      <c r="M611" s="12"/>
      <c r="N611" s="12"/>
      <c r="O611" s="13"/>
      <c r="P611" s="12"/>
      <c r="Q611" s="12"/>
      <c r="R611" s="12"/>
    </row>
    <row r="612" spans="3:18" x14ac:dyDescent="0.2">
      <c r="C612" s="9"/>
      <c r="D612" s="9"/>
      <c r="E612" s="19"/>
      <c r="F612" s="20"/>
      <c r="H612" s="11"/>
      <c r="I612" s="10"/>
      <c r="J612" s="12"/>
      <c r="K612" s="12"/>
      <c r="L612" s="13"/>
      <c r="M612" s="12"/>
      <c r="N612" s="12"/>
      <c r="O612" s="13"/>
      <c r="P612" s="12"/>
      <c r="Q612" s="12"/>
      <c r="R612" s="12"/>
    </row>
    <row r="613" spans="3:18" x14ac:dyDescent="0.2">
      <c r="C613" s="9"/>
      <c r="D613" s="9"/>
      <c r="E613" s="19"/>
      <c r="F613" s="20"/>
      <c r="H613" s="11"/>
      <c r="I613" s="10"/>
      <c r="J613" s="12"/>
      <c r="K613" s="12"/>
      <c r="L613" s="13"/>
      <c r="M613" s="12"/>
      <c r="N613" s="12"/>
      <c r="O613" s="13"/>
      <c r="P613" s="12"/>
      <c r="Q613" s="12"/>
      <c r="R613" s="12"/>
    </row>
    <row r="614" spans="3:18" x14ac:dyDescent="0.2">
      <c r="C614" s="9"/>
      <c r="D614" s="9"/>
      <c r="E614" s="19"/>
      <c r="F614" s="20"/>
      <c r="H614" s="11"/>
      <c r="I614" s="10"/>
      <c r="J614" s="12"/>
      <c r="K614" s="12"/>
      <c r="L614" s="13"/>
      <c r="M614" s="13"/>
      <c r="N614" s="12"/>
      <c r="O614" s="13"/>
      <c r="P614" s="12"/>
      <c r="Q614" s="12"/>
      <c r="R614" s="12"/>
    </row>
    <row r="615" spans="3:18" x14ac:dyDescent="0.2">
      <c r="C615" s="9"/>
      <c r="D615" s="9"/>
      <c r="E615" s="19"/>
      <c r="F615" s="20"/>
      <c r="H615" s="11"/>
      <c r="I615" s="10"/>
      <c r="J615" s="12"/>
      <c r="K615" s="12"/>
      <c r="L615" s="13"/>
      <c r="M615" s="12"/>
      <c r="N615" s="12"/>
      <c r="O615" s="13"/>
      <c r="P615" s="12"/>
      <c r="Q615" s="12"/>
      <c r="R615" s="12"/>
    </row>
    <row r="616" spans="3:18" x14ac:dyDescent="0.2">
      <c r="C616" s="9"/>
      <c r="D616" s="9"/>
      <c r="E616" s="19"/>
      <c r="F616" s="20"/>
      <c r="H616" s="11"/>
      <c r="I616" s="10"/>
      <c r="J616" s="12"/>
      <c r="K616" s="12"/>
      <c r="L616" s="13"/>
      <c r="M616" s="12"/>
      <c r="N616" s="12"/>
      <c r="O616" s="13"/>
      <c r="P616" s="12"/>
      <c r="Q616" s="12"/>
      <c r="R616" s="12"/>
    </row>
    <row r="617" spans="3:18" x14ac:dyDescent="0.2">
      <c r="C617" s="9"/>
      <c r="D617" s="9"/>
      <c r="E617" s="19"/>
      <c r="F617" s="20"/>
      <c r="H617" s="11"/>
      <c r="I617" s="10"/>
      <c r="J617" s="12"/>
      <c r="K617" s="12"/>
      <c r="L617" s="13"/>
      <c r="M617" s="12"/>
      <c r="N617" s="12"/>
      <c r="O617" s="13"/>
      <c r="P617" s="12"/>
      <c r="Q617" s="12"/>
      <c r="R617" s="12"/>
    </row>
    <row r="618" spans="3:18" x14ac:dyDescent="0.2">
      <c r="C618" s="9"/>
      <c r="D618" s="9"/>
      <c r="E618" s="19"/>
      <c r="F618" s="20"/>
      <c r="H618" s="11"/>
      <c r="I618" s="10"/>
      <c r="J618" s="12"/>
      <c r="K618" s="12"/>
      <c r="L618" s="13"/>
      <c r="M618" s="12"/>
      <c r="N618" s="12"/>
      <c r="O618" s="13"/>
      <c r="P618" s="12"/>
      <c r="Q618" s="12"/>
      <c r="R618" s="12"/>
    </row>
    <row r="619" spans="3:18" x14ac:dyDescent="0.2">
      <c r="C619" s="9"/>
      <c r="D619" s="9"/>
      <c r="E619" s="19"/>
      <c r="F619" s="20"/>
      <c r="H619" s="11"/>
      <c r="I619" s="10"/>
      <c r="J619" s="12"/>
      <c r="K619" s="12"/>
      <c r="L619" s="13"/>
      <c r="M619" s="13"/>
      <c r="N619" s="12"/>
      <c r="O619" s="13"/>
      <c r="P619" s="12"/>
      <c r="Q619" s="12"/>
      <c r="R619" s="12"/>
    </row>
    <row r="622" spans="3:18" x14ac:dyDescent="0.2">
      <c r="C622" s="9"/>
      <c r="D622" s="9"/>
      <c r="E622" s="19"/>
      <c r="F622" s="20"/>
      <c r="H622" s="11"/>
      <c r="I622" s="22"/>
      <c r="J622" s="12"/>
      <c r="K622" s="12"/>
      <c r="L622" s="9"/>
      <c r="M622" s="12"/>
      <c r="N622" s="12"/>
      <c r="O622" s="13"/>
      <c r="P622" s="12"/>
      <c r="Q622" s="12"/>
      <c r="R622" s="12"/>
    </row>
    <row r="623" spans="3:18" x14ac:dyDescent="0.2">
      <c r="C623" s="9"/>
      <c r="D623" s="9"/>
      <c r="E623" s="19"/>
      <c r="F623" s="20"/>
      <c r="H623" s="11"/>
      <c r="I623" s="10"/>
      <c r="J623" s="12"/>
      <c r="K623" s="12"/>
      <c r="L623" s="13"/>
      <c r="M623" s="12"/>
      <c r="N623" s="12"/>
      <c r="O623" s="13"/>
      <c r="P623" s="12"/>
      <c r="Q623" s="12"/>
      <c r="R623" s="12"/>
    </row>
    <row r="624" spans="3:18" x14ac:dyDescent="0.2">
      <c r="C624" s="9"/>
      <c r="D624" s="9"/>
      <c r="E624" s="19"/>
      <c r="F624" s="20"/>
      <c r="H624" s="11"/>
      <c r="I624" s="10"/>
      <c r="J624" s="12"/>
      <c r="K624" s="12"/>
      <c r="L624" s="13"/>
      <c r="M624" s="12"/>
      <c r="N624" s="12"/>
      <c r="O624" s="13"/>
      <c r="P624" s="12"/>
      <c r="Q624" s="12"/>
      <c r="R624" s="12"/>
    </row>
    <row r="625" spans="3:18" x14ac:dyDescent="0.2">
      <c r="C625" s="9"/>
      <c r="D625" s="9"/>
      <c r="E625" s="19"/>
      <c r="F625" s="20"/>
      <c r="H625" s="11"/>
      <c r="I625" s="10"/>
      <c r="J625" s="12"/>
      <c r="K625" s="12"/>
      <c r="L625" s="13"/>
      <c r="M625" s="12"/>
      <c r="N625" s="12"/>
      <c r="O625" s="13"/>
      <c r="P625" s="12"/>
      <c r="Q625" s="12"/>
      <c r="R625" s="12"/>
    </row>
    <row r="626" spans="3:18" x14ac:dyDescent="0.2">
      <c r="C626" s="9"/>
      <c r="D626" s="9"/>
      <c r="E626" s="19"/>
      <c r="F626" s="20"/>
      <c r="H626" s="11"/>
      <c r="I626" s="10"/>
      <c r="J626" s="12"/>
      <c r="K626" s="12"/>
      <c r="L626" s="13"/>
      <c r="M626" s="12"/>
      <c r="N626" s="12"/>
      <c r="O626" s="13"/>
      <c r="P626" s="12"/>
      <c r="Q626" s="12"/>
      <c r="R626" s="12"/>
    </row>
    <row r="627" spans="3:18" x14ac:dyDescent="0.2">
      <c r="C627" s="9"/>
      <c r="D627" s="9"/>
      <c r="E627" s="19"/>
      <c r="F627" s="20"/>
      <c r="H627" s="11"/>
      <c r="I627" s="10"/>
      <c r="J627" s="12"/>
      <c r="K627" s="12"/>
      <c r="L627" s="13"/>
      <c r="M627" s="13"/>
      <c r="N627" s="12"/>
      <c r="O627" s="13"/>
      <c r="P627" s="12"/>
      <c r="Q627" s="12"/>
      <c r="R627" s="12"/>
    </row>
    <row r="628" spans="3:18" x14ac:dyDescent="0.2">
      <c r="C628" s="9"/>
      <c r="D628" s="9"/>
      <c r="E628" s="19"/>
      <c r="F628" s="20"/>
      <c r="H628" s="11"/>
      <c r="I628" s="10"/>
      <c r="J628" s="12"/>
      <c r="K628" s="12"/>
      <c r="L628" s="13"/>
      <c r="M628" s="12"/>
      <c r="N628" s="12"/>
      <c r="O628" s="13"/>
      <c r="P628" s="12"/>
      <c r="Q628" s="12"/>
      <c r="R628" s="12"/>
    </row>
    <row r="629" spans="3:18" x14ac:dyDescent="0.2">
      <c r="C629" s="9"/>
      <c r="D629" s="9"/>
      <c r="E629" s="19"/>
      <c r="F629" s="20"/>
      <c r="H629" s="11"/>
      <c r="I629" s="10"/>
      <c r="J629" s="12"/>
      <c r="K629" s="12"/>
      <c r="L629" s="13"/>
      <c r="M629" s="12"/>
      <c r="N629" s="12"/>
      <c r="O629" s="13"/>
      <c r="P629" s="12"/>
      <c r="Q629" s="12"/>
      <c r="R629" s="12"/>
    </row>
    <row r="630" spans="3:18" x14ac:dyDescent="0.2">
      <c r="C630" s="9"/>
      <c r="D630" s="9"/>
      <c r="E630" s="19"/>
      <c r="F630" s="20"/>
      <c r="H630" s="11"/>
      <c r="I630" s="10"/>
      <c r="J630" s="12"/>
      <c r="K630" s="12"/>
      <c r="L630" s="13"/>
      <c r="M630" s="12"/>
      <c r="N630" s="12"/>
      <c r="O630" s="13"/>
      <c r="P630" s="12"/>
      <c r="Q630" s="12"/>
      <c r="R630" s="12"/>
    </row>
    <row r="631" spans="3:18" x14ac:dyDescent="0.2">
      <c r="C631" s="9"/>
      <c r="D631" s="9"/>
      <c r="E631" s="19"/>
      <c r="F631" s="20"/>
      <c r="H631" s="11"/>
      <c r="I631" s="10"/>
      <c r="J631" s="12"/>
      <c r="K631" s="12"/>
      <c r="L631" s="13"/>
      <c r="M631" s="12"/>
      <c r="N631" s="12"/>
      <c r="O631" s="13"/>
      <c r="P631" s="12"/>
      <c r="Q631" s="12"/>
      <c r="R631" s="12"/>
    </row>
    <row r="632" spans="3:18" x14ac:dyDescent="0.2">
      <c r="C632" s="9"/>
      <c r="D632" s="9"/>
      <c r="E632" s="19"/>
      <c r="F632" s="20"/>
      <c r="H632" s="11"/>
      <c r="I632" s="10"/>
      <c r="J632" s="12"/>
      <c r="K632" s="12"/>
      <c r="L632" s="13"/>
      <c r="M632" s="13"/>
      <c r="N632" s="12"/>
      <c r="O632" s="13"/>
      <c r="P632" s="12"/>
      <c r="Q632" s="12"/>
      <c r="R632" s="12"/>
    </row>
    <row r="633" spans="3:18" x14ac:dyDescent="0.2">
      <c r="C633" s="9"/>
      <c r="D633" s="9"/>
      <c r="E633" s="19"/>
      <c r="F633" s="20"/>
      <c r="H633" s="11"/>
      <c r="I633" s="10"/>
      <c r="J633" s="12"/>
      <c r="K633" s="12"/>
      <c r="L633" s="13"/>
      <c r="M633" s="12"/>
      <c r="N633" s="12"/>
      <c r="O633" s="13"/>
      <c r="P633" s="12"/>
      <c r="Q633" s="12"/>
      <c r="R633" s="12"/>
    </row>
    <row r="634" spans="3:18" x14ac:dyDescent="0.2">
      <c r="C634" s="9"/>
      <c r="D634" s="9"/>
      <c r="E634" s="19"/>
      <c r="F634" s="20"/>
      <c r="H634" s="11"/>
      <c r="I634" s="10"/>
      <c r="J634" s="12"/>
      <c r="K634" s="12"/>
      <c r="L634" s="13"/>
      <c r="M634" s="12"/>
      <c r="N634" s="12"/>
      <c r="O634" s="13"/>
      <c r="P634" s="12"/>
      <c r="Q634" s="12"/>
      <c r="R634" s="12"/>
    </row>
    <row r="635" spans="3:18" x14ac:dyDescent="0.2">
      <c r="C635" s="9"/>
      <c r="D635" s="9"/>
      <c r="E635" s="19"/>
      <c r="F635" s="20"/>
      <c r="H635" s="11"/>
      <c r="I635" s="10"/>
      <c r="J635" s="12"/>
      <c r="K635" s="12"/>
      <c r="L635" s="13"/>
      <c r="M635" s="12"/>
      <c r="N635" s="12"/>
      <c r="O635" s="13"/>
      <c r="P635" s="12"/>
      <c r="Q635" s="12"/>
      <c r="R635" s="12"/>
    </row>
    <row r="636" spans="3:18" x14ac:dyDescent="0.2">
      <c r="C636" s="9"/>
      <c r="D636" s="9"/>
      <c r="E636" s="19"/>
      <c r="F636" s="20"/>
      <c r="H636" s="11"/>
      <c r="I636" s="10"/>
      <c r="J636" s="12"/>
      <c r="K636" s="12"/>
      <c r="L636" s="13"/>
      <c r="M636" s="12"/>
      <c r="N636" s="12"/>
      <c r="O636" s="13"/>
      <c r="P636" s="12"/>
      <c r="Q636" s="12"/>
      <c r="R636" s="12"/>
    </row>
    <row r="637" spans="3:18" x14ac:dyDescent="0.2">
      <c r="C637" s="9"/>
      <c r="D637" s="9"/>
      <c r="E637" s="19"/>
      <c r="F637" s="20"/>
      <c r="H637" s="11"/>
      <c r="I637" s="10"/>
      <c r="J637" s="12"/>
      <c r="K637" s="12"/>
      <c r="L637" s="13"/>
      <c r="M637" s="13"/>
      <c r="N637" s="12"/>
      <c r="O637" s="13"/>
      <c r="P637" s="12"/>
      <c r="Q637" s="12"/>
      <c r="R637" s="12"/>
    </row>
    <row r="640" spans="3:18" x14ac:dyDescent="0.2">
      <c r="C640" s="9"/>
      <c r="D640" s="9"/>
      <c r="E640" s="19"/>
      <c r="F640" s="20"/>
      <c r="H640" s="11"/>
      <c r="I640" s="22"/>
      <c r="J640" s="12"/>
      <c r="K640" s="12"/>
      <c r="L640" s="9"/>
      <c r="M640" s="12"/>
      <c r="N640" s="12"/>
      <c r="O640" s="13"/>
      <c r="P640" s="12"/>
      <c r="Q640" s="12"/>
      <c r="R640" s="12"/>
    </row>
    <row r="641" spans="3:18" x14ac:dyDescent="0.2">
      <c r="C641" s="9"/>
      <c r="D641" s="9"/>
      <c r="E641" s="19"/>
      <c r="F641" s="20"/>
      <c r="H641" s="11"/>
      <c r="I641" s="10"/>
      <c r="J641" s="12"/>
      <c r="K641" s="12"/>
      <c r="L641" s="13"/>
      <c r="M641" s="12"/>
      <c r="N641" s="12"/>
      <c r="O641" s="13"/>
      <c r="P641" s="12"/>
      <c r="Q641" s="12"/>
      <c r="R641" s="12"/>
    </row>
    <row r="642" spans="3:18" x14ac:dyDescent="0.2">
      <c r="C642" s="9"/>
      <c r="D642" s="9"/>
      <c r="E642" s="19"/>
      <c r="F642" s="20"/>
      <c r="H642" s="11"/>
      <c r="I642" s="10"/>
      <c r="J642" s="12"/>
      <c r="K642" s="12"/>
      <c r="L642" s="13"/>
      <c r="M642" s="12"/>
      <c r="N642" s="12"/>
      <c r="O642" s="13"/>
      <c r="P642" s="12"/>
      <c r="Q642" s="12"/>
      <c r="R642" s="12"/>
    </row>
    <row r="643" spans="3:18" x14ac:dyDescent="0.2">
      <c r="C643" s="9"/>
      <c r="D643" s="9"/>
      <c r="E643" s="19"/>
      <c r="F643" s="20"/>
      <c r="H643" s="11"/>
      <c r="I643" s="10"/>
      <c r="J643" s="12"/>
      <c r="K643" s="12"/>
      <c r="L643" s="13"/>
      <c r="M643" s="12"/>
      <c r="N643" s="12"/>
      <c r="O643" s="13"/>
      <c r="P643" s="12"/>
      <c r="Q643" s="12"/>
      <c r="R643" s="12"/>
    </row>
    <row r="644" spans="3:18" x14ac:dyDescent="0.2">
      <c r="C644" s="9"/>
      <c r="D644" s="9"/>
      <c r="E644" s="19"/>
      <c r="F644" s="20"/>
      <c r="H644" s="11"/>
      <c r="I644" s="10"/>
      <c r="J644" s="12"/>
      <c r="K644" s="12"/>
      <c r="L644" s="13"/>
      <c r="M644" s="12"/>
      <c r="N644" s="12"/>
      <c r="O644" s="13"/>
      <c r="P644" s="12"/>
      <c r="Q644" s="12"/>
      <c r="R644" s="12"/>
    </row>
    <row r="645" spans="3:18" x14ac:dyDescent="0.2">
      <c r="C645" s="9"/>
      <c r="D645" s="9"/>
      <c r="E645" s="19"/>
      <c r="F645" s="20"/>
      <c r="H645" s="11"/>
      <c r="I645" s="10"/>
      <c r="J645" s="12"/>
      <c r="K645" s="12"/>
      <c r="L645" s="13"/>
      <c r="M645" s="13"/>
      <c r="N645" s="12"/>
      <c r="O645" s="13"/>
      <c r="P645" s="12"/>
      <c r="Q645" s="12"/>
      <c r="R645" s="12"/>
    </row>
    <row r="646" spans="3:18" x14ac:dyDescent="0.2">
      <c r="C646" s="9"/>
      <c r="D646" s="9"/>
      <c r="E646" s="19"/>
      <c r="F646" s="20"/>
      <c r="H646" s="11"/>
      <c r="I646" s="10"/>
      <c r="J646" s="12"/>
      <c r="K646" s="12"/>
      <c r="L646" s="13"/>
      <c r="M646" s="12"/>
      <c r="N646" s="12"/>
      <c r="O646" s="13"/>
      <c r="P646" s="12"/>
      <c r="Q646" s="12"/>
      <c r="R646" s="12"/>
    </row>
    <row r="647" spans="3:18" x14ac:dyDescent="0.2">
      <c r="C647" s="9"/>
      <c r="D647" s="9"/>
      <c r="E647" s="19"/>
      <c r="F647" s="20"/>
      <c r="H647" s="11"/>
      <c r="I647" s="10"/>
      <c r="J647" s="12"/>
      <c r="K647" s="12"/>
      <c r="L647" s="13"/>
      <c r="M647" s="12"/>
      <c r="N647" s="12"/>
      <c r="O647" s="13"/>
      <c r="P647" s="12"/>
      <c r="Q647" s="12"/>
      <c r="R647" s="12"/>
    </row>
    <row r="648" spans="3:18" x14ac:dyDescent="0.2">
      <c r="C648" s="9"/>
      <c r="D648" s="9"/>
      <c r="E648" s="19"/>
      <c r="F648" s="20"/>
      <c r="H648" s="11"/>
      <c r="I648" s="10"/>
      <c r="J648" s="12"/>
      <c r="K648" s="12"/>
      <c r="L648" s="13"/>
      <c r="M648" s="12"/>
      <c r="N648" s="12"/>
      <c r="O648" s="13"/>
      <c r="P648" s="12"/>
      <c r="Q648" s="12"/>
      <c r="R648" s="12"/>
    </row>
    <row r="649" spans="3:18" x14ac:dyDescent="0.2">
      <c r="C649" s="9"/>
      <c r="D649" s="9"/>
      <c r="E649" s="19"/>
      <c r="F649" s="20"/>
      <c r="H649" s="11"/>
      <c r="I649" s="10"/>
      <c r="J649" s="12"/>
      <c r="K649" s="12"/>
      <c r="L649" s="13"/>
      <c r="M649" s="12"/>
      <c r="N649" s="12"/>
      <c r="O649" s="13"/>
      <c r="P649" s="12"/>
      <c r="Q649" s="12"/>
      <c r="R649" s="12"/>
    </row>
    <row r="650" spans="3:18" x14ac:dyDescent="0.2">
      <c r="C650" s="9"/>
      <c r="D650" s="9"/>
      <c r="E650" s="19"/>
      <c r="F650" s="20"/>
      <c r="H650" s="11"/>
      <c r="I650" s="10"/>
      <c r="J650" s="12"/>
      <c r="K650" s="12"/>
      <c r="L650" s="13"/>
      <c r="M650" s="13"/>
      <c r="N650" s="12"/>
      <c r="O650" s="13"/>
      <c r="P650" s="12"/>
      <c r="Q650" s="12"/>
      <c r="R650" s="12"/>
    </row>
    <row r="651" spans="3:18" x14ac:dyDescent="0.2">
      <c r="C651" s="9"/>
      <c r="D651" s="9"/>
      <c r="E651" s="19"/>
      <c r="F651" s="20"/>
      <c r="H651" s="11"/>
      <c r="I651" s="10"/>
      <c r="J651" s="12"/>
      <c r="K651" s="12"/>
      <c r="L651" s="13"/>
      <c r="M651" s="12"/>
      <c r="N651" s="12"/>
      <c r="O651" s="13"/>
      <c r="P651" s="12"/>
      <c r="Q651" s="12"/>
      <c r="R651" s="12"/>
    </row>
    <row r="652" spans="3:18" x14ac:dyDescent="0.2">
      <c r="C652" s="9"/>
      <c r="D652" s="9"/>
      <c r="E652" s="19"/>
      <c r="F652" s="20"/>
      <c r="H652" s="11"/>
      <c r="I652" s="10"/>
      <c r="J652" s="12"/>
      <c r="K652" s="12"/>
      <c r="L652" s="13"/>
      <c r="M652" s="12"/>
      <c r="N652" s="12"/>
      <c r="O652" s="13"/>
      <c r="P652" s="12"/>
      <c r="Q652" s="12"/>
      <c r="R652" s="12"/>
    </row>
    <row r="653" spans="3:18" x14ac:dyDescent="0.2">
      <c r="C653" s="9"/>
      <c r="D653" s="9"/>
      <c r="E653" s="19"/>
      <c r="F653" s="20"/>
      <c r="H653" s="11"/>
      <c r="I653" s="10"/>
      <c r="J653" s="12"/>
      <c r="K653" s="12"/>
      <c r="L653" s="13"/>
      <c r="M653" s="12"/>
      <c r="N653" s="12"/>
      <c r="O653" s="13"/>
      <c r="P653" s="12"/>
      <c r="Q653" s="12"/>
      <c r="R653" s="12"/>
    </row>
    <row r="654" spans="3:18" x14ac:dyDescent="0.2">
      <c r="C654" s="9"/>
      <c r="D654" s="9"/>
      <c r="E654" s="19"/>
      <c r="F654" s="20"/>
      <c r="H654" s="11"/>
      <c r="I654" s="10"/>
      <c r="J654" s="12"/>
      <c r="K654" s="12"/>
      <c r="L654" s="13"/>
      <c r="M654" s="12"/>
      <c r="N654" s="12"/>
      <c r="O654" s="13"/>
      <c r="P654" s="12"/>
      <c r="Q654" s="12"/>
      <c r="R654" s="12"/>
    </row>
    <row r="655" spans="3:18" x14ac:dyDescent="0.2">
      <c r="C655" s="9"/>
      <c r="D655" s="9"/>
      <c r="E655" s="19"/>
      <c r="F655" s="20"/>
      <c r="H655" s="11"/>
      <c r="I655" s="10"/>
      <c r="J655" s="12"/>
      <c r="K655" s="12"/>
      <c r="L655" s="13"/>
      <c r="M655" s="13"/>
      <c r="N655" s="12"/>
      <c r="O655" s="13"/>
      <c r="P655" s="12"/>
      <c r="Q655" s="12"/>
      <c r="R655" s="12"/>
    </row>
    <row r="658" spans="3:18" x14ac:dyDescent="0.2">
      <c r="C658" s="9"/>
      <c r="D658" s="9"/>
      <c r="E658" s="19"/>
      <c r="F658" s="20"/>
      <c r="H658" s="11"/>
      <c r="I658" s="22"/>
      <c r="J658" s="12"/>
      <c r="K658" s="12"/>
      <c r="L658" s="9"/>
      <c r="M658" s="12"/>
      <c r="N658" s="12"/>
      <c r="O658" s="13"/>
      <c r="P658" s="12"/>
      <c r="Q658" s="12"/>
      <c r="R658" s="12"/>
    </row>
    <row r="659" spans="3:18" x14ac:dyDescent="0.2">
      <c r="C659" s="9"/>
      <c r="D659" s="9"/>
      <c r="E659" s="19"/>
      <c r="F659" s="20"/>
      <c r="H659" s="11"/>
      <c r="I659" s="10"/>
      <c r="J659" s="12"/>
      <c r="K659" s="12"/>
      <c r="L659" s="13"/>
      <c r="M659" s="12"/>
      <c r="N659" s="12"/>
      <c r="O659" s="13"/>
      <c r="P659" s="12"/>
      <c r="Q659" s="12"/>
      <c r="R659" s="12"/>
    </row>
    <row r="660" spans="3:18" x14ac:dyDescent="0.2">
      <c r="C660" s="9"/>
      <c r="D660" s="9"/>
      <c r="E660" s="19"/>
      <c r="F660" s="20"/>
      <c r="H660" s="11"/>
      <c r="I660" s="10"/>
      <c r="J660" s="12"/>
      <c r="K660" s="12"/>
      <c r="L660" s="13"/>
      <c r="M660" s="12"/>
      <c r="N660" s="12"/>
      <c r="O660" s="13"/>
      <c r="P660" s="12"/>
      <c r="Q660" s="12"/>
      <c r="R660" s="12"/>
    </row>
    <row r="661" spans="3:18" x14ac:dyDescent="0.2">
      <c r="C661" s="9"/>
      <c r="D661" s="9"/>
      <c r="E661" s="19"/>
      <c r="F661" s="20"/>
      <c r="H661" s="11"/>
      <c r="I661" s="10"/>
      <c r="J661" s="12"/>
      <c r="K661" s="12"/>
      <c r="L661" s="13"/>
      <c r="M661" s="12"/>
      <c r="N661" s="12"/>
      <c r="O661" s="13"/>
      <c r="P661" s="12"/>
      <c r="Q661" s="12"/>
      <c r="R661" s="12"/>
    </row>
    <row r="662" spans="3:18" x14ac:dyDescent="0.2">
      <c r="C662" s="9"/>
      <c r="D662" s="9"/>
      <c r="E662" s="19"/>
      <c r="F662" s="20"/>
      <c r="H662" s="11"/>
      <c r="I662" s="10"/>
      <c r="J662" s="12"/>
      <c r="K662" s="12"/>
      <c r="L662" s="13"/>
      <c r="M662" s="12"/>
      <c r="N662" s="12"/>
      <c r="O662" s="13"/>
      <c r="P662" s="12"/>
      <c r="Q662" s="12"/>
      <c r="R662" s="12"/>
    </row>
    <row r="663" spans="3:18" x14ac:dyDescent="0.2">
      <c r="C663" s="9"/>
      <c r="D663" s="9"/>
      <c r="E663" s="19"/>
      <c r="F663" s="20"/>
      <c r="H663" s="11"/>
      <c r="I663" s="10"/>
      <c r="J663" s="12"/>
      <c r="K663" s="12"/>
      <c r="L663" s="13"/>
      <c r="M663" s="13"/>
      <c r="N663" s="12"/>
      <c r="O663" s="13"/>
      <c r="P663" s="12"/>
      <c r="Q663" s="12"/>
      <c r="R663" s="12"/>
    </row>
    <row r="664" spans="3:18" x14ac:dyDescent="0.2">
      <c r="C664" s="9"/>
      <c r="D664" s="9"/>
      <c r="E664" s="19"/>
      <c r="F664" s="20"/>
      <c r="H664" s="11"/>
      <c r="I664" s="10"/>
      <c r="J664" s="12"/>
      <c r="K664" s="12"/>
      <c r="L664" s="13"/>
      <c r="M664" s="12"/>
      <c r="N664" s="12"/>
      <c r="O664" s="13"/>
      <c r="P664" s="12"/>
      <c r="Q664" s="12"/>
      <c r="R664" s="12"/>
    </row>
    <row r="665" spans="3:18" x14ac:dyDescent="0.2">
      <c r="C665" s="9"/>
      <c r="D665" s="9"/>
      <c r="E665" s="19"/>
      <c r="F665" s="20"/>
      <c r="H665" s="11"/>
      <c r="I665" s="10"/>
      <c r="J665" s="12"/>
      <c r="K665" s="12"/>
      <c r="L665" s="13"/>
      <c r="M665" s="12"/>
      <c r="N665" s="12"/>
      <c r="O665" s="13"/>
      <c r="P665" s="12"/>
      <c r="Q665" s="12"/>
      <c r="R665" s="12"/>
    </row>
    <row r="666" spans="3:18" x14ac:dyDescent="0.2">
      <c r="C666" s="9"/>
      <c r="D666" s="9"/>
      <c r="E666" s="19"/>
      <c r="F666" s="20"/>
      <c r="H666" s="11"/>
      <c r="I666" s="10"/>
      <c r="J666" s="12"/>
      <c r="K666" s="12"/>
      <c r="L666" s="13"/>
      <c r="M666" s="12"/>
      <c r="N666" s="12"/>
      <c r="O666" s="13"/>
      <c r="P666" s="12"/>
      <c r="Q666" s="12"/>
      <c r="R666" s="12"/>
    </row>
    <row r="667" spans="3:18" x14ac:dyDescent="0.2">
      <c r="C667" s="9"/>
      <c r="D667" s="9"/>
      <c r="E667" s="19"/>
      <c r="F667" s="20"/>
      <c r="H667" s="11"/>
      <c r="I667" s="10"/>
      <c r="J667" s="12"/>
      <c r="K667" s="12"/>
      <c r="L667" s="13"/>
      <c r="M667" s="12"/>
      <c r="N667" s="12"/>
      <c r="O667" s="13"/>
      <c r="P667" s="12"/>
      <c r="Q667" s="12"/>
      <c r="R667" s="12"/>
    </row>
    <row r="668" spans="3:18" x14ac:dyDescent="0.2">
      <c r="C668" s="9"/>
      <c r="D668" s="9"/>
      <c r="E668" s="19"/>
      <c r="F668" s="20"/>
      <c r="H668" s="11"/>
      <c r="I668" s="10"/>
      <c r="J668" s="12"/>
      <c r="K668" s="12"/>
      <c r="L668" s="13"/>
      <c r="M668" s="13"/>
      <c r="N668" s="12"/>
      <c r="O668" s="13"/>
      <c r="P668" s="12"/>
      <c r="Q668" s="12"/>
      <c r="R668" s="12"/>
    </row>
    <row r="669" spans="3:18" x14ac:dyDescent="0.2">
      <c r="C669" s="9"/>
      <c r="D669" s="9"/>
      <c r="E669" s="19"/>
      <c r="F669" s="20"/>
      <c r="H669" s="11"/>
      <c r="I669" s="10"/>
      <c r="J669" s="12"/>
      <c r="K669" s="12"/>
      <c r="L669" s="13"/>
      <c r="M669" s="12"/>
      <c r="N669" s="12"/>
      <c r="O669" s="13"/>
      <c r="P669" s="12"/>
      <c r="Q669" s="12"/>
      <c r="R669" s="12"/>
    </row>
    <row r="670" spans="3:18" x14ac:dyDescent="0.2">
      <c r="C670" s="9"/>
      <c r="D670" s="9"/>
      <c r="E670" s="19"/>
      <c r="F670" s="20"/>
      <c r="H670" s="11"/>
      <c r="I670" s="10"/>
      <c r="J670" s="12"/>
      <c r="K670" s="12"/>
      <c r="L670" s="13"/>
      <c r="M670" s="12"/>
      <c r="N670" s="12"/>
      <c r="O670" s="13"/>
      <c r="P670" s="12"/>
      <c r="Q670" s="12"/>
      <c r="R670" s="12"/>
    </row>
    <row r="671" spans="3:18" x14ac:dyDescent="0.2">
      <c r="C671" s="9"/>
      <c r="D671" s="9"/>
      <c r="E671" s="19"/>
      <c r="F671" s="20"/>
      <c r="H671" s="11"/>
      <c r="I671" s="10"/>
      <c r="J671" s="12"/>
      <c r="K671" s="12"/>
      <c r="L671" s="13"/>
      <c r="M671" s="12"/>
      <c r="N671" s="12"/>
      <c r="O671" s="13"/>
      <c r="P671" s="12"/>
      <c r="Q671" s="12"/>
      <c r="R671" s="12"/>
    </row>
    <row r="672" spans="3:18" x14ac:dyDescent="0.2">
      <c r="C672" s="9"/>
      <c r="D672" s="9"/>
      <c r="E672" s="19"/>
      <c r="F672" s="20"/>
      <c r="H672" s="11"/>
      <c r="I672" s="10"/>
      <c r="J672" s="12"/>
      <c r="K672" s="12"/>
      <c r="L672" s="13"/>
      <c r="M672" s="12"/>
      <c r="N672" s="12"/>
      <c r="O672" s="13"/>
      <c r="P672" s="12"/>
      <c r="Q672" s="12"/>
      <c r="R672" s="12"/>
    </row>
    <row r="673" spans="3:18" x14ac:dyDescent="0.2">
      <c r="C673" s="9"/>
      <c r="D673" s="9"/>
      <c r="E673" s="19"/>
      <c r="F673" s="20"/>
      <c r="H673" s="11"/>
      <c r="I673" s="10"/>
      <c r="J673" s="12"/>
      <c r="K673" s="12"/>
      <c r="L673" s="13"/>
      <c r="M673" s="13"/>
      <c r="N673" s="12"/>
      <c r="O673" s="13"/>
      <c r="P673" s="12"/>
      <c r="Q673" s="12"/>
      <c r="R673" s="12"/>
    </row>
    <row r="676" spans="3:18" x14ac:dyDescent="0.2">
      <c r="C676" s="9"/>
      <c r="D676" s="9"/>
      <c r="E676" s="19"/>
      <c r="F676" s="20"/>
      <c r="H676" s="11"/>
      <c r="I676" s="22"/>
      <c r="J676" s="12"/>
      <c r="K676" s="12"/>
      <c r="L676" s="9"/>
      <c r="M676" s="12"/>
      <c r="N676" s="12"/>
      <c r="O676" s="13"/>
      <c r="P676" s="12"/>
      <c r="Q676" s="12"/>
      <c r="R676" s="12"/>
    </row>
    <row r="677" spans="3:18" x14ac:dyDescent="0.2">
      <c r="C677" s="9"/>
      <c r="D677" s="9"/>
      <c r="E677" s="19"/>
      <c r="F677" s="20"/>
      <c r="H677" s="11"/>
      <c r="I677" s="10"/>
      <c r="J677" s="12"/>
      <c r="K677" s="12"/>
      <c r="L677" s="13"/>
      <c r="M677" s="12"/>
      <c r="N677" s="12"/>
      <c r="O677" s="13"/>
      <c r="P677" s="12"/>
      <c r="Q677" s="12"/>
      <c r="R677" s="12"/>
    </row>
    <row r="678" spans="3:18" x14ac:dyDescent="0.2">
      <c r="C678" s="9"/>
      <c r="D678" s="9"/>
      <c r="E678" s="19"/>
      <c r="F678" s="20"/>
      <c r="H678" s="11"/>
      <c r="I678" s="10"/>
      <c r="J678" s="12"/>
      <c r="K678" s="12"/>
      <c r="L678" s="13"/>
      <c r="M678" s="12"/>
      <c r="N678" s="12"/>
      <c r="O678" s="13"/>
      <c r="P678" s="12"/>
      <c r="Q678" s="12"/>
      <c r="R678" s="12"/>
    </row>
    <row r="679" spans="3:18" x14ac:dyDescent="0.2">
      <c r="C679" s="9"/>
      <c r="D679" s="9"/>
      <c r="E679" s="19"/>
      <c r="F679" s="20"/>
      <c r="H679" s="11"/>
      <c r="I679" s="10"/>
      <c r="J679" s="12"/>
      <c r="K679" s="12"/>
      <c r="L679" s="13"/>
      <c r="M679" s="12"/>
      <c r="N679" s="12"/>
      <c r="O679" s="13"/>
      <c r="P679" s="12"/>
      <c r="Q679" s="12"/>
      <c r="R679" s="12"/>
    </row>
    <row r="680" spans="3:18" x14ac:dyDescent="0.2">
      <c r="C680" s="9"/>
      <c r="D680" s="9"/>
      <c r="E680" s="19"/>
      <c r="F680" s="20"/>
      <c r="H680" s="11"/>
      <c r="I680" s="10"/>
      <c r="J680" s="12"/>
      <c r="K680" s="12"/>
      <c r="L680" s="13"/>
      <c r="M680" s="12"/>
      <c r="N680" s="12"/>
      <c r="O680" s="13"/>
      <c r="P680" s="12"/>
      <c r="Q680" s="12"/>
      <c r="R680" s="12"/>
    </row>
    <row r="681" spans="3:18" x14ac:dyDescent="0.2">
      <c r="C681" s="9"/>
      <c r="D681" s="9"/>
      <c r="E681" s="19"/>
      <c r="F681" s="20"/>
      <c r="H681" s="11"/>
      <c r="I681" s="10"/>
      <c r="J681" s="12"/>
      <c r="K681" s="12"/>
      <c r="L681" s="13"/>
      <c r="M681" s="13"/>
      <c r="N681" s="12"/>
      <c r="O681" s="13"/>
      <c r="P681" s="12"/>
      <c r="Q681" s="12"/>
      <c r="R681" s="12"/>
    </row>
    <row r="682" spans="3:18" x14ac:dyDescent="0.2">
      <c r="C682" s="9"/>
      <c r="D682" s="9"/>
      <c r="E682" s="19"/>
      <c r="F682" s="20"/>
      <c r="H682" s="11"/>
      <c r="I682" s="10"/>
      <c r="J682" s="12"/>
      <c r="K682" s="12"/>
      <c r="L682" s="13"/>
      <c r="M682" s="12"/>
      <c r="N682" s="12"/>
      <c r="O682" s="13"/>
      <c r="P682" s="12"/>
      <c r="Q682" s="12"/>
      <c r="R682" s="12"/>
    </row>
    <row r="683" spans="3:18" x14ac:dyDescent="0.2">
      <c r="C683" s="9"/>
      <c r="D683" s="9"/>
      <c r="E683" s="19"/>
      <c r="F683" s="20"/>
      <c r="H683" s="11"/>
      <c r="I683" s="10"/>
      <c r="J683" s="12"/>
      <c r="K683" s="12"/>
      <c r="L683" s="13"/>
      <c r="M683" s="12"/>
      <c r="N683" s="12"/>
      <c r="O683" s="13"/>
      <c r="P683" s="12"/>
      <c r="Q683" s="12"/>
      <c r="R683" s="12"/>
    </row>
    <row r="684" spans="3:18" x14ac:dyDescent="0.2">
      <c r="C684" s="9"/>
      <c r="D684" s="9"/>
      <c r="E684" s="19"/>
      <c r="F684" s="20"/>
      <c r="H684" s="11"/>
      <c r="I684" s="10"/>
      <c r="J684" s="12"/>
      <c r="K684" s="12"/>
      <c r="L684" s="13"/>
      <c r="M684" s="12"/>
      <c r="N684" s="12"/>
      <c r="O684" s="13"/>
      <c r="P684" s="12"/>
      <c r="Q684" s="12"/>
      <c r="R684" s="12"/>
    </row>
    <row r="685" spans="3:18" x14ac:dyDescent="0.2">
      <c r="C685" s="9"/>
      <c r="D685" s="9"/>
      <c r="E685" s="19"/>
      <c r="F685" s="20"/>
      <c r="H685" s="11"/>
      <c r="I685" s="10"/>
      <c r="J685" s="12"/>
      <c r="K685" s="12"/>
      <c r="L685" s="13"/>
      <c r="M685" s="12"/>
      <c r="N685" s="12"/>
      <c r="O685" s="13"/>
      <c r="P685" s="12"/>
      <c r="Q685" s="12"/>
      <c r="R685" s="12"/>
    </row>
    <row r="686" spans="3:18" x14ac:dyDescent="0.2">
      <c r="C686" s="9"/>
      <c r="D686" s="9"/>
      <c r="E686" s="19"/>
      <c r="F686" s="20"/>
      <c r="H686" s="11"/>
      <c r="I686" s="10"/>
      <c r="J686" s="12"/>
      <c r="K686" s="12"/>
      <c r="L686" s="13"/>
      <c r="M686" s="13"/>
      <c r="N686" s="12"/>
      <c r="O686" s="13"/>
      <c r="P686" s="12"/>
      <c r="Q686" s="12"/>
      <c r="R686" s="12"/>
    </row>
    <row r="687" spans="3:18" x14ac:dyDescent="0.2">
      <c r="C687" s="9"/>
      <c r="D687" s="9"/>
      <c r="E687" s="19"/>
      <c r="F687" s="20"/>
      <c r="H687" s="11"/>
      <c r="I687" s="10"/>
      <c r="J687" s="12"/>
      <c r="K687" s="12"/>
      <c r="L687" s="13"/>
      <c r="M687" s="12"/>
      <c r="N687" s="12"/>
      <c r="O687" s="13"/>
      <c r="P687" s="12"/>
      <c r="Q687" s="12"/>
      <c r="R687" s="12"/>
    </row>
    <row r="688" spans="3:18" x14ac:dyDescent="0.2">
      <c r="C688" s="9"/>
      <c r="D688" s="9"/>
      <c r="E688" s="19"/>
      <c r="F688" s="20"/>
      <c r="H688" s="11"/>
      <c r="I688" s="10"/>
      <c r="J688" s="12"/>
      <c r="K688" s="12"/>
      <c r="L688" s="13"/>
      <c r="M688" s="12"/>
      <c r="N688" s="12"/>
      <c r="O688" s="13"/>
      <c r="P688" s="12"/>
      <c r="Q688" s="12"/>
      <c r="R688" s="12"/>
    </row>
    <row r="689" spans="3:18" x14ac:dyDescent="0.2">
      <c r="C689" s="9"/>
      <c r="D689" s="9"/>
      <c r="E689" s="19"/>
      <c r="F689" s="20"/>
      <c r="H689" s="11"/>
      <c r="I689" s="10"/>
      <c r="J689" s="12"/>
      <c r="K689" s="12"/>
      <c r="L689" s="13"/>
      <c r="M689" s="12"/>
      <c r="N689" s="12"/>
      <c r="O689" s="13"/>
      <c r="P689" s="12"/>
      <c r="Q689" s="12"/>
      <c r="R689" s="12"/>
    </row>
    <row r="690" spans="3:18" x14ac:dyDescent="0.2">
      <c r="C690" s="9"/>
      <c r="D690" s="9"/>
      <c r="E690" s="19"/>
      <c r="F690" s="20"/>
      <c r="H690" s="11"/>
      <c r="I690" s="10"/>
      <c r="J690" s="12"/>
      <c r="K690" s="12"/>
      <c r="L690" s="13"/>
      <c r="M690" s="12"/>
      <c r="N690" s="12"/>
      <c r="O690" s="13"/>
      <c r="P690" s="12"/>
      <c r="Q690" s="12"/>
      <c r="R690" s="12"/>
    </row>
    <row r="691" spans="3:18" x14ac:dyDescent="0.2">
      <c r="C691" s="9"/>
      <c r="D691" s="9"/>
      <c r="E691" s="19"/>
      <c r="F691" s="20"/>
      <c r="H691" s="11"/>
      <c r="I691" s="10"/>
      <c r="J691" s="12"/>
      <c r="K691" s="12"/>
      <c r="L691" s="13"/>
      <c r="M691" s="13"/>
      <c r="N691" s="12"/>
      <c r="O691" s="13"/>
      <c r="P691" s="12"/>
      <c r="Q691" s="12"/>
      <c r="R691" s="12"/>
    </row>
    <row r="694" spans="3:18" x14ac:dyDescent="0.2">
      <c r="C694" s="9"/>
      <c r="D694" s="9"/>
      <c r="E694" s="19"/>
      <c r="F694" s="20"/>
      <c r="H694" s="11"/>
      <c r="I694" s="22"/>
      <c r="J694" s="12"/>
      <c r="K694" s="12"/>
      <c r="L694" s="9"/>
      <c r="M694" s="12"/>
      <c r="N694" s="12"/>
      <c r="O694" s="13"/>
      <c r="P694" s="12"/>
      <c r="Q694" s="12"/>
      <c r="R694" s="12"/>
    </row>
    <row r="695" spans="3:18" x14ac:dyDescent="0.2">
      <c r="C695" s="9"/>
      <c r="D695" s="9"/>
      <c r="E695" s="19"/>
      <c r="F695" s="20"/>
      <c r="H695" s="11"/>
      <c r="I695" s="10"/>
      <c r="J695" s="12"/>
      <c r="K695" s="12"/>
      <c r="L695" s="13"/>
      <c r="M695" s="12"/>
      <c r="N695" s="12"/>
      <c r="O695" s="13"/>
      <c r="P695" s="12"/>
      <c r="Q695" s="12"/>
      <c r="R695" s="12"/>
    </row>
    <row r="696" spans="3:18" x14ac:dyDescent="0.2">
      <c r="C696" s="9"/>
      <c r="D696" s="9"/>
      <c r="E696" s="19"/>
      <c r="F696" s="20"/>
      <c r="H696" s="11"/>
      <c r="I696" s="10"/>
      <c r="J696" s="12"/>
      <c r="K696" s="12"/>
      <c r="L696" s="13"/>
      <c r="M696" s="12"/>
      <c r="N696" s="12"/>
      <c r="O696" s="13"/>
      <c r="P696" s="12"/>
      <c r="Q696" s="12"/>
      <c r="R696" s="12"/>
    </row>
    <row r="697" spans="3:18" x14ac:dyDescent="0.2">
      <c r="C697" s="9"/>
      <c r="D697" s="9"/>
      <c r="E697" s="19"/>
      <c r="F697" s="20"/>
      <c r="H697" s="11"/>
      <c r="I697" s="10"/>
      <c r="J697" s="12"/>
      <c r="K697" s="12"/>
      <c r="L697" s="13"/>
      <c r="M697" s="12"/>
      <c r="N697" s="12"/>
      <c r="O697" s="13"/>
      <c r="P697" s="12"/>
      <c r="Q697" s="12"/>
      <c r="R697" s="12"/>
    </row>
    <row r="698" spans="3:18" x14ac:dyDescent="0.2">
      <c r="C698" s="9"/>
      <c r="D698" s="9"/>
      <c r="E698" s="19"/>
      <c r="F698" s="20"/>
      <c r="H698" s="11"/>
      <c r="I698" s="10"/>
      <c r="J698" s="12"/>
      <c r="K698" s="12"/>
      <c r="L698" s="13"/>
      <c r="M698" s="12"/>
      <c r="N698" s="12"/>
      <c r="O698" s="13"/>
      <c r="P698" s="12"/>
      <c r="Q698" s="12"/>
      <c r="R698" s="12"/>
    </row>
    <row r="699" spans="3:18" x14ac:dyDescent="0.2">
      <c r="C699" s="9"/>
      <c r="D699" s="9"/>
      <c r="E699" s="19"/>
      <c r="F699" s="20"/>
      <c r="H699" s="11"/>
      <c r="I699" s="10"/>
      <c r="J699" s="12"/>
      <c r="K699" s="12"/>
      <c r="L699" s="13"/>
      <c r="M699" s="13"/>
      <c r="N699" s="12"/>
      <c r="O699" s="13"/>
      <c r="P699" s="12"/>
      <c r="Q699" s="12"/>
      <c r="R699" s="12"/>
    </row>
    <row r="700" spans="3:18" x14ac:dyDescent="0.2">
      <c r="C700" s="9"/>
      <c r="D700" s="9"/>
      <c r="E700" s="19"/>
      <c r="F700" s="20"/>
      <c r="H700" s="11"/>
      <c r="I700" s="10"/>
      <c r="J700" s="12"/>
      <c r="K700" s="12"/>
      <c r="L700" s="13"/>
      <c r="M700" s="12"/>
      <c r="N700" s="12"/>
      <c r="O700" s="13"/>
      <c r="P700" s="12"/>
      <c r="Q700" s="12"/>
      <c r="R700" s="12"/>
    </row>
    <row r="701" spans="3:18" x14ac:dyDescent="0.2">
      <c r="C701" s="9"/>
      <c r="D701" s="9"/>
      <c r="E701" s="19"/>
      <c r="F701" s="20"/>
      <c r="H701" s="11"/>
      <c r="I701" s="10"/>
      <c r="J701" s="12"/>
      <c r="K701" s="12"/>
      <c r="L701" s="13"/>
      <c r="M701" s="12"/>
      <c r="N701" s="12"/>
      <c r="O701" s="13"/>
      <c r="P701" s="12"/>
      <c r="Q701" s="12"/>
      <c r="R701" s="12"/>
    </row>
    <row r="702" spans="3:18" x14ac:dyDescent="0.2">
      <c r="C702" s="9"/>
      <c r="D702" s="9"/>
      <c r="E702" s="19"/>
      <c r="F702" s="20"/>
      <c r="H702" s="11"/>
      <c r="I702" s="10"/>
      <c r="J702" s="12"/>
      <c r="K702" s="12"/>
      <c r="L702" s="13"/>
      <c r="M702" s="12"/>
      <c r="N702" s="12"/>
      <c r="O702" s="13"/>
      <c r="P702" s="12"/>
      <c r="Q702" s="12"/>
      <c r="R702" s="12"/>
    </row>
    <row r="703" spans="3:18" x14ac:dyDescent="0.2">
      <c r="C703" s="9"/>
      <c r="D703" s="9"/>
      <c r="E703" s="19"/>
      <c r="F703" s="20"/>
      <c r="H703" s="11"/>
      <c r="I703" s="10"/>
      <c r="J703" s="12"/>
      <c r="K703" s="12"/>
      <c r="L703" s="13"/>
      <c r="M703" s="12"/>
      <c r="N703" s="12"/>
      <c r="O703" s="13"/>
      <c r="P703" s="12"/>
      <c r="Q703" s="12"/>
      <c r="R703" s="12"/>
    </row>
    <row r="704" spans="3:18" x14ac:dyDescent="0.2">
      <c r="C704" s="9"/>
      <c r="D704" s="9"/>
      <c r="E704" s="19"/>
      <c r="F704" s="20"/>
      <c r="H704" s="11"/>
      <c r="I704" s="10"/>
      <c r="J704" s="12"/>
      <c r="K704" s="12"/>
      <c r="L704" s="13"/>
      <c r="M704" s="13"/>
      <c r="N704" s="12"/>
      <c r="O704" s="13"/>
      <c r="P704" s="12"/>
      <c r="Q704" s="12"/>
      <c r="R704" s="12"/>
    </row>
    <row r="705" spans="3:18" x14ac:dyDescent="0.2">
      <c r="C705" s="9"/>
      <c r="D705" s="9"/>
      <c r="E705" s="19"/>
      <c r="F705" s="20"/>
      <c r="H705" s="11"/>
      <c r="I705" s="10"/>
      <c r="J705" s="12"/>
      <c r="K705" s="12"/>
      <c r="L705" s="13"/>
      <c r="M705" s="12"/>
      <c r="N705" s="12"/>
      <c r="O705" s="13"/>
      <c r="P705" s="12"/>
      <c r="Q705" s="12"/>
      <c r="R705" s="12"/>
    </row>
    <row r="706" spans="3:18" x14ac:dyDescent="0.2">
      <c r="C706" s="9"/>
      <c r="D706" s="9"/>
      <c r="E706" s="19"/>
      <c r="F706" s="20"/>
      <c r="H706" s="11"/>
      <c r="I706" s="10"/>
      <c r="J706" s="12"/>
      <c r="K706" s="12"/>
      <c r="L706" s="13"/>
      <c r="M706" s="12"/>
      <c r="N706" s="12"/>
      <c r="O706" s="13"/>
      <c r="P706" s="12"/>
      <c r="Q706" s="12"/>
      <c r="R706" s="12"/>
    </row>
    <row r="707" spans="3:18" x14ac:dyDescent="0.2">
      <c r="C707" s="9"/>
      <c r="D707" s="9"/>
      <c r="E707" s="19"/>
      <c r="F707" s="20"/>
      <c r="H707" s="11"/>
      <c r="I707" s="10"/>
      <c r="J707" s="12"/>
      <c r="K707" s="12"/>
      <c r="L707" s="13"/>
      <c r="M707" s="12"/>
      <c r="N707" s="12"/>
      <c r="O707" s="13"/>
      <c r="P707" s="12"/>
      <c r="Q707" s="12"/>
      <c r="R707" s="12"/>
    </row>
    <row r="708" spans="3:18" x14ac:dyDescent="0.2">
      <c r="C708" s="9"/>
      <c r="D708" s="9"/>
      <c r="E708" s="19"/>
      <c r="F708" s="20"/>
      <c r="H708" s="11"/>
      <c r="I708" s="10"/>
      <c r="J708" s="12"/>
      <c r="K708" s="12"/>
      <c r="L708" s="13"/>
      <c r="M708" s="12"/>
      <c r="N708" s="12"/>
      <c r="O708" s="13"/>
      <c r="P708" s="12"/>
      <c r="Q708" s="12"/>
      <c r="R708" s="12"/>
    </row>
    <row r="709" spans="3:18" x14ac:dyDescent="0.2">
      <c r="C709" s="9"/>
      <c r="D709" s="9"/>
      <c r="E709" s="19"/>
      <c r="F709" s="20"/>
      <c r="H709" s="11"/>
      <c r="I709" s="10"/>
      <c r="J709" s="12"/>
      <c r="K709" s="12"/>
      <c r="L709" s="13"/>
      <c r="M709" s="13"/>
      <c r="N709" s="12"/>
      <c r="O709" s="13"/>
      <c r="P709" s="12"/>
      <c r="Q709" s="12"/>
      <c r="R709" s="12"/>
    </row>
    <row r="712" spans="3:18" x14ac:dyDescent="0.2">
      <c r="C712" s="9"/>
      <c r="D712" s="9"/>
      <c r="E712" s="19"/>
      <c r="F712" s="20"/>
      <c r="H712" s="11"/>
      <c r="I712" s="22"/>
      <c r="J712" s="12"/>
      <c r="K712" s="12"/>
      <c r="L712" s="9"/>
      <c r="M712" s="12"/>
      <c r="N712" s="12"/>
      <c r="O712" s="13"/>
      <c r="P712" s="12"/>
      <c r="Q712" s="12"/>
      <c r="R712" s="12"/>
    </row>
    <row r="713" spans="3:18" x14ac:dyDescent="0.2">
      <c r="C713" s="9"/>
      <c r="D713" s="9"/>
      <c r="E713" s="19"/>
      <c r="F713" s="20"/>
      <c r="H713" s="11"/>
      <c r="I713" s="10"/>
      <c r="J713" s="12"/>
      <c r="K713" s="12"/>
      <c r="L713" s="13"/>
      <c r="M713" s="12"/>
      <c r="N713" s="12"/>
      <c r="O713" s="13"/>
      <c r="P713" s="12"/>
      <c r="Q713" s="12"/>
      <c r="R713" s="12"/>
    </row>
    <row r="714" spans="3:18" x14ac:dyDescent="0.2">
      <c r="C714" s="9"/>
      <c r="D714" s="9"/>
      <c r="E714" s="19"/>
      <c r="F714" s="20"/>
      <c r="H714" s="11"/>
      <c r="I714" s="10"/>
      <c r="J714" s="12"/>
      <c r="K714" s="12"/>
      <c r="L714" s="13"/>
      <c r="M714" s="12"/>
      <c r="N714" s="12"/>
      <c r="O714" s="13"/>
      <c r="P714" s="12"/>
      <c r="Q714" s="12"/>
      <c r="R714" s="12"/>
    </row>
    <row r="715" spans="3:18" x14ac:dyDescent="0.2">
      <c r="C715" s="9"/>
      <c r="D715" s="9"/>
      <c r="E715" s="19"/>
      <c r="F715" s="20"/>
      <c r="H715" s="11"/>
      <c r="I715" s="10"/>
      <c r="J715" s="12"/>
      <c r="K715" s="12"/>
      <c r="L715" s="13"/>
      <c r="M715" s="12"/>
      <c r="N715" s="12"/>
      <c r="O715" s="13"/>
      <c r="P715" s="12"/>
      <c r="Q715" s="12"/>
      <c r="R715" s="12"/>
    </row>
    <row r="716" spans="3:18" x14ac:dyDescent="0.2">
      <c r="C716" s="9"/>
      <c r="D716" s="9"/>
      <c r="E716" s="19"/>
      <c r="F716" s="20"/>
      <c r="H716" s="11"/>
      <c r="I716" s="10"/>
      <c r="J716" s="12"/>
      <c r="K716" s="12"/>
      <c r="L716" s="13"/>
      <c r="M716" s="12"/>
      <c r="N716" s="12"/>
      <c r="O716" s="13"/>
      <c r="P716" s="12"/>
      <c r="Q716" s="12"/>
      <c r="R716" s="12"/>
    </row>
    <row r="717" spans="3:18" x14ac:dyDescent="0.2">
      <c r="C717" s="9"/>
      <c r="D717" s="9"/>
      <c r="E717" s="19"/>
      <c r="F717" s="20"/>
      <c r="H717" s="11"/>
      <c r="I717" s="10"/>
      <c r="J717" s="12"/>
      <c r="K717" s="12"/>
      <c r="L717" s="13"/>
      <c r="M717" s="13"/>
      <c r="N717" s="12"/>
      <c r="O717" s="13"/>
      <c r="P717" s="12"/>
      <c r="Q717" s="12"/>
      <c r="R717" s="12"/>
    </row>
    <row r="718" spans="3:18" x14ac:dyDescent="0.2">
      <c r="C718" s="9"/>
      <c r="D718" s="9"/>
      <c r="E718" s="19"/>
      <c r="F718" s="20"/>
      <c r="H718" s="11"/>
      <c r="I718" s="10"/>
      <c r="J718" s="12"/>
      <c r="K718" s="12"/>
      <c r="L718" s="13"/>
      <c r="M718" s="12"/>
      <c r="N718" s="12"/>
      <c r="O718" s="13"/>
      <c r="P718" s="12"/>
      <c r="Q718" s="12"/>
      <c r="R718" s="12"/>
    </row>
    <row r="719" spans="3:18" x14ac:dyDescent="0.2">
      <c r="C719" s="9"/>
      <c r="D719" s="9"/>
      <c r="E719" s="19"/>
      <c r="F719" s="20"/>
      <c r="H719" s="11"/>
      <c r="I719" s="10"/>
      <c r="J719" s="12"/>
      <c r="K719" s="12"/>
      <c r="L719" s="13"/>
      <c r="M719" s="12"/>
      <c r="N719" s="12"/>
      <c r="O719" s="13"/>
      <c r="P719" s="12"/>
      <c r="Q719" s="12"/>
      <c r="R719" s="12"/>
    </row>
    <row r="720" spans="3:18" x14ac:dyDescent="0.2">
      <c r="C720" s="9"/>
      <c r="D720" s="9"/>
      <c r="E720" s="19"/>
      <c r="F720" s="20"/>
      <c r="H720" s="11"/>
      <c r="I720" s="10"/>
      <c r="J720" s="12"/>
      <c r="K720" s="12"/>
      <c r="L720" s="13"/>
      <c r="M720" s="12"/>
      <c r="N720" s="12"/>
      <c r="O720" s="13"/>
      <c r="P720" s="12"/>
      <c r="Q720" s="12"/>
      <c r="R720" s="12"/>
    </row>
    <row r="721" spans="2:18" x14ac:dyDescent="0.2">
      <c r="C721" s="9"/>
      <c r="D721" s="9"/>
      <c r="E721" s="19"/>
      <c r="F721" s="20"/>
      <c r="H721" s="11"/>
      <c r="I721" s="10"/>
      <c r="J721" s="12"/>
      <c r="K721" s="12"/>
      <c r="L721" s="13"/>
      <c r="M721" s="12"/>
      <c r="N721" s="12"/>
      <c r="O721" s="13"/>
      <c r="P721" s="12"/>
      <c r="Q721" s="12"/>
      <c r="R721" s="12"/>
    </row>
    <row r="722" spans="2:18" x14ac:dyDescent="0.2">
      <c r="C722" s="9"/>
      <c r="D722" s="9"/>
      <c r="E722" s="19"/>
      <c r="F722" s="20"/>
      <c r="H722" s="11"/>
      <c r="I722" s="10"/>
      <c r="J722" s="12"/>
      <c r="K722" s="12"/>
      <c r="L722" s="13"/>
      <c r="M722" s="13"/>
      <c r="N722" s="12"/>
      <c r="O722" s="13"/>
      <c r="P722" s="12"/>
      <c r="Q722" s="12"/>
      <c r="R722" s="12"/>
    </row>
    <row r="723" spans="2:18" x14ac:dyDescent="0.2">
      <c r="C723" s="9"/>
      <c r="D723" s="9"/>
      <c r="E723" s="19"/>
      <c r="F723" s="20"/>
      <c r="H723" s="11"/>
      <c r="I723" s="10"/>
      <c r="J723" s="12"/>
      <c r="K723" s="12"/>
      <c r="L723" s="13"/>
      <c r="M723" s="12"/>
      <c r="N723" s="12"/>
      <c r="O723" s="13"/>
      <c r="P723" s="12"/>
      <c r="Q723" s="12"/>
      <c r="R723" s="12"/>
    </row>
    <row r="724" spans="2:18" x14ac:dyDescent="0.2">
      <c r="C724" s="9"/>
      <c r="D724" s="9"/>
      <c r="E724" s="19"/>
      <c r="F724" s="20"/>
      <c r="H724" s="11"/>
      <c r="I724" s="10"/>
      <c r="J724" s="12"/>
      <c r="K724" s="12"/>
      <c r="L724" s="13"/>
      <c r="M724" s="12"/>
      <c r="N724" s="12"/>
      <c r="O724" s="13"/>
      <c r="P724" s="12"/>
      <c r="Q724" s="12"/>
      <c r="R724" s="12"/>
    </row>
    <row r="725" spans="2:18" x14ac:dyDescent="0.2">
      <c r="C725" s="9"/>
      <c r="D725" s="9"/>
      <c r="E725" s="19"/>
      <c r="F725" s="20"/>
      <c r="H725" s="11"/>
      <c r="I725" s="10"/>
      <c r="J725" s="12"/>
      <c r="K725" s="12"/>
      <c r="L725" s="13"/>
      <c r="M725" s="12"/>
      <c r="N725" s="12"/>
      <c r="O725" s="13"/>
      <c r="P725" s="12"/>
      <c r="Q725" s="12"/>
      <c r="R725" s="12"/>
    </row>
    <row r="726" spans="2:18" x14ac:dyDescent="0.2">
      <c r="C726" s="9"/>
      <c r="D726" s="9"/>
      <c r="E726" s="19"/>
      <c r="F726" s="20"/>
      <c r="H726" s="11"/>
      <c r="I726" s="10"/>
      <c r="J726" s="12"/>
      <c r="K726" s="12"/>
      <c r="L726" s="13"/>
      <c r="M726" s="12"/>
      <c r="N726" s="12"/>
      <c r="O726" s="13"/>
      <c r="P726" s="12"/>
      <c r="Q726" s="12"/>
      <c r="R726" s="12"/>
    </row>
    <row r="727" spans="2:18" x14ac:dyDescent="0.2">
      <c r="C727" s="9"/>
      <c r="D727" s="9"/>
      <c r="E727" s="19"/>
      <c r="F727" s="20"/>
      <c r="H727" s="11"/>
      <c r="I727" s="10"/>
      <c r="J727" s="12"/>
      <c r="K727" s="12"/>
      <c r="L727" s="13"/>
      <c r="M727" s="12"/>
      <c r="N727" s="12"/>
      <c r="O727" s="13"/>
      <c r="P727" s="12"/>
      <c r="Q727" s="12"/>
      <c r="R727" s="12"/>
    </row>
    <row r="730" spans="2:18" x14ac:dyDescent="0.2">
      <c r="C730" s="9"/>
      <c r="D730" s="9"/>
      <c r="E730" s="9"/>
      <c r="F730" s="21"/>
      <c r="H730" s="11"/>
      <c r="I730" s="22"/>
      <c r="J730" s="12"/>
      <c r="K730" s="12"/>
      <c r="L730" s="13"/>
      <c r="M730" s="12"/>
      <c r="N730" s="12"/>
      <c r="O730" s="13"/>
      <c r="P730" s="12"/>
      <c r="Q730" s="12"/>
      <c r="R730" s="12"/>
    </row>
    <row r="731" spans="2:18" x14ac:dyDescent="0.2">
      <c r="B731" s="23"/>
      <c r="C731" s="9"/>
      <c r="D731" s="9"/>
      <c r="E731" s="9"/>
      <c r="F731" s="21"/>
      <c r="H731" s="11"/>
      <c r="I731" s="10"/>
      <c r="J731" s="12"/>
      <c r="K731" s="12"/>
      <c r="L731" s="13"/>
      <c r="M731" s="12"/>
      <c r="N731" s="12"/>
      <c r="O731" s="13"/>
      <c r="P731" s="12"/>
      <c r="Q731" s="12"/>
      <c r="R731" s="12"/>
    </row>
    <row r="732" spans="2:18" x14ac:dyDescent="0.2">
      <c r="C732" s="9"/>
      <c r="D732" s="9"/>
      <c r="E732" s="9"/>
      <c r="F732" s="21"/>
      <c r="H732" s="11"/>
      <c r="I732" s="10"/>
      <c r="J732" s="12"/>
      <c r="K732" s="12"/>
      <c r="L732" s="13"/>
      <c r="M732" s="12"/>
      <c r="N732" s="12"/>
      <c r="O732" s="13"/>
      <c r="P732" s="12"/>
      <c r="Q732" s="12"/>
      <c r="R732" s="12"/>
    </row>
    <row r="733" spans="2:18" x14ac:dyDescent="0.2">
      <c r="C733" s="9"/>
      <c r="D733" s="9"/>
      <c r="E733" s="9"/>
      <c r="F733" s="21"/>
      <c r="H733" s="11"/>
      <c r="I733" s="10"/>
      <c r="J733" s="12"/>
      <c r="K733" s="12"/>
      <c r="L733" s="13"/>
      <c r="M733" s="12"/>
      <c r="N733" s="12"/>
      <c r="O733" s="13"/>
      <c r="P733" s="12"/>
      <c r="Q733" s="12"/>
      <c r="R733" s="12"/>
    </row>
    <row r="734" spans="2:18" x14ac:dyDescent="0.2">
      <c r="C734" s="9"/>
      <c r="D734" s="9"/>
      <c r="E734" s="9"/>
      <c r="F734" s="21"/>
      <c r="H734" s="11"/>
      <c r="I734" s="10"/>
      <c r="J734" s="12"/>
      <c r="K734" s="12"/>
      <c r="L734" s="13"/>
      <c r="M734" s="12"/>
      <c r="N734" s="12"/>
      <c r="O734" s="13"/>
      <c r="P734" s="12"/>
      <c r="Q734" s="12"/>
      <c r="R734" s="12"/>
    </row>
    <row r="735" spans="2:18" x14ac:dyDescent="0.2">
      <c r="C735" s="9"/>
      <c r="D735" s="9"/>
      <c r="E735" s="9"/>
      <c r="F735" s="21"/>
      <c r="H735" s="11"/>
      <c r="I735" s="10"/>
      <c r="J735" s="12"/>
      <c r="K735" s="12"/>
      <c r="L735" s="13"/>
      <c r="M735" s="12"/>
      <c r="N735" s="12"/>
      <c r="O735" s="13"/>
      <c r="P735" s="12"/>
      <c r="Q735" s="12"/>
      <c r="R735" s="12"/>
    </row>
    <row r="736" spans="2:18" x14ac:dyDescent="0.2">
      <c r="C736" s="9"/>
      <c r="D736" s="9"/>
      <c r="E736" s="9"/>
      <c r="F736" s="21"/>
      <c r="H736" s="11"/>
      <c r="I736" s="10"/>
      <c r="J736" s="12"/>
      <c r="K736" s="12"/>
      <c r="L736" s="13"/>
      <c r="M736" s="12"/>
      <c r="N736" s="12"/>
      <c r="O736" s="13"/>
      <c r="P736" s="12"/>
      <c r="Q736" s="12"/>
      <c r="R736" s="12"/>
    </row>
    <row r="737" spans="3:18" x14ac:dyDescent="0.2">
      <c r="C737" s="9"/>
      <c r="D737" s="9"/>
      <c r="E737" s="9"/>
      <c r="F737" s="21"/>
      <c r="H737" s="11"/>
      <c r="I737" s="10"/>
      <c r="J737" s="12"/>
      <c r="K737" s="12"/>
      <c r="L737" s="13"/>
      <c r="M737" s="12"/>
      <c r="N737" s="12"/>
      <c r="O737" s="13"/>
      <c r="P737" s="12"/>
      <c r="Q737" s="12"/>
      <c r="R737" s="12"/>
    </row>
    <row r="738" spans="3:18" x14ac:dyDescent="0.2">
      <c r="C738" s="9"/>
      <c r="D738" s="9"/>
      <c r="E738" s="9"/>
      <c r="F738" s="21"/>
      <c r="H738" s="11"/>
      <c r="I738" s="10"/>
      <c r="J738" s="12"/>
      <c r="K738" s="12"/>
      <c r="L738" s="13"/>
      <c r="M738" s="12"/>
      <c r="N738" s="12"/>
      <c r="O738" s="13"/>
      <c r="P738" s="12"/>
      <c r="Q738" s="12"/>
      <c r="R738" s="12"/>
    </row>
    <row r="739" spans="3:18" x14ac:dyDescent="0.2">
      <c r="C739" s="9"/>
      <c r="D739" s="9"/>
      <c r="E739" s="9"/>
      <c r="F739" s="21"/>
      <c r="H739" s="11"/>
      <c r="I739" s="10"/>
      <c r="J739" s="12"/>
      <c r="K739" s="12"/>
      <c r="L739" s="13"/>
      <c r="M739" s="12"/>
      <c r="N739" s="12"/>
      <c r="O739" s="13"/>
      <c r="P739" s="12"/>
      <c r="Q739" s="12"/>
      <c r="R739" s="12"/>
    </row>
    <row r="740" spans="3:18" x14ac:dyDescent="0.2">
      <c r="C740" s="9"/>
      <c r="D740" s="9"/>
      <c r="E740" s="9"/>
      <c r="F740" s="21"/>
      <c r="H740" s="11"/>
      <c r="I740" s="10"/>
      <c r="J740" s="12"/>
      <c r="K740" s="12"/>
      <c r="L740" s="13"/>
      <c r="M740" s="12"/>
      <c r="N740" s="12"/>
      <c r="O740" s="13"/>
      <c r="P740" s="12"/>
      <c r="Q740" s="12"/>
      <c r="R740" s="12"/>
    </row>
    <row r="741" spans="3:18" x14ac:dyDescent="0.2">
      <c r="C741" s="9"/>
      <c r="D741" s="9"/>
      <c r="E741" s="9"/>
      <c r="F741" s="21"/>
      <c r="H741" s="11"/>
      <c r="I741" s="10"/>
      <c r="J741" s="12"/>
      <c r="K741" s="12"/>
      <c r="L741" s="13"/>
      <c r="M741" s="12"/>
      <c r="N741" s="12"/>
      <c r="O741" s="13"/>
      <c r="P741" s="12"/>
      <c r="Q741" s="12"/>
      <c r="R741" s="12"/>
    </row>
    <row r="742" spans="3:18" x14ac:dyDescent="0.2">
      <c r="C742" s="9"/>
      <c r="D742" s="9"/>
      <c r="E742" s="9"/>
      <c r="F742" s="21"/>
      <c r="H742" s="11"/>
      <c r="I742" s="10"/>
      <c r="J742" s="12"/>
      <c r="K742" s="12"/>
      <c r="L742" s="13"/>
      <c r="M742" s="12"/>
      <c r="N742" s="12"/>
      <c r="O742" s="13"/>
      <c r="P742" s="12"/>
      <c r="Q742" s="12"/>
      <c r="R742" s="12"/>
    </row>
    <row r="743" spans="3:18" x14ac:dyDescent="0.2">
      <c r="C743" s="9"/>
      <c r="D743" s="9"/>
      <c r="E743" s="9"/>
      <c r="F743" s="21"/>
      <c r="H743" s="11"/>
      <c r="I743" s="10"/>
      <c r="J743" s="12"/>
      <c r="K743" s="12"/>
      <c r="L743" s="13"/>
      <c r="M743" s="12"/>
      <c r="N743" s="12"/>
      <c r="O743" s="13"/>
      <c r="P743" s="12"/>
      <c r="Q743" s="12"/>
      <c r="R743" s="12"/>
    </row>
    <row r="744" spans="3:18" x14ac:dyDescent="0.2">
      <c r="C744" s="9"/>
      <c r="D744" s="9"/>
      <c r="E744" s="9"/>
      <c r="F744" s="21"/>
      <c r="H744" s="11"/>
      <c r="I744" s="10"/>
      <c r="J744" s="12"/>
      <c r="K744" s="12"/>
      <c r="L744" s="13"/>
      <c r="M744" s="12"/>
      <c r="N744" s="12"/>
      <c r="O744" s="13"/>
      <c r="P744" s="12"/>
      <c r="Q744" s="12"/>
      <c r="R744" s="12"/>
    </row>
    <row r="745" spans="3:18" x14ac:dyDescent="0.2">
      <c r="C745" s="9"/>
      <c r="D745" s="9"/>
      <c r="E745" s="9"/>
      <c r="F745" s="21"/>
      <c r="H745" s="11"/>
      <c r="I745" s="10"/>
      <c r="J745" s="12"/>
      <c r="K745" s="12"/>
      <c r="L745" s="13"/>
      <c r="M745" s="12"/>
      <c r="N745" s="12"/>
      <c r="O745" s="13"/>
      <c r="P745" s="12"/>
      <c r="Q745" s="12"/>
      <c r="R745" s="12"/>
    </row>
    <row r="746" spans="3:18" x14ac:dyDescent="0.2">
      <c r="C746" s="9"/>
      <c r="D746" s="9"/>
      <c r="E746" s="9"/>
      <c r="F746" s="21"/>
      <c r="H746" s="11"/>
      <c r="I746" s="10"/>
      <c r="J746" s="12"/>
      <c r="K746" s="12"/>
      <c r="L746" s="13"/>
      <c r="M746" s="12"/>
      <c r="N746" s="12"/>
      <c r="O746" s="13"/>
      <c r="P746" s="12"/>
      <c r="Q746" s="12"/>
      <c r="R746" s="12"/>
    </row>
    <row r="747" spans="3:18" x14ac:dyDescent="0.2">
      <c r="C747" s="9"/>
      <c r="D747" s="9"/>
      <c r="E747" s="9"/>
      <c r="F747" s="21"/>
      <c r="H747" s="11"/>
      <c r="I747" s="10"/>
      <c r="J747" s="12"/>
      <c r="K747" s="12"/>
      <c r="L747" s="13"/>
      <c r="M747" s="12"/>
      <c r="N747" s="12"/>
      <c r="O747" s="13"/>
      <c r="P747" s="12"/>
      <c r="Q747" s="12"/>
      <c r="R747" s="12"/>
    </row>
    <row r="748" spans="3:18" x14ac:dyDescent="0.2">
      <c r="C748" s="9"/>
      <c r="D748" s="9"/>
      <c r="E748" s="9"/>
      <c r="F748" s="21"/>
      <c r="H748" s="11"/>
      <c r="I748" s="10"/>
      <c r="J748" s="12"/>
      <c r="K748" s="12"/>
      <c r="L748" s="13"/>
      <c r="M748" s="12"/>
      <c r="N748" s="12"/>
      <c r="O748" s="13"/>
      <c r="P748" s="12"/>
      <c r="Q748" s="12"/>
      <c r="R748" s="12"/>
    </row>
    <row r="749" spans="3:18" x14ac:dyDescent="0.2">
      <c r="C749" s="9"/>
      <c r="D749" s="9"/>
      <c r="E749" s="9"/>
      <c r="F749" s="21"/>
      <c r="H749" s="11"/>
      <c r="I749" s="10"/>
      <c r="J749" s="12"/>
      <c r="K749" s="12"/>
      <c r="L749" s="13"/>
      <c r="M749" s="12"/>
      <c r="N749" s="12"/>
      <c r="O749" s="13"/>
      <c r="P749" s="12"/>
      <c r="Q749" s="12"/>
      <c r="R749" s="12"/>
    </row>
    <row r="750" spans="3:18" x14ac:dyDescent="0.2">
      <c r="C750" s="9"/>
      <c r="D750" s="9"/>
      <c r="E750" s="9"/>
      <c r="F750" s="21"/>
      <c r="H750" s="11"/>
      <c r="I750" s="10"/>
      <c r="J750" s="12"/>
      <c r="K750" s="12"/>
      <c r="L750" s="13"/>
      <c r="M750" s="12"/>
      <c r="N750" s="12"/>
      <c r="O750" s="13"/>
      <c r="P750" s="12"/>
      <c r="Q750" s="12"/>
      <c r="R750" s="12"/>
    </row>
    <row r="751" spans="3:18" x14ac:dyDescent="0.2">
      <c r="C751" s="9"/>
      <c r="D751" s="9"/>
      <c r="E751" s="9"/>
      <c r="F751" s="21"/>
      <c r="H751" s="11"/>
      <c r="I751" s="10"/>
      <c r="J751" s="12"/>
      <c r="K751" s="12"/>
      <c r="L751" s="13"/>
      <c r="M751" s="12"/>
      <c r="N751" s="12"/>
      <c r="O751" s="13"/>
      <c r="P751" s="12"/>
      <c r="Q751" s="12"/>
      <c r="R751" s="12"/>
    </row>
    <row r="752" spans="3:18" x14ac:dyDescent="0.2">
      <c r="C752" s="9"/>
      <c r="D752" s="9"/>
      <c r="E752" s="9"/>
      <c r="F752" s="21"/>
      <c r="H752" s="11"/>
      <c r="I752" s="10"/>
      <c r="J752" s="12"/>
      <c r="K752" s="12"/>
      <c r="L752" s="13"/>
      <c r="M752" s="12"/>
      <c r="N752" s="12"/>
      <c r="O752" s="13"/>
      <c r="P752" s="12"/>
      <c r="Q752" s="12"/>
      <c r="R752" s="12"/>
    </row>
    <row r="753" spans="3:18" x14ac:dyDescent="0.2">
      <c r="C753" s="9"/>
      <c r="D753" s="9"/>
      <c r="E753" s="9"/>
      <c r="F753" s="21"/>
      <c r="H753" s="11"/>
      <c r="I753" s="10"/>
      <c r="J753" s="12"/>
      <c r="K753" s="12"/>
      <c r="L753" s="13"/>
      <c r="M753" s="12"/>
      <c r="N753" s="12"/>
      <c r="O753" s="13"/>
      <c r="P753" s="12"/>
      <c r="Q753" s="12"/>
      <c r="R753" s="12"/>
    </row>
    <row r="754" spans="3:18" x14ac:dyDescent="0.2">
      <c r="C754" s="9"/>
      <c r="D754" s="9"/>
      <c r="E754" s="9"/>
      <c r="F754" s="21"/>
      <c r="H754" s="11"/>
      <c r="I754" s="10"/>
      <c r="J754" s="12"/>
      <c r="K754" s="12"/>
      <c r="L754" s="13"/>
      <c r="M754" s="12"/>
      <c r="N754" s="12"/>
      <c r="O754" s="13"/>
      <c r="P754" s="12"/>
      <c r="Q754" s="12"/>
      <c r="R754" s="12"/>
    </row>
    <row r="755" spans="3:18" x14ac:dyDescent="0.2">
      <c r="C755" s="9"/>
      <c r="D755" s="9"/>
      <c r="E755" s="9"/>
      <c r="F755" s="21"/>
      <c r="H755" s="11"/>
      <c r="I755" s="10"/>
      <c r="J755" s="12"/>
      <c r="K755" s="12"/>
      <c r="L755" s="13"/>
      <c r="M755" s="12"/>
      <c r="N755" s="12"/>
      <c r="O755" s="13"/>
      <c r="P755" s="12"/>
      <c r="Q755" s="12"/>
      <c r="R755" s="12"/>
    </row>
    <row r="756" spans="3:18" x14ac:dyDescent="0.2">
      <c r="C756" s="9"/>
      <c r="D756" s="9"/>
      <c r="E756" s="9"/>
      <c r="F756" s="21"/>
      <c r="H756" s="11"/>
      <c r="I756" s="10"/>
      <c r="J756" s="12"/>
      <c r="K756" s="12"/>
      <c r="L756" s="13"/>
      <c r="M756" s="12"/>
      <c r="N756" s="12"/>
      <c r="O756" s="13"/>
      <c r="P756" s="12"/>
      <c r="Q756" s="12"/>
      <c r="R756" s="12"/>
    </row>
    <row r="757" spans="3:18" x14ac:dyDescent="0.2">
      <c r="C757" s="9"/>
      <c r="D757" s="9"/>
      <c r="E757" s="9"/>
      <c r="F757" s="21"/>
      <c r="H757" s="11"/>
      <c r="I757" s="10"/>
      <c r="J757" s="12"/>
      <c r="K757" s="12"/>
      <c r="L757" s="13"/>
      <c r="M757" s="12"/>
      <c r="N757" s="12"/>
      <c r="O757" s="13"/>
      <c r="P757" s="12"/>
      <c r="Q757" s="12"/>
      <c r="R757" s="12"/>
    </row>
    <row r="758" spans="3:18" x14ac:dyDescent="0.2">
      <c r="C758" s="9"/>
      <c r="D758" s="9"/>
      <c r="E758" s="19"/>
      <c r="F758" s="20"/>
      <c r="H758" s="11"/>
      <c r="I758" s="22"/>
      <c r="J758" s="12"/>
      <c r="K758" s="12"/>
      <c r="L758" s="9"/>
      <c r="M758" s="12"/>
      <c r="N758" s="12"/>
      <c r="O758" s="13"/>
      <c r="P758" s="12"/>
      <c r="Q758" s="12"/>
      <c r="R758" s="12"/>
    </row>
    <row r="759" spans="3:18" x14ac:dyDescent="0.2">
      <c r="C759" s="9"/>
      <c r="D759" s="9"/>
      <c r="E759" s="19"/>
      <c r="F759" s="20"/>
      <c r="H759" s="11"/>
      <c r="I759" s="10"/>
      <c r="J759" s="12"/>
      <c r="K759" s="12"/>
      <c r="L759" s="13"/>
      <c r="M759" s="12"/>
      <c r="N759" s="12"/>
      <c r="O759" s="13"/>
      <c r="P759" s="12"/>
      <c r="Q759" s="12"/>
      <c r="R759" s="12"/>
    </row>
    <row r="760" spans="3:18" x14ac:dyDescent="0.2">
      <c r="C760" s="9"/>
      <c r="D760" s="9"/>
      <c r="E760" s="19"/>
      <c r="F760" s="20"/>
      <c r="H760" s="11"/>
      <c r="I760" s="10"/>
      <c r="J760" s="12"/>
      <c r="K760" s="12"/>
      <c r="L760" s="13"/>
      <c r="M760" s="12"/>
      <c r="N760" s="12"/>
      <c r="O760" s="13"/>
      <c r="P760" s="12"/>
      <c r="Q760" s="12"/>
      <c r="R760" s="12"/>
    </row>
    <row r="761" spans="3:18" x14ac:dyDescent="0.2">
      <c r="C761" s="9"/>
      <c r="D761" s="9"/>
      <c r="E761" s="19"/>
      <c r="F761" s="20"/>
      <c r="H761" s="11"/>
      <c r="I761" s="10"/>
      <c r="J761" s="12"/>
      <c r="K761" s="12"/>
      <c r="L761" s="13"/>
      <c r="M761" s="12"/>
      <c r="N761" s="12"/>
      <c r="O761" s="13"/>
      <c r="P761" s="12"/>
      <c r="Q761" s="12"/>
      <c r="R761" s="12"/>
    </row>
    <row r="762" spans="3:18" x14ac:dyDescent="0.2">
      <c r="C762" s="9"/>
      <c r="D762" s="9"/>
      <c r="E762" s="19"/>
      <c r="F762" s="20"/>
      <c r="H762" s="11"/>
      <c r="I762" s="10"/>
      <c r="J762" s="12"/>
      <c r="K762" s="12"/>
      <c r="L762" s="13"/>
      <c r="M762" s="12"/>
      <c r="N762" s="12"/>
      <c r="O762" s="13"/>
      <c r="P762" s="12"/>
      <c r="Q762" s="12"/>
      <c r="R762" s="12"/>
    </row>
    <row r="763" spans="3:18" x14ac:dyDescent="0.2">
      <c r="C763" s="9"/>
      <c r="D763" s="9"/>
      <c r="E763" s="19"/>
      <c r="F763" s="20"/>
      <c r="H763" s="11"/>
      <c r="I763" s="10"/>
      <c r="J763" s="12"/>
      <c r="K763" s="12"/>
      <c r="L763" s="13"/>
      <c r="M763" s="13"/>
      <c r="N763" s="12"/>
      <c r="O763" s="13"/>
      <c r="P763" s="12"/>
      <c r="Q763" s="12"/>
      <c r="R763" s="12"/>
    </row>
    <row r="764" spans="3:18" x14ac:dyDescent="0.2">
      <c r="C764" s="9"/>
      <c r="D764" s="9"/>
      <c r="E764" s="19"/>
      <c r="F764" s="20"/>
      <c r="H764" s="11"/>
      <c r="I764" s="10"/>
      <c r="J764" s="12"/>
      <c r="K764" s="12"/>
      <c r="L764" s="13"/>
      <c r="M764" s="12"/>
      <c r="N764" s="12"/>
      <c r="O764" s="13"/>
      <c r="P764" s="12"/>
      <c r="Q764" s="12"/>
      <c r="R764" s="12"/>
    </row>
    <row r="765" spans="3:18" x14ac:dyDescent="0.2">
      <c r="C765" s="9"/>
      <c r="D765" s="9"/>
      <c r="E765" s="19"/>
      <c r="F765" s="20"/>
      <c r="H765" s="11"/>
      <c r="I765" s="10"/>
      <c r="J765" s="12"/>
      <c r="K765" s="12"/>
      <c r="L765" s="13"/>
      <c r="M765" s="12"/>
      <c r="N765" s="12"/>
      <c r="O765" s="13"/>
      <c r="P765" s="12"/>
      <c r="Q765" s="12"/>
      <c r="R765" s="12"/>
    </row>
    <row r="766" spans="3:18" x14ac:dyDescent="0.2">
      <c r="C766" s="9"/>
      <c r="D766" s="9"/>
      <c r="E766" s="19"/>
      <c r="F766" s="20"/>
      <c r="H766" s="11"/>
      <c r="I766" s="10"/>
      <c r="J766" s="12"/>
      <c r="K766" s="12"/>
      <c r="L766" s="13"/>
      <c r="M766" s="12"/>
      <c r="N766" s="12"/>
      <c r="O766" s="13"/>
      <c r="P766" s="12"/>
      <c r="Q766" s="12"/>
      <c r="R766" s="12"/>
    </row>
    <row r="767" spans="3:18" x14ac:dyDescent="0.2">
      <c r="C767" s="9"/>
      <c r="D767" s="9"/>
      <c r="E767" s="19"/>
      <c r="F767" s="20"/>
      <c r="H767" s="11"/>
      <c r="I767" s="10"/>
      <c r="J767" s="12"/>
      <c r="K767" s="12"/>
      <c r="L767" s="13"/>
      <c r="M767" s="12"/>
      <c r="N767" s="12"/>
      <c r="O767" s="13"/>
      <c r="P767" s="12"/>
      <c r="Q767" s="12"/>
      <c r="R767" s="12"/>
    </row>
    <row r="768" spans="3:18" x14ac:dyDescent="0.2">
      <c r="C768" s="9"/>
      <c r="D768" s="9"/>
      <c r="E768" s="19"/>
      <c r="F768" s="20"/>
      <c r="H768" s="11"/>
      <c r="I768" s="10"/>
      <c r="J768" s="12"/>
      <c r="K768" s="12"/>
      <c r="L768" s="13"/>
      <c r="M768" s="13"/>
      <c r="N768" s="12"/>
      <c r="O768" s="13"/>
      <c r="P768" s="12"/>
      <c r="Q768" s="12"/>
      <c r="R768" s="12"/>
    </row>
    <row r="769" spans="3:19" x14ac:dyDescent="0.2">
      <c r="C769" s="9"/>
      <c r="D769" s="9"/>
      <c r="E769" s="19"/>
      <c r="F769" s="20"/>
      <c r="H769" s="11"/>
      <c r="I769" s="10"/>
      <c r="J769" s="12"/>
      <c r="K769" s="12"/>
      <c r="L769" s="13"/>
      <c r="M769" s="12"/>
      <c r="N769" s="12"/>
      <c r="O769" s="13"/>
      <c r="P769" s="12"/>
      <c r="Q769" s="12"/>
      <c r="R769" s="12"/>
    </row>
    <row r="770" spans="3:19" x14ac:dyDescent="0.2">
      <c r="C770" s="9"/>
      <c r="D770" s="9"/>
      <c r="E770" s="19"/>
      <c r="F770" s="20"/>
      <c r="H770" s="11"/>
      <c r="I770" s="10"/>
      <c r="J770" s="12"/>
      <c r="K770" s="12"/>
      <c r="L770" s="13"/>
      <c r="M770" s="12"/>
      <c r="N770" s="12"/>
      <c r="O770" s="13"/>
      <c r="P770" s="12"/>
      <c r="Q770" s="12"/>
      <c r="R770" s="12"/>
    </row>
    <row r="771" spans="3:19" x14ac:dyDescent="0.2">
      <c r="C771" s="9"/>
      <c r="D771" s="9"/>
      <c r="E771" s="19"/>
      <c r="F771" s="20"/>
      <c r="H771" s="11"/>
      <c r="I771" s="10"/>
      <c r="J771" s="12"/>
      <c r="K771" s="12"/>
      <c r="L771" s="13"/>
      <c r="M771" s="12"/>
      <c r="N771" s="12"/>
      <c r="O771" s="13"/>
      <c r="P771" s="12"/>
      <c r="Q771" s="12"/>
      <c r="R771" s="12"/>
    </row>
    <row r="772" spans="3:19" x14ac:dyDescent="0.2">
      <c r="C772" s="9"/>
      <c r="D772" s="9"/>
      <c r="E772" s="19"/>
      <c r="F772" s="20"/>
      <c r="H772" s="11"/>
      <c r="I772" s="10"/>
      <c r="J772" s="12"/>
      <c r="K772" s="12"/>
      <c r="L772" s="13"/>
      <c r="M772" s="12"/>
      <c r="N772" s="12"/>
      <c r="O772" s="13"/>
      <c r="P772" s="12"/>
      <c r="Q772" s="12"/>
      <c r="R772" s="12"/>
    </row>
    <row r="773" spans="3:19" x14ac:dyDescent="0.2">
      <c r="C773" s="9"/>
      <c r="D773" s="9"/>
      <c r="E773" s="19"/>
      <c r="F773" s="20"/>
      <c r="H773" s="11"/>
      <c r="I773" s="10"/>
      <c r="J773" s="12"/>
      <c r="K773" s="12"/>
      <c r="L773" s="13"/>
      <c r="M773" s="12"/>
      <c r="N773" s="12"/>
      <c r="O773" s="13"/>
      <c r="P773" s="12"/>
      <c r="Q773" s="12"/>
      <c r="R773" s="12"/>
    </row>
    <row r="774" spans="3:19" x14ac:dyDescent="0.2">
      <c r="H774" s="11"/>
    </row>
    <row r="776" spans="3:19" x14ac:dyDescent="0.2">
      <c r="C776" s="9"/>
      <c r="D776" s="9"/>
      <c r="E776" s="19"/>
      <c r="F776" s="20"/>
      <c r="H776" s="11"/>
      <c r="I776" s="22"/>
      <c r="J776" s="12"/>
      <c r="K776" s="12"/>
      <c r="L776" s="9"/>
      <c r="M776" s="12"/>
      <c r="N776" s="12"/>
      <c r="O776" s="13"/>
      <c r="P776" s="12"/>
      <c r="Q776" s="12"/>
      <c r="R776" s="12"/>
    </row>
    <row r="777" spans="3:19" x14ac:dyDescent="0.2">
      <c r="C777" s="9"/>
      <c r="D777" s="9"/>
      <c r="E777" s="19"/>
      <c r="F777" s="20"/>
      <c r="H777" s="11"/>
      <c r="I777" s="10"/>
      <c r="J777" s="12"/>
      <c r="K777" s="12"/>
      <c r="L777" s="13"/>
      <c r="M777" s="12"/>
      <c r="N777" s="12"/>
      <c r="O777" s="13"/>
      <c r="P777" s="12"/>
      <c r="Q777" s="12"/>
      <c r="R777" s="12"/>
    </row>
    <row r="778" spans="3:19" x14ac:dyDescent="0.2">
      <c r="C778" s="9"/>
      <c r="D778" s="9"/>
      <c r="E778" s="19"/>
      <c r="F778" s="20"/>
      <c r="H778" s="11"/>
      <c r="I778" s="10"/>
      <c r="J778" s="12"/>
      <c r="K778" s="12"/>
      <c r="L778" s="13"/>
      <c r="M778" s="12"/>
      <c r="N778" s="12"/>
      <c r="O778" s="13"/>
      <c r="P778" s="12"/>
      <c r="Q778" s="12"/>
      <c r="R778" s="12"/>
    </row>
    <row r="779" spans="3:19" x14ac:dyDescent="0.2">
      <c r="C779" s="9"/>
      <c r="D779" s="9"/>
      <c r="E779" s="19"/>
      <c r="F779" s="20"/>
      <c r="H779" s="11"/>
      <c r="I779" s="10"/>
      <c r="J779" s="12"/>
      <c r="K779" s="12"/>
      <c r="L779" s="13"/>
      <c r="M779" s="12"/>
      <c r="N779" s="12"/>
      <c r="O779" s="13"/>
      <c r="P779" s="12"/>
      <c r="Q779" s="12"/>
      <c r="R779" s="12"/>
    </row>
    <row r="780" spans="3:19" x14ac:dyDescent="0.2">
      <c r="C780" s="9"/>
      <c r="D780" s="9"/>
      <c r="E780" s="19"/>
      <c r="F780" s="20"/>
      <c r="H780" s="11"/>
      <c r="I780" s="10"/>
      <c r="J780" s="12"/>
      <c r="K780" s="12"/>
      <c r="L780" s="13"/>
      <c r="M780" s="12"/>
      <c r="N780" s="12"/>
      <c r="O780" s="13"/>
      <c r="P780" s="12"/>
      <c r="Q780" s="12"/>
      <c r="R780" s="12"/>
      <c r="S780" s="12"/>
    </row>
    <row r="781" spans="3:19" x14ac:dyDescent="0.2">
      <c r="C781" s="9"/>
      <c r="D781" s="9"/>
      <c r="E781" s="19"/>
      <c r="F781" s="20"/>
      <c r="H781" s="11"/>
      <c r="I781" s="10"/>
      <c r="J781" s="12"/>
      <c r="K781" s="12"/>
      <c r="L781" s="13"/>
      <c r="M781" s="13"/>
      <c r="N781" s="12"/>
      <c r="O781" s="13"/>
      <c r="P781" s="12"/>
      <c r="Q781" s="12"/>
      <c r="R781" s="12"/>
    </row>
    <row r="782" spans="3:19" x14ac:dyDescent="0.2">
      <c r="C782" s="9"/>
      <c r="D782" s="9"/>
      <c r="E782" s="19"/>
      <c r="F782" s="20"/>
      <c r="H782" s="11"/>
      <c r="I782" s="10"/>
      <c r="J782" s="12"/>
      <c r="K782" s="12"/>
      <c r="L782" s="13"/>
      <c r="M782" s="12"/>
      <c r="N782" s="12"/>
      <c r="O782" s="13"/>
      <c r="P782" s="12"/>
      <c r="Q782" s="12"/>
      <c r="R782" s="12"/>
    </row>
    <row r="783" spans="3:19" x14ac:dyDescent="0.2">
      <c r="C783" s="9"/>
      <c r="D783" s="9"/>
      <c r="E783" s="19"/>
      <c r="F783" s="20"/>
      <c r="H783" s="11"/>
      <c r="I783" s="10"/>
      <c r="J783" s="12"/>
      <c r="K783" s="12"/>
      <c r="L783" s="13"/>
      <c r="M783" s="12"/>
      <c r="N783" s="12"/>
      <c r="O783" s="13"/>
      <c r="P783" s="12"/>
      <c r="Q783" s="12"/>
      <c r="R783" s="12"/>
    </row>
    <row r="784" spans="3:19" x14ac:dyDescent="0.2">
      <c r="C784" s="9"/>
      <c r="D784" s="9"/>
      <c r="E784" s="19"/>
      <c r="F784" s="20"/>
      <c r="H784" s="11"/>
      <c r="I784" s="10"/>
      <c r="J784" s="12"/>
      <c r="K784" s="12"/>
      <c r="L784" s="13"/>
      <c r="M784" s="12"/>
      <c r="N784" s="12"/>
      <c r="O784" s="13"/>
      <c r="P784" s="12"/>
      <c r="Q784" s="12"/>
      <c r="R784" s="12"/>
    </row>
    <row r="785" spans="3:18" x14ac:dyDescent="0.2">
      <c r="C785" s="9"/>
      <c r="D785" s="9"/>
      <c r="E785" s="19"/>
      <c r="F785" s="20"/>
      <c r="H785" s="11"/>
      <c r="I785" s="10"/>
      <c r="J785" s="12"/>
      <c r="K785" s="12"/>
      <c r="L785" s="13"/>
      <c r="M785" s="12"/>
      <c r="N785" s="12"/>
      <c r="O785" s="13"/>
      <c r="P785" s="12"/>
      <c r="Q785" s="12"/>
      <c r="R785" s="12"/>
    </row>
    <row r="786" spans="3:18" x14ac:dyDescent="0.2">
      <c r="C786" s="9"/>
      <c r="D786" s="9"/>
      <c r="E786" s="19"/>
      <c r="F786" s="20"/>
      <c r="H786" s="11"/>
      <c r="I786" s="10"/>
      <c r="J786" s="12"/>
      <c r="K786" s="12"/>
      <c r="L786" s="13"/>
      <c r="M786" s="13"/>
      <c r="N786" s="12"/>
      <c r="O786" s="13"/>
      <c r="P786" s="12"/>
      <c r="Q786" s="12"/>
      <c r="R786" s="12"/>
    </row>
    <row r="787" spans="3:18" x14ac:dyDescent="0.2">
      <c r="C787" s="9"/>
      <c r="D787" s="9"/>
      <c r="E787" s="19"/>
      <c r="F787" s="20"/>
      <c r="H787" s="11"/>
      <c r="I787" s="10"/>
      <c r="J787" s="12"/>
      <c r="K787" s="12"/>
      <c r="L787" s="13"/>
      <c r="M787" s="12"/>
      <c r="N787" s="12"/>
      <c r="O787" s="13"/>
      <c r="P787" s="12"/>
      <c r="Q787" s="12"/>
      <c r="R787" s="12"/>
    </row>
    <row r="788" spans="3:18" x14ac:dyDescent="0.2">
      <c r="C788" s="9"/>
      <c r="D788" s="9"/>
      <c r="E788" s="19"/>
      <c r="F788" s="20"/>
      <c r="H788" s="11"/>
      <c r="I788" s="10"/>
      <c r="J788" s="12"/>
      <c r="K788" s="12"/>
      <c r="L788" s="13"/>
      <c r="M788" s="12"/>
      <c r="N788" s="12"/>
      <c r="O788" s="13"/>
      <c r="P788" s="12"/>
      <c r="Q788" s="12"/>
      <c r="R788" s="12"/>
    </row>
    <row r="789" spans="3:18" x14ac:dyDescent="0.2">
      <c r="C789" s="9"/>
      <c r="D789" s="9"/>
      <c r="E789" s="19"/>
      <c r="F789" s="20"/>
      <c r="H789" s="11"/>
      <c r="I789" s="10"/>
      <c r="J789" s="12"/>
      <c r="K789" s="12"/>
      <c r="L789" s="13"/>
      <c r="M789" s="12"/>
      <c r="N789" s="12"/>
      <c r="O789" s="13"/>
      <c r="P789" s="12"/>
      <c r="Q789" s="12"/>
      <c r="R789" s="12"/>
    </row>
    <row r="790" spans="3:18" x14ac:dyDescent="0.2">
      <c r="C790" s="9"/>
      <c r="D790" s="9"/>
      <c r="E790" s="19"/>
      <c r="F790" s="20"/>
      <c r="H790" s="11"/>
      <c r="I790" s="10"/>
      <c r="J790" s="12"/>
      <c r="K790" s="12"/>
      <c r="L790" s="13"/>
      <c r="M790" s="12"/>
      <c r="N790" s="12"/>
      <c r="O790" s="13"/>
      <c r="P790" s="12"/>
      <c r="Q790" s="12"/>
      <c r="R790" s="12"/>
    </row>
    <row r="791" spans="3:18" x14ac:dyDescent="0.2">
      <c r="C791" s="9"/>
      <c r="D791" s="9"/>
      <c r="E791" s="19"/>
      <c r="F791" s="20"/>
      <c r="H791" s="11"/>
      <c r="I791" s="10"/>
      <c r="J791" s="12"/>
      <c r="K791" s="12"/>
      <c r="L791" s="13"/>
      <c r="M791" s="12"/>
      <c r="N791" s="12"/>
      <c r="O791" s="13"/>
      <c r="P791" s="12"/>
      <c r="Q791" s="12"/>
      <c r="R791" s="12"/>
    </row>
    <row r="794" spans="3:18" x14ac:dyDescent="0.2">
      <c r="C794" s="9"/>
      <c r="D794" s="9"/>
      <c r="E794" s="19"/>
      <c r="F794" s="20"/>
      <c r="H794" s="11"/>
      <c r="I794" s="22"/>
      <c r="J794" s="12"/>
      <c r="K794" s="12"/>
      <c r="L794" s="9"/>
      <c r="M794" s="12"/>
      <c r="N794" s="12"/>
      <c r="O794" s="13"/>
      <c r="P794" s="12"/>
      <c r="Q794" s="12"/>
      <c r="R794" s="12"/>
    </row>
    <row r="795" spans="3:18" x14ac:dyDescent="0.2">
      <c r="C795" s="9"/>
      <c r="D795" s="9"/>
      <c r="E795" s="19"/>
      <c r="F795" s="20"/>
      <c r="H795" s="11"/>
      <c r="I795" s="10"/>
      <c r="J795" s="12"/>
      <c r="K795" s="12"/>
      <c r="L795" s="13"/>
      <c r="M795" s="12"/>
      <c r="N795" s="12"/>
      <c r="O795" s="13"/>
      <c r="P795" s="12"/>
      <c r="Q795" s="12"/>
      <c r="R795" s="12"/>
    </row>
    <row r="796" spans="3:18" x14ac:dyDescent="0.2">
      <c r="C796" s="9"/>
      <c r="D796" s="9"/>
      <c r="E796" s="19"/>
      <c r="F796" s="20"/>
      <c r="H796" s="11"/>
      <c r="I796" s="10"/>
      <c r="J796" s="12"/>
      <c r="K796" s="12"/>
      <c r="L796" s="13"/>
      <c r="M796" s="12"/>
      <c r="N796" s="12"/>
      <c r="O796" s="13"/>
      <c r="P796" s="12"/>
      <c r="Q796" s="12"/>
      <c r="R796" s="12"/>
    </row>
    <row r="797" spans="3:18" x14ac:dyDescent="0.2">
      <c r="C797" s="9"/>
      <c r="D797" s="9"/>
      <c r="E797" s="19"/>
      <c r="F797" s="20"/>
      <c r="H797" s="11"/>
      <c r="I797" s="10"/>
      <c r="J797" s="12"/>
      <c r="K797" s="12"/>
      <c r="L797" s="13"/>
      <c r="M797" s="12"/>
      <c r="N797" s="12"/>
      <c r="O797" s="13"/>
      <c r="P797" s="12"/>
      <c r="Q797" s="12"/>
      <c r="R797" s="12"/>
    </row>
    <row r="798" spans="3:18" x14ac:dyDescent="0.2">
      <c r="C798" s="9"/>
      <c r="D798" s="9"/>
      <c r="E798" s="19"/>
      <c r="F798" s="20"/>
      <c r="H798" s="11"/>
      <c r="I798" s="10"/>
      <c r="J798" s="12"/>
      <c r="K798" s="12"/>
      <c r="L798" s="13"/>
      <c r="M798" s="12"/>
      <c r="N798" s="12"/>
      <c r="O798" s="13"/>
      <c r="P798" s="12"/>
      <c r="Q798" s="12"/>
      <c r="R798" s="12"/>
    </row>
    <row r="799" spans="3:18" x14ac:dyDescent="0.2">
      <c r="C799" s="9"/>
      <c r="D799" s="9"/>
      <c r="E799" s="19"/>
      <c r="F799" s="20"/>
      <c r="H799" s="11"/>
      <c r="I799" s="10"/>
      <c r="J799" s="12"/>
      <c r="K799" s="12"/>
      <c r="L799" s="13"/>
      <c r="M799" s="13"/>
      <c r="N799" s="12"/>
      <c r="O799" s="13"/>
      <c r="P799" s="12"/>
      <c r="Q799" s="12"/>
      <c r="R799" s="12"/>
    </row>
    <row r="800" spans="3:18" x14ac:dyDescent="0.2">
      <c r="C800" s="9"/>
      <c r="D800" s="9"/>
      <c r="E800" s="19"/>
      <c r="F800" s="20"/>
      <c r="H800" s="11"/>
      <c r="I800" s="10"/>
      <c r="J800" s="12"/>
      <c r="K800" s="12"/>
      <c r="L800" s="13"/>
      <c r="M800" s="12"/>
      <c r="N800" s="12"/>
      <c r="O800" s="13"/>
      <c r="P800" s="12"/>
      <c r="Q800" s="12"/>
      <c r="R800" s="12"/>
    </row>
    <row r="801" spans="3:18" x14ac:dyDescent="0.2">
      <c r="C801" s="9"/>
      <c r="D801" s="9"/>
      <c r="E801" s="19"/>
      <c r="F801" s="20"/>
      <c r="H801" s="11"/>
      <c r="I801" s="10"/>
      <c r="J801" s="12"/>
      <c r="K801" s="12"/>
      <c r="L801" s="13"/>
      <c r="M801" s="12"/>
      <c r="N801" s="12"/>
      <c r="O801" s="13"/>
      <c r="P801" s="12"/>
      <c r="Q801" s="12"/>
      <c r="R801" s="12"/>
    </row>
    <row r="802" spans="3:18" x14ac:dyDescent="0.2">
      <c r="C802" s="9"/>
      <c r="D802" s="9"/>
      <c r="E802" s="19"/>
      <c r="F802" s="20"/>
      <c r="H802" s="11"/>
      <c r="I802" s="10"/>
      <c r="J802" s="12"/>
      <c r="K802" s="12"/>
      <c r="L802" s="13"/>
      <c r="M802" s="12"/>
      <c r="N802" s="12"/>
      <c r="O802" s="13"/>
      <c r="P802" s="12"/>
      <c r="Q802" s="12"/>
      <c r="R802" s="12"/>
    </row>
    <row r="803" spans="3:18" x14ac:dyDescent="0.2">
      <c r="C803" s="9"/>
      <c r="D803" s="9"/>
      <c r="E803" s="19"/>
      <c r="F803" s="20"/>
      <c r="H803" s="11"/>
      <c r="I803" s="10"/>
      <c r="J803" s="12"/>
      <c r="K803" s="12"/>
      <c r="L803" s="13"/>
      <c r="M803" s="12"/>
      <c r="N803" s="12"/>
      <c r="O803" s="13"/>
      <c r="P803" s="12"/>
      <c r="Q803" s="12"/>
      <c r="R803" s="12"/>
    </row>
    <row r="804" spans="3:18" x14ac:dyDescent="0.2">
      <c r="C804" s="9"/>
      <c r="D804" s="9"/>
      <c r="E804" s="19"/>
      <c r="F804" s="20"/>
      <c r="H804" s="11"/>
      <c r="I804" s="10"/>
      <c r="J804" s="12"/>
      <c r="K804" s="12"/>
      <c r="L804" s="13"/>
      <c r="M804" s="13"/>
      <c r="N804" s="12"/>
      <c r="O804" s="13"/>
      <c r="P804" s="12"/>
      <c r="Q804" s="12"/>
      <c r="R804" s="12"/>
    </row>
    <row r="805" spans="3:18" x14ac:dyDescent="0.2">
      <c r="C805" s="9"/>
      <c r="D805" s="9"/>
      <c r="E805" s="19"/>
      <c r="F805" s="20"/>
      <c r="H805" s="11"/>
      <c r="I805" s="10"/>
      <c r="J805" s="12"/>
      <c r="K805" s="12"/>
      <c r="L805" s="13"/>
      <c r="M805" s="12"/>
      <c r="N805" s="12"/>
      <c r="O805" s="13"/>
      <c r="P805" s="12"/>
      <c r="Q805" s="12"/>
      <c r="R805" s="12"/>
    </row>
    <row r="806" spans="3:18" x14ac:dyDescent="0.2">
      <c r="C806" s="9"/>
      <c r="D806" s="9"/>
      <c r="E806" s="19"/>
      <c r="F806" s="20"/>
      <c r="H806" s="11"/>
      <c r="I806" s="10"/>
      <c r="J806" s="12"/>
      <c r="K806" s="12"/>
      <c r="L806" s="13"/>
      <c r="M806" s="12"/>
      <c r="N806" s="12"/>
      <c r="O806" s="13"/>
      <c r="P806" s="12"/>
      <c r="Q806" s="12"/>
      <c r="R806" s="12"/>
    </row>
    <row r="807" spans="3:18" x14ac:dyDescent="0.2">
      <c r="C807" s="9"/>
      <c r="D807" s="9"/>
      <c r="E807" s="19"/>
      <c r="F807" s="20"/>
      <c r="H807" s="11"/>
      <c r="I807" s="10"/>
      <c r="J807" s="12"/>
      <c r="K807" s="12"/>
      <c r="L807" s="13"/>
      <c r="M807" s="12"/>
      <c r="N807" s="12"/>
      <c r="O807" s="13"/>
      <c r="P807" s="12"/>
      <c r="Q807" s="12"/>
      <c r="R807" s="12"/>
    </row>
    <row r="808" spans="3:18" x14ac:dyDescent="0.2">
      <c r="C808" s="9"/>
      <c r="D808" s="9"/>
      <c r="E808" s="19"/>
      <c r="F808" s="20"/>
      <c r="H808" s="11"/>
      <c r="I808" s="10"/>
      <c r="J808" s="12"/>
      <c r="K808" s="12"/>
      <c r="L808" s="13"/>
      <c r="M808" s="12"/>
      <c r="N808" s="12"/>
      <c r="O808" s="13"/>
      <c r="P808" s="12"/>
      <c r="Q808" s="12"/>
      <c r="R808" s="12"/>
    </row>
    <row r="809" spans="3:18" x14ac:dyDescent="0.2">
      <c r="C809" s="9"/>
      <c r="D809" s="9"/>
      <c r="E809" s="19"/>
      <c r="F809" s="20"/>
      <c r="H809" s="11"/>
      <c r="I809" s="10"/>
      <c r="J809" s="12"/>
      <c r="K809" s="12"/>
      <c r="L809" s="13"/>
      <c r="M809" s="12"/>
      <c r="N809" s="12"/>
      <c r="O809" s="13"/>
      <c r="P809" s="12"/>
      <c r="Q809" s="12"/>
      <c r="R809" s="12"/>
    </row>
    <row r="812" spans="3:18" x14ac:dyDescent="0.2">
      <c r="C812" s="9"/>
      <c r="D812" s="9"/>
      <c r="E812" s="19"/>
      <c r="F812" s="20"/>
      <c r="H812" s="11"/>
      <c r="I812" s="22"/>
      <c r="J812" s="12"/>
      <c r="K812" s="12"/>
      <c r="L812" s="9"/>
      <c r="M812" s="12"/>
      <c r="N812" s="12"/>
      <c r="O812" s="13"/>
      <c r="P812" s="12"/>
      <c r="Q812" s="12"/>
      <c r="R812" s="12"/>
    </row>
    <row r="813" spans="3:18" x14ac:dyDescent="0.2">
      <c r="C813" s="9"/>
      <c r="D813" s="9"/>
      <c r="E813" s="19"/>
      <c r="F813" s="20"/>
      <c r="H813" s="11"/>
      <c r="I813" s="10"/>
      <c r="J813" s="12"/>
      <c r="K813" s="12"/>
      <c r="L813" s="13"/>
      <c r="M813" s="12"/>
      <c r="N813" s="12"/>
      <c r="O813" s="13"/>
      <c r="P813" s="12"/>
      <c r="Q813" s="12"/>
      <c r="R813" s="12"/>
    </row>
    <row r="814" spans="3:18" x14ac:dyDescent="0.2">
      <c r="C814" s="9"/>
      <c r="D814" s="9"/>
      <c r="E814" s="19"/>
      <c r="F814" s="20"/>
      <c r="H814" s="11"/>
      <c r="I814" s="10"/>
      <c r="J814" s="12"/>
      <c r="K814" s="12"/>
      <c r="L814" s="13"/>
      <c r="M814" s="12"/>
      <c r="N814" s="12"/>
      <c r="O814" s="13"/>
      <c r="P814" s="12"/>
      <c r="Q814" s="12"/>
      <c r="R814" s="12"/>
    </row>
    <row r="815" spans="3:18" x14ac:dyDescent="0.2">
      <c r="C815" s="9"/>
      <c r="D815" s="9"/>
      <c r="E815" s="19"/>
      <c r="F815" s="20"/>
      <c r="H815" s="11"/>
      <c r="I815" s="10"/>
      <c r="J815" s="12"/>
      <c r="K815" s="12"/>
      <c r="L815" s="13"/>
      <c r="M815" s="12"/>
      <c r="N815" s="12"/>
      <c r="O815" s="13"/>
      <c r="P815" s="12"/>
      <c r="Q815" s="12"/>
      <c r="R815" s="12"/>
    </row>
    <row r="816" spans="3:18" x14ac:dyDescent="0.2">
      <c r="C816" s="9"/>
      <c r="D816" s="9"/>
      <c r="E816" s="19"/>
      <c r="F816" s="20"/>
      <c r="H816" s="11"/>
      <c r="I816" s="10"/>
      <c r="J816" s="12"/>
      <c r="K816" s="12"/>
      <c r="L816" s="13"/>
      <c r="M816" s="12"/>
      <c r="N816" s="12"/>
      <c r="O816" s="13"/>
      <c r="P816" s="12"/>
      <c r="Q816" s="12"/>
      <c r="R816" s="12"/>
    </row>
    <row r="817" spans="3:18" x14ac:dyDescent="0.2">
      <c r="C817" s="9"/>
      <c r="D817" s="9"/>
      <c r="E817" s="19"/>
      <c r="F817" s="20"/>
      <c r="H817" s="11"/>
      <c r="I817" s="10"/>
      <c r="J817" s="12"/>
      <c r="K817" s="12"/>
      <c r="L817" s="13"/>
      <c r="M817" s="13"/>
      <c r="N817" s="12"/>
      <c r="O817" s="13"/>
      <c r="P817" s="12"/>
      <c r="Q817" s="12"/>
      <c r="R817" s="12"/>
    </row>
    <row r="818" spans="3:18" x14ac:dyDescent="0.2">
      <c r="C818" s="9"/>
      <c r="D818" s="9"/>
      <c r="E818" s="19"/>
      <c r="F818" s="20"/>
      <c r="H818" s="11"/>
      <c r="I818" s="10"/>
      <c r="J818" s="12"/>
      <c r="K818" s="12"/>
      <c r="L818" s="13"/>
      <c r="M818" s="12"/>
      <c r="N818" s="12"/>
      <c r="O818" s="13"/>
      <c r="P818" s="12"/>
      <c r="Q818" s="12"/>
      <c r="R818" s="12"/>
    </row>
    <row r="819" spans="3:18" x14ac:dyDescent="0.2">
      <c r="C819" s="9"/>
      <c r="D819" s="9"/>
      <c r="E819" s="19"/>
      <c r="F819" s="20"/>
      <c r="H819" s="11"/>
      <c r="I819" s="10"/>
      <c r="J819" s="12"/>
      <c r="K819" s="12"/>
      <c r="L819" s="13"/>
      <c r="M819" s="12"/>
      <c r="N819" s="12"/>
      <c r="O819" s="13"/>
      <c r="P819" s="12"/>
      <c r="Q819" s="12"/>
      <c r="R819" s="12"/>
    </row>
    <row r="820" spans="3:18" x14ac:dyDescent="0.2">
      <c r="C820" s="9"/>
      <c r="D820" s="9"/>
      <c r="E820" s="19"/>
      <c r="F820" s="20"/>
      <c r="H820" s="11"/>
      <c r="I820" s="10"/>
      <c r="J820" s="12"/>
      <c r="K820" s="12"/>
      <c r="L820" s="13"/>
      <c r="M820" s="12"/>
      <c r="N820" s="12"/>
      <c r="O820" s="13"/>
      <c r="P820" s="12"/>
      <c r="Q820" s="12"/>
      <c r="R820" s="12"/>
    </row>
    <row r="821" spans="3:18" x14ac:dyDescent="0.2">
      <c r="C821" s="9"/>
      <c r="D821" s="9"/>
      <c r="E821" s="19"/>
      <c r="F821" s="20"/>
      <c r="H821" s="11"/>
      <c r="I821" s="10"/>
      <c r="J821" s="12"/>
      <c r="K821" s="12"/>
      <c r="L821" s="13"/>
      <c r="M821" s="12"/>
      <c r="N821" s="12"/>
      <c r="O821" s="13"/>
      <c r="P821" s="12"/>
      <c r="Q821" s="12"/>
      <c r="R821" s="12"/>
    </row>
    <row r="822" spans="3:18" x14ac:dyDescent="0.2">
      <c r="C822" s="9"/>
      <c r="D822" s="9"/>
      <c r="E822" s="19"/>
      <c r="F822" s="20"/>
      <c r="H822" s="11"/>
      <c r="I822" s="10"/>
      <c r="J822" s="12"/>
      <c r="K822" s="12"/>
      <c r="L822" s="13"/>
      <c r="M822" s="13"/>
      <c r="N822" s="12"/>
      <c r="O822" s="13"/>
      <c r="P822" s="12"/>
      <c r="Q822" s="12"/>
      <c r="R822" s="12"/>
    </row>
    <row r="823" spans="3:18" x14ac:dyDescent="0.2">
      <c r="C823" s="9"/>
      <c r="D823" s="9"/>
      <c r="E823" s="19"/>
      <c r="F823" s="20"/>
      <c r="H823" s="11"/>
      <c r="I823" s="10"/>
      <c r="J823" s="12"/>
      <c r="K823" s="12"/>
      <c r="L823" s="13"/>
      <c r="M823" s="12"/>
      <c r="N823" s="12"/>
      <c r="O823" s="13"/>
      <c r="P823" s="12"/>
      <c r="Q823" s="12"/>
      <c r="R823" s="12"/>
    </row>
    <row r="824" spans="3:18" x14ac:dyDescent="0.2">
      <c r="C824" s="9"/>
      <c r="D824" s="9"/>
      <c r="E824" s="19"/>
      <c r="F824" s="20"/>
      <c r="H824" s="11"/>
      <c r="I824" s="10"/>
      <c r="J824" s="12"/>
      <c r="K824" s="12"/>
      <c r="L824" s="13"/>
      <c r="M824" s="12"/>
      <c r="N824" s="12"/>
      <c r="O824" s="13"/>
      <c r="P824" s="12"/>
      <c r="Q824" s="12"/>
      <c r="R824" s="12"/>
    </row>
    <row r="825" spans="3:18" x14ac:dyDescent="0.2">
      <c r="C825" s="9"/>
      <c r="D825" s="9"/>
      <c r="E825" s="19"/>
      <c r="F825" s="20"/>
      <c r="H825" s="11"/>
      <c r="I825" s="10"/>
      <c r="J825" s="12"/>
      <c r="K825" s="12"/>
      <c r="L825" s="13"/>
      <c r="M825" s="12"/>
      <c r="N825" s="12"/>
      <c r="O825" s="13"/>
      <c r="P825" s="12"/>
      <c r="Q825" s="12"/>
      <c r="R825" s="12"/>
    </row>
    <row r="826" spans="3:18" x14ac:dyDescent="0.2">
      <c r="C826" s="9"/>
      <c r="D826" s="9"/>
      <c r="E826" s="19"/>
      <c r="F826" s="20"/>
      <c r="H826" s="11"/>
      <c r="I826" s="10"/>
      <c r="J826" s="12"/>
      <c r="K826" s="12"/>
      <c r="L826" s="13"/>
      <c r="M826" s="12"/>
      <c r="N826" s="12"/>
      <c r="O826" s="13"/>
      <c r="P826" s="12"/>
      <c r="Q826" s="12"/>
      <c r="R826" s="12"/>
    </row>
    <row r="827" spans="3:18" x14ac:dyDescent="0.2">
      <c r="C827" s="9"/>
      <c r="D827" s="9"/>
      <c r="E827" s="19"/>
      <c r="F827" s="20"/>
      <c r="H827" s="11"/>
      <c r="I827" s="10"/>
      <c r="J827" s="12"/>
      <c r="K827" s="12"/>
      <c r="L827" s="13"/>
      <c r="M827" s="12"/>
      <c r="N827" s="12"/>
      <c r="O827" s="13"/>
      <c r="P827" s="12"/>
      <c r="Q827" s="12"/>
      <c r="R827" s="12"/>
    </row>
    <row r="830" spans="3:18" x14ac:dyDescent="0.2">
      <c r="C830" s="9"/>
      <c r="D830" s="9"/>
      <c r="E830" s="19"/>
      <c r="F830" s="20"/>
      <c r="H830" s="11"/>
      <c r="I830" s="22"/>
      <c r="J830" s="12"/>
      <c r="K830" s="12"/>
      <c r="L830" s="9"/>
      <c r="M830" s="12"/>
      <c r="N830" s="12"/>
      <c r="O830" s="13"/>
      <c r="P830" s="12"/>
      <c r="Q830" s="12"/>
      <c r="R830" s="12"/>
    </row>
    <row r="831" spans="3:18" x14ac:dyDescent="0.2">
      <c r="C831" s="9"/>
      <c r="D831" s="9"/>
      <c r="E831" s="19"/>
      <c r="F831" s="20"/>
      <c r="H831" s="11"/>
      <c r="I831" s="10"/>
      <c r="J831" s="12"/>
      <c r="K831" s="12"/>
      <c r="L831" s="13"/>
      <c r="M831" s="12"/>
      <c r="N831" s="12"/>
      <c r="O831" s="13"/>
      <c r="P831" s="12"/>
      <c r="Q831" s="12"/>
      <c r="R831" s="12"/>
    </row>
    <row r="832" spans="3:18" x14ac:dyDescent="0.2">
      <c r="C832" s="9"/>
      <c r="D832" s="9"/>
      <c r="E832" s="19"/>
      <c r="F832" s="20"/>
      <c r="H832" s="11"/>
      <c r="I832" s="10"/>
      <c r="J832" s="12"/>
      <c r="K832" s="12"/>
      <c r="L832" s="13"/>
      <c r="M832" s="12"/>
      <c r="N832" s="12"/>
      <c r="O832" s="13"/>
      <c r="P832" s="12"/>
      <c r="Q832" s="12"/>
      <c r="R832" s="12"/>
    </row>
    <row r="833" spans="3:18" x14ac:dyDescent="0.2">
      <c r="C833" s="9"/>
      <c r="D833" s="9"/>
      <c r="E833" s="19"/>
      <c r="F833" s="20"/>
      <c r="H833" s="11"/>
      <c r="I833" s="10"/>
      <c r="J833" s="12"/>
      <c r="K833" s="12"/>
      <c r="L833" s="13"/>
      <c r="M833" s="12"/>
      <c r="N833" s="12"/>
      <c r="O833" s="13"/>
      <c r="P833" s="12"/>
      <c r="Q833" s="12"/>
      <c r="R833" s="12"/>
    </row>
    <row r="834" spans="3:18" x14ac:dyDescent="0.2">
      <c r="C834" s="9"/>
      <c r="D834" s="9"/>
      <c r="E834" s="19"/>
      <c r="F834" s="20"/>
      <c r="H834" s="11"/>
      <c r="I834" s="10"/>
      <c r="J834" s="12"/>
      <c r="K834" s="12"/>
      <c r="L834" s="13"/>
      <c r="M834" s="12"/>
      <c r="N834" s="12"/>
      <c r="O834" s="13"/>
      <c r="P834" s="12"/>
      <c r="Q834" s="12"/>
      <c r="R834" s="12"/>
    </row>
    <row r="835" spans="3:18" x14ac:dyDescent="0.2">
      <c r="C835" s="9"/>
      <c r="D835" s="9"/>
      <c r="E835" s="19"/>
      <c r="F835" s="20"/>
      <c r="H835" s="11"/>
      <c r="I835" s="10"/>
      <c r="J835" s="12"/>
      <c r="K835" s="12"/>
      <c r="L835" s="13"/>
      <c r="M835" s="13"/>
      <c r="N835" s="12"/>
      <c r="O835" s="13"/>
      <c r="P835" s="12"/>
      <c r="Q835" s="12"/>
      <c r="R835" s="12"/>
    </row>
    <row r="836" spans="3:18" x14ac:dyDescent="0.2">
      <c r="C836" s="9"/>
      <c r="D836" s="9"/>
      <c r="E836" s="19"/>
      <c r="F836" s="20"/>
      <c r="H836" s="11"/>
      <c r="I836" s="10"/>
      <c r="J836" s="12"/>
      <c r="K836" s="12"/>
      <c r="L836" s="13"/>
      <c r="M836" s="12"/>
      <c r="N836" s="12"/>
      <c r="O836" s="13"/>
      <c r="P836" s="12"/>
      <c r="Q836" s="12"/>
      <c r="R836" s="12"/>
    </row>
    <row r="837" spans="3:18" x14ac:dyDescent="0.2">
      <c r="C837" s="9"/>
      <c r="D837" s="9"/>
      <c r="E837" s="19"/>
      <c r="F837" s="20"/>
      <c r="H837" s="11"/>
      <c r="I837" s="10"/>
      <c r="J837" s="12"/>
      <c r="K837" s="12"/>
      <c r="L837" s="13"/>
      <c r="M837" s="12"/>
      <c r="N837" s="12"/>
      <c r="O837" s="13"/>
      <c r="P837" s="12"/>
      <c r="Q837" s="12"/>
      <c r="R837" s="12"/>
    </row>
    <row r="838" spans="3:18" x14ac:dyDescent="0.2">
      <c r="C838" s="9"/>
      <c r="D838" s="9"/>
      <c r="E838" s="19"/>
      <c r="F838" s="20"/>
      <c r="H838" s="11"/>
      <c r="I838" s="10"/>
      <c r="J838" s="12"/>
      <c r="K838" s="12"/>
      <c r="L838" s="13"/>
      <c r="M838" s="12"/>
      <c r="N838" s="12"/>
      <c r="O838" s="13"/>
      <c r="P838" s="12"/>
      <c r="Q838" s="12"/>
      <c r="R838" s="12"/>
    </row>
    <row r="839" spans="3:18" x14ac:dyDescent="0.2">
      <c r="C839" s="9"/>
      <c r="D839" s="9"/>
      <c r="E839" s="19"/>
      <c r="F839" s="20"/>
      <c r="H839" s="11"/>
      <c r="I839" s="10"/>
      <c r="J839" s="12"/>
      <c r="K839" s="12"/>
      <c r="L839" s="13"/>
      <c r="M839" s="12"/>
      <c r="N839" s="12"/>
      <c r="O839" s="13"/>
      <c r="P839" s="12"/>
      <c r="Q839" s="12"/>
      <c r="R839" s="12"/>
    </row>
    <row r="840" spans="3:18" x14ac:dyDescent="0.2">
      <c r="C840" s="9"/>
      <c r="D840" s="9"/>
      <c r="E840" s="19"/>
      <c r="F840" s="20"/>
      <c r="H840" s="11"/>
      <c r="I840" s="10"/>
      <c r="J840" s="12"/>
      <c r="K840" s="12"/>
      <c r="L840" s="13"/>
      <c r="M840" s="13"/>
      <c r="N840" s="12"/>
      <c r="O840" s="13"/>
      <c r="P840" s="12"/>
      <c r="Q840" s="12"/>
      <c r="R840" s="12"/>
    </row>
    <row r="841" spans="3:18" x14ac:dyDescent="0.2">
      <c r="C841" s="9"/>
      <c r="D841" s="9"/>
      <c r="E841" s="19"/>
      <c r="F841" s="20"/>
      <c r="H841" s="11"/>
      <c r="I841" s="10"/>
      <c r="J841" s="12"/>
      <c r="K841" s="12"/>
      <c r="L841" s="13"/>
      <c r="M841" s="12"/>
      <c r="N841" s="12"/>
      <c r="O841" s="13"/>
      <c r="P841" s="12"/>
      <c r="Q841" s="12"/>
      <c r="R841" s="12"/>
    </row>
    <row r="842" spans="3:18" x14ac:dyDescent="0.2">
      <c r="C842" s="9"/>
      <c r="D842" s="9"/>
      <c r="E842" s="19"/>
      <c r="F842" s="20"/>
      <c r="H842" s="11"/>
      <c r="I842" s="10"/>
      <c r="J842" s="12"/>
      <c r="K842" s="12"/>
      <c r="L842" s="13"/>
      <c r="M842" s="12"/>
      <c r="N842" s="12"/>
      <c r="O842" s="13"/>
      <c r="P842" s="12"/>
      <c r="Q842" s="12"/>
      <c r="R842" s="12"/>
    </row>
    <row r="843" spans="3:18" x14ac:dyDescent="0.2">
      <c r="C843" s="9"/>
      <c r="D843" s="9"/>
      <c r="E843" s="19"/>
      <c r="F843" s="20"/>
      <c r="H843" s="11"/>
      <c r="I843" s="10"/>
      <c r="J843" s="12"/>
      <c r="K843" s="12"/>
      <c r="L843" s="13"/>
      <c r="M843" s="12"/>
      <c r="N843" s="12"/>
      <c r="O843" s="13"/>
      <c r="P843" s="12"/>
      <c r="Q843" s="12"/>
      <c r="R843" s="12"/>
    </row>
    <row r="844" spans="3:18" x14ac:dyDescent="0.2">
      <c r="C844" s="9"/>
      <c r="D844" s="9"/>
      <c r="E844" s="19"/>
      <c r="F844" s="20"/>
      <c r="H844" s="11"/>
      <c r="I844" s="10"/>
      <c r="J844" s="12"/>
      <c r="K844" s="12"/>
      <c r="L844" s="13"/>
      <c r="M844" s="12"/>
      <c r="N844" s="12"/>
      <c r="O844" s="13"/>
      <c r="P844" s="12"/>
      <c r="Q844" s="12"/>
      <c r="R844" s="12"/>
    </row>
    <row r="845" spans="3:18" x14ac:dyDescent="0.2">
      <c r="C845" s="9"/>
      <c r="D845" s="9"/>
      <c r="E845" s="19"/>
      <c r="F845" s="20"/>
      <c r="H845" s="11"/>
      <c r="I845" s="10"/>
      <c r="J845" s="12"/>
      <c r="K845" s="12"/>
      <c r="L845" s="13"/>
      <c r="M845" s="12"/>
      <c r="N845" s="12"/>
      <c r="O845" s="13"/>
      <c r="P845" s="12"/>
      <c r="Q845" s="12"/>
      <c r="R845" s="12"/>
    </row>
    <row r="848" spans="3:18" x14ac:dyDescent="0.2">
      <c r="C848" s="9"/>
      <c r="D848" s="9"/>
      <c r="E848" s="19"/>
      <c r="F848" s="20"/>
      <c r="H848" s="11"/>
      <c r="I848" s="22"/>
      <c r="J848" s="12"/>
      <c r="K848" s="12"/>
      <c r="L848" s="9"/>
      <c r="M848" s="12"/>
      <c r="N848" s="12"/>
      <c r="O848" s="13"/>
      <c r="P848" s="12"/>
      <c r="Q848" s="12"/>
      <c r="R848" s="12"/>
    </row>
    <row r="849" spans="3:18" x14ac:dyDescent="0.2">
      <c r="C849" s="9"/>
      <c r="D849" s="9"/>
      <c r="E849" s="19"/>
      <c r="F849" s="20"/>
      <c r="H849" s="11"/>
      <c r="I849" s="10"/>
      <c r="J849" s="12"/>
      <c r="K849" s="12"/>
      <c r="L849" s="13"/>
      <c r="M849" s="12"/>
      <c r="N849" s="12"/>
      <c r="O849" s="13"/>
      <c r="P849" s="12"/>
      <c r="Q849" s="12"/>
      <c r="R849" s="12"/>
    </row>
    <row r="850" spans="3:18" x14ac:dyDescent="0.2">
      <c r="C850" s="9"/>
      <c r="D850" s="9"/>
      <c r="E850" s="19"/>
      <c r="F850" s="20"/>
      <c r="H850" s="11"/>
      <c r="I850" s="10"/>
      <c r="J850" s="12"/>
      <c r="K850" s="12"/>
      <c r="L850" s="13"/>
      <c r="M850" s="12"/>
      <c r="N850" s="12"/>
      <c r="O850" s="13"/>
      <c r="P850" s="12"/>
      <c r="Q850" s="12"/>
      <c r="R850" s="12"/>
    </row>
    <row r="851" spans="3:18" x14ac:dyDescent="0.2">
      <c r="C851" s="9"/>
      <c r="D851" s="9"/>
      <c r="E851" s="19"/>
      <c r="F851" s="20"/>
      <c r="H851" s="11"/>
      <c r="I851" s="10"/>
      <c r="J851" s="12"/>
      <c r="K851" s="12"/>
      <c r="L851" s="13"/>
      <c r="M851" s="12"/>
      <c r="N851" s="12"/>
      <c r="O851" s="13"/>
      <c r="P851" s="12"/>
      <c r="Q851" s="12"/>
      <c r="R851" s="12"/>
    </row>
    <row r="852" spans="3:18" x14ac:dyDescent="0.2">
      <c r="C852" s="9"/>
      <c r="D852" s="9"/>
      <c r="E852" s="19"/>
      <c r="F852" s="20"/>
      <c r="H852" s="11"/>
      <c r="I852" s="10"/>
      <c r="J852" s="12"/>
      <c r="K852" s="12"/>
      <c r="L852" s="13"/>
      <c r="M852" s="12"/>
      <c r="N852" s="12"/>
      <c r="O852" s="13"/>
      <c r="P852" s="12"/>
      <c r="Q852" s="12"/>
      <c r="R852" s="12"/>
    </row>
    <row r="853" spans="3:18" x14ac:dyDescent="0.2">
      <c r="C853" s="9"/>
      <c r="D853" s="9"/>
      <c r="E853" s="19"/>
      <c r="F853" s="20"/>
      <c r="H853" s="11"/>
      <c r="I853" s="22"/>
      <c r="J853" s="12"/>
      <c r="K853" s="12"/>
      <c r="L853" s="13"/>
      <c r="M853" s="13"/>
      <c r="N853" s="12"/>
      <c r="O853" s="13"/>
      <c r="P853" s="12"/>
      <c r="Q853" s="12"/>
      <c r="R853" s="12"/>
    </row>
    <row r="854" spans="3:18" x14ac:dyDescent="0.2">
      <c r="C854" s="9"/>
      <c r="D854" s="9"/>
      <c r="E854" s="19"/>
      <c r="F854" s="20"/>
      <c r="H854" s="11"/>
      <c r="I854" s="10"/>
      <c r="J854" s="12"/>
      <c r="K854" s="12"/>
      <c r="L854" s="13"/>
      <c r="M854" s="12"/>
      <c r="N854" s="12"/>
      <c r="O854" s="13"/>
      <c r="P854" s="12"/>
      <c r="Q854" s="12"/>
      <c r="R854" s="12"/>
    </row>
    <row r="855" spans="3:18" x14ac:dyDescent="0.2">
      <c r="C855" s="9"/>
      <c r="D855" s="9"/>
      <c r="E855" s="19"/>
      <c r="F855" s="20"/>
      <c r="H855" s="11"/>
      <c r="I855" s="10"/>
      <c r="J855" s="12"/>
      <c r="K855" s="12"/>
      <c r="L855" s="13"/>
      <c r="M855" s="12"/>
      <c r="N855" s="12"/>
      <c r="O855" s="13"/>
      <c r="P855" s="12"/>
      <c r="Q855" s="12"/>
      <c r="R855" s="12"/>
    </row>
    <row r="856" spans="3:18" x14ac:dyDescent="0.2">
      <c r="C856" s="9"/>
      <c r="D856" s="9"/>
      <c r="E856" s="19"/>
      <c r="F856" s="20"/>
      <c r="H856" s="11"/>
      <c r="I856" s="10"/>
      <c r="J856" s="12"/>
      <c r="K856" s="12"/>
      <c r="L856" s="13"/>
      <c r="M856" s="12"/>
      <c r="N856" s="12"/>
      <c r="O856" s="13"/>
      <c r="P856" s="12"/>
      <c r="Q856" s="12"/>
      <c r="R856" s="12"/>
    </row>
    <row r="857" spans="3:18" x14ac:dyDescent="0.2">
      <c r="C857" s="9"/>
      <c r="D857" s="9"/>
      <c r="E857" s="19"/>
      <c r="F857" s="20"/>
      <c r="H857" s="11"/>
      <c r="I857" s="10"/>
      <c r="J857" s="12"/>
      <c r="K857" s="12"/>
      <c r="L857" s="13"/>
      <c r="M857" s="12"/>
      <c r="N857" s="12"/>
      <c r="O857" s="13"/>
      <c r="P857" s="12"/>
      <c r="Q857" s="12"/>
      <c r="R857" s="12"/>
    </row>
    <row r="858" spans="3:18" x14ac:dyDescent="0.2">
      <c r="C858" s="9"/>
      <c r="D858" s="9"/>
      <c r="E858" s="19"/>
      <c r="F858" s="20"/>
      <c r="H858" s="11"/>
      <c r="I858" s="22"/>
      <c r="J858" s="12"/>
      <c r="K858" s="12"/>
      <c r="L858" s="13"/>
      <c r="M858" s="13"/>
      <c r="N858" s="12"/>
      <c r="O858" s="13"/>
      <c r="P858" s="12"/>
      <c r="Q858" s="12"/>
      <c r="R858" s="12"/>
    </row>
    <row r="859" spans="3:18" x14ac:dyDescent="0.2">
      <c r="C859" s="9"/>
      <c r="D859" s="9"/>
      <c r="E859" s="19"/>
      <c r="F859" s="20"/>
      <c r="H859" s="11"/>
      <c r="I859" s="10"/>
      <c r="J859" s="12"/>
      <c r="K859" s="12"/>
      <c r="L859" s="13"/>
      <c r="M859" s="12"/>
      <c r="N859" s="12"/>
      <c r="O859" s="13"/>
      <c r="P859" s="12"/>
      <c r="Q859" s="12"/>
      <c r="R859" s="12"/>
    </row>
    <row r="860" spans="3:18" x14ac:dyDescent="0.2">
      <c r="C860" s="9"/>
      <c r="D860" s="9"/>
      <c r="E860" s="19"/>
      <c r="F860" s="20"/>
      <c r="H860" s="11"/>
      <c r="I860" s="10"/>
      <c r="J860" s="12"/>
      <c r="K860" s="12"/>
      <c r="L860" s="13"/>
      <c r="M860" s="12"/>
      <c r="N860" s="12"/>
      <c r="O860" s="13"/>
      <c r="P860" s="12"/>
      <c r="Q860" s="12"/>
      <c r="R860" s="12"/>
    </row>
    <row r="861" spans="3:18" x14ac:dyDescent="0.2">
      <c r="C861" s="9"/>
      <c r="D861" s="9"/>
      <c r="E861" s="19"/>
      <c r="F861" s="20"/>
      <c r="H861" s="11"/>
      <c r="I861" s="10"/>
      <c r="J861" s="12"/>
      <c r="K861" s="12"/>
      <c r="L861" s="13"/>
      <c r="M861" s="12"/>
      <c r="N861" s="12"/>
      <c r="O861" s="13"/>
      <c r="P861" s="12"/>
      <c r="Q861" s="12"/>
      <c r="R861" s="12"/>
    </row>
    <row r="862" spans="3:18" x14ac:dyDescent="0.2">
      <c r="C862" s="9"/>
      <c r="D862" s="9"/>
      <c r="E862" s="19"/>
      <c r="F862" s="20"/>
      <c r="H862" s="11"/>
      <c r="I862" s="10"/>
      <c r="J862" s="12"/>
      <c r="K862" s="12"/>
      <c r="L862" s="13"/>
      <c r="M862" s="12"/>
      <c r="N862" s="12"/>
      <c r="O862" s="13"/>
      <c r="P862" s="12"/>
      <c r="Q862" s="12"/>
      <c r="R862" s="12"/>
    </row>
    <row r="863" spans="3:18" x14ac:dyDescent="0.2">
      <c r="C863" s="9"/>
      <c r="D863" s="9"/>
      <c r="E863" s="19"/>
      <c r="F863" s="20"/>
      <c r="H863" s="11"/>
      <c r="I863" s="10"/>
      <c r="J863" s="12"/>
      <c r="K863" s="12"/>
      <c r="L863" s="13"/>
      <c r="M863" s="12"/>
      <c r="N863" s="12"/>
      <c r="O863" s="13"/>
      <c r="P863" s="12"/>
      <c r="Q863" s="12"/>
      <c r="R863" s="12"/>
    </row>
    <row r="866" spans="3:18" x14ac:dyDescent="0.2">
      <c r="C866" s="9"/>
      <c r="D866" s="9"/>
      <c r="E866" s="19"/>
      <c r="F866" s="20"/>
      <c r="H866" s="11"/>
      <c r="I866" s="10"/>
      <c r="J866" s="12"/>
      <c r="K866" s="12"/>
      <c r="L866" s="9"/>
      <c r="M866" s="12"/>
      <c r="N866" s="12"/>
      <c r="O866" s="13"/>
      <c r="P866" s="12"/>
      <c r="Q866" s="12"/>
      <c r="R866" s="12"/>
    </row>
    <row r="867" spans="3:18" x14ac:dyDescent="0.2">
      <c r="C867" s="9"/>
      <c r="D867" s="9"/>
      <c r="E867" s="19"/>
      <c r="F867" s="20"/>
      <c r="H867" s="11"/>
      <c r="I867" s="10"/>
      <c r="J867" s="12"/>
      <c r="K867" s="12"/>
      <c r="L867" s="13"/>
      <c r="M867" s="12"/>
      <c r="N867" s="12"/>
      <c r="O867" s="13"/>
      <c r="P867" s="12"/>
      <c r="Q867" s="12"/>
      <c r="R867" s="12"/>
    </row>
    <row r="868" spans="3:18" x14ac:dyDescent="0.2">
      <c r="C868" s="9"/>
      <c r="D868" s="9"/>
      <c r="E868" s="19"/>
      <c r="F868" s="20"/>
      <c r="H868" s="11"/>
      <c r="I868" s="10"/>
      <c r="J868" s="12"/>
      <c r="K868" s="12"/>
      <c r="L868" s="13"/>
      <c r="M868" s="12"/>
      <c r="N868" s="12"/>
      <c r="O868" s="13"/>
      <c r="P868" s="12"/>
      <c r="Q868" s="12"/>
      <c r="R868" s="12"/>
    </row>
    <row r="869" spans="3:18" x14ac:dyDescent="0.2">
      <c r="C869" s="9"/>
      <c r="D869" s="9"/>
      <c r="E869" s="19"/>
      <c r="F869" s="20"/>
      <c r="H869" s="11"/>
      <c r="I869" s="10"/>
      <c r="J869" s="12"/>
      <c r="K869" s="12"/>
      <c r="L869" s="13"/>
      <c r="M869" s="12"/>
      <c r="N869" s="12"/>
      <c r="O869" s="13"/>
      <c r="P869" s="12"/>
      <c r="Q869" s="12"/>
      <c r="R869" s="12"/>
    </row>
    <row r="870" spans="3:18" x14ac:dyDescent="0.2">
      <c r="C870" s="9"/>
      <c r="D870" s="9"/>
      <c r="E870" s="19"/>
      <c r="F870" s="20"/>
      <c r="H870" s="11"/>
      <c r="I870" s="10"/>
      <c r="J870" s="12"/>
      <c r="K870" s="12"/>
      <c r="L870" s="13"/>
      <c r="M870" s="12"/>
      <c r="N870" s="12"/>
      <c r="O870" s="13"/>
      <c r="P870" s="12"/>
      <c r="Q870" s="12"/>
      <c r="R870" s="12"/>
    </row>
    <row r="871" spans="3:18" x14ac:dyDescent="0.2">
      <c r="C871" s="9"/>
      <c r="D871" s="9"/>
      <c r="E871" s="19"/>
      <c r="F871" s="20"/>
      <c r="H871" s="11"/>
      <c r="I871" s="10"/>
      <c r="J871" s="12"/>
      <c r="K871" s="12"/>
      <c r="L871" s="13"/>
      <c r="M871" s="13"/>
      <c r="N871" s="12"/>
      <c r="O871" s="13"/>
      <c r="P871" s="12"/>
      <c r="Q871" s="12"/>
      <c r="R871" s="12"/>
    </row>
    <row r="872" spans="3:18" x14ac:dyDescent="0.2">
      <c r="C872" s="9"/>
      <c r="D872" s="9"/>
      <c r="E872" s="19"/>
      <c r="F872" s="20"/>
      <c r="H872" s="11"/>
      <c r="I872" s="10"/>
      <c r="J872" s="12"/>
      <c r="K872" s="12"/>
      <c r="L872" s="13"/>
      <c r="M872" s="12"/>
      <c r="N872" s="12"/>
      <c r="O872" s="13"/>
      <c r="P872" s="12"/>
      <c r="Q872" s="12"/>
      <c r="R872" s="12"/>
    </row>
    <row r="873" spans="3:18" x14ac:dyDescent="0.2">
      <c r="C873" s="9"/>
      <c r="D873" s="9"/>
      <c r="E873" s="19"/>
      <c r="F873" s="20"/>
      <c r="H873" s="11"/>
      <c r="I873" s="10"/>
      <c r="J873" s="12"/>
      <c r="K873" s="12"/>
      <c r="L873" s="13"/>
      <c r="M873" s="12"/>
      <c r="N873" s="12"/>
      <c r="O873" s="13"/>
      <c r="P873" s="12"/>
      <c r="Q873" s="12"/>
      <c r="R873" s="12"/>
    </row>
    <row r="874" spans="3:18" x14ac:dyDescent="0.2">
      <c r="C874" s="9"/>
      <c r="D874" s="9"/>
      <c r="E874" s="19"/>
      <c r="F874" s="20"/>
      <c r="H874" s="11"/>
      <c r="I874" s="10"/>
      <c r="J874" s="12"/>
      <c r="K874" s="12"/>
      <c r="L874" s="13"/>
      <c r="M874" s="12"/>
      <c r="N874" s="12"/>
      <c r="O874" s="13"/>
      <c r="P874" s="12"/>
      <c r="Q874" s="12"/>
      <c r="R874" s="12"/>
    </row>
    <row r="875" spans="3:18" x14ac:dyDescent="0.2">
      <c r="C875" s="9"/>
      <c r="D875" s="9"/>
      <c r="E875" s="19"/>
      <c r="F875" s="20"/>
      <c r="H875" s="11"/>
      <c r="I875" s="10"/>
      <c r="J875" s="12"/>
      <c r="K875" s="12"/>
      <c r="L875" s="13"/>
      <c r="M875" s="12"/>
      <c r="N875" s="12"/>
      <c r="O875" s="13"/>
      <c r="P875" s="12"/>
      <c r="Q875" s="12"/>
      <c r="R875" s="12"/>
    </row>
    <row r="876" spans="3:18" x14ac:dyDescent="0.2">
      <c r="C876" s="9"/>
      <c r="D876" s="9"/>
      <c r="E876" s="19"/>
      <c r="F876" s="20"/>
      <c r="H876" s="11"/>
      <c r="I876" s="10"/>
      <c r="J876" s="12"/>
      <c r="K876" s="12"/>
      <c r="L876" s="13"/>
      <c r="M876" s="13"/>
      <c r="N876" s="12"/>
      <c r="O876" s="13"/>
      <c r="P876" s="12"/>
      <c r="Q876" s="12"/>
      <c r="R876" s="12"/>
    </row>
    <row r="877" spans="3:18" x14ac:dyDescent="0.2">
      <c r="C877" s="9"/>
      <c r="D877" s="9"/>
      <c r="E877" s="19"/>
      <c r="F877" s="20"/>
      <c r="H877" s="11"/>
      <c r="I877" s="10"/>
      <c r="J877" s="12"/>
      <c r="K877" s="12"/>
      <c r="L877" s="13"/>
      <c r="M877" s="12"/>
      <c r="N877" s="12"/>
      <c r="O877" s="13"/>
      <c r="P877" s="12"/>
      <c r="Q877" s="12"/>
      <c r="R877" s="12"/>
    </row>
    <row r="878" spans="3:18" x14ac:dyDescent="0.2">
      <c r="C878" s="9"/>
      <c r="D878" s="9"/>
      <c r="E878" s="19"/>
      <c r="F878" s="20"/>
      <c r="H878" s="11"/>
      <c r="I878" s="10"/>
      <c r="J878" s="12"/>
      <c r="K878" s="12"/>
      <c r="L878" s="13"/>
      <c r="M878" s="12"/>
      <c r="N878" s="12"/>
      <c r="O878" s="13"/>
      <c r="P878" s="12"/>
      <c r="Q878" s="12"/>
      <c r="R878" s="12"/>
    </row>
    <row r="879" spans="3:18" x14ac:dyDescent="0.2">
      <c r="C879" s="9"/>
      <c r="D879" s="9"/>
      <c r="E879" s="19"/>
      <c r="F879" s="20"/>
      <c r="H879" s="11"/>
      <c r="I879" s="10"/>
      <c r="J879" s="12"/>
      <c r="K879" s="12"/>
      <c r="L879" s="13"/>
      <c r="M879" s="12"/>
      <c r="N879" s="12"/>
      <c r="O879" s="13"/>
      <c r="P879" s="12"/>
      <c r="Q879" s="12"/>
      <c r="R879" s="12"/>
    </row>
    <row r="880" spans="3:18" x14ac:dyDescent="0.2">
      <c r="C880" s="9"/>
      <c r="D880" s="9"/>
      <c r="E880" s="19"/>
      <c r="F880" s="20"/>
      <c r="H880" s="11"/>
      <c r="I880" s="10"/>
      <c r="J880" s="12"/>
      <c r="K880" s="12"/>
      <c r="L880" s="13"/>
      <c r="M880" s="12"/>
      <c r="N880" s="12"/>
      <c r="O880" s="13"/>
      <c r="P880" s="12"/>
      <c r="Q880" s="12"/>
      <c r="R880" s="12"/>
    </row>
    <row r="881" spans="3:18" x14ac:dyDescent="0.2">
      <c r="C881" s="9"/>
      <c r="D881" s="9"/>
      <c r="E881" s="19"/>
      <c r="F881" s="20"/>
      <c r="H881" s="11"/>
      <c r="I881" s="10"/>
      <c r="J881" s="12"/>
      <c r="K881" s="12"/>
      <c r="L881" s="13"/>
      <c r="M881" s="13"/>
      <c r="N881" s="12"/>
      <c r="O881" s="13"/>
      <c r="P881" s="12"/>
      <c r="Q881" s="12"/>
      <c r="R881" s="12"/>
    </row>
    <row r="884" spans="3:18" x14ac:dyDescent="0.2">
      <c r="C884" s="9"/>
      <c r="D884" s="9"/>
      <c r="E884" s="19"/>
      <c r="F884" s="20"/>
      <c r="H884" s="11"/>
      <c r="I884" s="22"/>
      <c r="J884" s="12"/>
      <c r="K884" s="12"/>
      <c r="L884" s="9"/>
      <c r="M884" s="12"/>
      <c r="N884" s="12"/>
      <c r="O884" s="13"/>
      <c r="P884" s="12"/>
      <c r="Q884" s="12"/>
      <c r="R884" s="12"/>
    </row>
    <row r="885" spans="3:18" x14ac:dyDescent="0.2">
      <c r="C885" s="9"/>
      <c r="D885" s="9"/>
      <c r="E885" s="19"/>
      <c r="F885" s="20"/>
      <c r="H885" s="11"/>
      <c r="I885" s="10"/>
      <c r="J885" s="12"/>
      <c r="K885" s="12"/>
      <c r="L885" s="13"/>
      <c r="M885" s="12"/>
      <c r="N885" s="12"/>
      <c r="O885" s="13"/>
      <c r="P885" s="12"/>
      <c r="Q885" s="12"/>
      <c r="R885" s="12"/>
    </row>
    <row r="886" spans="3:18" x14ac:dyDescent="0.2">
      <c r="C886" s="9"/>
      <c r="D886" s="9"/>
      <c r="E886" s="19"/>
      <c r="F886" s="20"/>
      <c r="H886" s="11"/>
      <c r="I886" s="10"/>
      <c r="J886" s="12"/>
      <c r="K886" s="12"/>
      <c r="L886" s="13"/>
      <c r="M886" s="12"/>
      <c r="N886" s="12"/>
      <c r="O886" s="13"/>
      <c r="P886" s="12"/>
      <c r="Q886" s="12"/>
      <c r="R886" s="12"/>
    </row>
    <row r="887" spans="3:18" x14ac:dyDescent="0.2">
      <c r="C887" s="9"/>
      <c r="D887" s="9"/>
      <c r="E887" s="19"/>
      <c r="F887" s="20"/>
      <c r="H887" s="11"/>
      <c r="I887" s="10"/>
      <c r="J887" s="12"/>
      <c r="K887" s="12"/>
      <c r="L887" s="13"/>
      <c r="M887" s="12"/>
      <c r="N887" s="12"/>
      <c r="O887" s="13"/>
      <c r="P887" s="12"/>
      <c r="Q887" s="12"/>
      <c r="R887" s="12"/>
    </row>
    <row r="888" spans="3:18" x14ac:dyDescent="0.2">
      <c r="C888" s="9"/>
      <c r="D888" s="9"/>
      <c r="E888" s="19"/>
      <c r="F888" s="20"/>
      <c r="H888" s="11"/>
      <c r="I888" s="10"/>
      <c r="J888" s="12"/>
      <c r="K888" s="12"/>
      <c r="L888" s="13"/>
      <c r="M888" s="12"/>
      <c r="N888" s="12"/>
      <c r="O888" s="13"/>
      <c r="P888" s="12"/>
      <c r="Q888" s="12"/>
      <c r="R888" s="12"/>
    </row>
    <row r="889" spans="3:18" x14ac:dyDescent="0.2">
      <c r="C889" s="9"/>
      <c r="D889" s="9"/>
      <c r="E889" s="19"/>
      <c r="F889" s="20"/>
      <c r="H889" s="11"/>
      <c r="I889" s="10"/>
      <c r="J889" s="12"/>
      <c r="K889" s="12"/>
      <c r="L889" s="13"/>
      <c r="M889" s="13"/>
      <c r="N889" s="12"/>
      <c r="O889" s="13"/>
      <c r="P889" s="12"/>
      <c r="Q889" s="12"/>
      <c r="R889" s="12"/>
    </row>
    <row r="890" spans="3:18" x14ac:dyDescent="0.2">
      <c r="C890" s="9"/>
      <c r="D890" s="9"/>
      <c r="E890" s="19"/>
      <c r="F890" s="20"/>
      <c r="H890" s="11"/>
      <c r="I890" s="10"/>
      <c r="J890" s="12"/>
      <c r="K890" s="12"/>
      <c r="L890" s="13"/>
      <c r="M890" s="12"/>
      <c r="N890" s="12"/>
      <c r="O890" s="13"/>
      <c r="P890" s="12"/>
      <c r="Q890" s="12"/>
      <c r="R890" s="12"/>
    </row>
    <row r="891" spans="3:18" x14ac:dyDescent="0.2">
      <c r="C891" s="9"/>
      <c r="D891" s="9"/>
      <c r="E891" s="19"/>
      <c r="F891" s="20"/>
      <c r="H891" s="11"/>
      <c r="I891" s="10"/>
      <c r="J891" s="12"/>
      <c r="K891" s="12"/>
      <c r="L891" s="13"/>
      <c r="M891" s="12"/>
      <c r="N891" s="12"/>
      <c r="O891" s="13"/>
      <c r="P891" s="12"/>
      <c r="Q891" s="12"/>
      <c r="R891" s="12"/>
    </row>
    <row r="892" spans="3:18" x14ac:dyDescent="0.2">
      <c r="C892" s="9"/>
      <c r="D892" s="9"/>
      <c r="E892" s="19"/>
      <c r="F892" s="20"/>
      <c r="H892" s="11"/>
      <c r="I892" s="10"/>
      <c r="J892" s="12"/>
      <c r="K892" s="12"/>
      <c r="L892" s="13"/>
      <c r="M892" s="12"/>
      <c r="N892" s="12"/>
      <c r="O892" s="13"/>
      <c r="P892" s="12"/>
      <c r="Q892" s="12"/>
      <c r="R892" s="12"/>
    </row>
    <row r="893" spans="3:18" x14ac:dyDescent="0.2">
      <c r="C893" s="9"/>
      <c r="D893" s="9"/>
      <c r="E893" s="19"/>
      <c r="F893" s="20"/>
      <c r="H893" s="11"/>
      <c r="I893" s="10"/>
      <c r="J893" s="12"/>
      <c r="K893" s="12"/>
      <c r="L893" s="13"/>
      <c r="M893" s="12"/>
      <c r="N893" s="12"/>
      <c r="O893" s="13"/>
      <c r="P893" s="12"/>
      <c r="Q893" s="12"/>
      <c r="R893" s="12"/>
    </row>
    <row r="894" spans="3:18" x14ac:dyDescent="0.2">
      <c r="C894" s="9"/>
      <c r="D894" s="9"/>
      <c r="E894" s="19"/>
      <c r="F894" s="20"/>
      <c r="H894" s="11"/>
      <c r="I894" s="10"/>
      <c r="J894" s="12"/>
      <c r="K894" s="12"/>
      <c r="L894" s="13"/>
      <c r="M894" s="13"/>
      <c r="N894" s="12"/>
      <c r="O894" s="13"/>
      <c r="P894" s="12"/>
      <c r="Q894" s="12"/>
      <c r="R894" s="12"/>
    </row>
    <row r="895" spans="3:18" x14ac:dyDescent="0.2">
      <c r="C895" s="9"/>
      <c r="D895" s="9"/>
      <c r="E895" s="19"/>
      <c r="F895" s="20"/>
      <c r="H895" s="11"/>
      <c r="I895" s="10"/>
      <c r="J895" s="12"/>
      <c r="K895" s="12"/>
      <c r="L895" s="13"/>
      <c r="M895" s="12"/>
      <c r="N895" s="12"/>
      <c r="O895" s="13"/>
      <c r="P895" s="12"/>
      <c r="Q895" s="12"/>
      <c r="R895" s="12"/>
    </row>
    <row r="896" spans="3:18" x14ac:dyDescent="0.2">
      <c r="C896" s="9"/>
      <c r="D896" s="9"/>
      <c r="E896" s="19"/>
      <c r="F896" s="20"/>
      <c r="H896" s="11"/>
      <c r="I896" s="10"/>
      <c r="J896" s="12"/>
      <c r="K896" s="12"/>
      <c r="L896" s="13"/>
      <c r="M896" s="12"/>
      <c r="N896" s="12"/>
      <c r="O896" s="13"/>
      <c r="P896" s="12"/>
      <c r="Q896" s="12"/>
      <c r="R896" s="12"/>
    </row>
    <row r="897" spans="3:18" x14ac:dyDescent="0.2">
      <c r="C897" s="9"/>
      <c r="D897" s="9"/>
      <c r="E897" s="19"/>
      <c r="F897" s="20"/>
      <c r="H897" s="11"/>
      <c r="I897" s="10"/>
      <c r="J897" s="12"/>
      <c r="K897" s="12"/>
      <c r="L897" s="13"/>
      <c r="M897" s="12"/>
      <c r="N897" s="12"/>
      <c r="O897" s="13"/>
      <c r="P897" s="12"/>
      <c r="Q897" s="12"/>
      <c r="R897" s="12"/>
    </row>
    <row r="898" spans="3:18" x14ac:dyDescent="0.2">
      <c r="C898" s="9"/>
      <c r="D898" s="9"/>
      <c r="E898" s="19"/>
      <c r="F898" s="20"/>
      <c r="H898" s="11"/>
      <c r="I898" s="10"/>
      <c r="J898" s="12"/>
      <c r="K898" s="12"/>
      <c r="L898" s="13"/>
      <c r="M898" s="12"/>
      <c r="N898" s="12"/>
      <c r="O898" s="13"/>
      <c r="P898" s="12"/>
      <c r="Q898" s="12"/>
      <c r="R898" s="12"/>
    </row>
    <row r="899" spans="3:18" x14ac:dyDescent="0.2">
      <c r="C899" s="9"/>
      <c r="D899" s="9"/>
      <c r="E899" s="19"/>
      <c r="F899" s="20"/>
      <c r="H899" s="11"/>
      <c r="I899" s="10"/>
      <c r="J899" s="12"/>
      <c r="K899" s="12"/>
      <c r="L899" s="13"/>
      <c r="M899" s="13"/>
      <c r="N899" s="12"/>
      <c r="O899" s="13"/>
      <c r="P899" s="12"/>
      <c r="Q899" s="12"/>
      <c r="R899" s="12"/>
    </row>
    <row r="902" spans="3:18" x14ac:dyDescent="0.2">
      <c r="C902" s="9"/>
      <c r="D902" s="9"/>
      <c r="E902" s="19"/>
      <c r="F902" s="20"/>
      <c r="H902" s="11"/>
      <c r="I902" s="22"/>
      <c r="J902" s="12"/>
      <c r="K902" s="12"/>
      <c r="L902" s="9"/>
      <c r="M902" s="12"/>
      <c r="N902" s="12"/>
      <c r="O902" s="13"/>
      <c r="P902" s="12"/>
      <c r="Q902" s="12"/>
      <c r="R902" s="12"/>
    </row>
    <row r="903" spans="3:18" x14ac:dyDescent="0.2">
      <c r="C903" s="9"/>
      <c r="D903" s="9"/>
      <c r="E903" s="19"/>
      <c r="F903" s="20"/>
      <c r="H903" s="11"/>
      <c r="I903" s="10"/>
      <c r="J903" s="12"/>
      <c r="K903" s="12"/>
      <c r="L903" s="13"/>
      <c r="M903" s="12"/>
      <c r="N903" s="12"/>
      <c r="O903" s="13"/>
      <c r="P903" s="12"/>
      <c r="Q903" s="12"/>
      <c r="R903" s="12"/>
    </row>
    <row r="904" spans="3:18" x14ac:dyDescent="0.2">
      <c r="C904" s="9"/>
      <c r="D904" s="9"/>
      <c r="E904" s="19"/>
      <c r="F904" s="20"/>
      <c r="H904" s="11"/>
      <c r="I904" s="10"/>
      <c r="J904" s="12"/>
      <c r="K904" s="12"/>
      <c r="L904" s="13"/>
      <c r="M904" s="12"/>
      <c r="N904" s="12"/>
      <c r="O904" s="13"/>
      <c r="P904" s="12"/>
      <c r="Q904" s="12"/>
      <c r="R904" s="12"/>
    </row>
    <row r="905" spans="3:18" x14ac:dyDescent="0.2">
      <c r="C905" s="9"/>
      <c r="D905" s="9"/>
      <c r="E905" s="19"/>
      <c r="F905" s="20"/>
      <c r="H905" s="11"/>
      <c r="I905" s="10"/>
      <c r="J905" s="12"/>
      <c r="K905" s="12"/>
      <c r="L905" s="13"/>
      <c r="M905" s="12"/>
      <c r="N905" s="12"/>
      <c r="O905" s="13"/>
      <c r="P905" s="12"/>
      <c r="Q905" s="12"/>
      <c r="R905" s="12"/>
    </row>
    <row r="906" spans="3:18" x14ac:dyDescent="0.2">
      <c r="C906" s="9"/>
      <c r="D906" s="9"/>
      <c r="E906" s="19"/>
      <c r="F906" s="20"/>
      <c r="H906" s="11"/>
      <c r="I906" s="10"/>
      <c r="J906" s="12"/>
      <c r="K906" s="12"/>
      <c r="L906" s="13"/>
      <c r="M906" s="12"/>
      <c r="N906" s="12"/>
      <c r="O906" s="13"/>
      <c r="P906" s="12"/>
      <c r="Q906" s="12"/>
      <c r="R906" s="12"/>
    </row>
    <row r="907" spans="3:18" x14ac:dyDescent="0.2">
      <c r="C907" s="9"/>
      <c r="D907" s="9"/>
      <c r="E907" s="19"/>
      <c r="F907" s="20"/>
      <c r="H907" s="11"/>
      <c r="I907" s="22"/>
      <c r="J907" s="12"/>
      <c r="K907" s="12"/>
      <c r="L907" s="13"/>
      <c r="M907" s="13"/>
      <c r="N907" s="12"/>
      <c r="O907" s="13"/>
      <c r="P907" s="12"/>
      <c r="Q907" s="12"/>
      <c r="R907" s="12"/>
    </row>
    <row r="908" spans="3:18" x14ac:dyDescent="0.2">
      <c r="C908" s="9"/>
      <c r="D908" s="9"/>
      <c r="E908" s="19"/>
      <c r="F908" s="20"/>
      <c r="H908" s="11"/>
      <c r="I908" s="10"/>
      <c r="J908" s="12"/>
      <c r="K908" s="12"/>
      <c r="L908" s="13"/>
      <c r="M908" s="12"/>
      <c r="N908" s="12"/>
      <c r="O908" s="13"/>
      <c r="P908" s="12"/>
      <c r="Q908" s="12"/>
      <c r="R908" s="12"/>
    </row>
    <row r="909" spans="3:18" x14ac:dyDescent="0.2">
      <c r="C909" s="9"/>
      <c r="D909" s="9"/>
      <c r="E909" s="19"/>
      <c r="F909" s="20"/>
      <c r="H909" s="11"/>
      <c r="I909" s="10"/>
      <c r="J909" s="12"/>
      <c r="K909" s="12"/>
      <c r="L909" s="13"/>
      <c r="M909" s="12"/>
      <c r="N909" s="12"/>
      <c r="O909" s="13"/>
      <c r="P909" s="12"/>
      <c r="Q909" s="12"/>
      <c r="R909" s="12"/>
    </row>
    <row r="910" spans="3:18" x14ac:dyDescent="0.2">
      <c r="C910" s="9"/>
      <c r="D910" s="9"/>
      <c r="E910" s="19"/>
      <c r="F910" s="20"/>
      <c r="H910" s="11"/>
      <c r="I910" s="10"/>
      <c r="J910" s="12"/>
      <c r="K910" s="12"/>
      <c r="L910" s="13"/>
      <c r="M910" s="12"/>
      <c r="N910" s="12"/>
      <c r="O910" s="13"/>
      <c r="P910" s="12"/>
      <c r="Q910" s="12"/>
      <c r="R910" s="12"/>
    </row>
    <row r="911" spans="3:18" x14ac:dyDescent="0.2">
      <c r="C911" s="9"/>
      <c r="D911" s="9"/>
      <c r="E911" s="19"/>
      <c r="F911" s="20"/>
      <c r="H911" s="11"/>
      <c r="I911" s="10"/>
      <c r="J911" s="12"/>
      <c r="K911" s="12"/>
      <c r="L911" s="13"/>
      <c r="M911" s="12"/>
      <c r="N911" s="12"/>
      <c r="O911" s="13"/>
      <c r="P911" s="12"/>
      <c r="Q911" s="12"/>
      <c r="R911" s="12"/>
    </row>
    <row r="912" spans="3:18" x14ac:dyDescent="0.2">
      <c r="C912" s="9"/>
      <c r="D912" s="9"/>
      <c r="E912" s="19"/>
      <c r="F912" s="20"/>
      <c r="H912" s="11"/>
      <c r="I912" s="10"/>
      <c r="J912" s="12"/>
      <c r="K912" s="12"/>
      <c r="L912" s="13"/>
      <c r="M912" s="13"/>
      <c r="N912" s="12"/>
      <c r="O912" s="13"/>
      <c r="P912" s="12"/>
      <c r="Q912" s="12"/>
      <c r="R912" s="12"/>
    </row>
    <row r="913" spans="3:18" x14ac:dyDescent="0.2">
      <c r="C913" s="9"/>
      <c r="D913" s="9"/>
      <c r="E913" s="19"/>
      <c r="F913" s="20"/>
      <c r="H913" s="11"/>
      <c r="I913" s="10"/>
      <c r="J913" s="12"/>
      <c r="K913" s="12"/>
      <c r="L913" s="13"/>
      <c r="M913" s="12"/>
      <c r="N913" s="12"/>
      <c r="O913" s="13"/>
      <c r="P913" s="12"/>
      <c r="Q913" s="12"/>
      <c r="R913" s="12"/>
    </row>
    <row r="914" spans="3:18" x14ac:dyDescent="0.2">
      <c r="C914" s="9"/>
      <c r="D914" s="9"/>
      <c r="E914" s="19"/>
      <c r="F914" s="20"/>
      <c r="H914" s="11"/>
      <c r="I914" s="10"/>
      <c r="J914" s="12"/>
      <c r="K914" s="12"/>
      <c r="L914" s="13"/>
      <c r="M914" s="12"/>
      <c r="N914" s="12"/>
      <c r="O914" s="13"/>
      <c r="P914" s="12"/>
      <c r="Q914" s="12"/>
      <c r="R914" s="12"/>
    </row>
    <row r="915" spans="3:18" x14ac:dyDescent="0.2">
      <c r="C915" s="9"/>
      <c r="D915" s="9"/>
      <c r="E915" s="19"/>
      <c r="F915" s="20"/>
      <c r="H915" s="11"/>
      <c r="I915" s="10"/>
      <c r="J915" s="12"/>
      <c r="K915" s="12"/>
      <c r="L915" s="13"/>
      <c r="M915" s="12"/>
      <c r="N915" s="12"/>
      <c r="O915" s="13"/>
      <c r="P915" s="12"/>
      <c r="Q915" s="12"/>
      <c r="R915" s="12"/>
    </row>
    <row r="916" spans="3:18" x14ac:dyDescent="0.2">
      <c r="C916" s="9"/>
      <c r="D916" s="9"/>
      <c r="E916" s="19"/>
      <c r="F916" s="20"/>
      <c r="H916" s="11"/>
      <c r="I916" s="10"/>
      <c r="J916" s="12"/>
      <c r="K916" s="12"/>
      <c r="L916" s="13"/>
      <c r="M916" s="12"/>
      <c r="N916" s="12"/>
      <c r="O916" s="13"/>
      <c r="P916" s="12"/>
      <c r="Q916" s="12"/>
      <c r="R916" s="12"/>
    </row>
    <row r="917" spans="3:18" x14ac:dyDescent="0.2">
      <c r="C917" s="9"/>
      <c r="D917" s="9"/>
      <c r="E917" s="19"/>
      <c r="F917" s="20"/>
      <c r="H917" s="11"/>
      <c r="I917" s="10"/>
      <c r="J917" s="12"/>
      <c r="K917" s="12"/>
      <c r="L917" s="13"/>
      <c r="M917" s="12"/>
      <c r="N917" s="12"/>
      <c r="O917" s="13"/>
      <c r="P917" s="12"/>
      <c r="Q917" s="12"/>
      <c r="R917" s="12"/>
    </row>
  </sheetData>
  <autoFilter ref="A3:R863"/>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Normal="100" workbookViewId="0">
      <selection activeCell="J16" sqref="J16"/>
    </sheetView>
  </sheetViews>
  <sheetFormatPr defaultRowHeight="12.75" x14ac:dyDescent="0.2"/>
  <cols>
    <col min="1" max="1" width="12.140625" style="3" bestFit="1" customWidth="1"/>
    <col min="2" max="3" width="11.5703125" style="3" customWidth="1"/>
    <col min="4" max="4" width="28.5703125" style="3" bestFit="1" customWidth="1"/>
    <col min="5" max="5" width="19.140625" style="3" bestFit="1" customWidth="1"/>
    <col min="6" max="6" width="19.28515625" style="3" bestFit="1" customWidth="1"/>
    <col min="7" max="7" width="18.140625" style="3" bestFit="1" customWidth="1"/>
    <col min="8" max="8" width="21" style="3" bestFit="1" customWidth="1"/>
    <col min="9" max="9" width="13.85546875" style="3" bestFit="1" customWidth="1"/>
    <col min="10" max="16384" width="9.140625" style="3"/>
  </cols>
  <sheetData>
    <row r="1" spans="1:10" x14ac:dyDescent="0.2">
      <c r="D1" s="14" t="s">
        <v>56</v>
      </c>
    </row>
    <row r="2" spans="1:10" x14ac:dyDescent="0.2">
      <c r="D2" s="4"/>
      <c r="E2" s="4"/>
      <c r="F2" s="4"/>
      <c r="G2" s="2"/>
      <c r="H2" s="4"/>
      <c r="I2" s="2"/>
      <c r="J2" s="2"/>
    </row>
    <row r="3" spans="1:10" x14ac:dyDescent="0.2">
      <c r="A3" s="6" t="s">
        <v>57</v>
      </c>
      <c r="B3" s="6" t="s">
        <v>58</v>
      </c>
      <c r="C3" s="6" t="s">
        <v>59</v>
      </c>
      <c r="D3" s="6" t="s">
        <v>60</v>
      </c>
      <c r="E3" s="6" t="s">
        <v>61</v>
      </c>
    </row>
    <row r="5" spans="1:10" x14ac:dyDescent="0.2">
      <c r="A5" s="15">
        <v>1</v>
      </c>
      <c r="B5" s="15"/>
      <c r="C5" s="15"/>
      <c r="D5" s="14" t="s">
        <v>62</v>
      </c>
    </row>
    <row r="6" spans="1:10" x14ac:dyDescent="0.2">
      <c r="A6" s="10">
        <v>43555</v>
      </c>
      <c r="B6" s="10"/>
      <c r="C6" s="10"/>
      <c r="D6" s="3" t="s">
        <v>49</v>
      </c>
      <c r="E6" s="16">
        <f>-SUMIF('Data Working'!I:I,Entries!A6,'Data Working'!N:N)</f>
        <v>-15140589.59319998</v>
      </c>
    </row>
    <row r="7" spans="1:10" x14ac:dyDescent="0.2">
      <c r="A7" s="10">
        <v>43555</v>
      </c>
      <c r="B7" s="10"/>
      <c r="C7" s="10"/>
      <c r="D7" s="3" t="s">
        <v>53</v>
      </c>
      <c r="E7" s="16">
        <f>SUMIF('Data Working'!I:I,Entries!A7,'Data Working'!R:R)</f>
        <v>15423327.375841673</v>
      </c>
    </row>
    <row r="8" spans="1:10" x14ac:dyDescent="0.2">
      <c r="A8" s="10">
        <v>43555</v>
      </c>
      <c r="B8" s="10"/>
      <c r="C8" s="10"/>
      <c r="D8" s="3" t="s">
        <v>63</v>
      </c>
      <c r="E8" s="17">
        <f>-(+E6+E7)</f>
        <v>-282737.78264169395</v>
      </c>
    </row>
    <row r="10" spans="1:10" x14ac:dyDescent="0.2">
      <c r="A10" s="15">
        <v>2</v>
      </c>
      <c r="B10" s="15"/>
      <c r="C10" s="15"/>
      <c r="D10" s="14" t="s">
        <v>76</v>
      </c>
    </row>
    <row r="11" spans="1:10" x14ac:dyDescent="0.2">
      <c r="A11" s="10">
        <v>43738</v>
      </c>
      <c r="B11" s="10" t="s">
        <v>86</v>
      </c>
      <c r="C11" s="11">
        <v>1</v>
      </c>
      <c r="D11" s="3" t="s">
        <v>50</v>
      </c>
      <c r="E11" s="16">
        <f>SUMIFS('Data Working'!K:K,'Data Working'!G:G,Entries!B11,'Data Working'!H:H,Entries!C11)</f>
        <v>1786445.1685869491</v>
      </c>
    </row>
    <row r="12" spans="1:10" x14ac:dyDescent="0.2">
      <c r="A12" s="10">
        <v>43738</v>
      </c>
      <c r="B12" s="10" t="s">
        <v>86</v>
      </c>
      <c r="C12" s="11">
        <v>2</v>
      </c>
      <c r="D12" s="3" t="s">
        <v>50</v>
      </c>
      <c r="E12" s="16">
        <f>SUMIFS('Data Working'!K:K,'Data Working'!G:G,Entries!B12,'Data Working'!H:H,Entries!C12)</f>
        <v>1744280.3881353776</v>
      </c>
    </row>
    <row r="13" spans="1:10" x14ac:dyDescent="0.2">
      <c r="A13" s="10">
        <v>43738</v>
      </c>
      <c r="B13" s="10" t="s">
        <v>86</v>
      </c>
      <c r="C13" s="11"/>
      <c r="D13" s="3" t="s">
        <v>49</v>
      </c>
      <c r="E13" s="16">
        <f>-SUM(E11:E12)</f>
        <v>-3530725.5567223267</v>
      </c>
    </row>
    <row r="14" spans="1:10" x14ac:dyDescent="0.2">
      <c r="A14" s="10"/>
      <c r="B14" s="10"/>
      <c r="C14" s="11"/>
      <c r="E14" s="16"/>
    </row>
    <row r="15" spans="1:10" x14ac:dyDescent="0.2">
      <c r="A15" s="15">
        <v>3</v>
      </c>
      <c r="B15" s="10"/>
      <c r="C15" s="11"/>
      <c r="D15" s="14" t="s">
        <v>77</v>
      </c>
      <c r="E15" s="16"/>
    </row>
    <row r="16" spans="1:10" x14ac:dyDescent="0.2">
      <c r="A16" s="10">
        <v>43555</v>
      </c>
      <c r="B16" s="10"/>
      <c r="C16" s="11"/>
      <c r="D16" s="3" t="s">
        <v>78</v>
      </c>
      <c r="E16" s="16">
        <f>SUMIF('Data Working'!I:I,Entries!A16,'Data Working'!O:O)</f>
        <v>1774782.9427178081</v>
      </c>
    </row>
    <row r="17" spans="1:8" x14ac:dyDescent="0.2">
      <c r="A17" s="10">
        <v>43555</v>
      </c>
      <c r="B17" s="10"/>
      <c r="C17" s="11"/>
      <c r="D17" s="3" t="s">
        <v>49</v>
      </c>
      <c r="E17" s="16">
        <f>-E16</f>
        <v>-1774782.9427178081</v>
      </c>
    </row>
    <row r="18" spans="1:8" x14ac:dyDescent="0.2">
      <c r="A18" s="10"/>
      <c r="B18" s="10"/>
      <c r="C18" s="11"/>
      <c r="E18" s="16"/>
    </row>
    <row r="19" spans="1:8" x14ac:dyDescent="0.2">
      <c r="A19" s="15">
        <v>4</v>
      </c>
      <c r="B19" s="10"/>
      <c r="C19" s="11"/>
      <c r="D19" s="14" t="s">
        <v>81</v>
      </c>
      <c r="E19" s="16"/>
    </row>
    <row r="20" spans="1:8" x14ac:dyDescent="0.2">
      <c r="A20" s="10">
        <v>43738</v>
      </c>
      <c r="B20" s="10"/>
      <c r="C20" s="11"/>
      <c r="D20" s="3" t="s">
        <v>49</v>
      </c>
      <c r="E20" s="16">
        <f>-SUM(E21:E22)</f>
        <v>7626210.9665864371</v>
      </c>
    </row>
    <row r="21" spans="1:8" x14ac:dyDescent="0.2">
      <c r="A21" s="10">
        <v>43738</v>
      </c>
      <c r="B21" s="10" t="s">
        <v>86</v>
      </c>
      <c r="C21" s="11">
        <v>1</v>
      </c>
      <c r="D21" s="3" t="s">
        <v>65</v>
      </c>
      <c r="E21" s="16">
        <f>-SUMIFS('Data Working'!D:D,'Data Working'!G:G,Entries!B21,'Data Working'!H:H,Entries!C21)</f>
        <v>-3769079.9189312379</v>
      </c>
    </row>
    <row r="22" spans="1:8" x14ac:dyDescent="0.2">
      <c r="A22" s="10">
        <v>43738</v>
      </c>
      <c r="B22" s="10" t="s">
        <v>86</v>
      </c>
      <c r="C22" s="11">
        <v>2</v>
      </c>
      <c r="D22" s="3" t="s">
        <v>65</v>
      </c>
      <c r="E22" s="16">
        <f>-SUMIFS('Data Working'!D:D,'Data Working'!G:G,Entries!B22,'Data Working'!H:H,Entries!C22)</f>
        <v>-3857131.0476551987</v>
      </c>
    </row>
    <row r="23" spans="1:8" x14ac:dyDescent="0.2">
      <c r="A23" s="10"/>
      <c r="B23" s="10"/>
      <c r="C23" s="11"/>
    </row>
    <row r="24" spans="1:8" x14ac:dyDescent="0.2">
      <c r="A24" s="15">
        <v>5</v>
      </c>
      <c r="B24" s="10"/>
      <c r="C24" s="11"/>
      <c r="D24" s="14" t="s">
        <v>82</v>
      </c>
    </row>
    <row r="25" spans="1:8" x14ac:dyDescent="0.2">
      <c r="A25" s="10"/>
      <c r="B25" s="10"/>
      <c r="C25" s="11"/>
      <c r="D25" s="3" t="s">
        <v>49</v>
      </c>
      <c r="E25" s="17">
        <f>-E26</f>
        <v>2492592.9761313726</v>
      </c>
    </row>
    <row r="26" spans="1:8" x14ac:dyDescent="0.2">
      <c r="A26" s="10">
        <v>43738</v>
      </c>
      <c r="B26" s="10"/>
      <c r="C26" s="11"/>
      <c r="D26" s="3" t="s">
        <v>78</v>
      </c>
      <c r="E26" s="16">
        <f>-SUMIF('Data Working'!I:I,Entries!A26,'Data Working'!O:O)</f>
        <v>-2492592.9761313726</v>
      </c>
      <c r="F26" s="17">
        <f>+E13+E17+E20+E35+E6+E25</f>
        <v>-75846499.435849413</v>
      </c>
      <c r="G26" s="16">
        <f>Pivot!$F$50</f>
        <v>75846499.435849428</v>
      </c>
      <c r="H26" s="17">
        <f>+F26+G26</f>
        <v>0</v>
      </c>
    </row>
    <row r="27" spans="1:8" x14ac:dyDescent="0.2">
      <c r="A27" s="10"/>
      <c r="B27" s="10"/>
      <c r="C27" s="11"/>
    </row>
    <row r="28" spans="1:8" x14ac:dyDescent="0.2">
      <c r="A28" s="15">
        <v>6</v>
      </c>
      <c r="D28" s="14" t="s">
        <v>83</v>
      </c>
    </row>
    <row r="29" spans="1:8" x14ac:dyDescent="0.2">
      <c r="A29" s="10">
        <v>43738</v>
      </c>
      <c r="B29" s="10" t="s">
        <v>86</v>
      </c>
      <c r="C29" s="11">
        <v>1</v>
      </c>
      <c r="D29" s="3" t="s">
        <v>66</v>
      </c>
      <c r="E29" s="16">
        <f>SUMIFS('Data Working'!Q:Q,'Data Working'!G:G,Entries!B29,'Data Working'!H:H,Entries!C29)</f>
        <v>3075260.0174561823</v>
      </c>
    </row>
    <row r="30" spans="1:8" x14ac:dyDescent="0.2">
      <c r="A30" s="10">
        <v>43738</v>
      </c>
      <c r="B30" s="10" t="s">
        <v>86</v>
      </c>
      <c r="C30" s="11">
        <v>2</v>
      </c>
      <c r="D30" s="3" t="s">
        <v>66</v>
      </c>
      <c r="E30" s="16">
        <f>SUMIFS('Data Working'!Q:Q,'Data Working'!G:G,Entries!B30,'Data Working'!H:H,Entries!C30)</f>
        <v>3129205.9535403368</v>
      </c>
    </row>
    <row r="31" spans="1:8" x14ac:dyDescent="0.2">
      <c r="A31" s="10">
        <v>43738</v>
      </c>
      <c r="B31" s="10" t="s">
        <v>86</v>
      </c>
      <c r="C31" s="18" t="s">
        <v>64</v>
      </c>
      <c r="D31" s="3" t="s">
        <v>53</v>
      </c>
      <c r="E31" s="17">
        <f>-SUM(E29:E30)</f>
        <v>-6204465.9709965196</v>
      </c>
      <c r="F31" s="17">
        <f>+E7+E31+E34</f>
        <v>74738066.690772265</v>
      </c>
      <c r="G31" s="9">
        <f>Pivot!$J$50</f>
        <v>74738066.69077228</v>
      </c>
      <c r="H31" s="17">
        <f>+F31-G31</f>
        <v>0</v>
      </c>
    </row>
    <row r="33" spans="1:9" x14ac:dyDescent="0.2">
      <c r="D33" s="14" t="s">
        <v>67</v>
      </c>
      <c r="E33" s="17"/>
      <c r="F33" s="17"/>
    </row>
    <row r="34" spans="1:9" x14ac:dyDescent="0.2">
      <c r="A34" s="10">
        <v>43738</v>
      </c>
      <c r="B34" s="10" t="s">
        <v>86</v>
      </c>
      <c r="D34" s="3" t="s">
        <v>53</v>
      </c>
      <c r="E34" s="12">
        <f>+'Data Working'!J4</f>
        <v>65519205.285927117</v>
      </c>
      <c r="F34" s="3" t="s">
        <v>143</v>
      </c>
    </row>
    <row r="35" spans="1:9" x14ac:dyDescent="0.2">
      <c r="A35" s="10">
        <v>43738</v>
      </c>
      <c r="B35" s="10" t="s">
        <v>86</v>
      </c>
      <c r="D35" s="3" t="s">
        <v>49</v>
      </c>
      <c r="E35" s="12">
        <f>-E34</f>
        <v>-65519205.285927117</v>
      </c>
    </row>
    <row r="38" spans="1:9" x14ac:dyDescent="0.2">
      <c r="A38" s="10"/>
      <c r="B38" s="10"/>
      <c r="C38" s="11"/>
      <c r="E38" s="16"/>
    </row>
    <row r="39" spans="1:9" x14ac:dyDescent="0.2">
      <c r="A39" s="10"/>
      <c r="B39" s="10"/>
      <c r="C39" s="11"/>
      <c r="E39" s="16"/>
    </row>
    <row r="40" spans="1:9" x14ac:dyDescent="0.2">
      <c r="E40" s="17"/>
    </row>
    <row r="43" spans="1:9" x14ac:dyDescent="0.2">
      <c r="E43" s="17"/>
    </row>
    <row r="44" spans="1:9" x14ac:dyDescent="0.2">
      <c r="E44" s="16"/>
      <c r="G44" s="17"/>
      <c r="I44" s="17"/>
    </row>
    <row r="45" spans="1:9" x14ac:dyDescent="0.2">
      <c r="E45" s="1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170"/>
  <sheetViews>
    <sheetView topLeftCell="E26" workbookViewId="0">
      <selection activeCell="J50" sqref="J50"/>
    </sheetView>
  </sheetViews>
  <sheetFormatPr defaultRowHeight="12.75" x14ac:dyDescent="0.2"/>
  <cols>
    <col min="1" max="1" width="15.85546875" style="3" customWidth="1"/>
    <col min="2" max="2" width="12.5703125" style="3" customWidth="1"/>
    <col min="3" max="3" width="24.28515625" style="3" customWidth="1"/>
    <col min="4" max="4" width="17.7109375" style="3" customWidth="1"/>
    <col min="5" max="5" width="18.140625" style="3" bestFit="1" customWidth="1"/>
    <col min="6" max="6" width="32.7109375" style="3" bestFit="1" customWidth="1"/>
    <col min="7" max="7" width="19.7109375" style="3" customWidth="1"/>
    <col min="8" max="8" width="17" style="3" customWidth="1"/>
    <col min="9" max="9" width="22.5703125" style="3" bestFit="1" customWidth="1"/>
    <col min="10" max="10" width="30.5703125" style="3" bestFit="1" customWidth="1"/>
    <col min="11" max="16384" width="9.140625" style="3"/>
  </cols>
  <sheetData>
    <row r="3" spans="1:10" x14ac:dyDescent="0.2">
      <c r="C3" s="54" t="s">
        <v>73</v>
      </c>
    </row>
    <row r="4" spans="1:10" x14ac:dyDescent="0.2">
      <c r="A4" s="54" t="s">
        <v>48</v>
      </c>
      <c r="B4" s="54" t="s">
        <v>41</v>
      </c>
      <c r="C4" s="3" t="s">
        <v>70</v>
      </c>
      <c r="D4" s="3" t="s">
        <v>74</v>
      </c>
      <c r="E4" s="3" t="s">
        <v>71</v>
      </c>
      <c r="F4" s="3" t="s">
        <v>72</v>
      </c>
      <c r="G4" s="3" t="s">
        <v>79</v>
      </c>
      <c r="H4" s="3" t="s">
        <v>80</v>
      </c>
      <c r="I4" s="3" t="s">
        <v>84</v>
      </c>
      <c r="J4" s="3" t="s">
        <v>85</v>
      </c>
    </row>
    <row r="5" spans="1:10" x14ac:dyDescent="0.2">
      <c r="A5" s="10">
        <v>43555</v>
      </c>
      <c r="B5" s="3">
        <v>1002</v>
      </c>
      <c r="C5" s="55">
        <v>5680293.6761261718</v>
      </c>
      <c r="D5" s="55">
        <v>125711.41742246445</v>
      </c>
      <c r="E5" s="56">
        <v>-125711.41742246445</v>
      </c>
      <c r="F5" s="55">
        <v>6025902.4898326434</v>
      </c>
      <c r="G5" s="55">
        <v>458410.69578082196</v>
      </c>
      <c r="H5" s="56">
        <v>601027.27269041108</v>
      </c>
      <c r="I5" s="55">
        <v>424221.560563198</v>
      </c>
      <c r="J5" s="55">
        <v>5722277.4947080258</v>
      </c>
    </row>
    <row r="6" spans="1:10" x14ac:dyDescent="0.2">
      <c r="B6" s="3">
        <v>1003</v>
      </c>
      <c r="C6" s="55">
        <v>1612520.9325814322</v>
      </c>
      <c r="D6" s="55">
        <v>35784.711106601644</v>
      </c>
      <c r="E6" s="56">
        <v>-35784.711106601644</v>
      </c>
      <c r="F6" s="55">
        <v>1670174.0782531793</v>
      </c>
      <c r="G6" s="55">
        <v>226027.72602739724</v>
      </c>
      <c r="H6" s="56">
        <v>552512.21917808219</v>
      </c>
      <c r="I6" s="55">
        <v>207688.87220103003</v>
      </c>
      <c r="J6" s="55">
        <v>2194579.082924217</v>
      </c>
    </row>
    <row r="7" spans="1:10" x14ac:dyDescent="0.2">
      <c r="B7" s="3">
        <v>1004</v>
      </c>
      <c r="C7" s="55">
        <v>3955876.9898744412</v>
      </c>
      <c r="D7" s="55">
        <v>30238.073429451208</v>
      </c>
      <c r="E7" s="56">
        <v>52261.926570548792</v>
      </c>
      <c r="F7" s="55">
        <v>3903615.0633038925</v>
      </c>
      <c r="G7" s="55">
        <v>82500</v>
      </c>
      <c r="H7" s="56">
        <v>0</v>
      </c>
      <c r="I7" s="55">
        <v>74511.225334228322</v>
      </c>
      <c r="J7" s="55">
        <v>3511641.9423647616</v>
      </c>
    </row>
    <row r="8" spans="1:10" x14ac:dyDescent="0.2">
      <c r="B8" s="3">
        <v>1005</v>
      </c>
      <c r="C8" s="55">
        <v>1249693.6958168503</v>
      </c>
      <c r="D8" s="55">
        <v>27732.928592099965</v>
      </c>
      <c r="E8" s="56">
        <v>-27732.928592099965</v>
      </c>
      <c r="F8" s="55">
        <v>1285438.3593355571</v>
      </c>
      <c r="G8" s="55">
        <v>175170.08219178082</v>
      </c>
      <c r="H8" s="56">
        <v>484637.22739726026</v>
      </c>
      <c r="I8" s="55">
        <v>160957.58451050776</v>
      </c>
      <c r="J8" s="55">
        <v>1752649.2535588625</v>
      </c>
    </row>
    <row r="9" spans="1:10" x14ac:dyDescent="0.2">
      <c r="B9" s="3">
        <v>1006</v>
      </c>
      <c r="C9" s="55">
        <v>724753.80860196939</v>
      </c>
      <c r="D9" s="55">
        <v>16083.577670345074</v>
      </c>
      <c r="E9" s="56">
        <v>-16083.577670345074</v>
      </c>
      <c r="F9" s="55">
        <v>781046.33044817706</v>
      </c>
      <c r="G9" s="55">
        <v>101588.05479452055</v>
      </c>
      <c r="H9" s="56">
        <v>56441.808219178114</v>
      </c>
      <c r="I9" s="55">
        <v>96063.702135377695</v>
      </c>
      <c r="J9" s="55">
        <v>800530.85112814757</v>
      </c>
    </row>
    <row r="10" spans="1:10" x14ac:dyDescent="0.2">
      <c r="B10" s="3">
        <v>1007</v>
      </c>
      <c r="C10" s="55">
        <v>890480.59927615523</v>
      </c>
      <c r="D10" s="55">
        <v>19761.350285306456</v>
      </c>
      <c r="E10" s="56">
        <v>-19761.350285306456</v>
      </c>
      <c r="F10" s="55">
        <v>953936.49074786145</v>
      </c>
      <c r="G10" s="55">
        <v>94931.496986301368</v>
      </c>
      <c r="H10" s="56">
        <v>80164.41523287665</v>
      </c>
      <c r="I10" s="55">
        <v>104834.02185831412</v>
      </c>
      <c r="J10" s="55">
        <v>938846.90686445765</v>
      </c>
    </row>
    <row r="11" spans="1:10" x14ac:dyDescent="0.2">
      <c r="B11" s="3">
        <v>1008</v>
      </c>
      <c r="C11" s="55">
        <v>536376.80515162018</v>
      </c>
      <c r="D11" s="55">
        <v>4099.97612704937</v>
      </c>
      <c r="E11" s="56">
        <v>15900.023872950631</v>
      </c>
      <c r="F11" s="55">
        <v>520476.78127866954</v>
      </c>
      <c r="G11" s="55">
        <v>20000</v>
      </c>
      <c r="H11" s="56">
        <v>0</v>
      </c>
      <c r="I11" s="55">
        <v>19680.375218547022</v>
      </c>
      <c r="J11" s="55">
        <v>502801.84429320099</v>
      </c>
    </row>
    <row r="12" spans="1:10" x14ac:dyDescent="0.2">
      <c r="A12" s="3" t="s">
        <v>132</v>
      </c>
      <c r="C12" s="55">
        <v>14649996.50742864</v>
      </c>
      <c r="D12" s="55">
        <v>259412.03463331817</v>
      </c>
      <c r="E12" s="56">
        <v>-156912.03463331817</v>
      </c>
      <c r="F12" s="55">
        <v>15140589.59319998</v>
      </c>
      <c r="G12" s="55">
        <v>1158628.0557808219</v>
      </c>
      <c r="H12" s="56">
        <v>1774782.9427178081</v>
      </c>
      <c r="I12" s="55">
        <v>1087957.3418212028</v>
      </c>
      <c r="J12" s="55">
        <v>15423327.375841673</v>
      </c>
    </row>
    <row r="13" spans="1:10" x14ac:dyDescent="0.2">
      <c r="A13" s="10">
        <v>43556</v>
      </c>
      <c r="B13" s="3">
        <v>1001</v>
      </c>
      <c r="C13" s="55">
        <v>65519205.285927117</v>
      </c>
      <c r="D13" s="55">
        <v>0</v>
      </c>
      <c r="E13" s="56">
        <v>0</v>
      </c>
      <c r="F13" s="55">
        <v>65519205.285927117</v>
      </c>
      <c r="G13" s="55">
        <v>0</v>
      </c>
      <c r="H13" s="56">
        <v>0</v>
      </c>
      <c r="I13" s="55">
        <v>0</v>
      </c>
      <c r="J13" s="55">
        <v>65519205.285927117</v>
      </c>
    </row>
    <row r="14" spans="1:10" x14ac:dyDescent="0.2">
      <c r="A14" s="3" t="s">
        <v>133</v>
      </c>
      <c r="C14" s="55">
        <v>65519205.285927117</v>
      </c>
      <c r="D14" s="55">
        <v>0</v>
      </c>
      <c r="E14" s="56">
        <v>0</v>
      </c>
      <c r="F14" s="55">
        <v>65519205.285927117</v>
      </c>
      <c r="G14" s="55">
        <v>0</v>
      </c>
      <c r="H14" s="56">
        <v>0</v>
      </c>
      <c r="I14" s="55">
        <v>0</v>
      </c>
      <c r="J14" s="55">
        <v>65519205.285927117</v>
      </c>
    </row>
    <row r="15" spans="1:10" x14ac:dyDescent="0.2">
      <c r="A15" s="10">
        <v>43585</v>
      </c>
      <c r="B15" s="3">
        <v>1004</v>
      </c>
      <c r="C15" s="55">
        <v>3903615.0633038925</v>
      </c>
      <c r="D15" s="55">
        <v>28876.056632658929</v>
      </c>
      <c r="E15" s="56">
        <v>53623.943367341068</v>
      </c>
      <c r="F15" s="55">
        <v>3849991.1199365514</v>
      </c>
      <c r="G15" s="55">
        <v>82500</v>
      </c>
      <c r="H15" s="56">
        <v>0</v>
      </c>
      <c r="I15" s="55">
        <v>72107.637420220955</v>
      </c>
      <c r="J15" s="55">
        <v>3439534.3049445408</v>
      </c>
    </row>
    <row r="16" spans="1:10" x14ac:dyDescent="0.2">
      <c r="B16" s="3">
        <v>1008</v>
      </c>
      <c r="C16" s="55">
        <v>520476.78127866954</v>
      </c>
      <c r="D16" s="55">
        <v>3839.582812711496</v>
      </c>
      <c r="E16" s="56">
        <v>16160.417187288504</v>
      </c>
      <c r="F16" s="55">
        <v>504316.36409138102</v>
      </c>
      <c r="G16" s="55">
        <v>20000</v>
      </c>
      <c r="H16" s="56">
        <v>0</v>
      </c>
      <c r="I16" s="55">
        <v>19045.524405045508</v>
      </c>
      <c r="J16" s="55">
        <v>483756.3198881555</v>
      </c>
    </row>
    <row r="17" spans="1:10" x14ac:dyDescent="0.2">
      <c r="A17" s="3" t="s">
        <v>134</v>
      </c>
      <c r="C17" s="55">
        <v>4424091.8445825623</v>
      </c>
      <c r="D17" s="55">
        <v>32715.639445370423</v>
      </c>
      <c r="E17" s="56">
        <v>69784.360554629573</v>
      </c>
      <c r="F17" s="55">
        <v>4354307.4840279324</v>
      </c>
      <c r="G17" s="55">
        <v>102500</v>
      </c>
      <c r="H17" s="56">
        <v>0</v>
      </c>
      <c r="I17" s="55">
        <v>91153.161825266463</v>
      </c>
      <c r="J17" s="55">
        <v>3923290.6248326963</v>
      </c>
    </row>
    <row r="18" spans="1:10" x14ac:dyDescent="0.2">
      <c r="A18" s="10">
        <v>43605</v>
      </c>
      <c r="B18" s="3">
        <v>1006</v>
      </c>
      <c r="C18" s="55">
        <v>724753.80860196939</v>
      </c>
      <c r="D18" s="55">
        <v>8935.3209279694856</v>
      </c>
      <c r="E18" s="56">
        <v>346772.15722582274</v>
      </c>
      <c r="F18" s="55">
        <v>377981.65137614659</v>
      </c>
      <c r="G18" s="55">
        <v>56283.606557377047</v>
      </c>
      <c r="H18" s="56">
        <v>412158.20166180108</v>
      </c>
      <c r="I18" s="55">
        <v>53368.72340854317</v>
      </c>
      <c r="J18" s="55">
        <v>747162.12771960441</v>
      </c>
    </row>
    <row r="19" spans="1:10" x14ac:dyDescent="0.2">
      <c r="A19" s="3" t="s">
        <v>135</v>
      </c>
      <c r="C19" s="55">
        <v>724753.80860196939</v>
      </c>
      <c r="D19" s="55">
        <v>8935.3209279694856</v>
      </c>
      <c r="E19" s="56">
        <v>346772.15722582274</v>
      </c>
      <c r="F19" s="55">
        <v>377981.65137614659</v>
      </c>
      <c r="G19" s="55">
        <v>56283.606557377047</v>
      </c>
      <c r="H19" s="56">
        <v>412158.20166180108</v>
      </c>
      <c r="I19" s="55">
        <v>53368.72340854317</v>
      </c>
      <c r="J19" s="55">
        <v>747162.12771960441</v>
      </c>
    </row>
    <row r="20" spans="1:10" x14ac:dyDescent="0.2">
      <c r="A20" s="10">
        <v>43616</v>
      </c>
      <c r="B20" s="3">
        <v>1004</v>
      </c>
      <c r="C20" s="55">
        <v>3849991.1199365514</v>
      </c>
      <c r="D20" s="55">
        <v>29428.699245542404</v>
      </c>
      <c r="E20" s="56">
        <v>53071.300754457596</v>
      </c>
      <c r="F20" s="55">
        <v>3796919.8191820937</v>
      </c>
      <c r="G20" s="55">
        <v>82500</v>
      </c>
      <c r="H20" s="56">
        <v>0</v>
      </c>
      <c r="I20" s="55">
        <v>74511.225334228322</v>
      </c>
      <c r="J20" s="55">
        <v>3365023.0796103124</v>
      </c>
    </row>
    <row r="21" spans="1:10" x14ac:dyDescent="0.2">
      <c r="B21" s="3">
        <v>1008</v>
      </c>
      <c r="C21" s="55">
        <v>504316.36409138102</v>
      </c>
      <c r="D21" s="55">
        <v>3844.3788410244615</v>
      </c>
      <c r="E21" s="56">
        <v>18155.62115897554</v>
      </c>
      <c r="F21" s="55">
        <v>486160.7429324055</v>
      </c>
      <c r="G21" s="55">
        <v>22000</v>
      </c>
      <c r="H21" s="56">
        <v>0</v>
      </c>
      <c r="I21" s="55">
        <v>19680.375218547022</v>
      </c>
      <c r="J21" s="55">
        <v>464075.94466960849</v>
      </c>
    </row>
    <row r="22" spans="1:10" x14ac:dyDescent="0.2">
      <c r="A22" s="3" t="s">
        <v>136</v>
      </c>
      <c r="C22" s="55">
        <v>4354307.4840279324</v>
      </c>
      <c r="D22" s="55">
        <v>33273.078086566864</v>
      </c>
      <c r="E22" s="56">
        <v>71226.921913433136</v>
      </c>
      <c r="F22" s="55">
        <v>4283080.5621144995</v>
      </c>
      <c r="G22" s="55">
        <v>104500</v>
      </c>
      <c r="H22" s="56">
        <v>0</v>
      </c>
      <c r="I22" s="55">
        <v>94191.600552775344</v>
      </c>
      <c r="J22" s="55">
        <v>3829099.0242799208</v>
      </c>
    </row>
    <row r="23" spans="1:10" x14ac:dyDescent="0.2">
      <c r="A23" s="10">
        <v>43631</v>
      </c>
      <c r="B23" s="3">
        <v>1007</v>
      </c>
      <c r="C23" s="55">
        <v>890480.59927615523</v>
      </c>
      <c r="D23" s="55">
        <v>16687.362463147674</v>
      </c>
      <c r="E23" s="56">
        <v>381856.74606514606</v>
      </c>
      <c r="F23" s="55">
        <v>508623.85321100918</v>
      </c>
      <c r="G23" s="55">
        <v>80164.375232876715</v>
      </c>
      <c r="H23" s="56">
        <v>462000.03999999992</v>
      </c>
      <c r="I23" s="55">
        <v>88526.507347020815</v>
      </c>
      <c r="J23" s="55">
        <v>850320.39951743686</v>
      </c>
    </row>
    <row r="24" spans="1:10" x14ac:dyDescent="0.2">
      <c r="A24" s="3" t="s">
        <v>137</v>
      </c>
      <c r="C24" s="55">
        <v>890480.59927615523</v>
      </c>
      <c r="D24" s="55">
        <v>16687.362463147674</v>
      </c>
      <c r="E24" s="56">
        <v>381856.74606514606</v>
      </c>
      <c r="F24" s="55">
        <v>508623.85321100918</v>
      </c>
      <c r="G24" s="55">
        <v>80164.375232876715</v>
      </c>
      <c r="H24" s="56">
        <v>462000.03999999992</v>
      </c>
      <c r="I24" s="55">
        <v>88526.507347020815</v>
      </c>
      <c r="J24" s="55">
        <v>850320.39951743686</v>
      </c>
    </row>
    <row r="25" spans="1:10" x14ac:dyDescent="0.2">
      <c r="A25" s="10">
        <v>43646</v>
      </c>
      <c r="B25" s="3">
        <v>1001</v>
      </c>
      <c r="C25" s="55">
        <v>65519205.285927117</v>
      </c>
      <c r="D25" s="55">
        <v>1466126.4789391886</v>
      </c>
      <c r="E25" s="56">
        <v>920758.76696245093</v>
      </c>
      <c r="F25" s="55">
        <v>64598446.518964663</v>
      </c>
      <c r="G25" s="55">
        <v>2386885.2459016396</v>
      </c>
      <c r="H25" s="56">
        <v>0</v>
      </c>
      <c r="I25" s="55">
        <v>1793954.5104147978</v>
      </c>
      <c r="J25" s="55">
        <v>63725250.775512323</v>
      </c>
    </row>
    <row r="26" spans="1:10" x14ac:dyDescent="0.2">
      <c r="B26" s="3">
        <v>1002</v>
      </c>
      <c r="C26" s="55">
        <v>5680293.6761261718</v>
      </c>
      <c r="D26" s="55">
        <v>127108.21094938072</v>
      </c>
      <c r="E26" s="56">
        <v>-127108.21094938072</v>
      </c>
      <c r="F26" s="55">
        <v>6153010.7007820243</v>
      </c>
      <c r="G26" s="55">
        <v>463504.14795616444</v>
      </c>
      <c r="H26" s="56">
        <v>137523.12473424664</v>
      </c>
      <c r="I26" s="55">
        <v>428935.13345834462</v>
      </c>
      <c r="J26" s="55">
        <v>5293342.3612496816</v>
      </c>
    </row>
    <row r="27" spans="1:10" x14ac:dyDescent="0.2">
      <c r="B27" s="3">
        <v>1003</v>
      </c>
      <c r="C27" s="55">
        <v>1612520.9325814322</v>
      </c>
      <c r="D27" s="55">
        <v>36182.319007786107</v>
      </c>
      <c r="E27" s="56">
        <v>-36182.319007786107</v>
      </c>
      <c r="F27" s="55">
        <v>1706356.3972609653</v>
      </c>
      <c r="G27" s="55">
        <v>228539.14520547944</v>
      </c>
      <c r="H27" s="56">
        <v>323973.07397260272</v>
      </c>
      <c r="I27" s="55">
        <v>209996.52633659702</v>
      </c>
      <c r="J27" s="55">
        <v>1984582.5565876199</v>
      </c>
    </row>
    <row r="28" spans="1:10" x14ac:dyDescent="0.2">
      <c r="B28" s="3">
        <v>1004</v>
      </c>
      <c r="C28" s="55">
        <v>3796919.8191820937</v>
      </c>
      <c r="D28" s="55">
        <v>28086.80414189494</v>
      </c>
      <c r="E28" s="56">
        <v>54413.195858105057</v>
      </c>
      <c r="F28" s="55">
        <v>3742506.6233239886</v>
      </c>
      <c r="G28" s="55">
        <v>82500</v>
      </c>
      <c r="H28" s="56">
        <v>0</v>
      </c>
      <c r="I28" s="55">
        <v>72107.637420220955</v>
      </c>
      <c r="J28" s="55">
        <v>3292915.4421900916</v>
      </c>
    </row>
    <row r="29" spans="1:10" x14ac:dyDescent="0.2">
      <c r="B29" s="3">
        <v>1005</v>
      </c>
      <c r="C29" s="55">
        <v>1249693.6958168503</v>
      </c>
      <c r="D29" s="55">
        <v>28041.072243123297</v>
      </c>
      <c r="E29" s="56">
        <v>-28041.072243123297</v>
      </c>
      <c r="F29" s="55">
        <v>1313479.4315786804</v>
      </c>
      <c r="G29" s="55">
        <v>177116.41643835616</v>
      </c>
      <c r="H29" s="56">
        <v>307520.8109589041</v>
      </c>
      <c r="I29" s="55">
        <v>162746.00211618008</v>
      </c>
      <c r="J29" s="55">
        <v>1589903.2514426825</v>
      </c>
    </row>
    <row r="30" spans="1:10" x14ac:dyDescent="0.2">
      <c r="B30" s="3">
        <v>1006</v>
      </c>
      <c r="C30" s="55">
        <v>377981.65137614659</v>
      </c>
      <c r="D30" s="55">
        <v>3821.2391604876188</v>
      </c>
      <c r="E30" s="56">
        <v>-3821.2391604876188</v>
      </c>
      <c r="F30" s="55">
        <v>381802.89053663419</v>
      </c>
      <c r="G30" s="55">
        <v>46152.557377049183</v>
      </c>
      <c r="H30" s="56">
        <v>366005.64428475191</v>
      </c>
      <c r="I30" s="55">
        <v>43762.353195005395</v>
      </c>
      <c r="J30" s="55">
        <v>703399.77452459896</v>
      </c>
    </row>
    <row r="31" spans="1:10" x14ac:dyDescent="0.2">
      <c r="B31" s="3">
        <v>1007</v>
      </c>
      <c r="C31" s="55">
        <v>508623.85321100918</v>
      </c>
      <c r="D31" s="55">
        <v>1881.2115118763354</v>
      </c>
      <c r="E31" s="56">
        <v>-1881.2115118763354</v>
      </c>
      <c r="F31" s="55">
        <v>510505.06472288549</v>
      </c>
      <c r="G31" s="55">
        <v>18934.424262295081</v>
      </c>
      <c r="H31" s="56">
        <v>443065.61573770485</v>
      </c>
      <c r="I31" s="55">
        <v>17472.336976385686</v>
      </c>
      <c r="J31" s="55">
        <v>832848.06254105119</v>
      </c>
    </row>
    <row r="32" spans="1:10" x14ac:dyDescent="0.2">
      <c r="B32" s="3">
        <v>1008</v>
      </c>
      <c r="C32" s="55">
        <v>486160.7429324055</v>
      </c>
      <c r="D32" s="55">
        <v>3586.43171015709</v>
      </c>
      <c r="E32" s="56">
        <v>18413.568289842911</v>
      </c>
      <c r="F32" s="55">
        <v>467747.17464256258</v>
      </c>
      <c r="G32" s="55">
        <v>22000</v>
      </c>
      <c r="H32" s="56">
        <v>0</v>
      </c>
      <c r="I32" s="55">
        <v>19045.524405045508</v>
      </c>
      <c r="J32" s="55">
        <v>445030.420264563</v>
      </c>
    </row>
    <row r="33" spans="1:10" x14ac:dyDescent="0.2">
      <c r="A33" s="3" t="s">
        <v>138</v>
      </c>
      <c r="C33" s="55">
        <v>79231399.657153234</v>
      </c>
      <c r="D33" s="55">
        <v>1694833.7676638949</v>
      </c>
      <c r="E33" s="56">
        <v>796551.47823774477</v>
      </c>
      <c r="F33" s="55">
        <v>78873854.80181241</v>
      </c>
      <c r="G33" s="55">
        <v>3425631.937140984</v>
      </c>
      <c r="H33" s="56">
        <v>1578088.2696882102</v>
      </c>
      <c r="I33" s="55">
        <v>2748020.0243225768</v>
      </c>
      <c r="J33" s="55">
        <v>77867272.64431262</v>
      </c>
    </row>
    <row r="34" spans="1:10" x14ac:dyDescent="0.2">
      <c r="A34" s="10">
        <v>43673</v>
      </c>
      <c r="B34" s="3">
        <v>1002</v>
      </c>
      <c r="C34" s="55">
        <v>5680293.6761261718</v>
      </c>
      <c r="D34" s="55">
        <v>37713.425226739339</v>
      </c>
      <c r="E34" s="56">
        <v>1534590.5501174084</v>
      </c>
      <c r="F34" s="55">
        <v>4145703.1260087634</v>
      </c>
      <c r="G34" s="55">
        <v>137523.20873424658</v>
      </c>
      <c r="H34" s="56">
        <v>2045020.9160000004</v>
      </c>
      <c r="I34" s="55">
        <v>127266.4681689594</v>
      </c>
      <c r="J34" s="55">
        <v>5166075.8930807225</v>
      </c>
    </row>
    <row r="35" spans="1:10" x14ac:dyDescent="0.2">
      <c r="A35" s="3" t="s">
        <v>139</v>
      </c>
      <c r="C35" s="55">
        <v>5680293.6761261718</v>
      </c>
      <c r="D35" s="55">
        <v>37713.425226739339</v>
      </c>
      <c r="E35" s="56">
        <v>1534590.5501174084</v>
      </c>
      <c r="F35" s="55">
        <v>4145703.1260087634</v>
      </c>
      <c r="G35" s="55">
        <v>137523.20873424658</v>
      </c>
      <c r="H35" s="56">
        <v>2045020.9160000004</v>
      </c>
      <c r="I35" s="55">
        <v>127266.4681689594</v>
      </c>
      <c r="J35" s="55">
        <v>5166075.8930807225</v>
      </c>
    </row>
    <row r="36" spans="1:10" x14ac:dyDescent="0.2">
      <c r="A36" s="10">
        <v>43677</v>
      </c>
      <c r="B36" s="3">
        <v>1004</v>
      </c>
      <c r="C36" s="55">
        <v>3742506.6233239886</v>
      </c>
      <c r="D36" s="55">
        <v>28607.105422120352</v>
      </c>
      <c r="E36" s="56">
        <v>53892.894577879648</v>
      </c>
      <c r="F36" s="55">
        <v>3688613.7287461092</v>
      </c>
      <c r="G36" s="55">
        <v>82500</v>
      </c>
      <c r="H36" s="56">
        <v>0</v>
      </c>
      <c r="I36" s="55">
        <v>74511.225334228322</v>
      </c>
      <c r="J36" s="55">
        <v>3218404.2168558631</v>
      </c>
    </row>
    <row r="37" spans="1:10" x14ac:dyDescent="0.2">
      <c r="B37" s="3">
        <v>1008</v>
      </c>
      <c r="C37" s="55">
        <v>467747.17464256258</v>
      </c>
      <c r="D37" s="55">
        <v>3565.6137083408453</v>
      </c>
      <c r="E37" s="56">
        <v>18434.386291659153</v>
      </c>
      <c r="F37" s="55">
        <v>449312.78835090343</v>
      </c>
      <c r="G37" s="55">
        <v>22000</v>
      </c>
      <c r="H37" s="56">
        <v>0</v>
      </c>
      <c r="I37" s="55">
        <v>19680.375218547022</v>
      </c>
      <c r="J37" s="55">
        <v>425350.04504601599</v>
      </c>
    </row>
    <row r="38" spans="1:10" x14ac:dyDescent="0.2">
      <c r="A38" s="3" t="s">
        <v>140</v>
      </c>
      <c r="C38" s="55">
        <v>4210253.797966551</v>
      </c>
      <c r="D38" s="55">
        <v>32172.719130461199</v>
      </c>
      <c r="E38" s="56">
        <v>72327.280869538808</v>
      </c>
      <c r="F38" s="55">
        <v>4137926.5170970126</v>
      </c>
      <c r="G38" s="55">
        <v>104500</v>
      </c>
      <c r="H38" s="56">
        <v>0</v>
      </c>
      <c r="I38" s="55">
        <v>94191.600552775344</v>
      </c>
      <c r="J38" s="55">
        <v>3643754.2619018792</v>
      </c>
    </row>
    <row r="39" spans="1:10" x14ac:dyDescent="0.2">
      <c r="A39" s="10">
        <v>43708</v>
      </c>
      <c r="B39" s="3">
        <v>1004</v>
      </c>
      <c r="C39" s="55">
        <v>3688613.7287461092</v>
      </c>
      <c r="D39" s="55">
        <v>28195.156995072997</v>
      </c>
      <c r="E39" s="56">
        <v>54304.843004927003</v>
      </c>
      <c r="F39" s="55">
        <v>3634308.8857411821</v>
      </c>
      <c r="G39" s="55">
        <v>82500</v>
      </c>
      <c r="H39" s="56">
        <v>0</v>
      </c>
      <c r="I39" s="55">
        <v>74511.225334228322</v>
      </c>
      <c r="J39" s="55">
        <v>3143892.9915216346</v>
      </c>
    </row>
    <row r="40" spans="1:10" x14ac:dyDescent="0.2">
      <c r="B40" s="3">
        <v>1008</v>
      </c>
      <c r="C40" s="55">
        <v>449312.78835090343</v>
      </c>
      <c r="D40" s="55">
        <v>3425.0892882486901</v>
      </c>
      <c r="E40" s="56">
        <v>18574.910711751309</v>
      </c>
      <c r="F40" s="55">
        <v>430737.87763915211</v>
      </c>
      <c r="G40" s="55">
        <v>22000</v>
      </c>
      <c r="H40" s="56">
        <v>0</v>
      </c>
      <c r="I40" s="55">
        <v>19680.375218547022</v>
      </c>
      <c r="J40" s="55">
        <v>405669.66982746898</v>
      </c>
    </row>
    <row r="41" spans="1:10" x14ac:dyDescent="0.2">
      <c r="A41" s="3" t="s">
        <v>141</v>
      </c>
      <c r="C41" s="55">
        <v>4137926.5170970126</v>
      </c>
      <c r="D41" s="55">
        <v>31620.246283321689</v>
      </c>
      <c r="E41" s="56">
        <v>72879.753716678315</v>
      </c>
      <c r="F41" s="55">
        <v>4065046.7633803342</v>
      </c>
      <c r="G41" s="55">
        <v>104500</v>
      </c>
      <c r="H41" s="56">
        <v>0</v>
      </c>
      <c r="I41" s="55">
        <v>94191.600552775344</v>
      </c>
      <c r="J41" s="55">
        <v>3549562.6613491038</v>
      </c>
    </row>
    <row r="42" spans="1:10" x14ac:dyDescent="0.2">
      <c r="A42" s="10">
        <v>43738</v>
      </c>
      <c r="B42" s="3">
        <v>1001</v>
      </c>
      <c r="C42" s="55">
        <v>64598446.518964663</v>
      </c>
      <c r="D42" s="55">
        <v>1461407.4786257581</v>
      </c>
      <c r="E42" s="56">
        <v>951707.27547260281</v>
      </c>
      <c r="F42" s="55">
        <v>63646739.243492059</v>
      </c>
      <c r="G42" s="55">
        <v>2413114.7540983609</v>
      </c>
      <c r="H42" s="56">
        <v>0</v>
      </c>
      <c r="I42" s="55">
        <v>1833820.1662017934</v>
      </c>
      <c r="J42" s="55">
        <v>61891430.60931053</v>
      </c>
    </row>
    <row r="43" spans="1:10" x14ac:dyDescent="0.2">
      <c r="B43" s="3">
        <v>1002</v>
      </c>
      <c r="C43" s="55">
        <v>4145703.1260087634</v>
      </c>
      <c r="D43" s="55">
        <v>66263.287669812198</v>
      </c>
      <c r="E43" s="56">
        <v>-66263.287669812198</v>
      </c>
      <c r="F43" s="55">
        <v>4211966.4136785753</v>
      </c>
      <c r="G43" s="55">
        <v>363186.79821311485</v>
      </c>
      <c r="H43" s="56">
        <v>1681834.1177868857</v>
      </c>
      <c r="I43" s="55">
        <v>306382.23818453192</v>
      </c>
      <c r="J43" s="55">
        <v>4859693.6548961904</v>
      </c>
    </row>
    <row r="44" spans="1:10" x14ac:dyDescent="0.2">
      <c r="B44" s="3">
        <v>1003</v>
      </c>
      <c r="C44" s="55">
        <v>1612520.9325814322</v>
      </c>
      <c r="D44" s="55">
        <v>36579.92690897057</v>
      </c>
      <c r="E44" s="56">
        <v>-36579.92690897057</v>
      </c>
      <c r="F44" s="55">
        <v>1742936.3241699359</v>
      </c>
      <c r="G44" s="55">
        <v>231050.56438356164</v>
      </c>
      <c r="H44" s="56">
        <v>92922.509589041088</v>
      </c>
      <c r="I44" s="55">
        <v>212304.18047216401</v>
      </c>
      <c r="J44" s="55">
        <v>1772278.376115456</v>
      </c>
    </row>
    <row r="45" spans="1:10" x14ac:dyDescent="0.2">
      <c r="B45" s="3">
        <v>1004</v>
      </c>
      <c r="C45" s="55">
        <v>3634308.8857411821</v>
      </c>
      <c r="D45" s="55">
        <v>26883.928743838882</v>
      </c>
      <c r="E45" s="56">
        <v>55616.071256161114</v>
      </c>
      <c r="F45" s="55">
        <v>3578692.8144850209</v>
      </c>
      <c r="G45" s="55">
        <v>82500</v>
      </c>
      <c r="H45" s="56">
        <v>0</v>
      </c>
      <c r="I45" s="55">
        <v>72107.637420220955</v>
      </c>
      <c r="J45" s="55">
        <v>3071785.3541014139</v>
      </c>
    </row>
    <row r="46" spans="1:10" x14ac:dyDescent="0.2">
      <c r="B46" s="3">
        <v>1005</v>
      </c>
      <c r="C46" s="55">
        <v>1249693.6958168503</v>
      </c>
      <c r="D46" s="55">
        <v>28349.215894146633</v>
      </c>
      <c r="E46" s="56">
        <v>-28349.215894146633</v>
      </c>
      <c r="F46" s="55">
        <v>1341828.647472827</v>
      </c>
      <c r="G46" s="55">
        <v>179062.7506849315</v>
      </c>
      <c r="H46" s="56">
        <v>128458.0602739726</v>
      </c>
      <c r="I46" s="55">
        <v>164534.41972185238</v>
      </c>
      <c r="J46" s="55">
        <v>1425368.8317208302</v>
      </c>
    </row>
    <row r="47" spans="1:10" x14ac:dyDescent="0.2">
      <c r="B47" s="3">
        <v>1006</v>
      </c>
      <c r="C47" s="55">
        <v>377981.65137614659</v>
      </c>
      <c r="D47" s="55">
        <v>8574.4878723136808</v>
      </c>
      <c r="E47" s="56">
        <v>-8574.4878723136808</v>
      </c>
      <c r="F47" s="55">
        <v>390377.3784089479</v>
      </c>
      <c r="G47" s="55">
        <v>103561.83606557378</v>
      </c>
      <c r="H47" s="56">
        <v>262443.80821917811</v>
      </c>
      <c r="I47" s="55">
        <v>98198.451071719421</v>
      </c>
      <c r="J47" s="55">
        <v>605201.32345287956</v>
      </c>
    </row>
    <row r="48" spans="1:10" x14ac:dyDescent="0.2">
      <c r="B48" s="3">
        <v>1007</v>
      </c>
      <c r="C48" s="55">
        <v>508623.85321100918</v>
      </c>
      <c r="D48" s="55">
        <v>11538.097272841524</v>
      </c>
      <c r="E48" s="56">
        <v>-11538.097272841524</v>
      </c>
      <c r="F48" s="55">
        <v>522043.16199572704</v>
      </c>
      <c r="G48" s="55">
        <v>116131.13547540983</v>
      </c>
      <c r="H48" s="56">
        <v>326934.48026229499</v>
      </c>
      <c r="I48" s="55">
        <v>107163.66678849889</v>
      </c>
      <c r="J48" s="55">
        <v>725684.39575255231</v>
      </c>
    </row>
    <row r="49" spans="1:10" x14ac:dyDescent="0.2">
      <c r="B49" s="3">
        <v>1008</v>
      </c>
      <c r="C49" s="55">
        <v>430737.87763915211</v>
      </c>
      <c r="D49" s="55">
        <v>3177.574507174073</v>
      </c>
      <c r="E49" s="56">
        <v>18822.425492825925</v>
      </c>
      <c r="F49" s="55">
        <v>411915.45214632619</v>
      </c>
      <c r="G49" s="55">
        <v>22000</v>
      </c>
      <c r="H49" s="56">
        <v>0</v>
      </c>
      <c r="I49" s="55">
        <v>19045.524405045508</v>
      </c>
      <c r="J49" s="55">
        <v>386624.14542242349</v>
      </c>
    </row>
    <row r="50" spans="1:10" x14ac:dyDescent="0.2">
      <c r="A50" s="3" t="s">
        <v>142</v>
      </c>
      <c r="C50" s="55">
        <v>76558016.541339189</v>
      </c>
      <c r="D50" s="55">
        <v>1642773.9974948554</v>
      </c>
      <c r="E50" s="56">
        <v>874840.75660350523</v>
      </c>
      <c r="F50" s="55">
        <v>75846499.435849428</v>
      </c>
      <c r="G50" s="55">
        <v>3510607.8389209523</v>
      </c>
      <c r="H50" s="56">
        <v>2492592.9761313726</v>
      </c>
      <c r="I50" s="55">
        <v>2813556.2842658265</v>
      </c>
      <c r="J50" s="55">
        <v>74738066.69077228</v>
      </c>
    </row>
    <row r="51" spans="1:10" x14ac:dyDescent="0.2">
      <c r="A51" s="3" t="s">
        <v>26</v>
      </c>
      <c r="C51" s="55">
        <v>260380725.71952659</v>
      </c>
      <c r="D51" s="55">
        <v>3790137.591355646</v>
      </c>
      <c r="E51" s="56">
        <v>4063917.9706705883</v>
      </c>
      <c r="F51" s="55">
        <v>257252819.07400462</v>
      </c>
      <c r="G51" s="55">
        <v>8784839.0223672576</v>
      </c>
      <c r="H51" s="56">
        <v>8764643.3461991921</v>
      </c>
      <c r="I51" s="55">
        <v>7292423.3128177216</v>
      </c>
      <c r="J51" s="55">
        <v>255257136.98953497</v>
      </c>
    </row>
    <row r="52" spans="1:10" x14ac:dyDescent="0.2">
      <c r="A52"/>
      <c r="B52"/>
      <c r="C52"/>
      <c r="D52"/>
      <c r="E52"/>
      <c r="F52"/>
      <c r="G52"/>
      <c r="H52"/>
      <c r="I52"/>
      <c r="J52"/>
    </row>
    <row r="53" spans="1:10" x14ac:dyDescent="0.2">
      <c r="A53"/>
      <c r="B53"/>
      <c r="C53"/>
      <c r="D53"/>
      <c r="E53"/>
      <c r="F53"/>
      <c r="G53"/>
      <c r="H53"/>
      <c r="I53"/>
      <c r="J53"/>
    </row>
    <row r="54" spans="1:10" x14ac:dyDescent="0.2">
      <c r="A54"/>
      <c r="B54"/>
      <c r="C54"/>
      <c r="D54"/>
      <c r="E54"/>
      <c r="F54"/>
      <c r="G54"/>
      <c r="H54"/>
      <c r="I54"/>
      <c r="J54"/>
    </row>
    <row r="55" spans="1:10" x14ac:dyDescent="0.2">
      <c r="A55"/>
      <c r="B55"/>
      <c r="C55"/>
      <c r="D55"/>
      <c r="E55"/>
      <c r="F55"/>
      <c r="G55"/>
      <c r="H55"/>
      <c r="I55"/>
      <c r="J55"/>
    </row>
    <row r="56" spans="1:10" x14ac:dyDescent="0.2">
      <c r="A56"/>
      <c r="B56"/>
      <c r="C56"/>
      <c r="D56"/>
      <c r="E56"/>
      <c r="F56"/>
      <c r="G56"/>
      <c r="H56"/>
      <c r="I56"/>
      <c r="J56"/>
    </row>
    <row r="57" spans="1:10" x14ac:dyDescent="0.2">
      <c r="A57"/>
      <c r="B57"/>
      <c r="C57"/>
      <c r="D57"/>
      <c r="E57"/>
      <c r="F57"/>
      <c r="G57"/>
      <c r="H57"/>
      <c r="I57"/>
      <c r="J57"/>
    </row>
    <row r="58" spans="1:10" x14ac:dyDescent="0.2">
      <c r="A58"/>
      <c r="B58"/>
      <c r="C58"/>
      <c r="D58"/>
      <c r="E58"/>
      <c r="F58"/>
      <c r="G58"/>
      <c r="H58"/>
      <c r="I58"/>
      <c r="J58"/>
    </row>
    <row r="59" spans="1:10" x14ac:dyDescent="0.2">
      <c r="A59"/>
      <c r="B59"/>
      <c r="C59"/>
      <c r="D59"/>
      <c r="E59"/>
      <c r="F59"/>
      <c r="G59"/>
      <c r="H59"/>
      <c r="I59"/>
      <c r="J59"/>
    </row>
    <row r="60" spans="1:10" x14ac:dyDescent="0.2">
      <c r="A60"/>
      <c r="B60"/>
      <c r="C60"/>
      <c r="D60"/>
      <c r="E60"/>
      <c r="F60"/>
      <c r="G60"/>
      <c r="H60"/>
      <c r="I60"/>
      <c r="J60"/>
    </row>
    <row r="61" spans="1:10" x14ac:dyDescent="0.2">
      <c r="A61"/>
      <c r="B61"/>
      <c r="C61"/>
      <c r="D61"/>
      <c r="E61"/>
      <c r="F61"/>
      <c r="G61"/>
      <c r="H61"/>
      <c r="I61"/>
      <c r="J61"/>
    </row>
    <row r="62" spans="1:10" x14ac:dyDescent="0.2">
      <c r="A62"/>
      <c r="B62"/>
      <c r="C62"/>
      <c r="D62"/>
      <c r="E62"/>
      <c r="F62"/>
      <c r="G62"/>
      <c r="H62"/>
      <c r="I62"/>
      <c r="J62"/>
    </row>
    <row r="63" spans="1:10" x14ac:dyDescent="0.2">
      <c r="A63"/>
      <c r="B63"/>
      <c r="C63"/>
      <c r="D63"/>
      <c r="E63"/>
      <c r="F63"/>
      <c r="G63"/>
      <c r="H63"/>
      <c r="I63"/>
      <c r="J63"/>
    </row>
    <row r="64" spans="1:10" x14ac:dyDescent="0.2">
      <c r="A64"/>
      <c r="B64"/>
      <c r="C64"/>
      <c r="D64"/>
      <c r="E64"/>
      <c r="F64"/>
      <c r="G64"/>
      <c r="H64"/>
      <c r="I64"/>
      <c r="J64"/>
    </row>
    <row r="65" spans="1:10" x14ac:dyDescent="0.2">
      <c r="A65"/>
      <c r="B65"/>
      <c r="C65"/>
      <c r="D65"/>
      <c r="E65"/>
      <c r="F65"/>
      <c r="G65"/>
      <c r="H65"/>
      <c r="I65"/>
      <c r="J65"/>
    </row>
    <row r="66" spans="1:10" x14ac:dyDescent="0.2">
      <c r="A66"/>
      <c r="B66"/>
      <c r="C66"/>
      <c r="D66"/>
      <c r="E66"/>
      <c r="F66"/>
      <c r="G66"/>
      <c r="H66"/>
      <c r="I66"/>
      <c r="J66"/>
    </row>
    <row r="67" spans="1:10" x14ac:dyDescent="0.2">
      <c r="A67"/>
      <c r="B67"/>
      <c r="C67"/>
      <c r="D67"/>
      <c r="E67"/>
      <c r="F67"/>
      <c r="G67"/>
      <c r="H67"/>
      <c r="I67"/>
      <c r="J67"/>
    </row>
    <row r="68" spans="1:10" x14ac:dyDescent="0.2">
      <c r="A68"/>
      <c r="B68"/>
      <c r="C68"/>
      <c r="D68"/>
      <c r="E68"/>
      <c r="F68"/>
      <c r="G68"/>
      <c r="H68"/>
      <c r="I68"/>
      <c r="J68"/>
    </row>
    <row r="69" spans="1:10" x14ac:dyDescent="0.2">
      <c r="A69"/>
      <c r="B69"/>
      <c r="C69"/>
      <c r="D69"/>
      <c r="E69"/>
      <c r="F69"/>
      <c r="G69"/>
      <c r="H69"/>
      <c r="I69"/>
      <c r="J69"/>
    </row>
    <row r="70" spans="1:10" x14ac:dyDescent="0.2">
      <c r="A70"/>
      <c r="B70"/>
      <c r="C70"/>
      <c r="D70"/>
      <c r="E70"/>
      <c r="F70"/>
      <c r="G70"/>
      <c r="H70"/>
      <c r="I70"/>
      <c r="J70"/>
    </row>
    <row r="71" spans="1:10" x14ac:dyDescent="0.2">
      <c r="A71"/>
      <c r="B71"/>
      <c r="C71"/>
      <c r="D71"/>
      <c r="E71"/>
      <c r="F71"/>
      <c r="G71"/>
      <c r="H71"/>
      <c r="I71"/>
      <c r="J71"/>
    </row>
    <row r="72" spans="1:10" x14ac:dyDescent="0.2">
      <c r="A72"/>
      <c r="B72"/>
      <c r="C72"/>
      <c r="D72"/>
      <c r="E72"/>
      <c r="F72"/>
      <c r="G72"/>
      <c r="H72"/>
      <c r="I72"/>
      <c r="J72"/>
    </row>
    <row r="73" spans="1:10" x14ac:dyDescent="0.2">
      <c r="A73"/>
      <c r="B73"/>
      <c r="C73"/>
      <c r="D73"/>
      <c r="E73"/>
      <c r="F73"/>
      <c r="G73"/>
      <c r="H73"/>
      <c r="I73"/>
      <c r="J73"/>
    </row>
    <row r="74" spans="1:10" x14ac:dyDescent="0.2">
      <c r="A74"/>
      <c r="B74"/>
      <c r="C74"/>
      <c r="D74"/>
      <c r="E74"/>
      <c r="F74"/>
      <c r="G74"/>
      <c r="H74"/>
      <c r="I74"/>
      <c r="J74"/>
    </row>
    <row r="75" spans="1:10" x14ac:dyDescent="0.2">
      <c r="A75"/>
      <c r="B75"/>
      <c r="C75"/>
      <c r="D75"/>
      <c r="E75"/>
      <c r="F75"/>
      <c r="G75"/>
      <c r="H75"/>
      <c r="I75"/>
      <c r="J75"/>
    </row>
    <row r="76" spans="1:10" x14ac:dyDescent="0.2">
      <c r="A76"/>
      <c r="B76"/>
      <c r="C76"/>
      <c r="D76"/>
      <c r="E76"/>
      <c r="F76"/>
      <c r="G76"/>
      <c r="H76"/>
      <c r="I76"/>
      <c r="J76"/>
    </row>
    <row r="77" spans="1:10" x14ac:dyDescent="0.2">
      <c r="A77"/>
      <c r="B77"/>
      <c r="C77"/>
      <c r="D77"/>
      <c r="E77"/>
      <c r="F77"/>
      <c r="G77"/>
      <c r="H77"/>
      <c r="I77"/>
      <c r="J77"/>
    </row>
    <row r="78" spans="1:10" x14ac:dyDescent="0.2">
      <c r="A78"/>
      <c r="B78"/>
      <c r="C78"/>
      <c r="D78"/>
      <c r="E78"/>
      <c r="F78"/>
      <c r="G78"/>
      <c r="H78"/>
      <c r="I78"/>
      <c r="J78"/>
    </row>
    <row r="79" spans="1:10" x14ac:dyDescent="0.2">
      <c r="A79"/>
      <c r="B79"/>
      <c r="C79"/>
      <c r="D79"/>
      <c r="E79"/>
      <c r="F79"/>
      <c r="G79"/>
      <c r="H79"/>
      <c r="I79"/>
      <c r="J79"/>
    </row>
    <row r="80" spans="1:10" x14ac:dyDescent="0.2">
      <c r="A80"/>
      <c r="B80"/>
      <c r="C80"/>
      <c r="D80"/>
      <c r="E80"/>
      <c r="F80"/>
      <c r="G80"/>
      <c r="H80"/>
      <c r="I80"/>
      <c r="J80"/>
    </row>
    <row r="81" spans="1:10" x14ac:dyDescent="0.2">
      <c r="A81"/>
      <c r="B81"/>
      <c r="C81"/>
      <c r="D81"/>
      <c r="E81"/>
      <c r="F81"/>
      <c r="G81"/>
      <c r="H81"/>
      <c r="I81"/>
      <c r="J81"/>
    </row>
    <row r="82" spans="1:10" x14ac:dyDescent="0.2">
      <c r="A82"/>
      <c r="B82"/>
      <c r="C82"/>
      <c r="D82"/>
      <c r="E82"/>
      <c r="F82"/>
      <c r="G82"/>
      <c r="H82"/>
      <c r="I82"/>
      <c r="J82"/>
    </row>
    <row r="83" spans="1:10" x14ac:dyDescent="0.2">
      <c r="A83"/>
      <c r="B83"/>
      <c r="C83"/>
      <c r="D83"/>
      <c r="E83"/>
      <c r="F83"/>
      <c r="G83"/>
      <c r="H83"/>
      <c r="I83"/>
      <c r="J83"/>
    </row>
    <row r="84" spans="1:10" x14ac:dyDescent="0.2">
      <c r="A84"/>
      <c r="B84"/>
      <c r="C84"/>
      <c r="D84"/>
      <c r="E84"/>
      <c r="F84"/>
      <c r="G84"/>
      <c r="H84"/>
      <c r="I84"/>
      <c r="J84"/>
    </row>
    <row r="85" spans="1:10" x14ac:dyDescent="0.2">
      <c r="A85"/>
      <c r="B85"/>
      <c r="C85"/>
      <c r="D85"/>
      <c r="E85"/>
      <c r="F85"/>
      <c r="G85"/>
      <c r="H85"/>
      <c r="I85"/>
      <c r="J85"/>
    </row>
    <row r="86" spans="1:10" x14ac:dyDescent="0.2">
      <c r="A86"/>
      <c r="B86"/>
      <c r="C86"/>
      <c r="D86"/>
      <c r="E86"/>
      <c r="F86"/>
      <c r="G86"/>
      <c r="H86"/>
      <c r="I86"/>
      <c r="J86"/>
    </row>
    <row r="87" spans="1:10" x14ac:dyDescent="0.2">
      <c r="A87"/>
      <c r="B87"/>
      <c r="C87"/>
      <c r="D87"/>
      <c r="E87"/>
      <c r="F87"/>
      <c r="G87"/>
      <c r="H87"/>
      <c r="I87"/>
      <c r="J87"/>
    </row>
    <row r="88" spans="1:10" x14ac:dyDescent="0.2">
      <c r="A88"/>
      <c r="B88"/>
      <c r="C88"/>
      <c r="D88"/>
      <c r="E88"/>
      <c r="F88"/>
      <c r="G88"/>
      <c r="H88"/>
      <c r="I88"/>
      <c r="J88"/>
    </row>
    <row r="89" spans="1:10" x14ac:dyDescent="0.2">
      <c r="A89"/>
      <c r="B89"/>
      <c r="C89"/>
      <c r="D89"/>
      <c r="E89"/>
      <c r="F89"/>
      <c r="G89"/>
      <c r="H89"/>
      <c r="I89"/>
      <c r="J89"/>
    </row>
    <row r="90" spans="1:10" x14ac:dyDescent="0.2">
      <c r="A90"/>
      <c r="B90"/>
      <c r="C90"/>
      <c r="D90"/>
      <c r="E90"/>
      <c r="F90"/>
      <c r="G90"/>
      <c r="H90"/>
      <c r="I90"/>
      <c r="J90"/>
    </row>
    <row r="91" spans="1:10" x14ac:dyDescent="0.2">
      <c r="A91"/>
      <c r="B91"/>
      <c r="C91"/>
      <c r="D91"/>
      <c r="E91"/>
      <c r="F91"/>
      <c r="G91"/>
      <c r="H91"/>
      <c r="I91"/>
      <c r="J91"/>
    </row>
    <row r="92" spans="1:10" x14ac:dyDescent="0.2">
      <c r="A92"/>
      <c r="B92"/>
      <c r="C92"/>
      <c r="D92"/>
      <c r="E92"/>
      <c r="F92"/>
      <c r="G92"/>
      <c r="H92"/>
      <c r="I92"/>
      <c r="J92"/>
    </row>
    <row r="93" spans="1:10" x14ac:dyDescent="0.2">
      <c r="A93"/>
      <c r="B93"/>
      <c r="C93"/>
      <c r="D93"/>
      <c r="E93"/>
      <c r="F93"/>
      <c r="G93"/>
      <c r="H93"/>
      <c r="I93"/>
      <c r="J93"/>
    </row>
    <row r="94" spans="1:10" x14ac:dyDescent="0.2">
      <c r="A94"/>
      <c r="B94"/>
      <c r="C94"/>
      <c r="D94"/>
      <c r="E94"/>
      <c r="F94"/>
      <c r="G94"/>
      <c r="H94"/>
      <c r="I94"/>
      <c r="J94"/>
    </row>
    <row r="95" spans="1:10" x14ac:dyDescent="0.2">
      <c r="A95"/>
      <c r="B95"/>
      <c r="C95"/>
      <c r="D95"/>
      <c r="E95"/>
      <c r="F95"/>
      <c r="G95"/>
      <c r="H95"/>
      <c r="I95"/>
      <c r="J95"/>
    </row>
    <row r="96" spans="1:10" x14ac:dyDescent="0.2">
      <c r="A96"/>
      <c r="B96"/>
      <c r="C96"/>
      <c r="D96"/>
      <c r="E96"/>
      <c r="F96"/>
      <c r="G96"/>
      <c r="H96"/>
      <c r="I96"/>
      <c r="J96"/>
    </row>
    <row r="97" spans="1:10" x14ac:dyDescent="0.2">
      <c r="A97"/>
      <c r="B97"/>
      <c r="C97"/>
      <c r="D97"/>
      <c r="E97"/>
      <c r="F97"/>
      <c r="G97"/>
      <c r="H97"/>
      <c r="I97"/>
      <c r="J97"/>
    </row>
    <row r="98" spans="1:10" x14ac:dyDescent="0.2">
      <c r="A98"/>
      <c r="B98"/>
      <c r="C98"/>
      <c r="D98"/>
      <c r="E98"/>
      <c r="F98"/>
      <c r="G98"/>
      <c r="H98"/>
      <c r="I98"/>
      <c r="J98"/>
    </row>
    <row r="99" spans="1:10" x14ac:dyDescent="0.2">
      <c r="A99"/>
      <c r="B99"/>
      <c r="C99"/>
      <c r="D99"/>
      <c r="E99"/>
      <c r="F99"/>
      <c r="G99"/>
      <c r="H99"/>
      <c r="I99"/>
      <c r="J99"/>
    </row>
    <row r="100" spans="1:10" x14ac:dyDescent="0.2">
      <c r="A100"/>
      <c r="B100"/>
      <c r="C100"/>
      <c r="D100"/>
      <c r="E100"/>
      <c r="F100"/>
      <c r="G100"/>
      <c r="H100"/>
      <c r="I100"/>
      <c r="J100"/>
    </row>
    <row r="101" spans="1:10" x14ac:dyDescent="0.2">
      <c r="A101"/>
      <c r="B101"/>
      <c r="C101"/>
      <c r="D101"/>
      <c r="E101"/>
      <c r="F101"/>
      <c r="G101"/>
      <c r="H101"/>
      <c r="I101"/>
      <c r="J101"/>
    </row>
    <row r="102" spans="1:10" x14ac:dyDescent="0.2">
      <c r="A102"/>
      <c r="B102"/>
      <c r="C102"/>
      <c r="D102"/>
      <c r="E102"/>
      <c r="F102"/>
      <c r="G102"/>
      <c r="H102"/>
      <c r="I102"/>
      <c r="J102"/>
    </row>
    <row r="103" spans="1:10" x14ac:dyDescent="0.2">
      <c r="A103"/>
      <c r="B103"/>
      <c r="C103"/>
      <c r="D103"/>
      <c r="E103"/>
      <c r="F103"/>
      <c r="G103"/>
      <c r="H103"/>
      <c r="I103"/>
      <c r="J103"/>
    </row>
    <row r="104" spans="1:10" x14ac:dyDescent="0.2">
      <c r="A104"/>
      <c r="B104"/>
      <c r="C104"/>
      <c r="D104"/>
      <c r="E104"/>
      <c r="F104"/>
      <c r="G104"/>
      <c r="H104"/>
      <c r="I104"/>
      <c r="J104"/>
    </row>
    <row r="105" spans="1:10" x14ac:dyDescent="0.2">
      <c r="A105"/>
      <c r="B105"/>
      <c r="C105"/>
      <c r="D105"/>
      <c r="E105"/>
      <c r="F105"/>
      <c r="G105"/>
      <c r="H105"/>
      <c r="I105"/>
      <c r="J105"/>
    </row>
    <row r="106" spans="1:10" x14ac:dyDescent="0.2">
      <c r="A106"/>
      <c r="B106"/>
      <c r="C106"/>
      <c r="D106"/>
      <c r="E106"/>
      <c r="F106"/>
      <c r="G106"/>
      <c r="H106"/>
      <c r="I106"/>
      <c r="J106"/>
    </row>
    <row r="107" spans="1:10" x14ac:dyDescent="0.2">
      <c r="A107"/>
      <c r="B107"/>
      <c r="C107"/>
      <c r="D107"/>
      <c r="E107"/>
      <c r="F107"/>
      <c r="G107"/>
      <c r="H107"/>
      <c r="I107"/>
      <c r="J107"/>
    </row>
    <row r="108" spans="1:10" x14ac:dyDescent="0.2">
      <c r="A108"/>
      <c r="B108"/>
      <c r="C108"/>
      <c r="D108"/>
      <c r="E108"/>
      <c r="F108"/>
      <c r="G108"/>
      <c r="H108"/>
      <c r="I108"/>
      <c r="J108"/>
    </row>
    <row r="109" spans="1:10" x14ac:dyDescent="0.2">
      <c r="A109"/>
      <c r="B109"/>
      <c r="C109"/>
      <c r="D109"/>
      <c r="E109"/>
      <c r="F109"/>
      <c r="G109"/>
      <c r="H109"/>
      <c r="I109"/>
      <c r="J109"/>
    </row>
    <row r="110" spans="1:10" x14ac:dyDescent="0.2">
      <c r="A110"/>
      <c r="B110"/>
      <c r="C110"/>
      <c r="D110"/>
      <c r="E110"/>
      <c r="F110"/>
      <c r="G110"/>
      <c r="H110"/>
      <c r="I110"/>
      <c r="J110"/>
    </row>
    <row r="111" spans="1:10" x14ac:dyDescent="0.2">
      <c r="A111"/>
      <c r="B111"/>
      <c r="C111"/>
      <c r="D111"/>
      <c r="E111"/>
      <c r="F111"/>
      <c r="G111"/>
      <c r="H111"/>
      <c r="I111"/>
      <c r="J111"/>
    </row>
    <row r="112" spans="1:10" x14ac:dyDescent="0.2">
      <c r="A112"/>
      <c r="B112"/>
      <c r="C112"/>
      <c r="D112"/>
      <c r="E112"/>
      <c r="F112"/>
      <c r="G112"/>
      <c r="H112"/>
      <c r="I112"/>
      <c r="J112"/>
    </row>
    <row r="113" spans="1:10" x14ac:dyDescent="0.2">
      <c r="A113"/>
      <c r="B113"/>
      <c r="C113"/>
      <c r="D113"/>
      <c r="E113"/>
      <c r="F113"/>
      <c r="G113"/>
      <c r="H113"/>
      <c r="I113"/>
      <c r="J113"/>
    </row>
    <row r="114" spans="1:10" x14ac:dyDescent="0.2">
      <c r="A114"/>
      <c r="B114"/>
      <c r="C114"/>
      <c r="D114"/>
      <c r="E114"/>
      <c r="F114"/>
      <c r="G114"/>
      <c r="H114"/>
      <c r="I114"/>
      <c r="J114"/>
    </row>
    <row r="115" spans="1:10" x14ac:dyDescent="0.2">
      <c r="A115"/>
      <c r="B115"/>
      <c r="C115"/>
      <c r="D115"/>
      <c r="E115"/>
      <c r="F115"/>
      <c r="G115"/>
      <c r="H115"/>
      <c r="I115"/>
      <c r="J115"/>
    </row>
    <row r="116" spans="1:10" x14ac:dyDescent="0.2">
      <c r="A116"/>
      <c r="B116"/>
      <c r="C116"/>
      <c r="D116"/>
      <c r="E116"/>
      <c r="F116"/>
      <c r="G116"/>
      <c r="H116"/>
      <c r="I116"/>
      <c r="J116"/>
    </row>
    <row r="117" spans="1:10" x14ac:dyDescent="0.2">
      <c r="A117"/>
      <c r="B117"/>
      <c r="C117"/>
      <c r="D117"/>
      <c r="E117"/>
      <c r="F117"/>
      <c r="G117"/>
      <c r="H117"/>
      <c r="I117"/>
      <c r="J117"/>
    </row>
    <row r="118" spans="1:10" x14ac:dyDescent="0.2">
      <c r="A118"/>
      <c r="B118"/>
      <c r="C118"/>
      <c r="D118"/>
      <c r="E118"/>
      <c r="F118"/>
      <c r="G118"/>
      <c r="H118"/>
      <c r="I118"/>
      <c r="J118"/>
    </row>
    <row r="119" spans="1:10" x14ac:dyDescent="0.2">
      <c r="A119"/>
      <c r="B119"/>
      <c r="C119"/>
      <c r="D119"/>
      <c r="E119"/>
      <c r="F119"/>
      <c r="G119"/>
      <c r="H119"/>
      <c r="I119"/>
      <c r="J119"/>
    </row>
    <row r="120" spans="1:10" x14ac:dyDescent="0.2">
      <c r="A120"/>
      <c r="B120"/>
      <c r="C120"/>
      <c r="D120"/>
      <c r="E120"/>
      <c r="F120"/>
      <c r="G120"/>
      <c r="H120"/>
      <c r="I120"/>
      <c r="J120"/>
    </row>
    <row r="121" spans="1:10" x14ac:dyDescent="0.2">
      <c r="A121"/>
      <c r="B121"/>
      <c r="C121"/>
      <c r="D121"/>
      <c r="E121"/>
      <c r="F121"/>
      <c r="G121"/>
      <c r="H121"/>
      <c r="I121"/>
      <c r="J121"/>
    </row>
    <row r="122" spans="1:10" x14ac:dyDescent="0.2">
      <c r="A122"/>
      <c r="B122"/>
      <c r="C122"/>
      <c r="D122"/>
      <c r="E122"/>
      <c r="F122"/>
      <c r="G122"/>
      <c r="H122"/>
      <c r="I122"/>
      <c r="J122"/>
    </row>
    <row r="123" spans="1:10" x14ac:dyDescent="0.2">
      <c r="A123"/>
      <c r="B123"/>
      <c r="C123"/>
      <c r="D123"/>
      <c r="E123"/>
      <c r="F123"/>
      <c r="G123"/>
      <c r="H123"/>
      <c r="I123"/>
      <c r="J123"/>
    </row>
    <row r="124" spans="1:10" x14ac:dyDescent="0.2">
      <c r="A124"/>
      <c r="B124"/>
      <c r="C124"/>
      <c r="D124"/>
      <c r="E124"/>
      <c r="F124"/>
      <c r="G124"/>
      <c r="H124"/>
      <c r="I124"/>
      <c r="J124"/>
    </row>
    <row r="125" spans="1:10" x14ac:dyDescent="0.2">
      <c r="A125"/>
      <c r="B125"/>
      <c r="C125"/>
      <c r="D125"/>
      <c r="E125"/>
      <c r="F125"/>
      <c r="G125"/>
      <c r="H125"/>
      <c r="I125"/>
      <c r="J125"/>
    </row>
    <row r="126" spans="1:10" x14ac:dyDescent="0.2">
      <c r="A126"/>
      <c r="B126"/>
      <c r="C126"/>
      <c r="D126"/>
      <c r="E126"/>
      <c r="F126"/>
      <c r="G126"/>
      <c r="H126"/>
      <c r="I126"/>
      <c r="J126"/>
    </row>
    <row r="127" spans="1:10" x14ac:dyDescent="0.2">
      <c r="A127"/>
      <c r="B127"/>
      <c r="C127"/>
      <c r="D127"/>
      <c r="E127"/>
      <c r="F127"/>
      <c r="G127"/>
      <c r="H127"/>
      <c r="I127"/>
      <c r="J127"/>
    </row>
    <row r="128" spans="1:10" x14ac:dyDescent="0.2">
      <c r="A128"/>
      <c r="B128"/>
      <c r="C128"/>
      <c r="D128"/>
      <c r="E128"/>
      <c r="F128"/>
      <c r="G128"/>
      <c r="H128"/>
      <c r="I128"/>
      <c r="J128"/>
    </row>
    <row r="129" spans="1:10" x14ac:dyDescent="0.2">
      <c r="A129"/>
      <c r="B129"/>
      <c r="C129"/>
      <c r="D129"/>
      <c r="E129"/>
      <c r="F129"/>
      <c r="G129"/>
      <c r="H129"/>
      <c r="I129"/>
      <c r="J129"/>
    </row>
    <row r="130" spans="1:10" x14ac:dyDescent="0.2">
      <c r="A130"/>
      <c r="B130"/>
      <c r="C130"/>
      <c r="D130"/>
      <c r="E130"/>
      <c r="F130"/>
      <c r="G130"/>
      <c r="H130"/>
      <c r="I130"/>
      <c r="J130"/>
    </row>
    <row r="131" spans="1:10" x14ac:dyDescent="0.2">
      <c r="A131"/>
      <c r="B131"/>
      <c r="C131"/>
      <c r="D131"/>
      <c r="E131"/>
      <c r="F131"/>
      <c r="G131"/>
      <c r="H131"/>
      <c r="I131"/>
      <c r="J131"/>
    </row>
    <row r="132" spans="1:10" x14ac:dyDescent="0.2">
      <c r="A132"/>
      <c r="B132"/>
      <c r="C132"/>
      <c r="D132"/>
      <c r="E132"/>
      <c r="F132"/>
      <c r="G132"/>
      <c r="H132"/>
      <c r="I132"/>
      <c r="J132"/>
    </row>
    <row r="133" spans="1:10" x14ac:dyDescent="0.2">
      <c r="A133"/>
      <c r="B133"/>
      <c r="C133"/>
      <c r="D133"/>
      <c r="E133"/>
      <c r="F133"/>
      <c r="G133"/>
      <c r="H133"/>
      <c r="I133"/>
      <c r="J133"/>
    </row>
    <row r="134" spans="1:10" x14ac:dyDescent="0.2">
      <c r="A134"/>
      <c r="B134"/>
      <c r="C134"/>
      <c r="D134"/>
      <c r="E134"/>
      <c r="F134"/>
      <c r="G134"/>
      <c r="H134"/>
      <c r="I134"/>
      <c r="J134"/>
    </row>
    <row r="135" spans="1:10" x14ac:dyDescent="0.2">
      <c r="A135"/>
      <c r="B135"/>
      <c r="C135"/>
      <c r="D135"/>
      <c r="E135"/>
      <c r="F135"/>
      <c r="G135"/>
      <c r="H135"/>
      <c r="I135"/>
      <c r="J135"/>
    </row>
    <row r="136" spans="1:10" x14ac:dyDescent="0.2">
      <c r="A136"/>
      <c r="B136"/>
      <c r="C136"/>
      <c r="D136"/>
      <c r="E136"/>
      <c r="F136"/>
      <c r="G136"/>
      <c r="H136"/>
      <c r="I136"/>
      <c r="J136"/>
    </row>
    <row r="137" spans="1:10" x14ac:dyDescent="0.2">
      <c r="A137"/>
      <c r="B137"/>
      <c r="C137"/>
      <c r="D137"/>
      <c r="E137"/>
      <c r="F137"/>
      <c r="G137"/>
      <c r="H137"/>
      <c r="I137"/>
      <c r="J137"/>
    </row>
    <row r="138" spans="1:10" x14ac:dyDescent="0.2">
      <c r="A138"/>
      <c r="B138"/>
      <c r="C138"/>
      <c r="D138"/>
      <c r="E138"/>
      <c r="F138"/>
      <c r="G138"/>
      <c r="H138"/>
      <c r="I138"/>
      <c r="J138"/>
    </row>
    <row r="139" spans="1:10" x14ac:dyDescent="0.2">
      <c r="A139"/>
      <c r="B139"/>
      <c r="C139"/>
      <c r="D139"/>
      <c r="E139"/>
      <c r="F139"/>
      <c r="G139"/>
      <c r="H139"/>
      <c r="I139"/>
      <c r="J139"/>
    </row>
    <row r="140" spans="1:10" x14ac:dyDescent="0.2">
      <c r="A140"/>
      <c r="B140"/>
      <c r="C140"/>
      <c r="D140"/>
      <c r="E140"/>
      <c r="F140"/>
      <c r="G140"/>
      <c r="H140"/>
      <c r="I140"/>
      <c r="J140"/>
    </row>
    <row r="141" spans="1:10" x14ac:dyDescent="0.2">
      <c r="A141"/>
      <c r="B141"/>
      <c r="C141"/>
      <c r="D141"/>
      <c r="E141"/>
      <c r="F141"/>
      <c r="G141"/>
      <c r="H141"/>
      <c r="I141"/>
      <c r="J141"/>
    </row>
    <row r="142" spans="1:10" x14ac:dyDescent="0.2">
      <c r="A142"/>
      <c r="B142"/>
      <c r="C142"/>
      <c r="D142"/>
      <c r="E142"/>
      <c r="F142"/>
      <c r="G142"/>
      <c r="H142"/>
      <c r="I142"/>
      <c r="J142"/>
    </row>
    <row r="143" spans="1:10" x14ac:dyDescent="0.2">
      <c r="A143"/>
      <c r="B143"/>
      <c r="C143"/>
      <c r="D143"/>
      <c r="E143"/>
      <c r="F143"/>
      <c r="G143"/>
      <c r="H143"/>
      <c r="I143"/>
      <c r="J143"/>
    </row>
    <row r="144" spans="1:10" x14ac:dyDescent="0.2">
      <c r="A144"/>
      <c r="B144"/>
      <c r="C144"/>
      <c r="D144"/>
      <c r="E144"/>
      <c r="F144"/>
      <c r="G144"/>
      <c r="H144"/>
      <c r="I144"/>
      <c r="J144"/>
    </row>
    <row r="145" spans="1:10" x14ac:dyDescent="0.2">
      <c r="A145"/>
      <c r="B145"/>
      <c r="C145"/>
      <c r="D145"/>
      <c r="E145"/>
      <c r="F145"/>
      <c r="G145"/>
      <c r="H145"/>
      <c r="I145"/>
      <c r="J145"/>
    </row>
    <row r="146" spans="1:10" x14ac:dyDescent="0.2">
      <c r="A146"/>
      <c r="B146"/>
      <c r="C146"/>
      <c r="D146"/>
      <c r="E146"/>
      <c r="F146"/>
      <c r="G146"/>
      <c r="H146"/>
      <c r="I146"/>
      <c r="J146"/>
    </row>
    <row r="147" spans="1:10" x14ac:dyDescent="0.2">
      <c r="A147"/>
      <c r="B147"/>
      <c r="C147"/>
      <c r="D147"/>
      <c r="E147"/>
      <c r="F147"/>
      <c r="G147"/>
      <c r="H147"/>
      <c r="I147"/>
      <c r="J147"/>
    </row>
    <row r="148" spans="1:10" x14ac:dyDescent="0.2">
      <c r="A148"/>
      <c r="B148"/>
      <c r="C148"/>
      <c r="D148"/>
      <c r="E148"/>
      <c r="F148"/>
      <c r="G148"/>
      <c r="H148"/>
      <c r="I148"/>
      <c r="J148"/>
    </row>
    <row r="149" spans="1:10" x14ac:dyDescent="0.2">
      <c r="A149"/>
      <c r="B149"/>
      <c r="C149"/>
      <c r="D149"/>
      <c r="E149"/>
      <c r="F149"/>
      <c r="G149"/>
      <c r="H149"/>
      <c r="I149"/>
      <c r="J149"/>
    </row>
    <row r="150" spans="1:10" x14ac:dyDescent="0.2">
      <c r="A150"/>
      <c r="B150"/>
      <c r="C150"/>
      <c r="D150"/>
      <c r="E150"/>
      <c r="F150"/>
      <c r="G150"/>
      <c r="H150"/>
      <c r="I150"/>
      <c r="J150"/>
    </row>
    <row r="151" spans="1:10" x14ac:dyDescent="0.2">
      <c r="A151"/>
      <c r="B151"/>
      <c r="C151"/>
      <c r="D151"/>
      <c r="E151"/>
      <c r="F151"/>
      <c r="G151"/>
      <c r="H151"/>
      <c r="I151"/>
      <c r="J151"/>
    </row>
    <row r="152" spans="1:10" x14ac:dyDescent="0.2">
      <c r="A152"/>
      <c r="B152"/>
      <c r="C152"/>
      <c r="D152"/>
      <c r="E152"/>
      <c r="F152"/>
      <c r="G152"/>
      <c r="H152"/>
      <c r="I152"/>
      <c r="J152"/>
    </row>
    <row r="153" spans="1:10" x14ac:dyDescent="0.2">
      <c r="A153"/>
      <c r="B153"/>
      <c r="C153"/>
      <c r="D153"/>
      <c r="E153"/>
      <c r="F153"/>
      <c r="G153"/>
      <c r="H153"/>
      <c r="I153"/>
      <c r="J153"/>
    </row>
    <row r="154" spans="1:10" x14ac:dyDescent="0.2">
      <c r="A154"/>
      <c r="B154"/>
      <c r="C154"/>
      <c r="D154"/>
      <c r="E154"/>
      <c r="F154"/>
      <c r="G154"/>
      <c r="H154"/>
      <c r="I154"/>
      <c r="J154"/>
    </row>
    <row r="155" spans="1:10" x14ac:dyDescent="0.2">
      <c r="A155"/>
      <c r="B155"/>
      <c r="C155"/>
      <c r="D155"/>
      <c r="E155"/>
      <c r="F155"/>
      <c r="G155"/>
      <c r="H155"/>
      <c r="I155"/>
      <c r="J155"/>
    </row>
    <row r="156" spans="1:10" x14ac:dyDescent="0.2">
      <c r="A156"/>
      <c r="B156"/>
      <c r="C156"/>
      <c r="D156"/>
      <c r="E156"/>
      <c r="F156"/>
      <c r="G156"/>
      <c r="H156"/>
      <c r="I156"/>
      <c r="J156"/>
    </row>
    <row r="157" spans="1:10" x14ac:dyDescent="0.2">
      <c r="A157"/>
      <c r="B157"/>
      <c r="C157"/>
      <c r="D157"/>
      <c r="E157"/>
      <c r="F157"/>
      <c r="G157"/>
      <c r="H157"/>
      <c r="I157"/>
      <c r="J157"/>
    </row>
    <row r="158" spans="1:10" x14ac:dyDescent="0.2">
      <c r="A158"/>
      <c r="B158"/>
      <c r="C158"/>
      <c r="D158"/>
      <c r="E158"/>
      <c r="F158"/>
      <c r="G158"/>
      <c r="H158"/>
      <c r="I158"/>
      <c r="J158"/>
    </row>
    <row r="159" spans="1:10" x14ac:dyDescent="0.2">
      <c r="A159"/>
      <c r="B159"/>
      <c r="C159"/>
      <c r="D159"/>
      <c r="E159"/>
      <c r="F159"/>
      <c r="G159"/>
      <c r="H159"/>
      <c r="I159"/>
      <c r="J159"/>
    </row>
    <row r="160" spans="1:10" x14ac:dyDescent="0.2">
      <c r="A160"/>
      <c r="B160"/>
      <c r="C160"/>
      <c r="D160"/>
      <c r="E160"/>
      <c r="F160"/>
      <c r="G160"/>
      <c r="H160"/>
      <c r="I160"/>
      <c r="J160"/>
    </row>
    <row r="161" spans="1:10" x14ac:dyDescent="0.2">
      <c r="A161"/>
      <c r="B161"/>
      <c r="C161"/>
      <c r="D161"/>
      <c r="E161"/>
      <c r="F161"/>
      <c r="G161"/>
      <c r="H161"/>
      <c r="I161"/>
      <c r="J161"/>
    </row>
    <row r="162" spans="1:10" x14ac:dyDescent="0.2">
      <c r="A162"/>
      <c r="B162"/>
      <c r="C162"/>
      <c r="D162"/>
      <c r="E162"/>
      <c r="F162"/>
      <c r="G162"/>
      <c r="H162"/>
      <c r="I162"/>
      <c r="J162"/>
    </row>
    <row r="163" spans="1:10" x14ac:dyDescent="0.2">
      <c r="A163"/>
      <c r="B163"/>
      <c r="C163"/>
      <c r="D163"/>
      <c r="E163"/>
      <c r="F163"/>
      <c r="G163"/>
      <c r="H163"/>
      <c r="I163"/>
      <c r="J163"/>
    </row>
    <row r="164" spans="1:10" x14ac:dyDescent="0.2">
      <c r="A164"/>
      <c r="B164"/>
      <c r="C164"/>
      <c r="D164"/>
      <c r="E164"/>
      <c r="F164"/>
      <c r="G164"/>
      <c r="H164"/>
      <c r="I164"/>
      <c r="J164"/>
    </row>
    <row r="165" spans="1:10" x14ac:dyDescent="0.2">
      <c r="A165"/>
      <c r="B165"/>
      <c r="C165"/>
      <c r="D165"/>
      <c r="E165"/>
      <c r="F165"/>
      <c r="G165"/>
      <c r="H165"/>
      <c r="I165"/>
      <c r="J165"/>
    </row>
    <row r="166" spans="1:10" x14ac:dyDescent="0.2">
      <c r="A166"/>
      <c r="B166"/>
      <c r="C166"/>
      <c r="D166"/>
      <c r="E166"/>
      <c r="F166"/>
      <c r="G166"/>
      <c r="H166"/>
      <c r="I166"/>
      <c r="J166"/>
    </row>
    <row r="167" spans="1:10" x14ac:dyDescent="0.2">
      <c r="A167"/>
      <c r="B167"/>
      <c r="C167"/>
      <c r="D167"/>
      <c r="E167"/>
      <c r="F167"/>
      <c r="G167"/>
      <c r="H167"/>
      <c r="I167"/>
      <c r="J167"/>
    </row>
    <row r="168" spans="1:10" x14ac:dyDescent="0.2">
      <c r="A168"/>
      <c r="B168"/>
      <c r="C168"/>
      <c r="D168"/>
      <c r="E168"/>
      <c r="F168"/>
      <c r="G168"/>
      <c r="H168"/>
      <c r="I168"/>
      <c r="J168"/>
    </row>
    <row r="169" spans="1:10" x14ac:dyDescent="0.2">
      <c r="A169"/>
      <c r="B169"/>
      <c r="C169"/>
      <c r="D169"/>
      <c r="E169"/>
      <c r="F169"/>
      <c r="G169"/>
      <c r="H169"/>
      <c r="I169"/>
      <c r="J169"/>
    </row>
    <row r="170" spans="1:10" x14ac:dyDescent="0.2">
      <c r="A170"/>
      <c r="B170"/>
      <c r="C170"/>
      <c r="D170"/>
      <c r="E170"/>
      <c r="F170"/>
      <c r="G170"/>
      <c r="H170"/>
      <c r="I170"/>
      <c r="J170"/>
    </row>
  </sheetData>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vt:lpstr>
      <vt:lpstr>BASE DATA</vt:lpstr>
      <vt:lpstr>Data Working</vt:lpstr>
      <vt:lpstr>Entries</vt:lpstr>
      <vt:lpstr>Pivot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2020-03-29T11:53:09Z</dcterms:modified>
</cp:coreProperties>
</file>