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DSCR" sheetId="1" r:id="rId1"/>
    <sheet name="FOIR" sheetId="2" r:id="rId2"/>
    <sheet name="CC Drawing Power Calculation" sheetId="3" r:id="rId3"/>
    <sheet name="Bank Intrest Sheet Calculation" sheetId="4" r:id="rId4"/>
  </sheets>
  <calcPr calcId="125725"/>
</workbook>
</file>

<file path=xl/calcChain.xml><?xml version="1.0" encoding="utf-8"?>
<calcChain xmlns="http://schemas.openxmlformats.org/spreadsheetml/2006/main">
  <c r="F92" i="4"/>
  <c r="E92"/>
  <c r="I91"/>
  <c r="H91"/>
  <c r="G91"/>
  <c r="J91" s="1"/>
  <c r="I90"/>
  <c r="H90"/>
  <c r="G90"/>
  <c r="J90" s="1"/>
  <c r="I89"/>
  <c r="H89"/>
  <c r="G89"/>
  <c r="J89" s="1"/>
  <c r="I88"/>
  <c r="H88"/>
  <c r="G88"/>
  <c r="J88" s="1"/>
  <c r="I87"/>
  <c r="H87"/>
  <c r="G87"/>
  <c r="J87" s="1"/>
  <c r="I86"/>
  <c r="H86"/>
  <c r="G86"/>
  <c r="J86" s="1"/>
  <c r="I85"/>
  <c r="H85"/>
  <c r="G85"/>
  <c r="J85" s="1"/>
  <c r="A85"/>
  <c r="A86" s="1"/>
  <c r="A87" s="1"/>
  <c r="A88" s="1"/>
  <c r="A89" s="1"/>
  <c r="A90" s="1"/>
  <c r="A91" s="1"/>
  <c r="N76"/>
  <c r="N71"/>
  <c r="F71"/>
  <c r="F70"/>
  <c r="F69"/>
  <c r="F68"/>
  <c r="F67"/>
  <c r="C67"/>
  <c r="F76" s="1"/>
  <c r="N66"/>
  <c r="F66"/>
  <c r="F65"/>
  <c r="I64"/>
  <c r="H54"/>
  <c r="H53"/>
  <c r="H52"/>
  <c r="H51"/>
  <c r="H50"/>
  <c r="H49"/>
  <c r="H48"/>
  <c r="H47"/>
  <c r="H46"/>
  <c r="E46"/>
  <c r="I46" s="1"/>
  <c r="E9"/>
  <c r="E10" s="1"/>
  <c r="B27" i="3"/>
  <c r="B28" s="1"/>
  <c r="B20"/>
  <c r="B21" s="1"/>
  <c r="B16"/>
  <c r="B17" s="1"/>
  <c r="F9"/>
  <c r="E7" s="1"/>
  <c r="B9"/>
  <c r="F25" i="2"/>
  <c r="F24"/>
  <c r="F30"/>
  <c r="H30"/>
  <c r="C10"/>
  <c r="C15" s="1"/>
  <c r="F11"/>
  <c r="F16" s="1"/>
  <c r="K56" i="1"/>
  <c r="J56"/>
  <c r="I56"/>
  <c r="H56"/>
  <c r="G56"/>
  <c r="K54"/>
  <c r="J54"/>
  <c r="I54"/>
  <c r="H54"/>
  <c r="G54"/>
  <c r="K32"/>
  <c r="K35" s="1"/>
  <c r="K38" s="1"/>
  <c r="K40" s="1"/>
  <c r="I32"/>
  <c r="I35" s="1"/>
  <c r="I38" s="1"/>
  <c r="I40" s="1"/>
  <c r="J32"/>
  <c r="J35" s="1"/>
  <c r="J38" s="1"/>
  <c r="J40" s="1"/>
  <c r="H32"/>
  <c r="H35" s="1"/>
  <c r="H38" s="1"/>
  <c r="H40" s="1"/>
  <c r="G32"/>
  <c r="G35" s="1"/>
  <c r="G38" s="1"/>
  <c r="G40" s="1"/>
  <c r="G16"/>
  <c r="D8"/>
  <c r="G8"/>
  <c r="L54" l="1"/>
  <c r="E11" i="4"/>
  <c r="F10"/>
  <c r="L85"/>
  <c r="K85"/>
  <c r="M85" s="1"/>
  <c r="L87"/>
  <c r="M87"/>
  <c r="K87"/>
  <c r="L89"/>
  <c r="K89"/>
  <c r="M89" s="1"/>
  <c r="L91"/>
  <c r="M91"/>
  <c r="K91"/>
  <c r="J46"/>
  <c r="L86"/>
  <c r="K86"/>
  <c r="M86" s="1"/>
  <c r="L88"/>
  <c r="M88"/>
  <c r="K88"/>
  <c r="L90"/>
  <c r="K90"/>
  <c r="M90" s="1"/>
  <c r="F9"/>
  <c r="G65"/>
  <c r="H65" s="1"/>
  <c r="I65" s="1"/>
  <c r="F72"/>
  <c r="F73"/>
  <c r="F74"/>
  <c r="F75"/>
  <c r="E4" i="3"/>
  <c r="E6"/>
  <c r="E8"/>
  <c r="E5"/>
  <c r="B10"/>
  <c r="B11" s="1"/>
  <c r="B23" s="1"/>
  <c r="B30" s="1"/>
  <c r="B33" s="1"/>
  <c r="G9" s="1"/>
  <c r="H31" i="2"/>
  <c r="F15"/>
  <c r="F17" s="1"/>
  <c r="F29" s="1"/>
  <c r="H29" s="1"/>
  <c r="G19" i="1"/>
  <c r="H16" s="1"/>
  <c r="G18"/>
  <c r="G59" s="1"/>
  <c r="L56"/>
  <c r="H18"/>
  <c r="G20" l="1"/>
  <c r="G21" s="1"/>
  <c r="G42" s="1"/>
  <c r="G66" i="4"/>
  <c r="H66" s="1"/>
  <c r="I66" s="1"/>
  <c r="E12"/>
  <c r="F11"/>
  <c r="N90"/>
  <c r="O90" s="1"/>
  <c r="N86"/>
  <c r="O86" s="1"/>
  <c r="N89"/>
  <c r="O89" s="1"/>
  <c r="N85"/>
  <c r="N88"/>
  <c r="O88" s="1"/>
  <c r="K46"/>
  <c r="B47" s="1"/>
  <c r="E47" s="1"/>
  <c r="I47" s="1"/>
  <c r="N91"/>
  <c r="O91" s="1"/>
  <c r="N87"/>
  <c r="O87" s="1"/>
  <c r="G7" i="3"/>
  <c r="G5"/>
  <c r="G8"/>
  <c r="G6"/>
  <c r="G4"/>
  <c r="E9"/>
  <c r="H19" i="1"/>
  <c r="I16" s="1"/>
  <c r="I18"/>
  <c r="H59"/>
  <c r="G43" l="1"/>
  <c r="G45" s="1"/>
  <c r="G57"/>
  <c r="G67" i="4"/>
  <c r="H67" s="1"/>
  <c r="I67" s="1"/>
  <c r="N92"/>
  <c r="O85"/>
  <c r="O92" s="1"/>
  <c r="E13"/>
  <c r="F12"/>
  <c r="J47"/>
  <c r="K47"/>
  <c r="B48" s="1"/>
  <c r="E48" s="1"/>
  <c r="I48" s="1"/>
  <c r="H20" i="1"/>
  <c r="H21" s="1"/>
  <c r="H42" s="1"/>
  <c r="J18"/>
  <c r="I59"/>
  <c r="I19"/>
  <c r="H43" l="1"/>
  <c r="H45" s="1"/>
  <c r="H46" s="1"/>
  <c r="H47" s="1"/>
  <c r="H49" s="1"/>
  <c r="H55" s="1"/>
  <c r="H57"/>
  <c r="H60" s="1"/>
  <c r="H61" s="1"/>
  <c r="G46"/>
  <c r="G47" s="1"/>
  <c r="G49" s="1"/>
  <c r="G55" s="1"/>
  <c r="G60"/>
  <c r="I68" i="4"/>
  <c r="G68"/>
  <c r="H68" s="1"/>
  <c r="E14"/>
  <c r="F13"/>
  <c r="J48"/>
  <c r="K48"/>
  <c r="B49" s="1"/>
  <c r="E49" s="1"/>
  <c r="I49" s="1"/>
  <c r="J16" i="1"/>
  <c r="I20"/>
  <c r="I21" s="1"/>
  <c r="I42" s="1"/>
  <c r="K18"/>
  <c r="K59" s="1"/>
  <c r="J59"/>
  <c r="G63" l="1"/>
  <c r="G58"/>
  <c r="L59"/>
  <c r="I43"/>
  <c r="I45" s="1"/>
  <c r="I46" s="1"/>
  <c r="I47" s="1"/>
  <c r="I49" s="1"/>
  <c r="I55" s="1"/>
  <c r="I57"/>
  <c r="G61"/>
  <c r="H58"/>
  <c r="H62" s="1"/>
  <c r="H63"/>
  <c r="J49" i="4"/>
  <c r="E15"/>
  <c r="F14"/>
  <c r="I69"/>
  <c r="G69"/>
  <c r="H69" s="1"/>
  <c r="J19" i="1"/>
  <c r="K16" s="1"/>
  <c r="K19" s="1"/>
  <c r="K20" s="1"/>
  <c r="K21" s="1"/>
  <c r="K42" s="1"/>
  <c r="K43" l="1"/>
  <c r="K45" s="1"/>
  <c r="K46" s="1"/>
  <c r="K47" s="1"/>
  <c r="K49" s="1"/>
  <c r="K55" s="1"/>
  <c r="K57"/>
  <c r="K60" s="1"/>
  <c r="K61" s="1"/>
  <c r="I63"/>
  <c r="I58"/>
  <c r="I60"/>
  <c r="G62"/>
  <c r="I70" i="4"/>
  <c r="G70"/>
  <c r="H70" s="1"/>
  <c r="E16"/>
  <c r="F15"/>
  <c r="K49"/>
  <c r="B50" s="1"/>
  <c r="E50" s="1"/>
  <c r="I50" s="1"/>
  <c r="J20" i="1"/>
  <c r="J21" s="1"/>
  <c r="J42" s="1"/>
  <c r="I61" l="1"/>
  <c r="K63"/>
  <c r="K58"/>
  <c r="K62" s="1"/>
  <c r="J43"/>
  <c r="J45" s="1"/>
  <c r="J46" s="1"/>
  <c r="J47" s="1"/>
  <c r="J49" s="1"/>
  <c r="J55" s="1"/>
  <c r="J57"/>
  <c r="I62"/>
  <c r="J50" i="4"/>
  <c r="K50" s="1"/>
  <c r="B51" s="1"/>
  <c r="E51" s="1"/>
  <c r="I51" s="1"/>
  <c r="E17"/>
  <c r="F16"/>
  <c r="I71"/>
  <c r="G71"/>
  <c r="H71" s="1"/>
  <c r="L55" i="1"/>
  <c r="L63" s="1"/>
  <c r="J58" l="1"/>
  <c r="J63"/>
  <c r="J60"/>
  <c r="L57"/>
  <c r="J51" i="4"/>
  <c r="K51" s="1"/>
  <c r="B52" s="1"/>
  <c r="E52" s="1"/>
  <c r="I52" s="1"/>
  <c r="I72"/>
  <c r="G72"/>
  <c r="H72" s="1"/>
  <c r="E18"/>
  <c r="F17"/>
  <c r="J61" i="1" l="1"/>
  <c r="L61" s="1"/>
  <c r="L60"/>
  <c r="J62"/>
  <c r="L58"/>
  <c r="J52" i="4"/>
  <c r="K52" s="1"/>
  <c r="B53" s="1"/>
  <c r="E53" s="1"/>
  <c r="I53" s="1"/>
  <c r="E19"/>
  <c r="F18"/>
  <c r="I73"/>
  <c r="G73"/>
  <c r="H73" s="1"/>
  <c r="L62" i="1" l="1"/>
  <c r="J53" i="4"/>
  <c r="K53"/>
  <c r="B54" s="1"/>
  <c r="E54" s="1"/>
  <c r="I54" s="1"/>
  <c r="G74"/>
  <c r="H74" s="1"/>
  <c r="I74" s="1"/>
  <c r="E20"/>
  <c r="F19"/>
  <c r="G75" l="1"/>
  <c r="H75" s="1"/>
  <c r="I75" s="1"/>
  <c r="E21"/>
  <c r="F20"/>
  <c r="J54"/>
  <c r="J55" s="1"/>
  <c r="K54"/>
  <c r="I76" l="1"/>
  <c r="G76"/>
  <c r="H76" s="1"/>
  <c r="J57"/>
  <c r="J56"/>
  <c r="E22"/>
  <c r="F21"/>
  <c r="E23" l="1"/>
  <c r="F22"/>
  <c r="E24" l="1"/>
  <c r="F23"/>
  <c r="E25" l="1"/>
  <c r="F24"/>
  <c r="E26" l="1"/>
  <c r="F25"/>
  <c r="E27" l="1"/>
  <c r="F26"/>
  <c r="E28" l="1"/>
  <c r="F27"/>
  <c r="E29" l="1"/>
  <c r="F28"/>
  <c r="E30" l="1"/>
  <c r="F29"/>
  <c r="E31" l="1"/>
  <c r="F30"/>
  <c r="E32" l="1"/>
  <c r="F31"/>
  <c r="E33" l="1"/>
  <c r="F32"/>
  <c r="E34" l="1"/>
  <c r="F33"/>
  <c r="E35" l="1"/>
  <c r="F34"/>
  <c r="E36" l="1"/>
  <c r="F35"/>
  <c r="E37" l="1"/>
  <c r="F36"/>
  <c r="E38" l="1"/>
  <c r="F37"/>
  <c r="E39" l="1"/>
  <c r="F39" s="1"/>
  <c r="F40" s="1"/>
  <c r="H4" s="1"/>
  <c r="F38"/>
</calcChain>
</file>

<file path=xl/comments1.xml><?xml version="1.0" encoding="utf-8"?>
<comments xmlns="http://schemas.openxmlformats.org/spreadsheetml/2006/main">
  <authors>
    <author>uttam</author>
  </authors>
  <commentList>
    <comment ref="F46" authorId="0">
      <text>
        <r>
          <rPr>
            <b/>
            <sz val="9"/>
            <color indexed="81"/>
            <rFont val="Tahoma"/>
            <family val="2"/>
          </rPr>
          <t xml:space="preserve">Let assume Income tax for corporate is 30%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8" authorId="0">
      <text>
        <r>
          <rPr>
            <b/>
            <sz val="9"/>
            <color indexed="81"/>
            <rFont val="Tahoma"/>
            <family val="2"/>
          </rPr>
          <t>In private sector Bank -- generally add also salary &amp; wages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<sst xmlns="http://schemas.openxmlformats.org/spreadsheetml/2006/main" count="235" uniqueCount="198">
  <si>
    <t>cost of project</t>
  </si>
  <si>
    <t>source of funds</t>
  </si>
  <si>
    <t>Project cost</t>
  </si>
  <si>
    <t>Amount</t>
  </si>
  <si>
    <t>Owner margin</t>
  </si>
  <si>
    <t>Bank term Loan</t>
  </si>
  <si>
    <t>Land &amp; Building</t>
  </si>
  <si>
    <t>Plant &amp; machine</t>
  </si>
  <si>
    <t>Furniture &amp; fixtures</t>
  </si>
  <si>
    <t>Total</t>
  </si>
  <si>
    <t>Tenor</t>
  </si>
  <si>
    <t>Years</t>
  </si>
  <si>
    <t>Intrest</t>
  </si>
  <si>
    <t>Equal Principal repayment</t>
  </si>
  <si>
    <t>Opening Balance</t>
  </si>
  <si>
    <t>Add: Drawings</t>
  </si>
  <si>
    <t>Less: Repayment</t>
  </si>
  <si>
    <t>Closing Balance</t>
  </si>
  <si>
    <t>Average Balance</t>
  </si>
  <si>
    <t>Intrest @10%</t>
  </si>
  <si>
    <t>Year</t>
  </si>
  <si>
    <t>Particulars</t>
  </si>
  <si>
    <t>Year1</t>
  </si>
  <si>
    <t>Year2</t>
  </si>
  <si>
    <t>Year3</t>
  </si>
  <si>
    <t>Year4</t>
  </si>
  <si>
    <t>Year5</t>
  </si>
  <si>
    <t>Sales</t>
  </si>
  <si>
    <t>RM Consumption</t>
  </si>
  <si>
    <t>Direct Labor</t>
  </si>
  <si>
    <t>Power &amp; Fuel</t>
  </si>
  <si>
    <t>Other Manufacturing Expenses</t>
  </si>
  <si>
    <t>Depreciation</t>
  </si>
  <si>
    <t>Add: Opening WIP</t>
  </si>
  <si>
    <t>Less: Closing WIP</t>
  </si>
  <si>
    <t>Total Cost of Production</t>
  </si>
  <si>
    <t>Add: Opening FGS</t>
  </si>
  <si>
    <t>Less: Closing FGS</t>
  </si>
  <si>
    <t>Total Cost of Sales</t>
  </si>
  <si>
    <t>Selling Admin &amp; dist Exp</t>
  </si>
  <si>
    <t>Operationg Profit before Intrest</t>
  </si>
  <si>
    <t>Less: Intrest on Working Capital</t>
  </si>
  <si>
    <t>Less: Intrest on Term Loan</t>
  </si>
  <si>
    <t>Operating Profit after Intrest</t>
  </si>
  <si>
    <t>Non Operating Income/Expenses</t>
  </si>
  <si>
    <t>Profit Before Tax</t>
  </si>
  <si>
    <t>Less: Income Tax</t>
  </si>
  <si>
    <t xml:space="preserve">Profit After Tax </t>
  </si>
  <si>
    <t>Less: Dividend</t>
  </si>
  <si>
    <t>Retained Profit</t>
  </si>
  <si>
    <t>sales</t>
  </si>
  <si>
    <t>Retained profit</t>
  </si>
  <si>
    <t>Add: Depreciation</t>
  </si>
  <si>
    <t>Total Source</t>
  </si>
  <si>
    <t>Principal</t>
  </si>
  <si>
    <t>DEBT SERVICE COVERAGE RATIO (DSCR)</t>
  </si>
  <si>
    <t>Add Intrest on Term Loan</t>
  </si>
  <si>
    <t xml:space="preserve">Intrest </t>
  </si>
  <si>
    <t>Total Obligations</t>
  </si>
  <si>
    <t>Gross DSCR</t>
  </si>
  <si>
    <t>Net DSCR</t>
  </si>
  <si>
    <t>This DSCR calculation by bank on Term Loan if purchase of any Fixed Assets(Plant &amp; machine, Building,Furniture,electronics) to expand business/sales.</t>
  </si>
  <si>
    <t>FOIR is calculated by Bank for Term Loan if purchase of any fixed Assets didnt impact any business Expansion/sales.</t>
  </si>
  <si>
    <t>FOIR</t>
  </si>
  <si>
    <t>Fixed obligation to Income Ratio</t>
  </si>
  <si>
    <t>Proposed</t>
  </si>
  <si>
    <t>Income(past)</t>
  </si>
  <si>
    <t>Tenor(6 yrs)</t>
  </si>
  <si>
    <t>Rate of Intrest</t>
  </si>
  <si>
    <t>Proposed EMI</t>
  </si>
  <si>
    <t>Existing EMI</t>
  </si>
  <si>
    <t>Estimated Fixed Obligations</t>
  </si>
  <si>
    <t>Estimated Fixed Obligations P.A.</t>
  </si>
  <si>
    <t>Profit After Tax (PAT)</t>
  </si>
  <si>
    <t>Add: Partners/Director salary</t>
  </si>
  <si>
    <t>Add: Partners/Director Intrest</t>
  </si>
  <si>
    <t>Cash Profit P.A</t>
  </si>
  <si>
    <t>Here , FOIR value 74% is value high , generally bank grants Term Loan if FOIR value upto 70%.</t>
  </si>
  <si>
    <t>So if anypersonal property is offered by customer as collateral</t>
  </si>
  <si>
    <t>Property</t>
  </si>
  <si>
    <t>Proposed term loan</t>
  </si>
  <si>
    <t>Term Loan</t>
  </si>
  <si>
    <t>LTV</t>
  </si>
  <si>
    <t>Term Loan Eligibility</t>
  </si>
  <si>
    <t>So here a customer can easily grantTerm Loan Rs 2000000 by Bank</t>
  </si>
  <si>
    <t>LTV  (%)</t>
  </si>
  <si>
    <t>NOW,</t>
  </si>
  <si>
    <t>Eligibility</t>
  </si>
  <si>
    <t>Bank Limit</t>
  </si>
  <si>
    <t>Not comfortable</t>
  </si>
  <si>
    <t>Comfortable</t>
  </si>
  <si>
    <t>Additional comfort</t>
  </si>
  <si>
    <t>so final comfort/elegibility is positive, so bank can give term Loan of Rs-2000000 after colletral of personal property/induction of new gurantee.</t>
  </si>
  <si>
    <t>BANK DRAWING POWER SUMMARY</t>
  </si>
  <si>
    <t>BANK DRAWING POWER CALCULATION</t>
  </si>
  <si>
    <t>CC SHARE</t>
  </si>
  <si>
    <t xml:space="preserve"> sanction LIMIT </t>
  </si>
  <si>
    <t>BALANCE</t>
  </si>
  <si>
    <t>Less:</t>
  </si>
  <si>
    <t xml:space="preserve"> O/S Unpaid Bills under Usance LCs</t>
  </si>
  <si>
    <t xml:space="preserve"> O/S Buyers' Credit / LoC</t>
  </si>
  <si>
    <t>Sundry Creditors others</t>
  </si>
  <si>
    <t xml:space="preserve"> NET VALUE OF RM ELIGIBLE FOR DP</t>
  </si>
  <si>
    <t>Less:Margin 25%</t>
  </si>
  <si>
    <t>TOTAL</t>
  </si>
  <si>
    <t>Balance</t>
  </si>
  <si>
    <t>Stock/WORK in progerss</t>
  </si>
  <si>
    <t>Consumable store &amp; spares</t>
  </si>
  <si>
    <t>Less: margin 25%</t>
  </si>
  <si>
    <t>Finished Goods</t>
  </si>
  <si>
    <t>Total Value of Inventory for DP (A)</t>
  </si>
  <si>
    <t>Receivables with sanctioned cover period(I.E-90 DAYS)</t>
  </si>
  <si>
    <t>excluding debtors of Group companies</t>
  </si>
  <si>
    <t>Less: Value of LC backed Bills discounted</t>
  </si>
  <si>
    <t>Less: margin 35%</t>
  </si>
  <si>
    <t>Value of Receivables for DP (B)</t>
  </si>
  <si>
    <t>A+B = C</t>
  </si>
  <si>
    <t>FBWC LIMITS SANCTIONED BY BANKING SYSTEM (D)</t>
  </si>
  <si>
    <t xml:space="preserve"> DP FOR THE MONTH (LOWER OF C &amp; D )</t>
  </si>
  <si>
    <t>Bank-1</t>
  </si>
  <si>
    <t>Bank-2</t>
  </si>
  <si>
    <t>Bank-3</t>
  </si>
  <si>
    <t>Bank4</t>
  </si>
  <si>
    <t>Bank-5</t>
  </si>
  <si>
    <t>BANK NAME</t>
  </si>
  <si>
    <t>CC drawing Power</t>
  </si>
  <si>
    <t>Penal Intrest</t>
  </si>
  <si>
    <t>CC Utilized</t>
  </si>
  <si>
    <t>Raw Materials</t>
  </si>
  <si>
    <t>BANK CC CALCULATION SHEET FORMAT</t>
  </si>
  <si>
    <t>Days in month</t>
  </si>
  <si>
    <t>Interest on CC</t>
  </si>
  <si>
    <t>CC limit</t>
  </si>
  <si>
    <t xml:space="preserve"> </t>
  </si>
  <si>
    <t>rate of interest</t>
  </si>
  <si>
    <t>%</t>
  </si>
  <si>
    <t>days</t>
  </si>
  <si>
    <t>Debit</t>
  </si>
  <si>
    <t>credit</t>
  </si>
  <si>
    <t>Outstanding  Balance</t>
  </si>
  <si>
    <t>product</t>
  </si>
  <si>
    <t>Total product</t>
  </si>
  <si>
    <t>DATE</t>
  </si>
  <si>
    <t>LOAN AMOUNT</t>
  </si>
  <si>
    <t>LOAN TAKEN</t>
  </si>
  <si>
    <t>LOAN REPAYMENT</t>
  </si>
  <si>
    <t>AMOUNT</t>
  </si>
  <si>
    <t>Closing date</t>
  </si>
  <si>
    <t>Purchase Date</t>
  </si>
  <si>
    <t>No. of Days</t>
  </si>
  <si>
    <t>ITEREST</t>
  </si>
  <si>
    <t>TOTAL AMOUNT</t>
  </si>
  <si>
    <t>01.04.2011</t>
  </si>
  <si>
    <t>23.06.2011</t>
  </si>
  <si>
    <t>26.09.2011</t>
  </si>
  <si>
    <t>8.11.2011</t>
  </si>
  <si>
    <t>05.01.2012</t>
  </si>
  <si>
    <t>10.02.2012</t>
  </si>
  <si>
    <t>14.02.2012</t>
  </si>
  <si>
    <t>12.03.2012</t>
  </si>
  <si>
    <t>28.03.2012</t>
  </si>
  <si>
    <t>:Less: TDS</t>
  </si>
  <si>
    <t>Bank Term Loan Calculator Format</t>
  </si>
  <si>
    <t xml:space="preserve">EXAMPLE </t>
  </si>
  <si>
    <t>Loan Amount</t>
  </si>
  <si>
    <t>S.No</t>
  </si>
  <si>
    <t xml:space="preserve"> Installment</t>
  </si>
  <si>
    <t>Interest</t>
  </si>
  <si>
    <t xml:space="preserve">Principal </t>
  </si>
  <si>
    <t>Loan Term (Years)</t>
  </si>
  <si>
    <t>INTEREST RATE</t>
  </si>
  <si>
    <t>Payments Per Year</t>
  </si>
  <si>
    <t>TENOR</t>
  </si>
  <si>
    <t>Rate of Interest</t>
  </si>
  <si>
    <t>E.M.I</t>
  </si>
  <si>
    <t>Monthly Installment</t>
  </si>
  <si>
    <t>LONG TERM BORROWINGS SHOULD BE SHOWN IN DESCENDING ORDER OF MATURITY</t>
  </si>
  <si>
    <t>BANK FDR/EMD CALCULATION FORMAT</t>
  </si>
  <si>
    <t xml:space="preserve">Sr. No. </t>
  </si>
  <si>
    <t>Date of Investment</t>
  </si>
  <si>
    <t>Date of Maturity (DOM)</t>
  </si>
  <si>
    <t>Investment / Deposit Amount (Rs)</t>
  </si>
  <si>
    <t>Maturity Value (As shown in FDR)</t>
  </si>
  <si>
    <t>No's of Years</t>
  </si>
  <si>
    <t xml:space="preserve">No's of Months </t>
  </si>
  <si>
    <t>No's of Days</t>
  </si>
  <si>
    <t>Period</t>
  </si>
  <si>
    <t>Intt</t>
  </si>
  <si>
    <t xml:space="preserve">Interest </t>
  </si>
  <si>
    <t>Maturity Value as on  (DD/MM/YYYY) in case blank, DOM will functional</t>
  </si>
  <si>
    <t>TDS ON FDR</t>
  </si>
  <si>
    <t>(DD/MM/YYYY)</t>
  </si>
  <si>
    <t>(In Rs.)</t>
  </si>
  <si>
    <t>Quarter</t>
  </si>
  <si>
    <t>Days</t>
  </si>
  <si>
    <t>Unsecured Loan Intrest calculation Format (Loan given by Director/sister concern/Associate company)</t>
  </si>
  <si>
    <t>Ex- purchase vehicles</t>
  </si>
  <si>
    <t>Note: Closing balance of Bank CC Account in any day should not be above CC Drawing Power, otherwise bank will charge penal intrest &amp; penalty.</t>
  </si>
</sst>
</file>

<file path=xl/styles.xml><?xml version="1.0" encoding="utf-8"?>
<styleSheet xmlns="http://schemas.openxmlformats.org/spreadsheetml/2006/main">
  <numFmts count="5">
    <numFmt numFmtId="8" formatCode="&quot;Rs&quot;\ #,##0.00;[Red]&quot;Rs&quot;\ \-#,##0.00"/>
    <numFmt numFmtId="44" formatCode="_ &quot;Rs&quot;\ * #,##0.00_ ;_ &quot;Rs&quot;\ * \-#,##0.00_ ;_ &quot;Rs&quot;\ * &quot;-&quot;??_ ;_ @_ "/>
    <numFmt numFmtId="43" formatCode="_ * #,##0.00_ ;_ * \-#,##0.00_ ;_ * &quot;-&quot;??_ ;_ @_ "/>
    <numFmt numFmtId="166" formatCode="_([$Rs.-4009]\ * #,##0.00_);_([$Rs.-4009]\ * \(#,##0.00\);_([$Rs.-4009]\ * &quot;-&quot;??_);_(@_)"/>
    <numFmt numFmtId="167" formatCode="0;[Red]0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u/>
      <sz val="16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Times New Roman"/>
      <family val="1"/>
    </font>
    <font>
      <b/>
      <sz val="9"/>
      <name val="Sylfaen"/>
      <family val="1"/>
    </font>
    <font>
      <sz val="9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Trebuchet MS"/>
      <family val="2"/>
    </font>
    <font>
      <b/>
      <sz val="10"/>
      <color indexed="60"/>
      <name val="Trebuchet MS"/>
      <family val="2"/>
    </font>
    <font>
      <sz val="10"/>
      <name val="Trebuchet MS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9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3" fontId="1" fillId="0" borderId="0" xfId="0" applyNumberFormat="1" applyFont="1"/>
    <xf numFmtId="43" fontId="0" fillId="0" borderId="0" xfId="0" applyNumberFormat="1"/>
    <xf numFmtId="0" fontId="1" fillId="3" borderId="0" xfId="0" applyFont="1" applyFill="1"/>
    <xf numFmtId="43" fontId="1" fillId="3" borderId="0" xfId="0" applyNumberFormat="1" applyFont="1" applyFill="1"/>
    <xf numFmtId="0" fontId="8" fillId="3" borderId="0" xfId="0" applyFont="1" applyFill="1"/>
    <xf numFmtId="43" fontId="8" fillId="3" borderId="0" xfId="0" applyNumberFormat="1" applyFont="1" applyFill="1"/>
    <xf numFmtId="0" fontId="0" fillId="0" borderId="0" xfId="0" applyFill="1"/>
    <xf numFmtId="0" fontId="1" fillId="0" borderId="0" xfId="0" applyFont="1" applyFill="1"/>
    <xf numFmtId="43" fontId="1" fillId="0" borderId="0" xfId="0" applyNumberFormat="1" applyFont="1" applyFill="1"/>
    <xf numFmtId="0" fontId="1" fillId="2" borderId="0" xfId="0" applyFont="1" applyFill="1" applyAlignment="1">
      <alignment horizontal="center"/>
    </xf>
    <xf numFmtId="9" fontId="0" fillId="0" borderId="0" xfId="1" applyFont="1"/>
    <xf numFmtId="10" fontId="0" fillId="0" borderId="0" xfId="1" applyNumberFormat="1" applyFont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10" fontId="0" fillId="0" borderId="11" xfId="1" applyNumberFormat="1" applyFont="1" applyBorder="1"/>
    <xf numFmtId="0" fontId="10" fillId="0" borderId="12" xfId="0" applyFont="1" applyBorder="1"/>
    <xf numFmtId="0" fontId="0" fillId="3" borderId="0" xfId="0" applyFill="1"/>
    <xf numFmtId="0" fontId="1" fillId="3" borderId="0" xfId="0" applyFont="1" applyFill="1" applyBorder="1"/>
    <xf numFmtId="0" fontId="0" fillId="3" borderId="0" xfId="0" applyFill="1" applyBorder="1"/>
    <xf numFmtId="10" fontId="0" fillId="3" borderId="0" xfId="1" applyNumberFormat="1" applyFont="1" applyFill="1" applyBorder="1"/>
    <xf numFmtId="0" fontId="10" fillId="3" borderId="0" xfId="0" applyFont="1" applyFill="1" applyBorder="1"/>
    <xf numFmtId="8" fontId="10" fillId="0" borderId="13" xfId="0" applyNumberFormat="1" applyFont="1" applyBorder="1"/>
    <xf numFmtId="44" fontId="0" fillId="0" borderId="11" xfId="0" applyNumberFormat="1" applyBorder="1"/>
    <xf numFmtId="4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44" fontId="8" fillId="0" borderId="0" xfId="0" applyNumberFormat="1" applyFont="1"/>
    <xf numFmtId="10" fontId="0" fillId="0" borderId="0" xfId="0" applyNumberFormat="1"/>
    <xf numFmtId="10" fontId="1" fillId="4" borderId="0" xfId="1" applyNumberFormat="1" applyFont="1" applyFill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10" fontId="4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2" fontId="13" fillId="0" borderId="0" xfId="0" applyNumberFormat="1" applyFont="1"/>
    <xf numFmtId="0" fontId="14" fillId="0" borderId="10" xfId="0" applyFont="1" applyBorder="1"/>
    <xf numFmtId="0" fontId="14" fillId="0" borderId="0" xfId="0" applyFont="1" applyBorder="1"/>
    <xf numFmtId="2" fontId="14" fillId="0" borderId="0" xfId="0" applyNumberFormat="1" applyFont="1" applyBorder="1"/>
    <xf numFmtId="0" fontId="0" fillId="0" borderId="0" xfId="0" applyBorder="1"/>
    <xf numFmtId="10" fontId="14" fillId="0" borderId="0" xfId="0" applyNumberFormat="1" applyFont="1" applyBorder="1"/>
    <xf numFmtId="0" fontId="1" fillId="0" borderId="12" xfId="0" applyFont="1" applyBorder="1"/>
    <xf numFmtId="9" fontId="1" fillId="0" borderId="15" xfId="0" applyNumberFormat="1" applyFont="1" applyBorder="1"/>
    <xf numFmtId="0" fontId="1" fillId="0" borderId="15" xfId="0" applyFont="1" applyBorder="1"/>
    <xf numFmtId="0" fontId="0" fillId="0" borderId="15" xfId="0" applyBorder="1"/>
    <xf numFmtId="0" fontId="0" fillId="0" borderId="13" xfId="0" applyBorder="1"/>
    <xf numFmtId="0" fontId="13" fillId="0" borderId="0" xfId="0" applyFont="1"/>
    <xf numFmtId="43" fontId="15" fillId="0" borderId="0" xfId="2" applyNumberFormat="1" applyFont="1"/>
    <xf numFmtId="0" fontId="15" fillId="0" borderId="0" xfId="0" applyFont="1"/>
    <xf numFmtId="0" fontId="0" fillId="4" borderId="0" xfId="0" applyFill="1"/>
    <xf numFmtId="0" fontId="16" fillId="4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0" fillId="0" borderId="9" xfId="0" applyBorder="1"/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2" fontId="1" fillId="4" borderId="15" xfId="0" applyNumberFormat="1" applyFont="1" applyFill="1" applyBorder="1"/>
    <xf numFmtId="0" fontId="19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/>
    <xf numFmtId="0" fontId="20" fillId="6" borderId="0" xfId="0" applyFont="1" applyFill="1" applyBorder="1" applyProtection="1">
      <protection hidden="1"/>
    </xf>
    <xf numFmtId="0" fontId="21" fillId="6" borderId="0" xfId="0" applyFont="1" applyFill="1" applyBorder="1" applyProtection="1">
      <protection hidden="1"/>
    </xf>
    <xf numFmtId="0" fontId="21" fillId="6" borderId="0" xfId="0" applyFont="1" applyFill="1" applyBorder="1" applyProtection="1">
      <protection locked="0"/>
    </xf>
    <xf numFmtId="0" fontId="21" fillId="6" borderId="0" xfId="0" applyFont="1" applyFill="1" applyProtection="1">
      <protection hidden="1"/>
    </xf>
    <xf numFmtId="0" fontId="19" fillId="7" borderId="5" xfId="0" applyFont="1" applyFill="1" applyBorder="1" applyProtection="1">
      <protection hidden="1"/>
    </xf>
    <xf numFmtId="0" fontId="22" fillId="7" borderId="4" xfId="0" applyFont="1" applyFill="1" applyBorder="1" applyProtection="1">
      <protection hidden="1"/>
    </xf>
    <xf numFmtId="0" fontId="20" fillId="7" borderId="16" xfId="0" applyFont="1" applyFill="1" applyBorder="1" applyProtection="1">
      <protection hidden="1"/>
    </xf>
    <xf numFmtId="0" fontId="0" fillId="6" borderId="0" xfId="0" applyFill="1" applyProtection="1">
      <protection hidden="1"/>
    </xf>
    <xf numFmtId="0" fontId="21" fillId="6" borderId="0" xfId="0" applyNumberFormat="1" applyFont="1" applyFill="1" applyBorder="1" applyProtection="1">
      <protection hidden="1"/>
    </xf>
    <xf numFmtId="0" fontId="20" fillId="6" borderId="17" xfId="0" applyFont="1" applyFill="1" applyBorder="1" applyAlignment="1" applyProtection="1">
      <alignment horizontal="center" vertical="center"/>
      <protection hidden="1"/>
    </xf>
    <xf numFmtId="0" fontId="23" fillId="6" borderId="17" xfId="0" applyFont="1" applyFill="1" applyBorder="1" applyAlignment="1" applyProtection="1">
      <alignment horizontal="center" vertical="center" wrapText="1"/>
      <protection hidden="1"/>
    </xf>
    <xf numFmtId="0" fontId="0" fillId="6" borderId="17" xfId="0" applyFill="1" applyBorder="1" applyProtection="1">
      <protection hidden="1"/>
    </xf>
    <xf numFmtId="0" fontId="0" fillId="6" borderId="17" xfId="0" applyFill="1" applyBorder="1" applyProtection="1">
      <protection locked="0"/>
    </xf>
    <xf numFmtId="0" fontId="0" fillId="6" borderId="17" xfId="0" applyNumberFormat="1" applyFill="1" applyBorder="1" applyProtection="1">
      <protection hidden="1"/>
    </xf>
    <xf numFmtId="0" fontId="0" fillId="8" borderId="0" xfId="0" applyFill="1"/>
    <xf numFmtId="0" fontId="0" fillId="8" borderId="0" xfId="0" applyFill="1" applyAlignment="1">
      <alignment horizontal="center"/>
    </xf>
    <xf numFmtId="0" fontId="24" fillId="0" borderId="18" xfId="0" applyFont="1" applyBorder="1" applyAlignment="1">
      <alignment horizontal="center" vertical="center"/>
    </xf>
    <xf numFmtId="0" fontId="25" fillId="9" borderId="17" xfId="0" applyFont="1" applyFill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/>
    </xf>
    <xf numFmtId="2" fontId="25" fillId="9" borderId="17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19" xfId="0" applyFont="1" applyBorder="1" applyAlignment="1">
      <alignment vertical="center"/>
    </xf>
    <xf numFmtId="0" fontId="27" fillId="0" borderId="19" xfId="0" applyFont="1" applyBorder="1" applyAlignment="1">
      <alignment horizontal="right" vertical="center"/>
    </xf>
    <xf numFmtId="14" fontId="27" fillId="0" borderId="19" xfId="0" applyNumberFormat="1" applyFont="1" applyBorder="1" applyAlignment="1">
      <alignment vertical="center"/>
    </xf>
    <xf numFmtId="0" fontId="27" fillId="0" borderId="19" xfId="0" applyFont="1" applyBorder="1" applyAlignment="1">
      <alignment horizontal="center" vertical="center"/>
    </xf>
    <xf numFmtId="2" fontId="27" fillId="0" borderId="19" xfId="0" applyNumberFormat="1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2" fontId="27" fillId="0" borderId="20" xfId="0" applyNumberFormat="1" applyFont="1" applyBorder="1" applyAlignment="1">
      <alignment vertical="center"/>
    </xf>
    <xf numFmtId="0" fontId="27" fillId="0" borderId="20" xfId="0" applyFont="1" applyBorder="1" applyAlignment="1">
      <alignment horizontal="right" vertical="center"/>
    </xf>
    <xf numFmtId="14" fontId="27" fillId="0" borderId="20" xfId="0" applyNumberFormat="1" applyFont="1" applyBorder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20" xfId="0" applyFont="1" applyBorder="1" applyAlignment="1">
      <alignment horizontal="right" vertical="center"/>
    </xf>
    <xf numFmtId="0" fontId="21" fillId="0" borderId="0" xfId="0" applyFont="1" applyAlignment="1">
      <alignment horizontal="center"/>
    </xf>
    <xf numFmtId="2" fontId="27" fillId="0" borderId="19" xfId="0" applyNumberFormat="1" applyFont="1" applyFill="1" applyBorder="1" applyAlignment="1">
      <alignment vertical="center"/>
    </xf>
    <xf numFmtId="0" fontId="21" fillId="0" borderId="0" xfId="0" applyFont="1"/>
    <xf numFmtId="2" fontId="20" fillId="0" borderId="1" xfId="0" applyNumberFormat="1" applyFont="1" applyBorder="1"/>
    <xf numFmtId="0" fontId="0" fillId="0" borderId="4" xfId="0" applyBorder="1"/>
    <xf numFmtId="0" fontId="20" fillId="8" borderId="8" xfId="0" applyFont="1" applyFill="1" applyBorder="1" applyAlignment="1">
      <alignment horizontal="center"/>
    </xf>
    <xf numFmtId="0" fontId="20" fillId="8" borderId="14" xfId="0" applyFont="1" applyFill="1" applyBorder="1" applyAlignment="1">
      <alignment horizontal="center"/>
    </xf>
    <xf numFmtId="0" fontId="20" fillId="8" borderId="9" xfId="0" applyFont="1" applyFill="1" applyBorder="1" applyAlignment="1">
      <alignment horizontal="center"/>
    </xf>
    <xf numFmtId="0" fontId="29" fillId="0" borderId="21" xfId="0" applyFont="1" applyBorder="1" applyProtection="1"/>
    <xf numFmtId="0" fontId="29" fillId="0" borderId="22" xfId="0" applyFont="1" applyBorder="1" applyProtection="1"/>
    <xf numFmtId="1" fontId="30" fillId="0" borderId="20" xfId="0" applyNumberFormat="1" applyFont="1" applyBorder="1" applyProtection="1">
      <protection locked="0"/>
    </xf>
    <xf numFmtId="0" fontId="0" fillId="0" borderId="0" xfId="0" applyBorder="1" applyAlignment="1">
      <alignment horizontal="center"/>
    </xf>
    <xf numFmtId="0" fontId="29" fillId="10" borderId="20" xfId="0" applyFont="1" applyFill="1" applyBorder="1" applyAlignment="1" applyProtection="1">
      <alignment horizontal="center" vertical="center" wrapText="1"/>
    </xf>
    <xf numFmtId="0" fontId="29" fillId="10" borderId="23" xfId="0" applyFont="1" applyFill="1" applyBorder="1" applyAlignment="1" applyProtection="1">
      <alignment horizontal="center" vertical="center" wrapText="1"/>
    </xf>
    <xf numFmtId="0" fontId="0" fillId="11" borderId="10" xfId="0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0" fillId="12" borderId="0" xfId="0" applyFill="1" applyBorder="1" applyProtection="1">
      <protection locked="0"/>
    </xf>
    <xf numFmtId="0" fontId="0" fillId="0" borderId="11" xfId="0" applyBorder="1" applyProtection="1">
      <protection hidden="1"/>
    </xf>
    <xf numFmtId="0" fontId="29" fillId="0" borderId="24" xfId="0" applyFont="1" applyBorder="1" applyProtection="1"/>
    <xf numFmtId="0" fontId="29" fillId="0" borderId="25" xfId="0" applyFont="1" applyBorder="1" applyProtection="1"/>
    <xf numFmtId="1" fontId="30" fillId="0" borderId="17" xfId="0" applyNumberFormat="1" applyFont="1" applyBorder="1" applyProtection="1">
      <protection locked="0"/>
    </xf>
    <xf numFmtId="0" fontId="31" fillId="0" borderId="17" xfId="0" applyFont="1" applyBorder="1" applyAlignment="1" applyProtection="1">
      <alignment horizontal="center"/>
    </xf>
    <xf numFmtId="0" fontId="31" fillId="0" borderId="17" xfId="0" applyFont="1" applyBorder="1" applyProtection="1"/>
    <xf numFmtId="1" fontId="31" fillId="0" borderId="26" xfId="0" applyNumberFormat="1" applyFont="1" applyBorder="1" applyProtection="1"/>
    <xf numFmtId="1" fontId="31" fillId="0" borderId="17" xfId="0" applyNumberFormat="1" applyFont="1" applyBorder="1" applyProtection="1"/>
    <xf numFmtId="10" fontId="30" fillId="0" borderId="17" xfId="0" applyNumberFormat="1" applyFont="1" applyBorder="1" applyProtection="1">
      <protection locked="0"/>
    </xf>
    <xf numFmtId="166" fontId="0" fillId="13" borderId="0" xfId="0" applyNumberFormat="1" applyFill="1" applyBorder="1" applyProtection="1">
      <protection hidden="1"/>
    </xf>
    <xf numFmtId="167" fontId="30" fillId="0" borderId="17" xfId="0" applyNumberFormat="1" applyFont="1" applyBorder="1" applyProtection="1"/>
    <xf numFmtId="0" fontId="0" fillId="0" borderId="0" xfId="0" applyBorder="1" applyProtection="1">
      <protection hidden="1"/>
    </xf>
    <xf numFmtId="9" fontId="0" fillId="13" borderId="0" xfId="0" applyNumberFormat="1" applyFill="1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/>
    <xf numFmtId="0" fontId="0" fillId="0" borderId="15" xfId="0" applyBorder="1" applyAlignment="1">
      <alignment horizontal="center"/>
    </xf>
    <xf numFmtId="0" fontId="31" fillId="0" borderId="27" xfId="0" applyFont="1" applyBorder="1" applyAlignment="1" applyProtection="1">
      <alignment horizontal="center"/>
    </xf>
    <xf numFmtId="1" fontId="31" fillId="0" borderId="27" xfId="0" applyNumberFormat="1" applyFont="1" applyBorder="1" applyProtection="1"/>
    <xf numFmtId="1" fontId="31" fillId="0" borderId="28" xfId="0" applyNumberFormat="1" applyFont="1" applyBorder="1" applyProtection="1"/>
    <xf numFmtId="0" fontId="0" fillId="11" borderId="12" xfId="0" applyFill="1" applyBorder="1" applyProtection="1">
      <protection hidden="1"/>
    </xf>
    <xf numFmtId="0" fontId="0" fillId="11" borderId="15" xfId="0" applyFill="1" applyBorder="1" applyProtection="1">
      <protection hidden="1"/>
    </xf>
    <xf numFmtId="1" fontId="0" fillId="13" borderId="15" xfId="0" applyNumberFormat="1" applyFill="1" applyBorder="1" applyProtection="1">
      <protection hidden="1"/>
    </xf>
    <xf numFmtId="0" fontId="0" fillId="0" borderId="13" xfId="0" applyBorder="1" applyProtection="1">
      <protection hidden="1"/>
    </xf>
    <xf numFmtId="0" fontId="31" fillId="0" borderId="0" xfId="0" applyFont="1" applyBorder="1" applyAlignment="1" applyProtection="1">
      <alignment horizontal="center"/>
    </xf>
    <xf numFmtId="1" fontId="31" fillId="0" borderId="0" xfId="0" applyNumberFormat="1" applyFont="1" applyBorder="1" applyProtection="1"/>
    <xf numFmtId="1" fontId="0" fillId="13" borderId="0" xfId="0" applyNumberFormat="1" applyFill="1" applyBorder="1" applyProtection="1">
      <protection hidden="1"/>
    </xf>
    <xf numFmtId="0" fontId="21" fillId="0" borderId="0" xfId="0" applyFont="1" applyBorder="1"/>
    <xf numFmtId="0" fontId="21" fillId="8" borderId="0" xfId="0" applyFont="1" applyFill="1"/>
    <xf numFmtId="0" fontId="21" fillId="8" borderId="0" xfId="0" applyFont="1" applyFill="1" applyAlignment="1">
      <alignment horizontal="center"/>
    </xf>
    <xf numFmtId="0" fontId="12" fillId="5" borderId="18" xfId="0" applyFont="1" applyFill="1" applyBorder="1" applyAlignment="1">
      <alignment horizontal="center"/>
    </xf>
    <xf numFmtId="0" fontId="32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1" fontId="32" fillId="0" borderId="17" xfId="0" applyNumberFormat="1" applyFont="1" applyFill="1" applyBorder="1" applyAlignment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  <protection hidden="1"/>
    </xf>
    <xf numFmtId="0" fontId="34" fillId="0" borderId="29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2" fontId="32" fillId="0" borderId="17" xfId="0" applyNumberFormat="1" applyFont="1" applyFill="1" applyBorder="1" applyAlignment="1">
      <alignment horizontal="center" vertical="center" wrapText="1"/>
    </xf>
    <xf numFmtId="2" fontId="33" fillId="0" borderId="17" xfId="0" applyNumberFormat="1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7" xfId="0" applyFont="1" applyFill="1" applyBorder="1" applyAlignment="1" applyProtection="1">
      <alignment horizontal="center"/>
      <protection hidden="1"/>
    </xf>
    <xf numFmtId="0" fontId="35" fillId="0" borderId="17" xfId="0" applyFont="1" applyFill="1" applyBorder="1"/>
    <xf numFmtId="0" fontId="11" fillId="0" borderId="17" xfId="0" applyFont="1" applyFill="1" applyBorder="1" applyAlignment="1">
      <alignment horizontal="center"/>
    </xf>
    <xf numFmtId="1" fontId="11" fillId="0" borderId="17" xfId="0" applyNumberFormat="1" applyFont="1" applyFill="1" applyBorder="1" applyAlignment="1">
      <alignment horizontal="center"/>
    </xf>
    <xf numFmtId="0" fontId="11" fillId="0" borderId="17" xfId="0" applyFont="1" applyFill="1" applyBorder="1" applyAlignment="1" applyProtection="1">
      <alignment horizontal="center"/>
      <protection hidden="1"/>
    </xf>
    <xf numFmtId="0" fontId="11" fillId="0" borderId="17" xfId="0" applyFont="1" applyFill="1" applyBorder="1"/>
    <xf numFmtId="2" fontId="11" fillId="0" borderId="17" xfId="0" applyNumberFormat="1" applyFont="1" applyFill="1" applyBorder="1"/>
    <xf numFmtId="14" fontId="36" fillId="0" borderId="17" xfId="0" applyNumberFormat="1" applyFont="1" applyFill="1" applyBorder="1" applyProtection="1">
      <protection locked="0"/>
    </xf>
    <xf numFmtId="0" fontId="0" fillId="0" borderId="17" xfId="0" applyFill="1" applyBorder="1"/>
    <xf numFmtId="0" fontId="0" fillId="14" borderId="17" xfId="0" applyFill="1" applyBorder="1" applyAlignment="1" applyProtection="1">
      <alignment horizontal="center"/>
      <protection hidden="1"/>
    </xf>
    <xf numFmtId="14" fontId="0" fillId="6" borderId="17" xfId="0" applyNumberFormat="1" applyFill="1" applyBorder="1" applyProtection="1"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shrinkToFit="1"/>
      <protection locked="0"/>
    </xf>
    <xf numFmtId="1" fontId="0" fillId="6" borderId="17" xfId="0" applyNumberFormat="1" applyFill="1" applyBorder="1" applyAlignment="1" applyProtection="1">
      <alignment shrinkToFit="1"/>
      <protection locked="0"/>
    </xf>
    <xf numFmtId="1" fontId="0" fillId="14" borderId="17" xfId="0" applyNumberFormat="1" applyFill="1" applyBorder="1" applyProtection="1">
      <protection hidden="1"/>
    </xf>
    <xf numFmtId="0" fontId="0" fillId="14" borderId="17" xfId="0" applyFill="1" applyBorder="1" applyProtection="1">
      <protection hidden="1"/>
    </xf>
    <xf numFmtId="0" fontId="0" fillId="14" borderId="17" xfId="0" applyFill="1" applyBorder="1" applyAlignment="1" applyProtection="1">
      <alignment shrinkToFit="1"/>
      <protection hidden="1"/>
    </xf>
    <xf numFmtId="1" fontId="0" fillId="14" borderId="17" xfId="0" applyNumberFormat="1" applyFill="1" applyBorder="1" applyAlignment="1" applyProtection="1">
      <alignment shrinkToFit="1"/>
      <protection hidden="1"/>
    </xf>
    <xf numFmtId="2" fontId="0" fillId="14" borderId="17" xfId="0" applyNumberFormat="1" applyFill="1" applyBorder="1" applyAlignment="1" applyProtection="1">
      <alignment shrinkToFit="1"/>
      <protection hidden="1"/>
    </xf>
    <xf numFmtId="0" fontId="0" fillId="0" borderId="17" xfId="0" applyBorder="1"/>
    <xf numFmtId="1" fontId="0" fillId="0" borderId="0" xfId="0" applyNumberFormat="1"/>
    <xf numFmtId="2" fontId="0" fillId="0" borderId="0" xfId="0" applyNumberFormat="1"/>
    <xf numFmtId="0" fontId="38" fillId="4" borderId="0" xfId="0" applyFont="1" applyFill="1"/>
    <xf numFmtId="0" fontId="39" fillId="4" borderId="0" xfId="0" applyFont="1" applyFill="1"/>
    <xf numFmtId="0" fontId="37" fillId="4" borderId="0" xfId="0" applyFont="1" applyFill="1"/>
    <xf numFmtId="0" fontId="14" fillId="0" borderId="0" xfId="0" applyFont="1" applyFill="1" applyBorder="1" applyAlignment="1">
      <alignment horizontal="left" wrapText="1"/>
    </xf>
    <xf numFmtId="43" fontId="15" fillId="4" borderId="0" xfId="2" applyNumberFormat="1" applyFont="1" applyFill="1"/>
  </cellXfs>
  <cellStyles count="3">
    <cellStyle name="Comma" xfId="2" builtinId="3"/>
    <cellStyle name="Normal" xfId="0" builtinId="0"/>
    <cellStyle name="Percent" xfId="1" builtinId="5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tabSelected="1" topLeftCell="A49" workbookViewId="0">
      <selection activeCell="E70" sqref="E70"/>
    </sheetView>
  </sheetViews>
  <sheetFormatPr defaultRowHeight="15"/>
  <cols>
    <col min="3" max="3" width="27.28515625" customWidth="1"/>
    <col min="6" max="6" width="30" customWidth="1"/>
  </cols>
  <sheetData>
    <row r="1" spans="3:11" ht="15.75" thickBot="1"/>
    <row r="2" spans="3:11" ht="21.75" thickBot="1">
      <c r="C2" s="48" t="s">
        <v>0</v>
      </c>
      <c r="D2" s="49"/>
      <c r="E2" s="49"/>
      <c r="F2" s="49"/>
      <c r="G2" s="50"/>
    </row>
    <row r="4" spans="3:11">
      <c r="C4" s="2" t="s">
        <v>1</v>
      </c>
      <c r="D4" s="2" t="s">
        <v>3</v>
      </c>
      <c r="E4" s="2"/>
      <c r="F4" s="2" t="s">
        <v>2</v>
      </c>
      <c r="G4" s="2" t="s">
        <v>3</v>
      </c>
    </row>
    <row r="5" spans="3:11">
      <c r="C5" t="s">
        <v>4</v>
      </c>
      <c r="D5">
        <v>9.3800000000000008</v>
      </c>
      <c r="F5" t="s">
        <v>6</v>
      </c>
      <c r="G5">
        <v>15</v>
      </c>
    </row>
    <row r="6" spans="3:11">
      <c r="C6" t="s">
        <v>5</v>
      </c>
      <c r="D6">
        <v>28.13</v>
      </c>
      <c r="F6" t="s">
        <v>7</v>
      </c>
      <c r="G6">
        <v>20</v>
      </c>
    </row>
    <row r="7" spans="3:11">
      <c r="F7" t="s">
        <v>8</v>
      </c>
      <c r="G7">
        <v>2.5</v>
      </c>
    </row>
    <row r="8" spans="3:11" ht="15.75" thickBot="1">
      <c r="C8" s="3" t="s">
        <v>9</v>
      </c>
      <c r="D8" s="3">
        <f>SUM(D5:D7)</f>
        <v>37.51</v>
      </c>
      <c r="E8" s="3"/>
      <c r="F8" s="3" t="s">
        <v>9</v>
      </c>
      <c r="G8" s="3">
        <f>SUM(G5:G7)</f>
        <v>37.5</v>
      </c>
    </row>
    <row r="9" spans="3:11" ht="15.75" thickTop="1"/>
    <row r="11" spans="3:11">
      <c r="C11" t="s">
        <v>10</v>
      </c>
      <c r="D11">
        <v>5</v>
      </c>
      <c r="E11" t="s">
        <v>11</v>
      </c>
    </row>
    <row r="12" spans="3:11">
      <c r="C12" t="s">
        <v>12</v>
      </c>
      <c r="D12" s="4">
        <v>0.1</v>
      </c>
    </row>
    <row r="13" spans="3:11">
      <c r="C13" t="s">
        <v>13</v>
      </c>
    </row>
    <row r="15" spans="3:11">
      <c r="F15" s="5" t="s">
        <v>20</v>
      </c>
      <c r="G15" s="5">
        <v>1</v>
      </c>
      <c r="H15" s="5">
        <v>2</v>
      </c>
      <c r="I15" s="5">
        <v>3</v>
      </c>
      <c r="J15" s="5">
        <v>4</v>
      </c>
      <c r="K15" s="5">
        <v>5</v>
      </c>
    </row>
    <row r="16" spans="3:11">
      <c r="F16" t="s">
        <v>14</v>
      </c>
      <c r="G16" s="11">
        <f>D6</f>
        <v>28.13</v>
      </c>
      <c r="H16" s="11">
        <f>G19</f>
        <v>22.503999999999998</v>
      </c>
      <c r="I16" s="11">
        <f t="shared" ref="I16:K16" si="0">H19</f>
        <v>16.878</v>
      </c>
      <c r="J16" s="11">
        <f t="shared" si="0"/>
        <v>11.252000000000001</v>
      </c>
      <c r="K16" s="11">
        <f t="shared" si="0"/>
        <v>5.6260000000000012</v>
      </c>
    </row>
    <row r="17" spans="6:11">
      <c r="F17" t="s">
        <v>15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6:11">
      <c r="F18" s="1" t="s">
        <v>16</v>
      </c>
      <c r="G18" s="11">
        <f>G16/5</f>
        <v>5.6259999999999994</v>
      </c>
      <c r="H18" s="11">
        <f>G18</f>
        <v>5.6259999999999994</v>
      </c>
      <c r="I18" s="11">
        <f t="shared" ref="I18:K18" si="1">H18</f>
        <v>5.6259999999999994</v>
      </c>
      <c r="J18" s="11">
        <f t="shared" si="1"/>
        <v>5.6259999999999994</v>
      </c>
      <c r="K18" s="11">
        <f t="shared" si="1"/>
        <v>5.6259999999999994</v>
      </c>
    </row>
    <row r="19" spans="6:11">
      <c r="F19" t="s">
        <v>17</v>
      </c>
      <c r="G19" s="11">
        <f>G16-G18</f>
        <v>22.503999999999998</v>
      </c>
      <c r="H19" s="11">
        <f>H16-H18</f>
        <v>16.878</v>
      </c>
      <c r="I19" s="11">
        <f t="shared" ref="I19:K19" si="2">I16-I18</f>
        <v>11.252000000000001</v>
      </c>
      <c r="J19" s="11">
        <f t="shared" si="2"/>
        <v>5.6260000000000012</v>
      </c>
      <c r="K19" s="11">
        <f t="shared" si="2"/>
        <v>0</v>
      </c>
    </row>
    <row r="20" spans="6:11">
      <c r="F20" t="s">
        <v>18</v>
      </c>
      <c r="G20" s="11">
        <f>(G16+G19)/2</f>
        <v>25.317</v>
      </c>
      <c r="H20" s="11">
        <f>(H16+H19)/2</f>
        <v>19.690999999999999</v>
      </c>
      <c r="I20" s="11">
        <f t="shared" ref="I20:K20" si="3">(I16+I19)/2</f>
        <v>14.065000000000001</v>
      </c>
      <c r="J20" s="11">
        <f t="shared" si="3"/>
        <v>8.4390000000000001</v>
      </c>
      <c r="K20" s="11">
        <f t="shared" si="3"/>
        <v>2.8130000000000006</v>
      </c>
    </row>
    <row r="21" spans="6:11">
      <c r="F21" s="1" t="s">
        <v>19</v>
      </c>
      <c r="G21" s="11">
        <f>G20*10%</f>
        <v>2.5317000000000003</v>
      </c>
      <c r="H21" s="11">
        <f>H20*10%</f>
        <v>1.9691000000000001</v>
      </c>
      <c r="I21" s="11">
        <f t="shared" ref="I21:K21" si="4">I20*10%</f>
        <v>1.4065000000000003</v>
      </c>
      <c r="J21" s="11">
        <f t="shared" si="4"/>
        <v>0.84390000000000009</v>
      </c>
      <c r="K21" s="11">
        <f t="shared" si="4"/>
        <v>0.28130000000000005</v>
      </c>
    </row>
    <row r="24" spans="6:11" ht="15.75" thickBot="1"/>
    <row r="25" spans="6:11" ht="15.75" thickBot="1">
      <c r="F25" s="7" t="s">
        <v>21</v>
      </c>
      <c r="G25" s="8" t="s">
        <v>22</v>
      </c>
      <c r="H25" s="8" t="s">
        <v>23</v>
      </c>
      <c r="I25" s="8" t="s">
        <v>24</v>
      </c>
      <c r="J25" s="8" t="s">
        <v>25</v>
      </c>
      <c r="K25" s="9" t="s">
        <v>26</v>
      </c>
    </row>
    <row r="26" spans="6:11">
      <c r="F26" s="1" t="s">
        <v>27</v>
      </c>
      <c r="G26" s="10">
        <v>100</v>
      </c>
      <c r="H26" s="10">
        <v>110</v>
      </c>
      <c r="I26" s="10">
        <v>110</v>
      </c>
      <c r="J26" s="10">
        <v>121</v>
      </c>
      <c r="K26" s="10">
        <v>121</v>
      </c>
    </row>
    <row r="27" spans="6:11">
      <c r="F27" t="s">
        <v>28</v>
      </c>
      <c r="G27" s="11">
        <v>60</v>
      </c>
      <c r="H27" s="11">
        <v>66</v>
      </c>
      <c r="I27" s="11">
        <v>66</v>
      </c>
      <c r="J27" s="11">
        <v>72.599999999999994</v>
      </c>
      <c r="K27" s="11">
        <v>72.599999999999994</v>
      </c>
    </row>
    <row r="28" spans="6:11">
      <c r="F28" t="s">
        <v>29</v>
      </c>
      <c r="G28" s="11">
        <v>10</v>
      </c>
      <c r="H28" s="11">
        <v>11</v>
      </c>
      <c r="I28" s="11">
        <v>11</v>
      </c>
      <c r="J28" s="11">
        <v>11.75</v>
      </c>
      <c r="K28" s="11">
        <v>11.75</v>
      </c>
    </row>
    <row r="29" spans="6:11">
      <c r="F29" t="s">
        <v>30</v>
      </c>
      <c r="G29" s="11">
        <v>7.5</v>
      </c>
      <c r="H29" s="11">
        <v>8.25</v>
      </c>
      <c r="I29" s="11">
        <v>8.25</v>
      </c>
      <c r="J29" s="11">
        <v>9.08</v>
      </c>
      <c r="K29" s="11">
        <v>9.08</v>
      </c>
    </row>
    <row r="30" spans="6:11">
      <c r="F30" t="s">
        <v>31</v>
      </c>
      <c r="G30" s="11">
        <v>5</v>
      </c>
      <c r="H30" s="11">
        <v>5.5</v>
      </c>
      <c r="I30" s="11">
        <v>5.5</v>
      </c>
      <c r="J30" s="11">
        <v>6.05</v>
      </c>
      <c r="K30" s="11">
        <v>6.05</v>
      </c>
    </row>
    <row r="31" spans="6:11">
      <c r="F31" t="s">
        <v>32</v>
      </c>
      <c r="G31" s="11">
        <v>7.5</v>
      </c>
      <c r="H31" s="11">
        <v>7.5</v>
      </c>
      <c r="I31" s="11">
        <v>7.5</v>
      </c>
      <c r="J31" s="11">
        <v>7.5</v>
      </c>
      <c r="K31" s="11">
        <v>7.5</v>
      </c>
    </row>
    <row r="32" spans="6:11">
      <c r="F32" s="1" t="s">
        <v>9</v>
      </c>
      <c r="G32" s="10">
        <f>SUM(G27:G31)</f>
        <v>90</v>
      </c>
      <c r="H32" s="10">
        <f t="shared" ref="H32:K32" si="5">SUM(H27:H31)</f>
        <v>98.25</v>
      </c>
      <c r="I32" s="10">
        <f t="shared" si="5"/>
        <v>98.25</v>
      </c>
      <c r="J32" s="10">
        <f t="shared" si="5"/>
        <v>106.97999999999999</v>
      </c>
      <c r="K32" s="10">
        <f t="shared" si="5"/>
        <v>106.97999999999999</v>
      </c>
    </row>
    <row r="33" spans="6:11">
      <c r="F33" t="s">
        <v>33</v>
      </c>
      <c r="G33" s="11">
        <v>5</v>
      </c>
      <c r="H33" s="11">
        <v>7</v>
      </c>
      <c r="I33" s="11">
        <v>8</v>
      </c>
      <c r="J33" s="11">
        <v>8</v>
      </c>
      <c r="K33" s="11">
        <v>9</v>
      </c>
    </row>
    <row r="34" spans="6:11">
      <c r="F34" t="s">
        <v>34</v>
      </c>
      <c r="G34" s="11">
        <v>7</v>
      </c>
      <c r="H34" s="11">
        <v>8</v>
      </c>
      <c r="I34" s="11">
        <v>8.5</v>
      </c>
      <c r="J34" s="11">
        <v>8.5</v>
      </c>
      <c r="K34" s="11">
        <v>9.5</v>
      </c>
    </row>
    <row r="35" spans="6:11">
      <c r="F35" s="1" t="s">
        <v>35</v>
      </c>
      <c r="G35" s="10">
        <f>G32+G33-G34</f>
        <v>88</v>
      </c>
      <c r="H35" s="10">
        <f t="shared" ref="H35:K35" si="6">H32+H33-H34</f>
        <v>97.25</v>
      </c>
      <c r="I35" s="10">
        <f t="shared" si="6"/>
        <v>97.75</v>
      </c>
      <c r="J35" s="10">
        <f t="shared" si="6"/>
        <v>106.47999999999999</v>
      </c>
      <c r="K35" s="10">
        <f t="shared" si="6"/>
        <v>106.47999999999999</v>
      </c>
    </row>
    <row r="36" spans="6:11">
      <c r="F36" t="s">
        <v>36</v>
      </c>
      <c r="G36" s="11">
        <v>7.5</v>
      </c>
      <c r="H36" s="11">
        <v>10</v>
      </c>
      <c r="I36" s="11">
        <v>12</v>
      </c>
      <c r="J36" s="11">
        <v>12.5</v>
      </c>
      <c r="K36" s="11">
        <v>13</v>
      </c>
    </row>
    <row r="37" spans="6:11">
      <c r="F37" t="s">
        <v>37</v>
      </c>
      <c r="G37" s="11">
        <v>10</v>
      </c>
      <c r="H37" s="11">
        <v>12</v>
      </c>
      <c r="I37" s="11">
        <v>12.5</v>
      </c>
      <c r="J37" s="11">
        <v>13</v>
      </c>
      <c r="K37" s="11">
        <v>13</v>
      </c>
    </row>
    <row r="38" spans="6:11">
      <c r="F38" s="1" t="s">
        <v>38</v>
      </c>
      <c r="G38" s="10">
        <f>G35+G36-G37</f>
        <v>85.5</v>
      </c>
      <c r="H38" s="10">
        <f t="shared" ref="H38:K38" si="7">H35+H36-H37</f>
        <v>95.25</v>
      </c>
      <c r="I38" s="10">
        <f t="shared" si="7"/>
        <v>97.25</v>
      </c>
      <c r="J38" s="10">
        <f t="shared" si="7"/>
        <v>105.97999999999999</v>
      </c>
      <c r="K38" s="10">
        <f t="shared" si="7"/>
        <v>106.47999999999999</v>
      </c>
    </row>
    <row r="39" spans="6:11">
      <c r="F39" t="s">
        <v>39</v>
      </c>
      <c r="G39" s="11">
        <v>5</v>
      </c>
      <c r="H39" s="11">
        <v>5</v>
      </c>
      <c r="I39" s="11">
        <v>5.5</v>
      </c>
      <c r="J39" s="11">
        <v>5</v>
      </c>
      <c r="K39" s="11">
        <v>6</v>
      </c>
    </row>
    <row r="40" spans="6:11">
      <c r="F40" s="1" t="s">
        <v>40</v>
      </c>
      <c r="G40" s="10">
        <f>G26-G38-G39</f>
        <v>9.5</v>
      </c>
      <c r="H40" s="10">
        <f t="shared" ref="H40:K40" si="8">H26-H38-H39</f>
        <v>9.75</v>
      </c>
      <c r="I40" s="10">
        <f t="shared" si="8"/>
        <v>7.25</v>
      </c>
      <c r="J40" s="10">
        <f t="shared" si="8"/>
        <v>10.02000000000001</v>
      </c>
      <c r="K40" s="10">
        <f t="shared" si="8"/>
        <v>8.5200000000000102</v>
      </c>
    </row>
    <row r="41" spans="6:11">
      <c r="F41" t="s">
        <v>41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6:11">
      <c r="F42" t="s">
        <v>42</v>
      </c>
      <c r="G42" s="11">
        <f>G21</f>
        <v>2.5317000000000003</v>
      </c>
      <c r="H42" s="11">
        <f t="shared" ref="H42:J42" si="9">H21</f>
        <v>1.9691000000000001</v>
      </c>
      <c r="I42" s="11">
        <f t="shared" ref="I42" si="10">I21</f>
        <v>1.4065000000000003</v>
      </c>
      <c r="J42" s="11">
        <f t="shared" si="9"/>
        <v>0.84390000000000009</v>
      </c>
      <c r="K42" s="11">
        <f t="shared" ref="K42" si="11">K21</f>
        <v>0.28130000000000005</v>
      </c>
    </row>
    <row r="43" spans="6:11">
      <c r="F43" t="s">
        <v>43</v>
      </c>
      <c r="G43" s="11">
        <f>G40-G41-G42</f>
        <v>6.9682999999999993</v>
      </c>
      <c r="H43" s="11">
        <f t="shared" ref="H43:K43" si="12">H40-H41-H42</f>
        <v>7.7808999999999999</v>
      </c>
      <c r="I43" s="11">
        <f t="shared" si="12"/>
        <v>5.8434999999999997</v>
      </c>
      <c r="J43" s="11">
        <f t="shared" si="12"/>
        <v>9.1761000000000106</v>
      </c>
      <c r="K43" s="11">
        <f t="shared" si="12"/>
        <v>8.2387000000000103</v>
      </c>
    </row>
    <row r="44" spans="6:11">
      <c r="F44" t="s">
        <v>44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6:11">
      <c r="F45" s="1" t="s">
        <v>45</v>
      </c>
      <c r="G45" s="10">
        <f>G43-G44</f>
        <v>6.9682999999999993</v>
      </c>
      <c r="H45" s="10">
        <f t="shared" ref="H45:K45" si="13">H43-H44</f>
        <v>7.7808999999999999</v>
      </c>
      <c r="I45" s="10">
        <f t="shared" si="13"/>
        <v>5.8434999999999997</v>
      </c>
      <c r="J45" s="10">
        <f t="shared" si="13"/>
        <v>9.1761000000000106</v>
      </c>
      <c r="K45" s="10">
        <f t="shared" si="13"/>
        <v>8.2387000000000103</v>
      </c>
    </row>
    <row r="46" spans="6:11">
      <c r="F46" t="s">
        <v>46</v>
      </c>
      <c r="G46" s="11">
        <f>G45*30%</f>
        <v>2.0904899999999995</v>
      </c>
      <c r="H46" s="11">
        <f t="shared" ref="H46:K46" si="14">H45*30%</f>
        <v>2.3342700000000001</v>
      </c>
      <c r="I46" s="11">
        <f t="shared" si="14"/>
        <v>1.7530499999999998</v>
      </c>
      <c r="J46" s="11">
        <f t="shared" si="14"/>
        <v>2.752830000000003</v>
      </c>
      <c r="K46" s="11">
        <f t="shared" si="14"/>
        <v>2.4716100000000032</v>
      </c>
    </row>
    <row r="47" spans="6:11">
      <c r="F47" s="1" t="s">
        <v>47</v>
      </c>
      <c r="G47" s="10">
        <f>G45-G46</f>
        <v>4.8778100000000002</v>
      </c>
      <c r="H47" s="10">
        <f t="shared" ref="H47:K47" si="15">H45-H46</f>
        <v>5.4466299999999999</v>
      </c>
      <c r="I47" s="10">
        <f t="shared" si="15"/>
        <v>4.0904499999999997</v>
      </c>
      <c r="J47" s="10">
        <f t="shared" si="15"/>
        <v>6.4232700000000076</v>
      </c>
      <c r="K47" s="10">
        <f t="shared" si="15"/>
        <v>5.7670900000000067</v>
      </c>
    </row>
    <row r="48" spans="6:11">
      <c r="F48" t="s">
        <v>48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6:12">
      <c r="F49" s="1" t="s">
        <v>49</v>
      </c>
      <c r="G49" s="10">
        <f>G47-G48</f>
        <v>4.8778100000000002</v>
      </c>
      <c r="H49" s="10">
        <f t="shared" ref="H49:K49" si="16">H47-H48</f>
        <v>5.4466299999999999</v>
      </c>
      <c r="I49" s="10">
        <f t="shared" si="16"/>
        <v>4.0904499999999997</v>
      </c>
      <c r="J49" s="10">
        <f t="shared" si="16"/>
        <v>6.4232700000000076</v>
      </c>
      <c r="K49" s="10">
        <f t="shared" si="16"/>
        <v>5.7670900000000067</v>
      </c>
    </row>
    <row r="52" spans="6:12" ht="18.75">
      <c r="F52" s="51" t="s">
        <v>55</v>
      </c>
      <c r="G52" s="51"/>
      <c r="H52" s="51"/>
      <c r="I52" s="51"/>
      <c r="J52" s="51"/>
      <c r="K52" s="51"/>
      <c r="L52" s="51"/>
    </row>
    <row r="53" spans="6:12">
      <c r="F53" s="6" t="s">
        <v>21</v>
      </c>
      <c r="G53" s="6">
        <v>1</v>
      </c>
      <c r="H53" s="6">
        <v>2</v>
      </c>
      <c r="I53" s="6">
        <v>3</v>
      </c>
      <c r="J53" s="6">
        <v>4</v>
      </c>
      <c r="K53" s="6">
        <v>5</v>
      </c>
      <c r="L53" s="6" t="s">
        <v>9</v>
      </c>
    </row>
    <row r="54" spans="6:12">
      <c r="F54" t="s">
        <v>50</v>
      </c>
      <c r="G54" s="11">
        <f>G26</f>
        <v>100</v>
      </c>
      <c r="H54" s="11">
        <f t="shared" ref="H54:K54" si="17">H26</f>
        <v>110</v>
      </c>
      <c r="I54" s="11">
        <f t="shared" si="17"/>
        <v>110</v>
      </c>
      <c r="J54" s="11">
        <f t="shared" si="17"/>
        <v>121</v>
      </c>
      <c r="K54" s="11">
        <f t="shared" si="17"/>
        <v>121</v>
      </c>
      <c r="L54" s="11">
        <f t="shared" ref="L54:L61" si="18">SUM(G54:K54)</f>
        <v>562</v>
      </c>
    </row>
    <row r="55" spans="6:12">
      <c r="F55" t="s">
        <v>51</v>
      </c>
      <c r="G55" s="11">
        <f>G49</f>
        <v>4.8778100000000002</v>
      </c>
      <c r="H55" s="11">
        <f t="shared" ref="H55:K55" si="19">H49</f>
        <v>5.4466299999999999</v>
      </c>
      <c r="I55" s="11">
        <f t="shared" si="19"/>
        <v>4.0904499999999997</v>
      </c>
      <c r="J55" s="11">
        <f t="shared" si="19"/>
        <v>6.4232700000000076</v>
      </c>
      <c r="K55" s="11">
        <f t="shared" si="19"/>
        <v>5.7670900000000067</v>
      </c>
      <c r="L55" s="11">
        <f t="shared" si="18"/>
        <v>26.605250000000016</v>
      </c>
    </row>
    <row r="56" spans="6:12">
      <c r="F56" t="s">
        <v>52</v>
      </c>
      <c r="G56" s="11">
        <f>G31</f>
        <v>7.5</v>
      </c>
      <c r="H56" s="11">
        <f t="shared" ref="H56:K56" si="20">H31</f>
        <v>7.5</v>
      </c>
      <c r="I56" s="11">
        <f t="shared" si="20"/>
        <v>7.5</v>
      </c>
      <c r="J56" s="11">
        <f t="shared" si="20"/>
        <v>7.5</v>
      </c>
      <c r="K56" s="11">
        <f t="shared" si="20"/>
        <v>7.5</v>
      </c>
      <c r="L56" s="11">
        <f t="shared" si="18"/>
        <v>37.5</v>
      </c>
    </row>
    <row r="57" spans="6:12">
      <c r="F57" t="s">
        <v>56</v>
      </c>
      <c r="G57" s="11">
        <f>G42</f>
        <v>2.5317000000000003</v>
      </c>
      <c r="H57" s="11">
        <f t="shared" ref="H57:K57" si="21">H42</f>
        <v>1.9691000000000001</v>
      </c>
      <c r="I57" s="11">
        <f t="shared" si="21"/>
        <v>1.4065000000000003</v>
      </c>
      <c r="J57" s="11">
        <f t="shared" si="21"/>
        <v>0.84390000000000009</v>
      </c>
      <c r="K57" s="11">
        <f t="shared" si="21"/>
        <v>0.28130000000000005</v>
      </c>
      <c r="L57" s="11">
        <f t="shared" si="18"/>
        <v>7.0325000000000006</v>
      </c>
    </row>
    <row r="58" spans="6:12">
      <c r="F58" s="14" t="s">
        <v>53</v>
      </c>
      <c r="G58" s="15">
        <f>G55+G56+G57</f>
        <v>14.909510000000001</v>
      </c>
      <c r="H58" s="15">
        <f t="shared" ref="H58:K58" si="22">H55+H56+H57</f>
        <v>14.91573</v>
      </c>
      <c r="I58" s="15">
        <f t="shared" si="22"/>
        <v>12.996950000000002</v>
      </c>
      <c r="J58" s="15">
        <f t="shared" si="22"/>
        <v>14.767170000000007</v>
      </c>
      <c r="K58" s="15">
        <f t="shared" si="22"/>
        <v>13.548390000000007</v>
      </c>
      <c r="L58" s="15">
        <f t="shared" si="18"/>
        <v>71.137750000000025</v>
      </c>
    </row>
    <row r="59" spans="6:12">
      <c r="F59" t="s">
        <v>54</v>
      </c>
      <c r="G59" s="11">
        <f>G18</f>
        <v>5.6259999999999994</v>
      </c>
      <c r="H59" s="11">
        <f t="shared" ref="H59:K59" si="23">H18</f>
        <v>5.6259999999999994</v>
      </c>
      <c r="I59" s="11">
        <f t="shared" si="23"/>
        <v>5.6259999999999994</v>
      </c>
      <c r="J59" s="11">
        <f t="shared" si="23"/>
        <v>5.6259999999999994</v>
      </c>
      <c r="K59" s="11">
        <f t="shared" si="23"/>
        <v>5.6259999999999994</v>
      </c>
      <c r="L59" s="11">
        <f t="shared" si="18"/>
        <v>28.129999999999995</v>
      </c>
    </row>
    <row r="60" spans="6:12">
      <c r="F60" t="s">
        <v>57</v>
      </c>
      <c r="G60" s="11">
        <f>G57</f>
        <v>2.5317000000000003</v>
      </c>
      <c r="H60" s="11">
        <f t="shared" ref="H60:K60" si="24">H57</f>
        <v>1.9691000000000001</v>
      </c>
      <c r="I60" s="11">
        <f t="shared" si="24"/>
        <v>1.4065000000000003</v>
      </c>
      <c r="J60" s="11">
        <f t="shared" si="24"/>
        <v>0.84390000000000009</v>
      </c>
      <c r="K60" s="11">
        <f t="shared" si="24"/>
        <v>0.28130000000000005</v>
      </c>
      <c r="L60" s="11">
        <f t="shared" si="18"/>
        <v>7.0325000000000006</v>
      </c>
    </row>
    <row r="61" spans="6:12">
      <c r="F61" s="12" t="s">
        <v>58</v>
      </c>
      <c r="G61" s="13">
        <f>G59+G60</f>
        <v>8.1577000000000002</v>
      </c>
      <c r="H61" s="13">
        <f t="shared" ref="H61:K61" si="25">H59+H60</f>
        <v>7.5950999999999995</v>
      </c>
      <c r="I61" s="13">
        <f t="shared" si="25"/>
        <v>7.0324999999999998</v>
      </c>
      <c r="J61" s="13">
        <f t="shared" si="25"/>
        <v>6.4698999999999991</v>
      </c>
      <c r="K61" s="13">
        <f t="shared" si="25"/>
        <v>5.9072999999999993</v>
      </c>
      <c r="L61" s="13">
        <f t="shared" si="18"/>
        <v>35.162499999999994</v>
      </c>
    </row>
    <row r="62" spans="6:12" s="16" customFormat="1">
      <c r="F62" s="17" t="s">
        <v>59</v>
      </c>
      <c r="G62" s="18">
        <f>G58/G61</f>
        <v>1.8276609828750752</v>
      </c>
      <c r="H62" s="18">
        <f t="shared" ref="H62:K62" si="26">H58/H61</f>
        <v>1.9638622269621204</v>
      </c>
      <c r="I62" s="18">
        <f t="shared" si="26"/>
        <v>1.8481265552790618</v>
      </c>
      <c r="J62" s="18">
        <f t="shared" si="26"/>
        <v>2.2824417688063199</v>
      </c>
      <c r="K62" s="18">
        <f t="shared" si="26"/>
        <v>2.2934995683307107</v>
      </c>
      <c r="L62" s="18">
        <f>L58/L61</f>
        <v>2.0231141130465704</v>
      </c>
    </row>
    <row r="63" spans="6:12">
      <c r="F63" s="1" t="s">
        <v>60</v>
      </c>
      <c r="G63" s="10">
        <f>(G55+G56)/G59</f>
        <v>2.200108425168859</v>
      </c>
      <c r="H63" s="10">
        <f t="shared" ref="H63:L63" si="27">(H55+H56)/H59</f>
        <v>2.3012140063988626</v>
      </c>
      <c r="I63" s="10">
        <f t="shared" si="27"/>
        <v>2.0601581940988272</v>
      </c>
      <c r="J63" s="10">
        <f t="shared" si="27"/>
        <v>2.474808034127268</v>
      </c>
      <c r="K63" s="10">
        <f t="shared" si="27"/>
        <v>2.3581745467472466</v>
      </c>
      <c r="L63" s="13">
        <f t="shared" si="27"/>
        <v>2.2788926413082127</v>
      </c>
    </row>
    <row r="67" spans="1:16" ht="26.25">
      <c r="A67" s="193" t="s">
        <v>61</v>
      </c>
      <c r="B67" s="194"/>
      <c r="C67" s="195"/>
      <c r="D67" s="195"/>
      <c r="E67" s="195"/>
      <c r="F67" s="195"/>
      <c r="G67" s="195"/>
      <c r="H67" s="195"/>
      <c r="I67" s="195"/>
      <c r="J67" s="195"/>
      <c r="K67" s="195"/>
      <c r="L67" s="69"/>
      <c r="M67" s="69"/>
      <c r="N67" s="69"/>
      <c r="O67" s="69"/>
      <c r="P67" s="69"/>
    </row>
  </sheetData>
  <mergeCells count="2">
    <mergeCell ref="C2:G2"/>
    <mergeCell ref="F52:L5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4" sqref="A4"/>
    </sheetView>
  </sheetViews>
  <sheetFormatPr defaultRowHeight="15"/>
  <cols>
    <col min="2" max="2" width="30.42578125" bestFit="1" customWidth="1"/>
    <col min="3" max="3" width="16.28515625" customWidth="1"/>
    <col min="4" max="4" width="1.140625" style="28" customWidth="1"/>
    <col min="5" max="5" width="38.140625" customWidth="1"/>
    <col min="6" max="6" width="17.7109375" customWidth="1"/>
    <col min="7" max="7" width="10.140625" bestFit="1" customWidth="1"/>
    <col min="8" max="8" width="10.140625" customWidth="1"/>
    <col min="9" max="9" width="15.7109375" bestFit="1" customWidth="1"/>
  </cols>
  <sheetData>
    <row r="1" spans="1:9" ht="21">
      <c r="A1" s="193" t="s">
        <v>62</v>
      </c>
      <c r="B1" s="194"/>
      <c r="C1" s="194"/>
      <c r="D1" s="194"/>
      <c r="E1" s="194"/>
      <c r="F1" s="194"/>
      <c r="G1" s="69"/>
      <c r="H1" s="69"/>
      <c r="I1" s="69"/>
    </row>
    <row r="2" spans="1:9">
      <c r="A2" t="s">
        <v>196</v>
      </c>
    </row>
    <row r="4" spans="1:9">
      <c r="B4" s="19" t="s">
        <v>63</v>
      </c>
      <c r="C4" s="52" t="s">
        <v>64</v>
      </c>
      <c r="D4" s="52"/>
      <c r="E4" s="52"/>
      <c r="F4" s="52"/>
    </row>
    <row r="5" spans="1:9" ht="15.75" thickBot="1"/>
    <row r="6" spans="1:9">
      <c r="B6" s="22" t="s">
        <v>65</v>
      </c>
      <c r="C6" s="23" t="s">
        <v>3</v>
      </c>
      <c r="D6" s="29"/>
      <c r="E6" s="36" t="s">
        <v>66</v>
      </c>
      <c r="F6" s="1" t="s">
        <v>3</v>
      </c>
    </row>
    <row r="7" spans="1:9">
      <c r="B7" s="24" t="s">
        <v>81</v>
      </c>
      <c r="C7" s="34">
        <v>2000000</v>
      </c>
      <c r="D7" s="30"/>
      <c r="E7" t="s">
        <v>73</v>
      </c>
      <c r="F7" s="35">
        <v>353000</v>
      </c>
    </row>
    <row r="8" spans="1:9">
      <c r="B8" s="24" t="s">
        <v>67</v>
      </c>
      <c r="C8" s="25">
        <v>72</v>
      </c>
      <c r="D8" s="30"/>
      <c r="E8" t="s">
        <v>52</v>
      </c>
      <c r="F8" s="35">
        <v>99750</v>
      </c>
    </row>
    <row r="9" spans="1:9">
      <c r="B9" s="24" t="s">
        <v>68</v>
      </c>
      <c r="C9" s="26">
        <v>1.04E-2</v>
      </c>
      <c r="D9" s="31"/>
      <c r="E9" t="s">
        <v>74</v>
      </c>
      <c r="F9" s="35">
        <v>1000000</v>
      </c>
    </row>
    <row r="10" spans="1:9" ht="15.75" thickBot="1">
      <c r="B10" s="27" t="s">
        <v>69</v>
      </c>
      <c r="C10" s="33">
        <f>PMT(C9,C8,C7)</f>
        <v>-39601.403870436123</v>
      </c>
      <c r="D10" s="32"/>
      <c r="E10" t="s">
        <v>75</v>
      </c>
      <c r="F10" s="35">
        <v>0</v>
      </c>
    </row>
    <row r="11" spans="1:9">
      <c r="E11" t="s">
        <v>76</v>
      </c>
      <c r="F11" s="35">
        <f>F7+F8+F9+F10</f>
        <v>1452750</v>
      </c>
    </row>
    <row r="12" spans="1:9">
      <c r="F12" s="35"/>
    </row>
    <row r="13" spans="1:9">
      <c r="B13" t="s">
        <v>70</v>
      </c>
      <c r="C13" s="35">
        <v>49628</v>
      </c>
      <c r="F13" s="35"/>
    </row>
    <row r="14" spans="1:9">
      <c r="E14" s="37"/>
      <c r="F14" s="35"/>
    </row>
    <row r="15" spans="1:9">
      <c r="B15" t="s">
        <v>71</v>
      </c>
      <c r="C15" s="35">
        <f>C13-C10</f>
        <v>89229.40387043613</v>
      </c>
      <c r="E15" t="s">
        <v>72</v>
      </c>
      <c r="F15" s="35">
        <f>C15*12</f>
        <v>1070752.8464452336</v>
      </c>
    </row>
    <row r="16" spans="1:9">
      <c r="E16" t="s">
        <v>76</v>
      </c>
      <c r="F16" s="35">
        <f>F11</f>
        <v>1452750</v>
      </c>
    </row>
    <row r="17" spans="5:9">
      <c r="E17" s="39" t="s">
        <v>63</v>
      </c>
      <c r="F17" s="43">
        <f>F15/F16</f>
        <v>0.73705238096385028</v>
      </c>
    </row>
    <row r="18" spans="5:9">
      <c r="E18" t="s">
        <v>77</v>
      </c>
    </row>
    <row r="20" spans="5:9">
      <c r="E20" t="s">
        <v>78</v>
      </c>
    </row>
    <row r="22" spans="5:9">
      <c r="E22" t="s">
        <v>79</v>
      </c>
      <c r="F22" s="35">
        <v>4750000</v>
      </c>
    </row>
    <row r="23" spans="5:9">
      <c r="E23" t="s">
        <v>80</v>
      </c>
      <c r="F23" s="35">
        <v>2000000</v>
      </c>
    </row>
    <row r="24" spans="5:9">
      <c r="E24" s="38" t="s">
        <v>85</v>
      </c>
      <c r="F24" s="43">
        <f>F23/F22</f>
        <v>0.42105263157894735</v>
      </c>
    </row>
    <row r="25" spans="5:9">
      <c r="E25" s="40" t="s">
        <v>83</v>
      </c>
      <c r="F25" s="41">
        <f>F22*42.11%</f>
        <v>2000224.9999999998</v>
      </c>
    </row>
    <row r="26" spans="5:9">
      <c r="E26" t="s">
        <v>84</v>
      </c>
    </row>
    <row r="27" spans="5:9" ht="15.75" thickBot="1"/>
    <row r="28" spans="5:9" ht="15.75" thickBot="1">
      <c r="E28" t="s">
        <v>86</v>
      </c>
      <c r="F28" s="44" t="s">
        <v>87</v>
      </c>
      <c r="G28" s="45" t="s">
        <v>88</v>
      </c>
      <c r="H28" s="46"/>
    </row>
    <row r="29" spans="5:9">
      <c r="E29" t="s">
        <v>63</v>
      </c>
      <c r="F29" s="42">
        <f>F17</f>
        <v>0.73705238096385028</v>
      </c>
      <c r="G29" s="20">
        <v>0.7</v>
      </c>
      <c r="H29" s="21">
        <f>F29-G29</f>
        <v>3.7052380963850329E-2</v>
      </c>
      <c r="I29" t="s">
        <v>89</v>
      </c>
    </row>
    <row r="30" spans="5:9">
      <c r="E30" t="s">
        <v>82</v>
      </c>
      <c r="F30" s="21">
        <f>F24</f>
        <v>0.42105263157894735</v>
      </c>
      <c r="G30" s="20">
        <v>0.6</v>
      </c>
      <c r="H30" s="21">
        <f>G30-F30</f>
        <v>0.17894736842105263</v>
      </c>
      <c r="I30" t="s">
        <v>90</v>
      </c>
    </row>
    <row r="31" spans="5:9">
      <c r="F31" s="36" t="s">
        <v>91</v>
      </c>
      <c r="G31" s="36"/>
      <c r="H31" s="47">
        <f>H30-H29</f>
        <v>0.1418949874572023</v>
      </c>
    </row>
    <row r="32" spans="5:9">
      <c r="E32" t="s">
        <v>92</v>
      </c>
    </row>
  </sheetData>
  <mergeCells count="1"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zoomScale="120" zoomScaleNormal="120" workbookViewId="0">
      <selection activeCell="A42" sqref="A42"/>
    </sheetView>
  </sheetViews>
  <sheetFormatPr defaultRowHeight="15"/>
  <cols>
    <col min="1" max="1" width="50.5703125" bestFit="1" customWidth="1"/>
    <col min="2" max="2" width="14.140625" bestFit="1" customWidth="1"/>
    <col min="3" max="3" width="2" customWidth="1"/>
    <col min="4" max="4" width="12.28515625" customWidth="1"/>
    <col min="6" max="6" width="14.28515625" bestFit="1" customWidth="1"/>
    <col min="7" max="7" width="16.85546875" bestFit="1" customWidth="1"/>
    <col min="8" max="8" width="13" customWidth="1"/>
    <col min="10" max="10" width="12.28515625" bestFit="1" customWidth="1"/>
  </cols>
  <sheetData>
    <row r="1" spans="1:10" ht="15.75" thickBot="1"/>
    <row r="2" spans="1:10" ht="21" thickBot="1">
      <c r="D2" s="71" t="s">
        <v>93</v>
      </c>
      <c r="E2" s="72"/>
      <c r="F2" s="72"/>
      <c r="G2" s="72"/>
      <c r="H2" s="72"/>
      <c r="I2" s="72"/>
      <c r="J2" s="73"/>
    </row>
    <row r="3" spans="1:10" ht="17.25" customHeight="1" thickBot="1">
      <c r="A3" s="76" t="s">
        <v>94</v>
      </c>
      <c r="B3" s="77"/>
      <c r="D3" s="74" t="s">
        <v>124</v>
      </c>
      <c r="E3" s="70" t="s">
        <v>95</v>
      </c>
      <c r="F3" s="70" t="s">
        <v>96</v>
      </c>
      <c r="G3" s="70" t="s">
        <v>125</v>
      </c>
      <c r="H3" s="70" t="s">
        <v>127</v>
      </c>
      <c r="I3" s="70" t="s">
        <v>97</v>
      </c>
      <c r="J3" s="75" t="s">
        <v>126</v>
      </c>
    </row>
    <row r="4" spans="1:10" ht="16.5" customHeight="1">
      <c r="A4" s="1" t="s">
        <v>128</v>
      </c>
      <c r="B4" s="55">
        <v>741643821</v>
      </c>
      <c r="D4" s="56" t="s">
        <v>119</v>
      </c>
      <c r="E4" s="60">
        <f>F4/F9</f>
        <v>0.36</v>
      </c>
      <c r="F4" s="57">
        <v>540000000</v>
      </c>
      <c r="G4" s="58">
        <f>G9*E4</f>
        <v>347448212.24687999</v>
      </c>
      <c r="H4" s="59"/>
      <c r="I4" s="59"/>
      <c r="J4" s="25"/>
    </row>
    <row r="5" spans="1:10">
      <c r="A5" t="s">
        <v>98</v>
      </c>
      <c r="B5" s="55"/>
      <c r="D5" s="56" t="s">
        <v>120</v>
      </c>
      <c r="E5" s="60">
        <f>F5/F9</f>
        <v>0.33333333333333331</v>
      </c>
      <c r="F5" s="57">
        <v>500000000</v>
      </c>
      <c r="G5" s="58">
        <f>G9*E5</f>
        <v>321711307.63599998</v>
      </c>
      <c r="H5" s="59"/>
      <c r="I5" s="59"/>
      <c r="J5" s="25"/>
    </row>
    <row r="6" spans="1:10">
      <c r="A6" t="s">
        <v>99</v>
      </c>
      <c r="B6" s="55">
        <v>350738200</v>
      </c>
      <c r="D6" s="56" t="s">
        <v>121</v>
      </c>
      <c r="E6" s="60">
        <f>F6/F9</f>
        <v>0.16666666666666666</v>
      </c>
      <c r="F6" s="57">
        <v>250000000</v>
      </c>
      <c r="G6" s="58">
        <f>G9*E6</f>
        <v>160855653.81799999</v>
      </c>
      <c r="H6" s="59"/>
      <c r="I6" s="59"/>
      <c r="J6" s="25"/>
    </row>
    <row r="7" spans="1:10">
      <c r="A7" t="s">
        <v>100</v>
      </c>
      <c r="B7" s="55">
        <v>0</v>
      </c>
      <c r="D7" s="56" t="s">
        <v>122</v>
      </c>
      <c r="E7" s="60">
        <f>F7/F9</f>
        <v>6.6666666666666666E-2</v>
      </c>
      <c r="F7" s="57">
        <v>100000000</v>
      </c>
      <c r="G7" s="58">
        <f>G9*E7</f>
        <v>64342261.527199998</v>
      </c>
      <c r="H7" s="59"/>
      <c r="I7" s="59"/>
      <c r="J7" s="25"/>
    </row>
    <row r="8" spans="1:10">
      <c r="A8" t="s">
        <v>101</v>
      </c>
      <c r="B8" s="55">
        <v>33286720</v>
      </c>
      <c r="D8" s="56" t="s">
        <v>123</v>
      </c>
      <c r="E8" s="60">
        <f>F8/F9</f>
        <v>7.3333333333333334E-2</v>
      </c>
      <c r="F8" s="57">
        <v>110000000</v>
      </c>
      <c r="G8" s="58">
        <f>G9*E8</f>
        <v>70776487.679920003</v>
      </c>
      <c r="H8" s="59"/>
      <c r="I8" s="59"/>
      <c r="J8" s="25"/>
    </row>
    <row r="9" spans="1:10" ht="15.75" thickBot="1">
      <c r="A9" t="s">
        <v>102</v>
      </c>
      <c r="B9" s="55">
        <f>B4-B6-B7-B8</f>
        <v>357618901</v>
      </c>
      <c r="D9" s="61" t="s">
        <v>104</v>
      </c>
      <c r="E9" s="62">
        <f>SUM(E4:E8)</f>
        <v>1</v>
      </c>
      <c r="F9" s="63">
        <f>SUM(F4:F8)</f>
        <v>1500000000</v>
      </c>
      <c r="G9" s="78">
        <f>B33</f>
        <v>965133922.90799999</v>
      </c>
      <c r="H9" s="64"/>
      <c r="I9" s="64"/>
      <c r="J9" s="65"/>
    </row>
    <row r="10" spans="1:10">
      <c r="A10" t="s">
        <v>103</v>
      </c>
      <c r="B10" s="55">
        <f>B9*25%</f>
        <v>89404725.25</v>
      </c>
    </row>
    <row r="11" spans="1:10">
      <c r="A11" t="s">
        <v>105</v>
      </c>
      <c r="B11" s="55">
        <f>B9-B10</f>
        <v>268214175.75</v>
      </c>
      <c r="D11" s="196" t="s">
        <v>197</v>
      </c>
      <c r="E11" s="196"/>
      <c r="F11" s="196"/>
      <c r="G11" s="196"/>
      <c r="H11" s="196"/>
      <c r="I11" s="196"/>
      <c r="J11" s="196"/>
    </row>
    <row r="12" spans="1:10">
      <c r="B12" s="55"/>
      <c r="D12" s="196"/>
      <c r="E12" s="196"/>
      <c r="F12" s="196"/>
      <c r="G12" s="196"/>
      <c r="H12" s="196"/>
      <c r="I12" s="196"/>
      <c r="J12" s="196"/>
    </row>
    <row r="13" spans="1:10">
      <c r="A13" s="1" t="s">
        <v>106</v>
      </c>
      <c r="B13" s="55">
        <v>0</v>
      </c>
    </row>
    <row r="14" spans="1:10">
      <c r="B14" s="55"/>
    </row>
    <row r="15" spans="1:10">
      <c r="A15" s="1" t="s">
        <v>107</v>
      </c>
      <c r="B15" s="55">
        <v>4485115</v>
      </c>
    </row>
    <row r="16" spans="1:10">
      <c r="A16" t="s">
        <v>108</v>
      </c>
      <c r="B16" s="55">
        <f>B15*25%</f>
        <v>1121278.75</v>
      </c>
    </row>
    <row r="17" spans="1:3">
      <c r="A17" t="s">
        <v>105</v>
      </c>
      <c r="B17" s="55">
        <f>B15-B16</f>
        <v>3363836.25</v>
      </c>
    </row>
    <row r="18" spans="1:3">
      <c r="B18" s="66"/>
    </row>
    <row r="19" spans="1:3">
      <c r="A19" s="1" t="s">
        <v>109</v>
      </c>
      <c r="B19" s="55">
        <v>278589840</v>
      </c>
    </row>
    <row r="20" spans="1:3">
      <c r="A20" t="s">
        <v>108</v>
      </c>
      <c r="B20" s="55">
        <f>B19*25%</f>
        <v>69647460</v>
      </c>
    </row>
    <row r="21" spans="1:3">
      <c r="A21" t="s">
        <v>105</v>
      </c>
      <c r="B21" s="55">
        <f>B19-B20</f>
        <v>208942380</v>
      </c>
    </row>
    <row r="22" spans="1:3">
      <c r="B22" s="66"/>
    </row>
    <row r="23" spans="1:3">
      <c r="A23" s="1" t="s">
        <v>110</v>
      </c>
      <c r="B23" s="55">
        <f>B11+B17+B21</f>
        <v>480520392</v>
      </c>
    </row>
    <row r="24" spans="1:3">
      <c r="B24" s="66"/>
    </row>
    <row r="25" spans="1:3">
      <c r="A25" s="1" t="s">
        <v>111</v>
      </c>
      <c r="B25" s="55">
        <v>745559278.32000005</v>
      </c>
      <c r="C25" t="s">
        <v>112</v>
      </c>
    </row>
    <row r="26" spans="1:3">
      <c r="A26" t="s">
        <v>113</v>
      </c>
      <c r="B26" s="66">
        <v>0</v>
      </c>
    </row>
    <row r="27" spans="1:3">
      <c r="A27" t="s">
        <v>114</v>
      </c>
      <c r="B27" s="66">
        <f>B25*35%</f>
        <v>260945747.412</v>
      </c>
    </row>
    <row r="28" spans="1:3">
      <c r="A28" s="1" t="s">
        <v>115</v>
      </c>
      <c r="B28" s="55">
        <f>B25-B27</f>
        <v>484613530.90800005</v>
      </c>
    </row>
    <row r="29" spans="1:3">
      <c r="B29" s="66"/>
    </row>
    <row r="30" spans="1:3">
      <c r="A30" s="6" t="s">
        <v>116</v>
      </c>
      <c r="B30" s="67">
        <f>B23+B28</f>
        <v>965133922.90799999</v>
      </c>
    </row>
    <row r="31" spans="1:3">
      <c r="A31" s="1" t="s">
        <v>117</v>
      </c>
      <c r="B31" s="67">
        <v>1500000000</v>
      </c>
    </row>
    <row r="32" spans="1:3">
      <c r="B32" s="68"/>
    </row>
    <row r="33" spans="1:2">
      <c r="A33" s="1" t="s">
        <v>118</v>
      </c>
      <c r="B33" s="197">
        <f>B30</f>
        <v>965133922.90799999</v>
      </c>
    </row>
  </sheetData>
  <mergeCells count="3">
    <mergeCell ref="D11:J12"/>
    <mergeCell ref="D2:I2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95"/>
  <sheetViews>
    <sheetView topLeftCell="A40" workbookViewId="0">
      <selection activeCell="A47" sqref="A47"/>
    </sheetView>
  </sheetViews>
  <sheetFormatPr defaultRowHeight="15"/>
  <cols>
    <col min="1" max="1" width="10.140625" bestFit="1" customWidth="1"/>
    <col min="2" max="2" width="11.28515625" customWidth="1"/>
    <col min="3" max="3" width="10.85546875" customWidth="1"/>
    <col min="4" max="4" width="12.28515625" customWidth="1"/>
    <col min="5" max="5" width="11.28515625" customWidth="1"/>
    <col min="6" max="6" width="12.7109375" customWidth="1"/>
    <col min="7" max="7" width="10" customWidth="1"/>
    <col min="8" max="8" width="9.28515625" style="80" customWidth="1"/>
    <col min="10" max="10" width="9.28515625" customWidth="1"/>
    <col min="14" max="14" width="11.5703125" bestFit="1" customWidth="1"/>
    <col min="15" max="15" width="16" customWidth="1"/>
    <col min="257" max="257" width="10.140625" bestFit="1" customWidth="1"/>
    <col min="258" max="258" width="10.140625" customWidth="1"/>
    <col min="259" max="259" width="10" customWidth="1"/>
    <col min="260" max="260" width="12.28515625" customWidth="1"/>
    <col min="261" max="261" width="11.28515625" customWidth="1"/>
    <col min="262" max="262" width="12.7109375" customWidth="1"/>
    <col min="263" max="263" width="10" customWidth="1"/>
    <col min="264" max="264" width="9.28515625" customWidth="1"/>
    <col min="266" max="266" width="9.28515625" customWidth="1"/>
    <col min="270" max="270" width="11.5703125" bestFit="1" customWidth="1"/>
    <col min="271" max="271" width="16" customWidth="1"/>
    <col min="513" max="513" width="10.140625" bestFit="1" customWidth="1"/>
    <col min="514" max="514" width="10.140625" customWidth="1"/>
    <col min="515" max="515" width="10" customWidth="1"/>
    <col min="516" max="516" width="12.28515625" customWidth="1"/>
    <col min="517" max="517" width="11.28515625" customWidth="1"/>
    <col min="518" max="518" width="12.7109375" customWidth="1"/>
    <col min="519" max="519" width="10" customWidth="1"/>
    <col min="520" max="520" width="9.28515625" customWidth="1"/>
    <col min="522" max="522" width="9.28515625" customWidth="1"/>
    <col min="526" max="526" width="11.5703125" bestFit="1" customWidth="1"/>
    <col min="527" max="527" width="16" customWidth="1"/>
    <col min="769" max="769" width="10.140625" bestFit="1" customWidth="1"/>
    <col min="770" max="770" width="10.140625" customWidth="1"/>
    <col min="771" max="771" width="10" customWidth="1"/>
    <col min="772" max="772" width="12.28515625" customWidth="1"/>
    <col min="773" max="773" width="11.28515625" customWidth="1"/>
    <col min="774" max="774" width="12.7109375" customWidth="1"/>
    <col min="775" max="775" width="10" customWidth="1"/>
    <col min="776" max="776" width="9.28515625" customWidth="1"/>
    <col min="778" max="778" width="9.28515625" customWidth="1"/>
    <col min="782" max="782" width="11.5703125" bestFit="1" customWidth="1"/>
    <col min="783" max="783" width="16" customWidth="1"/>
    <col min="1025" max="1025" width="10.140625" bestFit="1" customWidth="1"/>
    <col min="1026" max="1026" width="10.140625" customWidth="1"/>
    <col min="1027" max="1027" width="10" customWidth="1"/>
    <col min="1028" max="1028" width="12.28515625" customWidth="1"/>
    <col min="1029" max="1029" width="11.28515625" customWidth="1"/>
    <col min="1030" max="1030" width="12.7109375" customWidth="1"/>
    <col min="1031" max="1031" width="10" customWidth="1"/>
    <col min="1032" max="1032" width="9.28515625" customWidth="1"/>
    <col min="1034" max="1034" width="9.28515625" customWidth="1"/>
    <col min="1038" max="1038" width="11.5703125" bestFit="1" customWidth="1"/>
    <col min="1039" max="1039" width="16" customWidth="1"/>
    <col min="1281" max="1281" width="10.140625" bestFit="1" customWidth="1"/>
    <col min="1282" max="1282" width="10.140625" customWidth="1"/>
    <col min="1283" max="1283" width="10" customWidth="1"/>
    <col min="1284" max="1284" width="12.28515625" customWidth="1"/>
    <col min="1285" max="1285" width="11.28515625" customWidth="1"/>
    <col min="1286" max="1286" width="12.7109375" customWidth="1"/>
    <col min="1287" max="1287" width="10" customWidth="1"/>
    <col min="1288" max="1288" width="9.28515625" customWidth="1"/>
    <col min="1290" max="1290" width="9.28515625" customWidth="1"/>
    <col min="1294" max="1294" width="11.5703125" bestFit="1" customWidth="1"/>
    <col min="1295" max="1295" width="16" customWidth="1"/>
    <col min="1537" max="1537" width="10.140625" bestFit="1" customWidth="1"/>
    <col min="1538" max="1538" width="10.140625" customWidth="1"/>
    <col min="1539" max="1539" width="10" customWidth="1"/>
    <col min="1540" max="1540" width="12.28515625" customWidth="1"/>
    <col min="1541" max="1541" width="11.28515625" customWidth="1"/>
    <col min="1542" max="1542" width="12.7109375" customWidth="1"/>
    <col min="1543" max="1543" width="10" customWidth="1"/>
    <col min="1544" max="1544" width="9.28515625" customWidth="1"/>
    <col min="1546" max="1546" width="9.28515625" customWidth="1"/>
    <col min="1550" max="1550" width="11.5703125" bestFit="1" customWidth="1"/>
    <col min="1551" max="1551" width="16" customWidth="1"/>
    <col min="1793" max="1793" width="10.140625" bestFit="1" customWidth="1"/>
    <col min="1794" max="1794" width="10.140625" customWidth="1"/>
    <col min="1795" max="1795" width="10" customWidth="1"/>
    <col min="1796" max="1796" width="12.28515625" customWidth="1"/>
    <col min="1797" max="1797" width="11.28515625" customWidth="1"/>
    <col min="1798" max="1798" width="12.7109375" customWidth="1"/>
    <col min="1799" max="1799" width="10" customWidth="1"/>
    <col min="1800" max="1800" width="9.28515625" customWidth="1"/>
    <col min="1802" max="1802" width="9.28515625" customWidth="1"/>
    <col min="1806" max="1806" width="11.5703125" bestFit="1" customWidth="1"/>
    <col min="1807" max="1807" width="16" customWidth="1"/>
    <col min="2049" max="2049" width="10.140625" bestFit="1" customWidth="1"/>
    <col min="2050" max="2050" width="10.140625" customWidth="1"/>
    <col min="2051" max="2051" width="10" customWidth="1"/>
    <col min="2052" max="2052" width="12.28515625" customWidth="1"/>
    <col min="2053" max="2053" width="11.28515625" customWidth="1"/>
    <col min="2054" max="2054" width="12.7109375" customWidth="1"/>
    <col min="2055" max="2055" width="10" customWidth="1"/>
    <col min="2056" max="2056" width="9.28515625" customWidth="1"/>
    <col min="2058" max="2058" width="9.28515625" customWidth="1"/>
    <col min="2062" max="2062" width="11.5703125" bestFit="1" customWidth="1"/>
    <col min="2063" max="2063" width="16" customWidth="1"/>
    <col min="2305" max="2305" width="10.140625" bestFit="1" customWidth="1"/>
    <col min="2306" max="2306" width="10.140625" customWidth="1"/>
    <col min="2307" max="2307" width="10" customWidth="1"/>
    <col min="2308" max="2308" width="12.28515625" customWidth="1"/>
    <col min="2309" max="2309" width="11.28515625" customWidth="1"/>
    <col min="2310" max="2310" width="12.7109375" customWidth="1"/>
    <col min="2311" max="2311" width="10" customWidth="1"/>
    <col min="2312" max="2312" width="9.28515625" customWidth="1"/>
    <col min="2314" max="2314" width="9.28515625" customWidth="1"/>
    <col min="2318" max="2318" width="11.5703125" bestFit="1" customWidth="1"/>
    <col min="2319" max="2319" width="16" customWidth="1"/>
    <col min="2561" max="2561" width="10.140625" bestFit="1" customWidth="1"/>
    <col min="2562" max="2562" width="10.140625" customWidth="1"/>
    <col min="2563" max="2563" width="10" customWidth="1"/>
    <col min="2564" max="2564" width="12.28515625" customWidth="1"/>
    <col min="2565" max="2565" width="11.28515625" customWidth="1"/>
    <col min="2566" max="2566" width="12.7109375" customWidth="1"/>
    <col min="2567" max="2567" width="10" customWidth="1"/>
    <col min="2568" max="2568" width="9.28515625" customWidth="1"/>
    <col min="2570" max="2570" width="9.28515625" customWidth="1"/>
    <col min="2574" max="2574" width="11.5703125" bestFit="1" customWidth="1"/>
    <col min="2575" max="2575" width="16" customWidth="1"/>
    <col min="2817" max="2817" width="10.140625" bestFit="1" customWidth="1"/>
    <col min="2818" max="2818" width="10.140625" customWidth="1"/>
    <col min="2819" max="2819" width="10" customWidth="1"/>
    <col min="2820" max="2820" width="12.28515625" customWidth="1"/>
    <col min="2821" max="2821" width="11.28515625" customWidth="1"/>
    <col min="2822" max="2822" width="12.7109375" customWidth="1"/>
    <col min="2823" max="2823" width="10" customWidth="1"/>
    <col min="2824" max="2824" width="9.28515625" customWidth="1"/>
    <col min="2826" max="2826" width="9.28515625" customWidth="1"/>
    <col min="2830" max="2830" width="11.5703125" bestFit="1" customWidth="1"/>
    <col min="2831" max="2831" width="16" customWidth="1"/>
    <col min="3073" max="3073" width="10.140625" bestFit="1" customWidth="1"/>
    <col min="3074" max="3074" width="10.140625" customWidth="1"/>
    <col min="3075" max="3075" width="10" customWidth="1"/>
    <col min="3076" max="3076" width="12.28515625" customWidth="1"/>
    <col min="3077" max="3077" width="11.28515625" customWidth="1"/>
    <col min="3078" max="3078" width="12.7109375" customWidth="1"/>
    <col min="3079" max="3079" width="10" customWidth="1"/>
    <col min="3080" max="3080" width="9.28515625" customWidth="1"/>
    <col min="3082" max="3082" width="9.28515625" customWidth="1"/>
    <col min="3086" max="3086" width="11.5703125" bestFit="1" customWidth="1"/>
    <col min="3087" max="3087" width="16" customWidth="1"/>
    <col min="3329" max="3329" width="10.140625" bestFit="1" customWidth="1"/>
    <col min="3330" max="3330" width="10.140625" customWidth="1"/>
    <col min="3331" max="3331" width="10" customWidth="1"/>
    <col min="3332" max="3332" width="12.28515625" customWidth="1"/>
    <col min="3333" max="3333" width="11.28515625" customWidth="1"/>
    <col min="3334" max="3334" width="12.7109375" customWidth="1"/>
    <col min="3335" max="3335" width="10" customWidth="1"/>
    <col min="3336" max="3336" width="9.28515625" customWidth="1"/>
    <col min="3338" max="3338" width="9.28515625" customWidth="1"/>
    <col min="3342" max="3342" width="11.5703125" bestFit="1" customWidth="1"/>
    <col min="3343" max="3343" width="16" customWidth="1"/>
    <col min="3585" max="3585" width="10.140625" bestFit="1" customWidth="1"/>
    <col min="3586" max="3586" width="10.140625" customWidth="1"/>
    <col min="3587" max="3587" width="10" customWidth="1"/>
    <col min="3588" max="3588" width="12.28515625" customWidth="1"/>
    <col min="3589" max="3589" width="11.28515625" customWidth="1"/>
    <col min="3590" max="3590" width="12.7109375" customWidth="1"/>
    <col min="3591" max="3591" width="10" customWidth="1"/>
    <col min="3592" max="3592" width="9.28515625" customWidth="1"/>
    <col min="3594" max="3594" width="9.28515625" customWidth="1"/>
    <col min="3598" max="3598" width="11.5703125" bestFit="1" customWidth="1"/>
    <col min="3599" max="3599" width="16" customWidth="1"/>
    <col min="3841" max="3841" width="10.140625" bestFit="1" customWidth="1"/>
    <col min="3842" max="3842" width="10.140625" customWidth="1"/>
    <col min="3843" max="3843" width="10" customWidth="1"/>
    <col min="3844" max="3844" width="12.28515625" customWidth="1"/>
    <col min="3845" max="3845" width="11.28515625" customWidth="1"/>
    <col min="3846" max="3846" width="12.7109375" customWidth="1"/>
    <col min="3847" max="3847" width="10" customWidth="1"/>
    <col min="3848" max="3848" width="9.28515625" customWidth="1"/>
    <col min="3850" max="3850" width="9.28515625" customWidth="1"/>
    <col min="3854" max="3854" width="11.5703125" bestFit="1" customWidth="1"/>
    <col min="3855" max="3855" width="16" customWidth="1"/>
    <col min="4097" max="4097" width="10.140625" bestFit="1" customWidth="1"/>
    <col min="4098" max="4098" width="10.140625" customWidth="1"/>
    <col min="4099" max="4099" width="10" customWidth="1"/>
    <col min="4100" max="4100" width="12.28515625" customWidth="1"/>
    <col min="4101" max="4101" width="11.28515625" customWidth="1"/>
    <col min="4102" max="4102" width="12.7109375" customWidth="1"/>
    <col min="4103" max="4103" width="10" customWidth="1"/>
    <col min="4104" max="4104" width="9.28515625" customWidth="1"/>
    <col min="4106" max="4106" width="9.28515625" customWidth="1"/>
    <col min="4110" max="4110" width="11.5703125" bestFit="1" customWidth="1"/>
    <col min="4111" max="4111" width="16" customWidth="1"/>
    <col min="4353" max="4353" width="10.140625" bestFit="1" customWidth="1"/>
    <col min="4354" max="4354" width="10.140625" customWidth="1"/>
    <col min="4355" max="4355" width="10" customWidth="1"/>
    <col min="4356" max="4356" width="12.28515625" customWidth="1"/>
    <col min="4357" max="4357" width="11.28515625" customWidth="1"/>
    <col min="4358" max="4358" width="12.7109375" customWidth="1"/>
    <col min="4359" max="4359" width="10" customWidth="1"/>
    <col min="4360" max="4360" width="9.28515625" customWidth="1"/>
    <col min="4362" max="4362" width="9.28515625" customWidth="1"/>
    <col min="4366" max="4366" width="11.5703125" bestFit="1" customWidth="1"/>
    <col min="4367" max="4367" width="16" customWidth="1"/>
    <col min="4609" max="4609" width="10.140625" bestFit="1" customWidth="1"/>
    <col min="4610" max="4610" width="10.140625" customWidth="1"/>
    <col min="4611" max="4611" width="10" customWidth="1"/>
    <col min="4612" max="4612" width="12.28515625" customWidth="1"/>
    <col min="4613" max="4613" width="11.28515625" customWidth="1"/>
    <col min="4614" max="4614" width="12.7109375" customWidth="1"/>
    <col min="4615" max="4615" width="10" customWidth="1"/>
    <col min="4616" max="4616" width="9.28515625" customWidth="1"/>
    <col min="4618" max="4618" width="9.28515625" customWidth="1"/>
    <col min="4622" max="4622" width="11.5703125" bestFit="1" customWidth="1"/>
    <col min="4623" max="4623" width="16" customWidth="1"/>
    <col min="4865" max="4865" width="10.140625" bestFit="1" customWidth="1"/>
    <col min="4866" max="4866" width="10.140625" customWidth="1"/>
    <col min="4867" max="4867" width="10" customWidth="1"/>
    <col min="4868" max="4868" width="12.28515625" customWidth="1"/>
    <col min="4869" max="4869" width="11.28515625" customWidth="1"/>
    <col min="4870" max="4870" width="12.7109375" customWidth="1"/>
    <col min="4871" max="4871" width="10" customWidth="1"/>
    <col min="4872" max="4872" width="9.28515625" customWidth="1"/>
    <col min="4874" max="4874" width="9.28515625" customWidth="1"/>
    <col min="4878" max="4878" width="11.5703125" bestFit="1" customWidth="1"/>
    <col min="4879" max="4879" width="16" customWidth="1"/>
    <col min="5121" max="5121" width="10.140625" bestFit="1" customWidth="1"/>
    <col min="5122" max="5122" width="10.140625" customWidth="1"/>
    <col min="5123" max="5123" width="10" customWidth="1"/>
    <col min="5124" max="5124" width="12.28515625" customWidth="1"/>
    <col min="5125" max="5125" width="11.28515625" customWidth="1"/>
    <col min="5126" max="5126" width="12.7109375" customWidth="1"/>
    <col min="5127" max="5127" width="10" customWidth="1"/>
    <col min="5128" max="5128" width="9.28515625" customWidth="1"/>
    <col min="5130" max="5130" width="9.28515625" customWidth="1"/>
    <col min="5134" max="5134" width="11.5703125" bestFit="1" customWidth="1"/>
    <col min="5135" max="5135" width="16" customWidth="1"/>
    <col min="5377" max="5377" width="10.140625" bestFit="1" customWidth="1"/>
    <col min="5378" max="5378" width="10.140625" customWidth="1"/>
    <col min="5379" max="5379" width="10" customWidth="1"/>
    <col min="5380" max="5380" width="12.28515625" customWidth="1"/>
    <col min="5381" max="5381" width="11.28515625" customWidth="1"/>
    <col min="5382" max="5382" width="12.7109375" customWidth="1"/>
    <col min="5383" max="5383" width="10" customWidth="1"/>
    <col min="5384" max="5384" width="9.28515625" customWidth="1"/>
    <col min="5386" max="5386" width="9.28515625" customWidth="1"/>
    <col min="5390" max="5390" width="11.5703125" bestFit="1" customWidth="1"/>
    <col min="5391" max="5391" width="16" customWidth="1"/>
    <col min="5633" max="5633" width="10.140625" bestFit="1" customWidth="1"/>
    <col min="5634" max="5634" width="10.140625" customWidth="1"/>
    <col min="5635" max="5635" width="10" customWidth="1"/>
    <col min="5636" max="5636" width="12.28515625" customWidth="1"/>
    <col min="5637" max="5637" width="11.28515625" customWidth="1"/>
    <col min="5638" max="5638" width="12.7109375" customWidth="1"/>
    <col min="5639" max="5639" width="10" customWidth="1"/>
    <col min="5640" max="5640" width="9.28515625" customWidth="1"/>
    <col min="5642" max="5642" width="9.28515625" customWidth="1"/>
    <col min="5646" max="5646" width="11.5703125" bestFit="1" customWidth="1"/>
    <col min="5647" max="5647" width="16" customWidth="1"/>
    <col min="5889" max="5889" width="10.140625" bestFit="1" customWidth="1"/>
    <col min="5890" max="5890" width="10.140625" customWidth="1"/>
    <col min="5891" max="5891" width="10" customWidth="1"/>
    <col min="5892" max="5892" width="12.28515625" customWidth="1"/>
    <col min="5893" max="5893" width="11.28515625" customWidth="1"/>
    <col min="5894" max="5894" width="12.7109375" customWidth="1"/>
    <col min="5895" max="5895" width="10" customWidth="1"/>
    <col min="5896" max="5896" width="9.28515625" customWidth="1"/>
    <col min="5898" max="5898" width="9.28515625" customWidth="1"/>
    <col min="5902" max="5902" width="11.5703125" bestFit="1" customWidth="1"/>
    <col min="5903" max="5903" width="16" customWidth="1"/>
    <col min="6145" max="6145" width="10.140625" bestFit="1" customWidth="1"/>
    <col min="6146" max="6146" width="10.140625" customWidth="1"/>
    <col min="6147" max="6147" width="10" customWidth="1"/>
    <col min="6148" max="6148" width="12.28515625" customWidth="1"/>
    <col min="6149" max="6149" width="11.28515625" customWidth="1"/>
    <col min="6150" max="6150" width="12.7109375" customWidth="1"/>
    <col min="6151" max="6151" width="10" customWidth="1"/>
    <col min="6152" max="6152" width="9.28515625" customWidth="1"/>
    <col min="6154" max="6154" width="9.28515625" customWidth="1"/>
    <col min="6158" max="6158" width="11.5703125" bestFit="1" customWidth="1"/>
    <col min="6159" max="6159" width="16" customWidth="1"/>
    <col min="6401" max="6401" width="10.140625" bestFit="1" customWidth="1"/>
    <col min="6402" max="6402" width="10.140625" customWidth="1"/>
    <col min="6403" max="6403" width="10" customWidth="1"/>
    <col min="6404" max="6404" width="12.28515625" customWidth="1"/>
    <col min="6405" max="6405" width="11.28515625" customWidth="1"/>
    <col min="6406" max="6406" width="12.7109375" customWidth="1"/>
    <col min="6407" max="6407" width="10" customWidth="1"/>
    <col min="6408" max="6408" width="9.28515625" customWidth="1"/>
    <col min="6410" max="6410" width="9.28515625" customWidth="1"/>
    <col min="6414" max="6414" width="11.5703125" bestFit="1" customWidth="1"/>
    <col min="6415" max="6415" width="16" customWidth="1"/>
    <col min="6657" max="6657" width="10.140625" bestFit="1" customWidth="1"/>
    <col min="6658" max="6658" width="10.140625" customWidth="1"/>
    <col min="6659" max="6659" width="10" customWidth="1"/>
    <col min="6660" max="6660" width="12.28515625" customWidth="1"/>
    <col min="6661" max="6661" width="11.28515625" customWidth="1"/>
    <col min="6662" max="6662" width="12.7109375" customWidth="1"/>
    <col min="6663" max="6663" width="10" customWidth="1"/>
    <col min="6664" max="6664" width="9.28515625" customWidth="1"/>
    <col min="6666" max="6666" width="9.28515625" customWidth="1"/>
    <col min="6670" max="6670" width="11.5703125" bestFit="1" customWidth="1"/>
    <col min="6671" max="6671" width="16" customWidth="1"/>
    <col min="6913" max="6913" width="10.140625" bestFit="1" customWidth="1"/>
    <col min="6914" max="6914" width="10.140625" customWidth="1"/>
    <col min="6915" max="6915" width="10" customWidth="1"/>
    <col min="6916" max="6916" width="12.28515625" customWidth="1"/>
    <col min="6917" max="6917" width="11.28515625" customWidth="1"/>
    <col min="6918" max="6918" width="12.7109375" customWidth="1"/>
    <col min="6919" max="6919" width="10" customWidth="1"/>
    <col min="6920" max="6920" width="9.28515625" customWidth="1"/>
    <col min="6922" max="6922" width="9.28515625" customWidth="1"/>
    <col min="6926" max="6926" width="11.5703125" bestFit="1" customWidth="1"/>
    <col min="6927" max="6927" width="16" customWidth="1"/>
    <col min="7169" max="7169" width="10.140625" bestFit="1" customWidth="1"/>
    <col min="7170" max="7170" width="10.140625" customWidth="1"/>
    <col min="7171" max="7171" width="10" customWidth="1"/>
    <col min="7172" max="7172" width="12.28515625" customWidth="1"/>
    <col min="7173" max="7173" width="11.28515625" customWidth="1"/>
    <col min="7174" max="7174" width="12.7109375" customWidth="1"/>
    <col min="7175" max="7175" width="10" customWidth="1"/>
    <col min="7176" max="7176" width="9.28515625" customWidth="1"/>
    <col min="7178" max="7178" width="9.28515625" customWidth="1"/>
    <col min="7182" max="7182" width="11.5703125" bestFit="1" customWidth="1"/>
    <col min="7183" max="7183" width="16" customWidth="1"/>
    <col min="7425" max="7425" width="10.140625" bestFit="1" customWidth="1"/>
    <col min="7426" max="7426" width="10.140625" customWidth="1"/>
    <col min="7427" max="7427" width="10" customWidth="1"/>
    <col min="7428" max="7428" width="12.28515625" customWidth="1"/>
    <col min="7429" max="7429" width="11.28515625" customWidth="1"/>
    <col min="7430" max="7430" width="12.7109375" customWidth="1"/>
    <col min="7431" max="7431" width="10" customWidth="1"/>
    <col min="7432" max="7432" width="9.28515625" customWidth="1"/>
    <col min="7434" max="7434" width="9.28515625" customWidth="1"/>
    <col min="7438" max="7438" width="11.5703125" bestFit="1" customWidth="1"/>
    <col min="7439" max="7439" width="16" customWidth="1"/>
    <col min="7681" max="7681" width="10.140625" bestFit="1" customWidth="1"/>
    <col min="7682" max="7682" width="10.140625" customWidth="1"/>
    <col min="7683" max="7683" width="10" customWidth="1"/>
    <col min="7684" max="7684" width="12.28515625" customWidth="1"/>
    <col min="7685" max="7685" width="11.28515625" customWidth="1"/>
    <col min="7686" max="7686" width="12.7109375" customWidth="1"/>
    <col min="7687" max="7687" width="10" customWidth="1"/>
    <col min="7688" max="7688" width="9.28515625" customWidth="1"/>
    <col min="7690" max="7690" width="9.28515625" customWidth="1"/>
    <col min="7694" max="7694" width="11.5703125" bestFit="1" customWidth="1"/>
    <col min="7695" max="7695" width="16" customWidth="1"/>
    <col min="7937" max="7937" width="10.140625" bestFit="1" customWidth="1"/>
    <col min="7938" max="7938" width="10.140625" customWidth="1"/>
    <col min="7939" max="7939" width="10" customWidth="1"/>
    <col min="7940" max="7940" width="12.28515625" customWidth="1"/>
    <col min="7941" max="7941" width="11.28515625" customWidth="1"/>
    <col min="7942" max="7942" width="12.7109375" customWidth="1"/>
    <col min="7943" max="7943" width="10" customWidth="1"/>
    <col min="7944" max="7944" width="9.28515625" customWidth="1"/>
    <col min="7946" max="7946" width="9.28515625" customWidth="1"/>
    <col min="7950" max="7950" width="11.5703125" bestFit="1" customWidth="1"/>
    <col min="7951" max="7951" width="16" customWidth="1"/>
    <col min="8193" max="8193" width="10.140625" bestFit="1" customWidth="1"/>
    <col min="8194" max="8194" width="10.140625" customWidth="1"/>
    <col min="8195" max="8195" width="10" customWidth="1"/>
    <col min="8196" max="8196" width="12.28515625" customWidth="1"/>
    <col min="8197" max="8197" width="11.28515625" customWidth="1"/>
    <col min="8198" max="8198" width="12.7109375" customWidth="1"/>
    <col min="8199" max="8199" width="10" customWidth="1"/>
    <col min="8200" max="8200" width="9.28515625" customWidth="1"/>
    <col min="8202" max="8202" width="9.28515625" customWidth="1"/>
    <col min="8206" max="8206" width="11.5703125" bestFit="1" customWidth="1"/>
    <col min="8207" max="8207" width="16" customWidth="1"/>
    <col min="8449" max="8449" width="10.140625" bestFit="1" customWidth="1"/>
    <col min="8450" max="8450" width="10.140625" customWidth="1"/>
    <col min="8451" max="8451" width="10" customWidth="1"/>
    <col min="8452" max="8452" width="12.28515625" customWidth="1"/>
    <col min="8453" max="8453" width="11.28515625" customWidth="1"/>
    <col min="8454" max="8454" width="12.7109375" customWidth="1"/>
    <col min="8455" max="8455" width="10" customWidth="1"/>
    <col min="8456" max="8456" width="9.28515625" customWidth="1"/>
    <col min="8458" max="8458" width="9.28515625" customWidth="1"/>
    <col min="8462" max="8462" width="11.5703125" bestFit="1" customWidth="1"/>
    <col min="8463" max="8463" width="16" customWidth="1"/>
    <col min="8705" max="8705" width="10.140625" bestFit="1" customWidth="1"/>
    <col min="8706" max="8706" width="10.140625" customWidth="1"/>
    <col min="8707" max="8707" width="10" customWidth="1"/>
    <col min="8708" max="8708" width="12.28515625" customWidth="1"/>
    <col min="8709" max="8709" width="11.28515625" customWidth="1"/>
    <col min="8710" max="8710" width="12.7109375" customWidth="1"/>
    <col min="8711" max="8711" width="10" customWidth="1"/>
    <col min="8712" max="8712" width="9.28515625" customWidth="1"/>
    <col min="8714" max="8714" width="9.28515625" customWidth="1"/>
    <col min="8718" max="8718" width="11.5703125" bestFit="1" customWidth="1"/>
    <col min="8719" max="8719" width="16" customWidth="1"/>
    <col min="8961" max="8961" width="10.140625" bestFit="1" customWidth="1"/>
    <col min="8962" max="8962" width="10.140625" customWidth="1"/>
    <col min="8963" max="8963" width="10" customWidth="1"/>
    <col min="8964" max="8964" width="12.28515625" customWidth="1"/>
    <col min="8965" max="8965" width="11.28515625" customWidth="1"/>
    <col min="8966" max="8966" width="12.7109375" customWidth="1"/>
    <col min="8967" max="8967" width="10" customWidth="1"/>
    <col min="8968" max="8968" width="9.28515625" customWidth="1"/>
    <col min="8970" max="8970" width="9.28515625" customWidth="1"/>
    <col min="8974" max="8974" width="11.5703125" bestFit="1" customWidth="1"/>
    <col min="8975" max="8975" width="16" customWidth="1"/>
    <col min="9217" max="9217" width="10.140625" bestFit="1" customWidth="1"/>
    <col min="9218" max="9218" width="10.140625" customWidth="1"/>
    <col min="9219" max="9219" width="10" customWidth="1"/>
    <col min="9220" max="9220" width="12.28515625" customWidth="1"/>
    <col min="9221" max="9221" width="11.28515625" customWidth="1"/>
    <col min="9222" max="9222" width="12.7109375" customWidth="1"/>
    <col min="9223" max="9223" width="10" customWidth="1"/>
    <col min="9224" max="9224" width="9.28515625" customWidth="1"/>
    <col min="9226" max="9226" width="9.28515625" customWidth="1"/>
    <col min="9230" max="9230" width="11.5703125" bestFit="1" customWidth="1"/>
    <col min="9231" max="9231" width="16" customWidth="1"/>
    <col min="9473" max="9473" width="10.140625" bestFit="1" customWidth="1"/>
    <col min="9474" max="9474" width="10.140625" customWidth="1"/>
    <col min="9475" max="9475" width="10" customWidth="1"/>
    <col min="9476" max="9476" width="12.28515625" customWidth="1"/>
    <col min="9477" max="9477" width="11.28515625" customWidth="1"/>
    <col min="9478" max="9478" width="12.7109375" customWidth="1"/>
    <col min="9479" max="9479" width="10" customWidth="1"/>
    <col min="9480" max="9480" width="9.28515625" customWidth="1"/>
    <col min="9482" max="9482" width="9.28515625" customWidth="1"/>
    <col min="9486" max="9486" width="11.5703125" bestFit="1" customWidth="1"/>
    <col min="9487" max="9487" width="16" customWidth="1"/>
    <col min="9729" max="9729" width="10.140625" bestFit="1" customWidth="1"/>
    <col min="9730" max="9730" width="10.140625" customWidth="1"/>
    <col min="9731" max="9731" width="10" customWidth="1"/>
    <col min="9732" max="9732" width="12.28515625" customWidth="1"/>
    <col min="9733" max="9733" width="11.28515625" customWidth="1"/>
    <col min="9734" max="9734" width="12.7109375" customWidth="1"/>
    <col min="9735" max="9735" width="10" customWidth="1"/>
    <col min="9736" max="9736" width="9.28515625" customWidth="1"/>
    <col min="9738" max="9738" width="9.28515625" customWidth="1"/>
    <col min="9742" max="9742" width="11.5703125" bestFit="1" customWidth="1"/>
    <col min="9743" max="9743" width="16" customWidth="1"/>
    <col min="9985" max="9985" width="10.140625" bestFit="1" customWidth="1"/>
    <col min="9986" max="9986" width="10.140625" customWidth="1"/>
    <col min="9987" max="9987" width="10" customWidth="1"/>
    <col min="9988" max="9988" width="12.28515625" customWidth="1"/>
    <col min="9989" max="9989" width="11.28515625" customWidth="1"/>
    <col min="9990" max="9990" width="12.7109375" customWidth="1"/>
    <col min="9991" max="9991" width="10" customWidth="1"/>
    <col min="9992" max="9992" width="9.28515625" customWidth="1"/>
    <col min="9994" max="9994" width="9.28515625" customWidth="1"/>
    <col min="9998" max="9998" width="11.5703125" bestFit="1" customWidth="1"/>
    <col min="9999" max="9999" width="16" customWidth="1"/>
    <col min="10241" max="10241" width="10.140625" bestFit="1" customWidth="1"/>
    <col min="10242" max="10242" width="10.140625" customWidth="1"/>
    <col min="10243" max="10243" width="10" customWidth="1"/>
    <col min="10244" max="10244" width="12.28515625" customWidth="1"/>
    <col min="10245" max="10245" width="11.28515625" customWidth="1"/>
    <col min="10246" max="10246" width="12.7109375" customWidth="1"/>
    <col min="10247" max="10247" width="10" customWidth="1"/>
    <col min="10248" max="10248" width="9.28515625" customWidth="1"/>
    <col min="10250" max="10250" width="9.28515625" customWidth="1"/>
    <col min="10254" max="10254" width="11.5703125" bestFit="1" customWidth="1"/>
    <col min="10255" max="10255" width="16" customWidth="1"/>
    <col min="10497" max="10497" width="10.140625" bestFit="1" customWidth="1"/>
    <col min="10498" max="10498" width="10.140625" customWidth="1"/>
    <col min="10499" max="10499" width="10" customWidth="1"/>
    <col min="10500" max="10500" width="12.28515625" customWidth="1"/>
    <col min="10501" max="10501" width="11.28515625" customWidth="1"/>
    <col min="10502" max="10502" width="12.7109375" customWidth="1"/>
    <col min="10503" max="10503" width="10" customWidth="1"/>
    <col min="10504" max="10504" width="9.28515625" customWidth="1"/>
    <col min="10506" max="10506" width="9.28515625" customWidth="1"/>
    <col min="10510" max="10510" width="11.5703125" bestFit="1" customWidth="1"/>
    <col min="10511" max="10511" width="16" customWidth="1"/>
    <col min="10753" max="10753" width="10.140625" bestFit="1" customWidth="1"/>
    <col min="10754" max="10754" width="10.140625" customWidth="1"/>
    <col min="10755" max="10755" width="10" customWidth="1"/>
    <col min="10756" max="10756" width="12.28515625" customWidth="1"/>
    <col min="10757" max="10757" width="11.28515625" customWidth="1"/>
    <col min="10758" max="10758" width="12.7109375" customWidth="1"/>
    <col min="10759" max="10759" width="10" customWidth="1"/>
    <col min="10760" max="10760" width="9.28515625" customWidth="1"/>
    <col min="10762" max="10762" width="9.28515625" customWidth="1"/>
    <col min="10766" max="10766" width="11.5703125" bestFit="1" customWidth="1"/>
    <col min="10767" max="10767" width="16" customWidth="1"/>
    <col min="11009" max="11009" width="10.140625" bestFit="1" customWidth="1"/>
    <col min="11010" max="11010" width="10.140625" customWidth="1"/>
    <col min="11011" max="11011" width="10" customWidth="1"/>
    <col min="11012" max="11012" width="12.28515625" customWidth="1"/>
    <col min="11013" max="11013" width="11.28515625" customWidth="1"/>
    <col min="11014" max="11014" width="12.7109375" customWidth="1"/>
    <col min="11015" max="11015" width="10" customWidth="1"/>
    <col min="11016" max="11016" width="9.28515625" customWidth="1"/>
    <col min="11018" max="11018" width="9.28515625" customWidth="1"/>
    <col min="11022" max="11022" width="11.5703125" bestFit="1" customWidth="1"/>
    <col min="11023" max="11023" width="16" customWidth="1"/>
    <col min="11265" max="11265" width="10.140625" bestFit="1" customWidth="1"/>
    <col min="11266" max="11266" width="10.140625" customWidth="1"/>
    <col min="11267" max="11267" width="10" customWidth="1"/>
    <col min="11268" max="11268" width="12.28515625" customWidth="1"/>
    <col min="11269" max="11269" width="11.28515625" customWidth="1"/>
    <col min="11270" max="11270" width="12.7109375" customWidth="1"/>
    <col min="11271" max="11271" width="10" customWidth="1"/>
    <col min="11272" max="11272" width="9.28515625" customWidth="1"/>
    <col min="11274" max="11274" width="9.28515625" customWidth="1"/>
    <col min="11278" max="11278" width="11.5703125" bestFit="1" customWidth="1"/>
    <col min="11279" max="11279" width="16" customWidth="1"/>
    <col min="11521" max="11521" width="10.140625" bestFit="1" customWidth="1"/>
    <col min="11522" max="11522" width="10.140625" customWidth="1"/>
    <col min="11523" max="11523" width="10" customWidth="1"/>
    <col min="11524" max="11524" width="12.28515625" customWidth="1"/>
    <col min="11525" max="11525" width="11.28515625" customWidth="1"/>
    <col min="11526" max="11526" width="12.7109375" customWidth="1"/>
    <col min="11527" max="11527" width="10" customWidth="1"/>
    <col min="11528" max="11528" width="9.28515625" customWidth="1"/>
    <col min="11530" max="11530" width="9.28515625" customWidth="1"/>
    <col min="11534" max="11534" width="11.5703125" bestFit="1" customWidth="1"/>
    <col min="11535" max="11535" width="16" customWidth="1"/>
    <col min="11777" max="11777" width="10.140625" bestFit="1" customWidth="1"/>
    <col min="11778" max="11778" width="10.140625" customWidth="1"/>
    <col min="11779" max="11779" width="10" customWidth="1"/>
    <col min="11780" max="11780" width="12.28515625" customWidth="1"/>
    <col min="11781" max="11781" width="11.28515625" customWidth="1"/>
    <col min="11782" max="11782" width="12.7109375" customWidth="1"/>
    <col min="11783" max="11783" width="10" customWidth="1"/>
    <col min="11784" max="11784" width="9.28515625" customWidth="1"/>
    <col min="11786" max="11786" width="9.28515625" customWidth="1"/>
    <col min="11790" max="11790" width="11.5703125" bestFit="1" customWidth="1"/>
    <col min="11791" max="11791" width="16" customWidth="1"/>
    <col min="12033" max="12033" width="10.140625" bestFit="1" customWidth="1"/>
    <col min="12034" max="12034" width="10.140625" customWidth="1"/>
    <col min="12035" max="12035" width="10" customWidth="1"/>
    <col min="12036" max="12036" width="12.28515625" customWidth="1"/>
    <col min="12037" max="12037" width="11.28515625" customWidth="1"/>
    <col min="12038" max="12038" width="12.7109375" customWidth="1"/>
    <col min="12039" max="12039" width="10" customWidth="1"/>
    <col min="12040" max="12040" width="9.28515625" customWidth="1"/>
    <col min="12042" max="12042" width="9.28515625" customWidth="1"/>
    <col min="12046" max="12046" width="11.5703125" bestFit="1" customWidth="1"/>
    <col min="12047" max="12047" width="16" customWidth="1"/>
    <col min="12289" max="12289" width="10.140625" bestFit="1" customWidth="1"/>
    <col min="12290" max="12290" width="10.140625" customWidth="1"/>
    <col min="12291" max="12291" width="10" customWidth="1"/>
    <col min="12292" max="12292" width="12.28515625" customWidth="1"/>
    <col min="12293" max="12293" width="11.28515625" customWidth="1"/>
    <col min="12294" max="12294" width="12.7109375" customWidth="1"/>
    <col min="12295" max="12295" width="10" customWidth="1"/>
    <col min="12296" max="12296" width="9.28515625" customWidth="1"/>
    <col min="12298" max="12298" width="9.28515625" customWidth="1"/>
    <col min="12302" max="12302" width="11.5703125" bestFit="1" customWidth="1"/>
    <col min="12303" max="12303" width="16" customWidth="1"/>
    <col min="12545" max="12545" width="10.140625" bestFit="1" customWidth="1"/>
    <col min="12546" max="12546" width="10.140625" customWidth="1"/>
    <col min="12547" max="12547" width="10" customWidth="1"/>
    <col min="12548" max="12548" width="12.28515625" customWidth="1"/>
    <col min="12549" max="12549" width="11.28515625" customWidth="1"/>
    <col min="12550" max="12550" width="12.7109375" customWidth="1"/>
    <col min="12551" max="12551" width="10" customWidth="1"/>
    <col min="12552" max="12552" width="9.28515625" customWidth="1"/>
    <col min="12554" max="12554" width="9.28515625" customWidth="1"/>
    <col min="12558" max="12558" width="11.5703125" bestFit="1" customWidth="1"/>
    <col min="12559" max="12559" width="16" customWidth="1"/>
    <col min="12801" max="12801" width="10.140625" bestFit="1" customWidth="1"/>
    <col min="12802" max="12802" width="10.140625" customWidth="1"/>
    <col min="12803" max="12803" width="10" customWidth="1"/>
    <col min="12804" max="12804" width="12.28515625" customWidth="1"/>
    <col min="12805" max="12805" width="11.28515625" customWidth="1"/>
    <col min="12806" max="12806" width="12.7109375" customWidth="1"/>
    <col min="12807" max="12807" width="10" customWidth="1"/>
    <col min="12808" max="12808" width="9.28515625" customWidth="1"/>
    <col min="12810" max="12810" width="9.28515625" customWidth="1"/>
    <col min="12814" max="12814" width="11.5703125" bestFit="1" customWidth="1"/>
    <col min="12815" max="12815" width="16" customWidth="1"/>
    <col min="13057" max="13057" width="10.140625" bestFit="1" customWidth="1"/>
    <col min="13058" max="13058" width="10.140625" customWidth="1"/>
    <col min="13059" max="13059" width="10" customWidth="1"/>
    <col min="13060" max="13060" width="12.28515625" customWidth="1"/>
    <col min="13061" max="13061" width="11.28515625" customWidth="1"/>
    <col min="13062" max="13062" width="12.7109375" customWidth="1"/>
    <col min="13063" max="13063" width="10" customWidth="1"/>
    <col min="13064" max="13064" width="9.28515625" customWidth="1"/>
    <col min="13066" max="13066" width="9.28515625" customWidth="1"/>
    <col min="13070" max="13070" width="11.5703125" bestFit="1" customWidth="1"/>
    <col min="13071" max="13071" width="16" customWidth="1"/>
    <col min="13313" max="13313" width="10.140625" bestFit="1" customWidth="1"/>
    <col min="13314" max="13314" width="10.140625" customWidth="1"/>
    <col min="13315" max="13315" width="10" customWidth="1"/>
    <col min="13316" max="13316" width="12.28515625" customWidth="1"/>
    <col min="13317" max="13317" width="11.28515625" customWidth="1"/>
    <col min="13318" max="13318" width="12.7109375" customWidth="1"/>
    <col min="13319" max="13319" width="10" customWidth="1"/>
    <col min="13320" max="13320" width="9.28515625" customWidth="1"/>
    <col min="13322" max="13322" width="9.28515625" customWidth="1"/>
    <col min="13326" max="13326" width="11.5703125" bestFit="1" customWidth="1"/>
    <col min="13327" max="13327" width="16" customWidth="1"/>
    <col min="13569" max="13569" width="10.140625" bestFit="1" customWidth="1"/>
    <col min="13570" max="13570" width="10.140625" customWidth="1"/>
    <col min="13571" max="13571" width="10" customWidth="1"/>
    <col min="13572" max="13572" width="12.28515625" customWidth="1"/>
    <col min="13573" max="13573" width="11.28515625" customWidth="1"/>
    <col min="13574" max="13574" width="12.7109375" customWidth="1"/>
    <col min="13575" max="13575" width="10" customWidth="1"/>
    <col min="13576" max="13576" width="9.28515625" customWidth="1"/>
    <col min="13578" max="13578" width="9.28515625" customWidth="1"/>
    <col min="13582" max="13582" width="11.5703125" bestFit="1" customWidth="1"/>
    <col min="13583" max="13583" width="16" customWidth="1"/>
    <col min="13825" max="13825" width="10.140625" bestFit="1" customWidth="1"/>
    <col min="13826" max="13826" width="10.140625" customWidth="1"/>
    <col min="13827" max="13827" width="10" customWidth="1"/>
    <col min="13828" max="13828" width="12.28515625" customWidth="1"/>
    <col min="13829" max="13829" width="11.28515625" customWidth="1"/>
    <col min="13830" max="13830" width="12.7109375" customWidth="1"/>
    <col min="13831" max="13831" width="10" customWidth="1"/>
    <col min="13832" max="13832" width="9.28515625" customWidth="1"/>
    <col min="13834" max="13834" width="9.28515625" customWidth="1"/>
    <col min="13838" max="13838" width="11.5703125" bestFit="1" customWidth="1"/>
    <col min="13839" max="13839" width="16" customWidth="1"/>
    <col min="14081" max="14081" width="10.140625" bestFit="1" customWidth="1"/>
    <col min="14082" max="14082" width="10.140625" customWidth="1"/>
    <col min="14083" max="14083" width="10" customWidth="1"/>
    <col min="14084" max="14084" width="12.28515625" customWidth="1"/>
    <col min="14085" max="14085" width="11.28515625" customWidth="1"/>
    <col min="14086" max="14086" width="12.7109375" customWidth="1"/>
    <col min="14087" max="14087" width="10" customWidth="1"/>
    <col min="14088" max="14088" width="9.28515625" customWidth="1"/>
    <col min="14090" max="14090" width="9.28515625" customWidth="1"/>
    <col min="14094" max="14094" width="11.5703125" bestFit="1" customWidth="1"/>
    <col min="14095" max="14095" width="16" customWidth="1"/>
    <col min="14337" max="14337" width="10.140625" bestFit="1" customWidth="1"/>
    <col min="14338" max="14338" width="10.140625" customWidth="1"/>
    <col min="14339" max="14339" width="10" customWidth="1"/>
    <col min="14340" max="14340" width="12.28515625" customWidth="1"/>
    <col min="14341" max="14341" width="11.28515625" customWidth="1"/>
    <col min="14342" max="14342" width="12.7109375" customWidth="1"/>
    <col min="14343" max="14343" width="10" customWidth="1"/>
    <col min="14344" max="14344" width="9.28515625" customWidth="1"/>
    <col min="14346" max="14346" width="9.28515625" customWidth="1"/>
    <col min="14350" max="14350" width="11.5703125" bestFit="1" customWidth="1"/>
    <col min="14351" max="14351" width="16" customWidth="1"/>
    <col min="14593" max="14593" width="10.140625" bestFit="1" customWidth="1"/>
    <col min="14594" max="14594" width="10.140625" customWidth="1"/>
    <col min="14595" max="14595" width="10" customWidth="1"/>
    <col min="14596" max="14596" width="12.28515625" customWidth="1"/>
    <col min="14597" max="14597" width="11.28515625" customWidth="1"/>
    <col min="14598" max="14598" width="12.7109375" customWidth="1"/>
    <col min="14599" max="14599" width="10" customWidth="1"/>
    <col min="14600" max="14600" width="9.28515625" customWidth="1"/>
    <col min="14602" max="14602" width="9.28515625" customWidth="1"/>
    <col min="14606" max="14606" width="11.5703125" bestFit="1" customWidth="1"/>
    <col min="14607" max="14607" width="16" customWidth="1"/>
    <col min="14849" max="14849" width="10.140625" bestFit="1" customWidth="1"/>
    <col min="14850" max="14850" width="10.140625" customWidth="1"/>
    <col min="14851" max="14851" width="10" customWidth="1"/>
    <col min="14852" max="14852" width="12.28515625" customWidth="1"/>
    <col min="14853" max="14853" width="11.28515625" customWidth="1"/>
    <col min="14854" max="14854" width="12.7109375" customWidth="1"/>
    <col min="14855" max="14855" width="10" customWidth="1"/>
    <col min="14856" max="14856" width="9.28515625" customWidth="1"/>
    <col min="14858" max="14858" width="9.28515625" customWidth="1"/>
    <col min="14862" max="14862" width="11.5703125" bestFit="1" customWidth="1"/>
    <col min="14863" max="14863" width="16" customWidth="1"/>
    <col min="15105" max="15105" width="10.140625" bestFit="1" customWidth="1"/>
    <col min="15106" max="15106" width="10.140625" customWidth="1"/>
    <col min="15107" max="15107" width="10" customWidth="1"/>
    <col min="15108" max="15108" width="12.28515625" customWidth="1"/>
    <col min="15109" max="15109" width="11.28515625" customWidth="1"/>
    <col min="15110" max="15110" width="12.7109375" customWidth="1"/>
    <col min="15111" max="15111" width="10" customWidth="1"/>
    <col min="15112" max="15112" width="9.28515625" customWidth="1"/>
    <col min="15114" max="15114" width="9.28515625" customWidth="1"/>
    <col min="15118" max="15118" width="11.5703125" bestFit="1" customWidth="1"/>
    <col min="15119" max="15119" width="16" customWidth="1"/>
    <col min="15361" max="15361" width="10.140625" bestFit="1" customWidth="1"/>
    <col min="15362" max="15362" width="10.140625" customWidth="1"/>
    <col min="15363" max="15363" width="10" customWidth="1"/>
    <col min="15364" max="15364" width="12.28515625" customWidth="1"/>
    <col min="15365" max="15365" width="11.28515625" customWidth="1"/>
    <col min="15366" max="15366" width="12.7109375" customWidth="1"/>
    <col min="15367" max="15367" width="10" customWidth="1"/>
    <col min="15368" max="15368" width="9.28515625" customWidth="1"/>
    <col min="15370" max="15370" width="9.28515625" customWidth="1"/>
    <col min="15374" max="15374" width="11.5703125" bestFit="1" customWidth="1"/>
    <col min="15375" max="15375" width="16" customWidth="1"/>
    <col min="15617" max="15617" width="10.140625" bestFit="1" customWidth="1"/>
    <col min="15618" max="15618" width="10.140625" customWidth="1"/>
    <col min="15619" max="15619" width="10" customWidth="1"/>
    <col min="15620" max="15620" width="12.28515625" customWidth="1"/>
    <col min="15621" max="15621" width="11.28515625" customWidth="1"/>
    <col min="15622" max="15622" width="12.7109375" customWidth="1"/>
    <col min="15623" max="15623" width="10" customWidth="1"/>
    <col min="15624" max="15624" width="9.28515625" customWidth="1"/>
    <col min="15626" max="15626" width="9.28515625" customWidth="1"/>
    <col min="15630" max="15630" width="11.5703125" bestFit="1" customWidth="1"/>
    <col min="15631" max="15631" width="16" customWidth="1"/>
    <col min="15873" max="15873" width="10.140625" bestFit="1" customWidth="1"/>
    <col min="15874" max="15874" width="10.140625" customWidth="1"/>
    <col min="15875" max="15875" width="10" customWidth="1"/>
    <col min="15876" max="15876" width="12.28515625" customWidth="1"/>
    <col min="15877" max="15877" width="11.28515625" customWidth="1"/>
    <col min="15878" max="15878" width="12.7109375" customWidth="1"/>
    <col min="15879" max="15879" width="10" customWidth="1"/>
    <col min="15880" max="15880" width="9.28515625" customWidth="1"/>
    <col min="15882" max="15882" width="9.28515625" customWidth="1"/>
    <col min="15886" max="15886" width="11.5703125" bestFit="1" customWidth="1"/>
    <col min="15887" max="15887" width="16" customWidth="1"/>
    <col min="16129" max="16129" width="10.140625" bestFit="1" customWidth="1"/>
    <col min="16130" max="16130" width="10.140625" customWidth="1"/>
    <col min="16131" max="16131" width="10" customWidth="1"/>
    <col min="16132" max="16132" width="12.28515625" customWidth="1"/>
    <col min="16133" max="16133" width="11.28515625" customWidth="1"/>
    <col min="16134" max="16134" width="12.7109375" customWidth="1"/>
    <col min="16135" max="16135" width="10" customWidth="1"/>
    <col min="16136" max="16136" width="9.28515625" customWidth="1"/>
    <col min="16138" max="16138" width="9.28515625" customWidth="1"/>
    <col min="16142" max="16142" width="11.5703125" bestFit="1" customWidth="1"/>
    <col min="16143" max="16143" width="16" customWidth="1"/>
  </cols>
  <sheetData>
    <row r="2" spans="1:9" ht="15.75">
      <c r="B2" s="79" t="s">
        <v>129</v>
      </c>
      <c r="C2" s="79"/>
      <c r="D2" s="79"/>
      <c r="E2" s="79"/>
      <c r="F2" s="79"/>
    </row>
    <row r="3" spans="1:9" ht="15.75" thickBot="1">
      <c r="A3" s="81"/>
      <c r="B3" s="81"/>
      <c r="C3" s="81"/>
      <c r="D3" s="81"/>
      <c r="E3" s="81"/>
      <c r="F3" s="81"/>
      <c r="G3" s="81"/>
    </row>
    <row r="4" spans="1:9" ht="16.5" thickBot="1">
      <c r="A4" s="81"/>
      <c r="B4" s="82" t="s">
        <v>130</v>
      </c>
      <c r="C4" s="83"/>
      <c r="D4" s="84">
        <v>31</v>
      </c>
      <c r="E4" s="85"/>
      <c r="F4" s="86" t="s">
        <v>131</v>
      </c>
      <c r="G4" s="87"/>
      <c r="H4" s="88">
        <f>F40*D6/(36500*12)</f>
        <v>212327.17465753425</v>
      </c>
      <c r="I4" s="80"/>
    </row>
    <row r="5" spans="1:9">
      <c r="A5" s="81"/>
      <c r="B5" s="82" t="s">
        <v>132</v>
      </c>
      <c r="C5" s="83" t="s">
        <v>133</v>
      </c>
      <c r="D5" s="84">
        <v>2000000</v>
      </c>
      <c r="E5" s="85"/>
      <c r="F5" s="89"/>
      <c r="G5" s="89"/>
    </row>
    <row r="6" spans="1:9">
      <c r="A6" s="81"/>
      <c r="B6" s="82" t="s">
        <v>134</v>
      </c>
      <c r="C6" s="90" t="s">
        <v>133</v>
      </c>
      <c r="D6" s="84">
        <v>15</v>
      </c>
      <c r="E6" s="85" t="s">
        <v>135</v>
      </c>
      <c r="F6" s="89"/>
      <c r="G6" s="89"/>
    </row>
    <row r="7" spans="1:9">
      <c r="A7" s="81"/>
      <c r="B7" s="82" t="s">
        <v>14</v>
      </c>
      <c r="C7" s="83"/>
      <c r="D7" s="84">
        <v>100</v>
      </c>
      <c r="E7" s="85"/>
      <c r="F7" s="89"/>
      <c r="G7" s="89"/>
    </row>
    <row r="8" spans="1:9" ht="29.25" customHeight="1">
      <c r="A8" s="81"/>
      <c r="B8" s="91" t="s">
        <v>136</v>
      </c>
      <c r="C8" s="91" t="s">
        <v>137</v>
      </c>
      <c r="D8" s="91" t="s">
        <v>138</v>
      </c>
      <c r="E8" s="92" t="s">
        <v>139</v>
      </c>
      <c r="F8" s="91" t="s">
        <v>140</v>
      </c>
      <c r="G8" s="89"/>
    </row>
    <row r="9" spans="1:9">
      <c r="A9" s="81"/>
      <c r="B9" s="93">
        <v>1</v>
      </c>
      <c r="C9" s="94">
        <v>0</v>
      </c>
      <c r="D9" s="94">
        <v>0</v>
      </c>
      <c r="E9" s="95">
        <f>D7+C9-D9</f>
        <v>100</v>
      </c>
      <c r="F9" s="93">
        <f>E9*(D$5-B9+1)</f>
        <v>200000000</v>
      </c>
      <c r="G9" s="89"/>
    </row>
    <row r="10" spans="1:9">
      <c r="A10" s="81"/>
      <c r="B10" s="93">
        <v>2</v>
      </c>
      <c r="C10" s="94">
        <v>0</v>
      </c>
      <c r="D10" s="94">
        <v>0</v>
      </c>
      <c r="E10" s="93">
        <f>E9+C10-D10</f>
        <v>100</v>
      </c>
      <c r="F10" s="93">
        <f t="shared" ref="F10:F39" si="0">E10*(D$5-B10+1)</f>
        <v>199999900</v>
      </c>
      <c r="G10" s="89"/>
    </row>
    <row r="11" spans="1:9">
      <c r="A11" s="81"/>
      <c r="B11" s="93">
        <v>3</v>
      </c>
      <c r="C11" s="94">
        <v>0</v>
      </c>
      <c r="D11" s="94">
        <v>0</v>
      </c>
      <c r="E11" s="93">
        <f t="shared" ref="E11:E38" si="1">E10+C11-D11</f>
        <v>100</v>
      </c>
      <c r="F11" s="93">
        <f t="shared" si="0"/>
        <v>199999800</v>
      </c>
      <c r="G11" s="89"/>
    </row>
    <row r="12" spans="1:9">
      <c r="A12" s="81"/>
      <c r="B12" s="93">
        <v>4</v>
      </c>
      <c r="C12" s="94">
        <v>0</v>
      </c>
      <c r="D12" s="94">
        <v>0</v>
      </c>
      <c r="E12" s="93">
        <f t="shared" si="1"/>
        <v>100</v>
      </c>
      <c r="F12" s="93">
        <f t="shared" si="0"/>
        <v>199999700</v>
      </c>
      <c r="G12" s="89"/>
    </row>
    <row r="13" spans="1:9">
      <c r="A13" s="81"/>
      <c r="B13" s="93">
        <v>5</v>
      </c>
      <c r="C13" s="94">
        <v>0</v>
      </c>
      <c r="D13" s="94">
        <v>0</v>
      </c>
      <c r="E13" s="93">
        <f t="shared" si="1"/>
        <v>100</v>
      </c>
      <c r="F13" s="93">
        <f t="shared" si="0"/>
        <v>199999600</v>
      </c>
      <c r="G13" s="89"/>
    </row>
    <row r="14" spans="1:9">
      <c r="A14" s="81"/>
      <c r="B14" s="93">
        <v>6</v>
      </c>
      <c r="C14" s="94">
        <v>0</v>
      </c>
      <c r="D14" s="94">
        <v>0</v>
      </c>
      <c r="E14" s="93">
        <f t="shared" si="1"/>
        <v>100</v>
      </c>
      <c r="F14" s="93">
        <f t="shared" si="0"/>
        <v>199999500</v>
      </c>
      <c r="G14" s="89"/>
    </row>
    <row r="15" spans="1:9">
      <c r="A15" s="81"/>
      <c r="B15" s="93">
        <v>7</v>
      </c>
      <c r="C15" s="94">
        <v>0</v>
      </c>
      <c r="D15" s="94">
        <v>0</v>
      </c>
      <c r="E15" s="93">
        <f t="shared" si="1"/>
        <v>100</v>
      </c>
      <c r="F15" s="93">
        <f t="shared" si="0"/>
        <v>199999400</v>
      </c>
      <c r="G15" s="89"/>
    </row>
    <row r="16" spans="1:9">
      <c r="A16" s="81"/>
      <c r="B16" s="93">
        <v>8</v>
      </c>
      <c r="C16" s="94">
        <v>0</v>
      </c>
      <c r="D16" s="94">
        <v>0</v>
      </c>
      <c r="E16" s="93">
        <f t="shared" si="1"/>
        <v>100</v>
      </c>
      <c r="F16" s="93">
        <f t="shared" si="0"/>
        <v>199999300</v>
      </c>
      <c r="G16" s="89"/>
    </row>
    <row r="17" spans="1:7">
      <c r="A17" s="81"/>
      <c r="B17" s="93">
        <v>9</v>
      </c>
      <c r="C17" s="94">
        <v>0</v>
      </c>
      <c r="D17" s="94">
        <v>0</v>
      </c>
      <c r="E17" s="93">
        <f t="shared" si="1"/>
        <v>100</v>
      </c>
      <c r="F17" s="93">
        <f t="shared" si="0"/>
        <v>199999200</v>
      </c>
      <c r="G17" s="89"/>
    </row>
    <row r="18" spans="1:7">
      <c r="A18" s="81"/>
      <c r="B18" s="93">
        <v>10</v>
      </c>
      <c r="C18" s="94">
        <v>0</v>
      </c>
      <c r="D18" s="94">
        <v>0</v>
      </c>
      <c r="E18" s="93">
        <f t="shared" si="1"/>
        <v>100</v>
      </c>
      <c r="F18" s="93">
        <f t="shared" si="0"/>
        <v>199999100</v>
      </c>
      <c r="G18" s="89"/>
    </row>
    <row r="19" spans="1:7">
      <c r="A19" s="81"/>
      <c r="B19" s="93">
        <v>11</v>
      </c>
      <c r="C19" s="94">
        <v>0</v>
      </c>
      <c r="D19" s="94">
        <v>0</v>
      </c>
      <c r="E19" s="93">
        <f t="shared" si="1"/>
        <v>100</v>
      </c>
      <c r="F19" s="93">
        <f t="shared" si="0"/>
        <v>199999000</v>
      </c>
      <c r="G19" s="89"/>
    </row>
    <row r="20" spans="1:7">
      <c r="A20" s="81"/>
      <c r="B20" s="93">
        <v>12</v>
      </c>
      <c r="C20" s="94">
        <v>0</v>
      </c>
      <c r="D20" s="94">
        <v>0</v>
      </c>
      <c r="E20" s="93">
        <f t="shared" si="1"/>
        <v>100</v>
      </c>
      <c r="F20" s="93">
        <f t="shared" si="0"/>
        <v>199998900</v>
      </c>
      <c r="G20" s="89"/>
    </row>
    <row r="21" spans="1:7">
      <c r="A21" s="81"/>
      <c r="B21" s="93">
        <v>13</v>
      </c>
      <c r="C21" s="94">
        <v>0</v>
      </c>
      <c r="D21" s="94">
        <v>0</v>
      </c>
      <c r="E21" s="93">
        <f t="shared" si="1"/>
        <v>100</v>
      </c>
      <c r="F21" s="93">
        <f t="shared" si="0"/>
        <v>199998800</v>
      </c>
      <c r="G21" s="89"/>
    </row>
    <row r="22" spans="1:7">
      <c r="A22" s="81"/>
      <c r="B22" s="93">
        <v>14</v>
      </c>
      <c r="C22" s="94">
        <v>0</v>
      </c>
      <c r="D22" s="94">
        <v>0</v>
      </c>
      <c r="E22" s="93">
        <f t="shared" si="1"/>
        <v>100</v>
      </c>
      <c r="F22" s="93">
        <f t="shared" si="0"/>
        <v>199998700</v>
      </c>
      <c r="G22" s="89"/>
    </row>
    <row r="23" spans="1:7">
      <c r="A23" s="81"/>
      <c r="B23" s="93">
        <v>15</v>
      </c>
      <c r="C23" s="94">
        <v>0</v>
      </c>
      <c r="D23" s="94">
        <v>0</v>
      </c>
      <c r="E23" s="93">
        <f t="shared" si="1"/>
        <v>100</v>
      </c>
      <c r="F23" s="93">
        <f t="shared" si="0"/>
        <v>199998600</v>
      </c>
      <c r="G23" s="89"/>
    </row>
    <row r="24" spans="1:7">
      <c r="A24" s="81"/>
      <c r="B24" s="93">
        <v>16</v>
      </c>
      <c r="C24" s="94">
        <v>0</v>
      </c>
      <c r="D24" s="94">
        <v>0</v>
      </c>
      <c r="E24" s="93">
        <f t="shared" si="1"/>
        <v>100</v>
      </c>
      <c r="F24" s="93">
        <f t="shared" si="0"/>
        <v>199998500</v>
      </c>
      <c r="G24" s="89"/>
    </row>
    <row r="25" spans="1:7">
      <c r="A25" s="81"/>
      <c r="B25" s="93">
        <v>17</v>
      </c>
      <c r="C25" s="94">
        <v>0</v>
      </c>
      <c r="D25" s="94">
        <v>0</v>
      </c>
      <c r="E25" s="93">
        <f t="shared" si="1"/>
        <v>100</v>
      </c>
      <c r="F25" s="93">
        <f t="shared" si="0"/>
        <v>199998400</v>
      </c>
      <c r="G25" s="89"/>
    </row>
    <row r="26" spans="1:7">
      <c r="A26" s="81"/>
      <c r="B26" s="93">
        <v>18</v>
      </c>
      <c r="C26" s="94">
        <v>0</v>
      </c>
      <c r="D26" s="94">
        <v>0</v>
      </c>
      <c r="E26" s="93">
        <f t="shared" si="1"/>
        <v>100</v>
      </c>
      <c r="F26" s="93">
        <f t="shared" si="0"/>
        <v>199998300</v>
      </c>
      <c r="G26" s="89"/>
    </row>
    <row r="27" spans="1:7">
      <c r="A27" s="81"/>
      <c r="B27" s="93">
        <v>19</v>
      </c>
      <c r="C27" s="94">
        <v>0</v>
      </c>
      <c r="D27" s="94">
        <v>0</v>
      </c>
      <c r="E27" s="93">
        <f t="shared" si="1"/>
        <v>100</v>
      </c>
      <c r="F27" s="93">
        <f t="shared" si="0"/>
        <v>199998200</v>
      </c>
      <c r="G27" s="89"/>
    </row>
    <row r="28" spans="1:7">
      <c r="A28" s="81"/>
      <c r="B28" s="93">
        <v>20</v>
      </c>
      <c r="C28" s="94">
        <v>0</v>
      </c>
      <c r="D28" s="94">
        <v>0</v>
      </c>
      <c r="E28" s="93">
        <f t="shared" si="1"/>
        <v>100</v>
      </c>
      <c r="F28" s="93">
        <f t="shared" si="0"/>
        <v>199998100</v>
      </c>
      <c r="G28" s="89"/>
    </row>
    <row r="29" spans="1:7">
      <c r="A29" s="81"/>
      <c r="B29" s="93">
        <v>21</v>
      </c>
      <c r="C29" s="94">
        <v>0</v>
      </c>
      <c r="D29" s="94">
        <v>0</v>
      </c>
      <c r="E29" s="93">
        <f t="shared" si="1"/>
        <v>100</v>
      </c>
      <c r="F29" s="93">
        <f t="shared" si="0"/>
        <v>199998000</v>
      </c>
      <c r="G29" s="89"/>
    </row>
    <row r="30" spans="1:7">
      <c r="A30" s="81"/>
      <c r="B30" s="93">
        <v>22</v>
      </c>
      <c r="C30" s="94">
        <v>0</v>
      </c>
      <c r="D30" s="94">
        <v>0</v>
      </c>
      <c r="E30" s="93">
        <f t="shared" si="1"/>
        <v>100</v>
      </c>
      <c r="F30" s="93">
        <f t="shared" si="0"/>
        <v>199997900</v>
      </c>
      <c r="G30" s="89"/>
    </row>
    <row r="31" spans="1:7">
      <c r="A31" s="81"/>
      <c r="B31" s="93">
        <v>23</v>
      </c>
      <c r="C31" s="94">
        <v>0</v>
      </c>
      <c r="D31" s="94">
        <v>0</v>
      </c>
      <c r="E31" s="93">
        <f t="shared" si="1"/>
        <v>100</v>
      </c>
      <c r="F31" s="93">
        <f t="shared" si="0"/>
        <v>199997800</v>
      </c>
      <c r="G31" s="89"/>
    </row>
    <row r="32" spans="1:7">
      <c r="A32" s="81"/>
      <c r="B32" s="93">
        <v>24</v>
      </c>
      <c r="C32" s="94">
        <v>0</v>
      </c>
      <c r="D32" s="94">
        <v>0</v>
      </c>
      <c r="E32" s="93">
        <f t="shared" si="1"/>
        <v>100</v>
      </c>
      <c r="F32" s="93">
        <f t="shared" si="0"/>
        <v>199997700</v>
      </c>
      <c r="G32" s="89"/>
    </row>
    <row r="33" spans="1:11">
      <c r="A33" s="81"/>
      <c r="B33" s="93">
        <v>25</v>
      </c>
      <c r="C33" s="94">
        <v>0</v>
      </c>
      <c r="D33" s="94">
        <v>0</v>
      </c>
      <c r="E33" s="93">
        <f t="shared" si="1"/>
        <v>100</v>
      </c>
      <c r="F33" s="93">
        <f t="shared" si="0"/>
        <v>199997600</v>
      </c>
      <c r="G33" s="89"/>
    </row>
    <row r="34" spans="1:11">
      <c r="A34" s="81"/>
      <c r="B34" s="93">
        <v>26</v>
      </c>
      <c r="C34" s="94">
        <v>0</v>
      </c>
      <c r="D34" s="94">
        <v>0</v>
      </c>
      <c r="E34" s="93">
        <f t="shared" si="1"/>
        <v>100</v>
      </c>
      <c r="F34" s="93">
        <f t="shared" si="0"/>
        <v>199997500</v>
      </c>
      <c r="G34" s="89"/>
    </row>
    <row r="35" spans="1:11">
      <c r="A35" s="81"/>
      <c r="B35" s="93">
        <v>27</v>
      </c>
      <c r="C35" s="94">
        <v>0</v>
      </c>
      <c r="D35" s="94">
        <v>0</v>
      </c>
      <c r="E35" s="93">
        <f t="shared" si="1"/>
        <v>100</v>
      </c>
      <c r="F35" s="93">
        <f t="shared" si="0"/>
        <v>199997400</v>
      </c>
      <c r="G35" s="89"/>
    </row>
    <row r="36" spans="1:11">
      <c r="A36" s="81"/>
      <c r="B36" s="93">
        <v>28</v>
      </c>
      <c r="C36" s="94">
        <v>0</v>
      </c>
      <c r="D36" s="94">
        <v>0</v>
      </c>
      <c r="E36" s="93">
        <f t="shared" si="1"/>
        <v>100</v>
      </c>
      <c r="F36" s="93">
        <f t="shared" si="0"/>
        <v>199997300</v>
      </c>
      <c r="G36" s="89"/>
    </row>
    <row r="37" spans="1:11">
      <c r="A37" s="81"/>
      <c r="B37" s="93">
        <v>29</v>
      </c>
      <c r="C37" s="94">
        <v>0</v>
      </c>
      <c r="D37" s="94">
        <v>0</v>
      </c>
      <c r="E37" s="93">
        <f>IF(D4=28,0,E36+C37-D37)</f>
        <v>100</v>
      </c>
      <c r="F37" s="93">
        <f t="shared" si="0"/>
        <v>199997200</v>
      </c>
      <c r="G37" s="89"/>
    </row>
    <row r="38" spans="1:11">
      <c r="A38" s="81"/>
      <c r="B38" s="93">
        <v>30</v>
      </c>
      <c r="C38" s="94">
        <v>0</v>
      </c>
      <c r="D38" s="94">
        <v>0</v>
      </c>
      <c r="E38" s="93">
        <f t="shared" si="1"/>
        <v>100</v>
      </c>
      <c r="F38" s="93">
        <f t="shared" si="0"/>
        <v>199997100</v>
      </c>
      <c r="G38" s="89"/>
    </row>
    <row r="39" spans="1:11">
      <c r="A39" s="81"/>
      <c r="B39" s="93">
        <v>31</v>
      </c>
      <c r="C39" s="94">
        <v>0</v>
      </c>
      <c r="D39" s="94">
        <v>0</v>
      </c>
      <c r="E39" s="93">
        <f>IF(D4=31,E38+C39-D39,0)</f>
        <v>100</v>
      </c>
      <c r="F39" s="93">
        <f t="shared" si="0"/>
        <v>199997000</v>
      </c>
      <c r="G39" s="89"/>
    </row>
    <row r="40" spans="1:11">
      <c r="A40" s="81"/>
      <c r="B40" s="93" t="s">
        <v>133</v>
      </c>
      <c r="C40" s="94"/>
      <c r="D40" s="94"/>
      <c r="E40" s="93" t="s">
        <v>141</v>
      </c>
      <c r="F40" s="93">
        <f>SUM(F9:F39)</f>
        <v>6199953500</v>
      </c>
      <c r="G40" s="89"/>
    </row>
    <row r="43" spans="1:11" s="96" customFormat="1" ht="4.5" customHeight="1">
      <c r="H43" s="97"/>
    </row>
    <row r="44" spans="1:11" ht="18.75">
      <c r="A44" s="98" t="s">
        <v>195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</row>
    <row r="45" spans="1:11" s="102" customFormat="1" ht="38.25">
      <c r="A45" s="99" t="s">
        <v>142</v>
      </c>
      <c r="B45" s="99" t="s">
        <v>143</v>
      </c>
      <c r="C45" s="99" t="s">
        <v>144</v>
      </c>
      <c r="D45" s="99" t="s">
        <v>145</v>
      </c>
      <c r="E45" s="100" t="s">
        <v>146</v>
      </c>
      <c r="F45" s="99" t="s">
        <v>147</v>
      </c>
      <c r="G45" s="99" t="s">
        <v>148</v>
      </c>
      <c r="H45" s="99" t="s">
        <v>149</v>
      </c>
      <c r="I45" s="101" t="s">
        <v>3</v>
      </c>
      <c r="J45" s="101" t="s">
        <v>150</v>
      </c>
      <c r="K45" s="99" t="s">
        <v>151</v>
      </c>
    </row>
    <row r="46" spans="1:11">
      <c r="A46" s="103" t="s">
        <v>152</v>
      </c>
      <c r="B46" s="103">
        <v>1650000</v>
      </c>
      <c r="C46" s="103">
        <v>0</v>
      </c>
      <c r="D46" s="104">
        <v>0</v>
      </c>
      <c r="E46" s="103">
        <f t="shared" ref="E46:E54" si="2">B46+C46-D46</f>
        <v>1650000</v>
      </c>
      <c r="F46" s="105">
        <v>40716</v>
      </c>
      <c r="G46" s="105">
        <v>40634</v>
      </c>
      <c r="H46" s="106">
        <f t="shared" ref="H46:H54" si="3">F46-G46+1</f>
        <v>83</v>
      </c>
      <c r="I46" s="107">
        <f t="shared" ref="I46:I54" si="4">E46</f>
        <v>1650000</v>
      </c>
      <c r="J46" s="107">
        <f>I46*8%*H46/365</f>
        <v>30016.438356164384</v>
      </c>
      <c r="K46" s="107">
        <f t="shared" ref="K46:K54" si="5">I46+J46</f>
        <v>1680016.4383561644</v>
      </c>
    </row>
    <row r="47" spans="1:11">
      <c r="A47" s="103" t="s">
        <v>153</v>
      </c>
      <c r="B47" s="107">
        <f t="shared" ref="B47:B54" si="6">K46</f>
        <v>1680016.4383561644</v>
      </c>
      <c r="C47" s="103">
        <v>1000000</v>
      </c>
      <c r="D47" s="104">
        <v>0</v>
      </c>
      <c r="E47" s="103">
        <f t="shared" si="2"/>
        <v>2680016.4383561644</v>
      </c>
      <c r="F47" s="105">
        <v>40811</v>
      </c>
      <c r="G47" s="105">
        <v>40717</v>
      </c>
      <c r="H47" s="106">
        <f t="shared" si="3"/>
        <v>95</v>
      </c>
      <c r="I47" s="107">
        <f t="shared" si="4"/>
        <v>2680016.4383561644</v>
      </c>
      <c r="J47" s="107">
        <f t="shared" ref="J47:J54" si="7">I47*8%*H47/365</f>
        <v>55803.082004128359</v>
      </c>
      <c r="K47" s="107">
        <f t="shared" si="5"/>
        <v>2735819.5203602929</v>
      </c>
    </row>
    <row r="48" spans="1:11">
      <c r="A48" s="103" t="s">
        <v>154</v>
      </c>
      <c r="B48" s="107">
        <f t="shared" si="6"/>
        <v>2735819.5203602929</v>
      </c>
      <c r="C48" s="103">
        <v>300000</v>
      </c>
      <c r="D48" s="104">
        <v>0</v>
      </c>
      <c r="E48" s="103">
        <f t="shared" si="2"/>
        <v>3035819.5203602929</v>
      </c>
      <c r="F48" s="105">
        <v>40854</v>
      </c>
      <c r="G48" s="105">
        <v>40812</v>
      </c>
      <c r="H48" s="106">
        <f t="shared" si="3"/>
        <v>43</v>
      </c>
      <c r="I48" s="107">
        <f t="shared" si="4"/>
        <v>3035819.5203602929</v>
      </c>
      <c r="J48" s="107">
        <f t="shared" si="7"/>
        <v>28611.559315176462</v>
      </c>
      <c r="K48" s="107">
        <f t="shared" si="5"/>
        <v>3064431.0796754695</v>
      </c>
    </row>
    <row r="49" spans="1:15">
      <c r="A49" s="103" t="s">
        <v>155</v>
      </c>
      <c r="B49" s="107">
        <f t="shared" si="6"/>
        <v>3064431.0796754695</v>
      </c>
      <c r="C49" s="103">
        <v>300000</v>
      </c>
      <c r="D49" s="104">
        <v>0</v>
      </c>
      <c r="E49" s="103">
        <f t="shared" si="2"/>
        <v>3364431.0796754695</v>
      </c>
      <c r="F49" s="105">
        <v>40912</v>
      </c>
      <c r="G49" s="105">
        <v>40855</v>
      </c>
      <c r="H49" s="106">
        <f t="shared" si="3"/>
        <v>58</v>
      </c>
      <c r="I49" s="107">
        <f t="shared" si="4"/>
        <v>3364431.0796754695</v>
      </c>
      <c r="J49" s="107">
        <f t="shared" si="7"/>
        <v>42769.753999162131</v>
      </c>
      <c r="K49" s="107">
        <f t="shared" si="5"/>
        <v>3407200.8336746315</v>
      </c>
    </row>
    <row r="50" spans="1:15">
      <c r="A50" s="103" t="s">
        <v>156</v>
      </c>
      <c r="B50" s="107">
        <f t="shared" si="6"/>
        <v>3407200.8336746315</v>
      </c>
      <c r="C50" s="103">
        <v>800000</v>
      </c>
      <c r="D50" s="104">
        <v>0</v>
      </c>
      <c r="E50" s="103">
        <f t="shared" si="2"/>
        <v>4207200.833674632</v>
      </c>
      <c r="F50" s="105">
        <v>40948</v>
      </c>
      <c r="G50" s="105">
        <v>40913</v>
      </c>
      <c r="H50" s="106">
        <f t="shared" si="3"/>
        <v>36</v>
      </c>
      <c r="I50" s="107">
        <f t="shared" si="4"/>
        <v>4207200.833674632</v>
      </c>
      <c r="J50" s="107">
        <f t="shared" si="7"/>
        <v>33196.543564336826</v>
      </c>
      <c r="K50" s="107">
        <f t="shared" si="5"/>
        <v>4240397.3772389684</v>
      </c>
    </row>
    <row r="51" spans="1:15">
      <c r="A51" s="103" t="s">
        <v>157</v>
      </c>
      <c r="B51" s="107">
        <f t="shared" si="6"/>
        <v>4240397.3772389684</v>
      </c>
      <c r="C51" s="103">
        <v>0</v>
      </c>
      <c r="D51" s="104">
        <v>900000</v>
      </c>
      <c r="E51" s="103">
        <f t="shared" si="2"/>
        <v>3340397.3772389684</v>
      </c>
      <c r="F51" s="105">
        <v>40952</v>
      </c>
      <c r="G51" s="105">
        <v>40949</v>
      </c>
      <c r="H51" s="106">
        <f t="shared" si="3"/>
        <v>4</v>
      </c>
      <c r="I51" s="107">
        <f t="shared" si="4"/>
        <v>3340397.3772389684</v>
      </c>
      <c r="J51" s="107">
        <f t="shared" si="7"/>
        <v>2928.5675636067667</v>
      </c>
      <c r="K51" s="107">
        <f t="shared" si="5"/>
        <v>3343325.9448025753</v>
      </c>
    </row>
    <row r="52" spans="1:15">
      <c r="A52" s="103" t="s">
        <v>158</v>
      </c>
      <c r="B52" s="107">
        <f t="shared" si="6"/>
        <v>3343325.9448025753</v>
      </c>
      <c r="C52" s="103">
        <v>0</v>
      </c>
      <c r="D52" s="104">
        <v>900000</v>
      </c>
      <c r="E52" s="103">
        <f t="shared" si="2"/>
        <v>2443325.9448025753</v>
      </c>
      <c r="F52" s="105">
        <v>40979</v>
      </c>
      <c r="G52" s="105">
        <v>40953</v>
      </c>
      <c r="H52" s="106">
        <f t="shared" si="3"/>
        <v>27</v>
      </c>
      <c r="I52" s="107">
        <f t="shared" si="4"/>
        <v>2443325.9448025753</v>
      </c>
      <c r="J52" s="107">
        <f t="shared" si="7"/>
        <v>14459.134358283734</v>
      </c>
      <c r="K52" s="107">
        <f t="shared" si="5"/>
        <v>2457785.0791608589</v>
      </c>
    </row>
    <row r="53" spans="1:15">
      <c r="A53" s="103" t="s">
        <v>159</v>
      </c>
      <c r="B53" s="107">
        <f t="shared" si="6"/>
        <v>2457785.0791608589</v>
      </c>
      <c r="C53" s="103">
        <v>0</v>
      </c>
      <c r="D53" s="104">
        <v>900000</v>
      </c>
      <c r="E53" s="103">
        <f t="shared" si="2"/>
        <v>1557785.0791608589</v>
      </c>
      <c r="F53" s="105">
        <v>40995</v>
      </c>
      <c r="G53" s="105">
        <v>40980</v>
      </c>
      <c r="H53" s="106">
        <f t="shared" si="3"/>
        <v>16</v>
      </c>
      <c r="I53" s="107">
        <f t="shared" si="4"/>
        <v>1557785.0791608589</v>
      </c>
      <c r="J53" s="107">
        <f t="shared" si="7"/>
        <v>5462.9175378791761</v>
      </c>
      <c r="K53" s="107">
        <f t="shared" si="5"/>
        <v>1563247.9966987381</v>
      </c>
    </row>
    <row r="54" spans="1:15">
      <c r="A54" s="108" t="s">
        <v>160</v>
      </c>
      <c r="B54" s="109">
        <f t="shared" si="6"/>
        <v>1563247.9966987381</v>
      </c>
      <c r="C54" s="108">
        <v>0</v>
      </c>
      <c r="D54" s="110">
        <v>1350000</v>
      </c>
      <c r="E54" s="108">
        <f t="shared" si="2"/>
        <v>213247.99669873808</v>
      </c>
      <c r="F54" s="111">
        <v>40999</v>
      </c>
      <c r="G54" s="111">
        <v>40996</v>
      </c>
      <c r="H54" s="112">
        <f t="shared" si="3"/>
        <v>4</v>
      </c>
      <c r="I54" s="109">
        <f t="shared" si="4"/>
        <v>213247.99669873808</v>
      </c>
      <c r="J54" s="109">
        <f t="shared" si="7"/>
        <v>186.9571477906745</v>
      </c>
      <c r="K54" s="109">
        <f t="shared" si="5"/>
        <v>213434.95384652875</v>
      </c>
    </row>
    <row r="55" spans="1:15">
      <c r="A55" s="108"/>
      <c r="B55" s="108"/>
      <c r="C55" s="108"/>
      <c r="D55" s="112"/>
      <c r="E55" s="108"/>
      <c r="F55" s="111"/>
      <c r="G55" s="111"/>
      <c r="H55" s="112"/>
      <c r="I55" s="113" t="s">
        <v>104</v>
      </c>
      <c r="J55" s="109">
        <f>ROUND(SUM(J46:J54),0)</f>
        <v>213435</v>
      </c>
      <c r="K55" s="108"/>
    </row>
    <row r="56" spans="1:15">
      <c r="I56" s="114" t="s">
        <v>161</v>
      </c>
      <c r="J56" s="115">
        <f>J55*10%</f>
        <v>21343.5</v>
      </c>
    </row>
    <row r="57" spans="1:15" ht="15.75" thickBot="1">
      <c r="I57" s="116"/>
      <c r="J57" s="117">
        <f>J55-J56</f>
        <v>192091.5</v>
      </c>
    </row>
    <row r="58" spans="1:15" ht="15.75" thickTop="1">
      <c r="I58" s="116"/>
    </row>
    <row r="59" spans="1:15" ht="11.25" customHeight="1"/>
    <row r="60" spans="1:15" s="96" customFormat="1" ht="4.5" customHeight="1">
      <c r="H60" s="97"/>
    </row>
    <row r="61" spans="1:15" ht="15.75" thickBot="1"/>
    <row r="62" spans="1:15" ht="15.75" thickBot="1">
      <c r="A62" s="53" t="s">
        <v>162</v>
      </c>
      <c r="B62" s="54"/>
      <c r="C62" s="54"/>
      <c r="D62" s="54"/>
      <c r="E62" s="54"/>
      <c r="F62" s="54"/>
      <c r="G62" s="54"/>
      <c r="H62" s="54"/>
      <c r="I62" s="118"/>
      <c r="K62" s="119" t="s">
        <v>163</v>
      </c>
      <c r="L62" s="120"/>
      <c r="M62" s="120"/>
      <c r="N62" s="120"/>
      <c r="O62" s="121"/>
    </row>
    <row r="63" spans="1:15" ht="15.75">
      <c r="A63" s="122" t="s">
        <v>164</v>
      </c>
      <c r="B63" s="123"/>
      <c r="C63" s="124">
        <v>50000</v>
      </c>
      <c r="D63" s="125"/>
      <c r="E63" s="126" t="s">
        <v>165</v>
      </c>
      <c r="F63" s="126" t="s">
        <v>166</v>
      </c>
      <c r="G63" s="126" t="s">
        <v>167</v>
      </c>
      <c r="H63" s="126" t="s">
        <v>168</v>
      </c>
      <c r="I63" s="127" t="s">
        <v>105</v>
      </c>
      <c r="K63" s="128" t="s">
        <v>143</v>
      </c>
      <c r="L63" s="129"/>
      <c r="M63" s="129"/>
      <c r="N63" s="130">
        <v>10000</v>
      </c>
      <c r="O63" s="131"/>
    </row>
    <row r="64" spans="1:15" ht="15.75">
      <c r="A64" s="132" t="s">
        <v>169</v>
      </c>
      <c r="B64" s="133"/>
      <c r="C64" s="134">
        <v>1</v>
      </c>
      <c r="D64" s="125"/>
      <c r="E64" s="135">
        <v>0</v>
      </c>
      <c r="F64" s="136"/>
      <c r="G64" s="136"/>
      <c r="H64" s="136"/>
      <c r="I64" s="137">
        <f>C63</f>
        <v>50000</v>
      </c>
      <c r="K64" s="128" t="s">
        <v>170</v>
      </c>
      <c r="L64" s="129"/>
      <c r="M64" s="129"/>
      <c r="N64" s="130">
        <v>10</v>
      </c>
      <c r="O64" s="131" t="s">
        <v>135</v>
      </c>
    </row>
    <row r="65" spans="1:16" ht="15.75">
      <c r="A65" s="132" t="s">
        <v>171</v>
      </c>
      <c r="B65" s="133"/>
      <c r="C65" s="134">
        <v>12</v>
      </c>
      <c r="D65" s="125"/>
      <c r="E65" s="135">
        <v>1</v>
      </c>
      <c r="F65" s="138">
        <f>IF($E65&gt;($C$64*$C$65),0,$C$67)</f>
        <v>4583.9996453114854</v>
      </c>
      <c r="G65" s="138">
        <f>I64*$C$66/$C$65</f>
        <v>750</v>
      </c>
      <c r="H65" s="138">
        <f t="shared" ref="H65:H76" si="8">F65-G65</f>
        <v>3833.9996453114854</v>
      </c>
      <c r="I65" s="137">
        <f t="shared" ref="I65:I76" si="9">I64-H65</f>
        <v>46166.000354688513</v>
      </c>
      <c r="K65" s="128" t="s">
        <v>172</v>
      </c>
      <c r="L65" s="129"/>
      <c r="M65" s="129"/>
      <c r="N65" s="130">
        <v>3</v>
      </c>
      <c r="O65" s="131"/>
    </row>
    <row r="66" spans="1:16" ht="15.75">
      <c r="A66" s="132" t="s">
        <v>173</v>
      </c>
      <c r="B66" s="133"/>
      <c r="C66" s="139">
        <v>0.18</v>
      </c>
      <c r="D66" s="125"/>
      <c r="E66" s="135">
        <v>2</v>
      </c>
      <c r="F66" s="138">
        <f t="shared" ref="F66:F76" si="10">IF($E66&gt;($C$64*$C$65),0,$C$67)</f>
        <v>4583.9996453114854</v>
      </c>
      <c r="G66" s="138">
        <f t="shared" ref="G66:G76" si="11">I65*$C$66/$C$65</f>
        <v>692.49000532032767</v>
      </c>
      <c r="H66" s="138">
        <f t="shared" si="8"/>
        <v>3891.5096399911577</v>
      </c>
      <c r="I66" s="137">
        <f t="shared" si="9"/>
        <v>42274.490714697356</v>
      </c>
      <c r="K66" s="128" t="s">
        <v>174</v>
      </c>
      <c r="L66" s="129"/>
      <c r="M66" s="129"/>
      <c r="N66" s="140">
        <f>PMT(N64/1200,N65*12,N63)*-1</f>
        <v>322.67187193837623</v>
      </c>
      <c r="O66" s="131"/>
    </row>
    <row r="67" spans="1:16" ht="15.75">
      <c r="A67" s="132" t="s">
        <v>175</v>
      </c>
      <c r="B67" s="133"/>
      <c r="C67" s="141">
        <f>PMT(C66/C65, C64*C65, -C63)</f>
        <v>4583.9996453114854</v>
      </c>
      <c r="D67" s="125"/>
      <c r="E67" s="135">
        <v>3</v>
      </c>
      <c r="F67" s="138">
        <f t="shared" si="10"/>
        <v>4583.9996453114854</v>
      </c>
      <c r="G67" s="138">
        <f t="shared" si="11"/>
        <v>634.1173607204604</v>
      </c>
      <c r="H67" s="138">
        <f t="shared" si="8"/>
        <v>3949.8822845910249</v>
      </c>
      <c r="I67" s="137">
        <f t="shared" si="9"/>
        <v>38324.608430106331</v>
      </c>
      <c r="K67" s="128"/>
      <c r="L67" s="129"/>
      <c r="M67" s="129"/>
      <c r="N67" s="142"/>
      <c r="O67" s="131"/>
    </row>
    <row r="68" spans="1:16" ht="15.75">
      <c r="A68" s="24"/>
      <c r="B68" s="59"/>
      <c r="C68" s="59"/>
      <c r="D68" s="125"/>
      <c r="E68" s="135">
        <v>4</v>
      </c>
      <c r="F68" s="138">
        <f t="shared" si="10"/>
        <v>4583.9996453114854</v>
      </c>
      <c r="G68" s="138">
        <f t="shared" si="11"/>
        <v>574.86912645159498</v>
      </c>
      <c r="H68" s="138">
        <f t="shared" si="8"/>
        <v>4009.1305188598903</v>
      </c>
      <c r="I68" s="137">
        <f t="shared" si="9"/>
        <v>34315.477911246438</v>
      </c>
      <c r="K68" s="128" t="s">
        <v>143</v>
      </c>
      <c r="L68" s="129"/>
      <c r="M68" s="129"/>
      <c r="N68" s="130">
        <v>1000</v>
      </c>
      <c r="O68" s="131"/>
    </row>
    <row r="69" spans="1:16" ht="15.75">
      <c r="A69" s="24"/>
      <c r="B69" s="59"/>
      <c r="C69" s="59"/>
      <c r="D69" s="125"/>
      <c r="E69" s="135">
        <v>5</v>
      </c>
      <c r="F69" s="138">
        <f t="shared" si="10"/>
        <v>4583.9996453114854</v>
      </c>
      <c r="G69" s="138">
        <f t="shared" si="11"/>
        <v>514.73216866869654</v>
      </c>
      <c r="H69" s="138">
        <f t="shared" si="8"/>
        <v>4069.267476642789</v>
      </c>
      <c r="I69" s="137">
        <f t="shared" si="9"/>
        <v>30246.21043460365</v>
      </c>
      <c r="K69" s="128" t="s">
        <v>172</v>
      </c>
      <c r="L69" s="129"/>
      <c r="M69" s="129"/>
      <c r="N69" s="130">
        <v>2</v>
      </c>
      <c r="O69" s="131"/>
    </row>
    <row r="70" spans="1:16" ht="15.75">
      <c r="A70" s="24"/>
      <c r="B70" s="59"/>
      <c r="C70" s="59"/>
      <c r="D70" s="125"/>
      <c r="E70" s="135">
        <v>6</v>
      </c>
      <c r="F70" s="138">
        <f t="shared" si="10"/>
        <v>4583.9996453114854</v>
      </c>
      <c r="G70" s="138">
        <f t="shared" si="11"/>
        <v>453.69315651905475</v>
      </c>
      <c r="H70" s="138">
        <f t="shared" si="8"/>
        <v>4130.3064887924311</v>
      </c>
      <c r="I70" s="137">
        <f t="shared" si="9"/>
        <v>26115.90394581122</v>
      </c>
      <c r="K70" s="128" t="s">
        <v>174</v>
      </c>
      <c r="L70" s="129"/>
      <c r="M70" s="129"/>
      <c r="N70" s="130">
        <v>46.14</v>
      </c>
      <c r="O70" s="131"/>
    </row>
    <row r="71" spans="1:16" ht="15.75">
      <c r="A71" s="24"/>
      <c r="B71" s="59"/>
      <c r="C71" s="59"/>
      <c r="D71" s="125"/>
      <c r="E71" s="135">
        <v>7</v>
      </c>
      <c r="F71" s="138">
        <f t="shared" si="10"/>
        <v>4583.9996453114854</v>
      </c>
      <c r="G71" s="138">
        <f t="shared" si="11"/>
        <v>391.73855918716828</v>
      </c>
      <c r="H71" s="138">
        <f t="shared" si="8"/>
        <v>4192.2610861243174</v>
      </c>
      <c r="I71" s="137">
        <f t="shared" si="9"/>
        <v>21923.642859686901</v>
      </c>
      <c r="K71" s="128" t="s">
        <v>170</v>
      </c>
      <c r="L71" s="129"/>
      <c r="M71" s="129"/>
      <c r="N71" s="143">
        <f>RATE(N69*12,-N70,N68)*12</f>
        <v>9.9893261740367445E-2</v>
      </c>
      <c r="O71" s="131"/>
    </row>
    <row r="72" spans="1:16" ht="15.75">
      <c r="A72" s="24"/>
      <c r="B72" s="59"/>
      <c r="C72" s="59"/>
      <c r="D72" s="125"/>
      <c r="E72" s="135">
        <v>8</v>
      </c>
      <c r="F72" s="138">
        <f t="shared" si="10"/>
        <v>4583.9996453114854</v>
      </c>
      <c r="G72" s="138">
        <f t="shared" si="11"/>
        <v>328.85464289530347</v>
      </c>
      <c r="H72" s="138">
        <f t="shared" si="8"/>
        <v>4255.1450024161823</v>
      </c>
      <c r="I72" s="137">
        <f t="shared" si="9"/>
        <v>17668.497857270719</v>
      </c>
      <c r="K72" s="128"/>
      <c r="L72" s="129"/>
      <c r="M72" s="129"/>
      <c r="N72" s="142"/>
      <c r="O72" s="131"/>
    </row>
    <row r="73" spans="1:16" ht="15.75">
      <c r="A73" s="24"/>
      <c r="B73" s="59"/>
      <c r="C73" s="59"/>
      <c r="D73" s="125"/>
      <c r="E73" s="135">
        <v>9</v>
      </c>
      <c r="F73" s="138">
        <f t="shared" si="10"/>
        <v>4583.9996453114854</v>
      </c>
      <c r="G73" s="138">
        <f t="shared" si="11"/>
        <v>265.02746785906078</v>
      </c>
      <c r="H73" s="138">
        <f t="shared" si="8"/>
        <v>4318.9721774524251</v>
      </c>
      <c r="I73" s="137">
        <f t="shared" si="9"/>
        <v>13349.525679818293</v>
      </c>
      <c r="K73" s="128" t="s">
        <v>143</v>
      </c>
      <c r="L73" s="129"/>
      <c r="M73" s="129"/>
      <c r="N73" s="130">
        <v>1000</v>
      </c>
      <c r="O73" s="131"/>
    </row>
    <row r="74" spans="1:16" ht="15.75">
      <c r="A74" s="24"/>
      <c r="B74" s="59"/>
      <c r="C74" s="59"/>
      <c r="D74" s="125"/>
      <c r="E74" s="135">
        <v>10</v>
      </c>
      <c r="F74" s="138">
        <f t="shared" si="10"/>
        <v>4583.9996453114854</v>
      </c>
      <c r="G74" s="138">
        <f t="shared" si="11"/>
        <v>200.24288519727438</v>
      </c>
      <c r="H74" s="138">
        <f t="shared" si="8"/>
        <v>4383.7567601142109</v>
      </c>
      <c r="I74" s="137">
        <f t="shared" si="9"/>
        <v>8965.7689197040818</v>
      </c>
      <c r="K74" s="128" t="s">
        <v>170</v>
      </c>
      <c r="L74" s="129"/>
      <c r="M74" s="129"/>
      <c r="N74" s="130">
        <v>2</v>
      </c>
      <c r="O74" s="131"/>
      <c r="P74" s="144"/>
    </row>
    <row r="75" spans="1:16" ht="15.75">
      <c r="A75" s="24"/>
      <c r="B75" s="59"/>
      <c r="C75" s="59"/>
      <c r="D75" s="125"/>
      <c r="E75" s="135">
        <v>11</v>
      </c>
      <c r="F75" s="138">
        <f t="shared" si="10"/>
        <v>4583.9996453114854</v>
      </c>
      <c r="G75" s="138">
        <f t="shared" si="11"/>
        <v>134.48653379556123</v>
      </c>
      <c r="H75" s="138">
        <f t="shared" si="8"/>
        <v>4449.5131115159238</v>
      </c>
      <c r="I75" s="137">
        <f t="shared" si="9"/>
        <v>4516.255808188158</v>
      </c>
      <c r="K75" s="128" t="s">
        <v>174</v>
      </c>
      <c r="L75" s="129"/>
      <c r="M75" s="129"/>
      <c r="N75" s="130">
        <v>46.14</v>
      </c>
      <c r="O75" s="131"/>
      <c r="P75" s="144"/>
    </row>
    <row r="76" spans="1:16" ht="16.5" thickBot="1">
      <c r="A76" s="145"/>
      <c r="B76" s="64"/>
      <c r="C76" s="64"/>
      <c r="D76" s="146"/>
      <c r="E76" s="147">
        <v>12</v>
      </c>
      <c r="F76" s="148">
        <f t="shared" si="10"/>
        <v>4583.9996453114854</v>
      </c>
      <c r="G76" s="148">
        <f t="shared" si="11"/>
        <v>67.74383712282237</v>
      </c>
      <c r="H76" s="148">
        <f t="shared" si="8"/>
        <v>4516.2558081886627</v>
      </c>
      <c r="I76" s="149">
        <f t="shared" si="9"/>
        <v>-5.0476955948397517E-10</v>
      </c>
      <c r="K76" s="150" t="s">
        <v>172</v>
      </c>
      <c r="L76" s="151"/>
      <c r="M76" s="151"/>
      <c r="N76" s="152">
        <f>NPER(N74/1200,-N75,N73)/12</f>
        <v>1.8410572184114358</v>
      </c>
      <c r="O76" s="153" t="s">
        <v>11</v>
      </c>
      <c r="P76" s="144"/>
    </row>
    <row r="77" spans="1:16" ht="15.75">
      <c r="A77" s="59"/>
      <c r="B77" s="59"/>
      <c r="C77" s="59"/>
      <c r="D77" s="125"/>
      <c r="E77" s="154"/>
      <c r="F77" s="155"/>
      <c r="G77" s="155"/>
      <c r="H77" s="155"/>
      <c r="I77" s="155"/>
      <c r="K77" s="129"/>
      <c r="L77" s="129"/>
      <c r="M77" s="129"/>
      <c r="N77" s="156"/>
      <c r="O77" s="142"/>
      <c r="P77" s="144"/>
    </row>
    <row r="78" spans="1:16" ht="15.75">
      <c r="A78" s="59"/>
      <c r="B78" s="157" t="s">
        <v>176</v>
      </c>
      <c r="C78" s="59"/>
      <c r="D78" s="125"/>
      <c r="E78" s="154"/>
      <c r="F78" s="155"/>
      <c r="G78" s="155"/>
      <c r="H78" s="155"/>
      <c r="I78" s="155"/>
      <c r="K78" s="129"/>
      <c r="L78" s="129"/>
      <c r="M78" s="129"/>
      <c r="N78" s="156"/>
      <c r="O78" s="142"/>
      <c r="P78" s="144"/>
    </row>
    <row r="79" spans="1:16">
      <c r="P79" s="144"/>
    </row>
    <row r="80" spans="1:16" s="158" customFormat="1" ht="5.25" customHeight="1">
      <c r="H80" s="159"/>
    </row>
    <row r="81" spans="1:16">
      <c r="P81" s="144"/>
    </row>
    <row r="82" spans="1:16">
      <c r="A82" s="160" t="s">
        <v>177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44"/>
    </row>
    <row r="83" spans="1:16" s="170" customFormat="1" ht="63.75">
      <c r="A83" s="161" t="s">
        <v>178</v>
      </c>
      <c r="B83" s="162" t="s">
        <v>179</v>
      </c>
      <c r="C83" s="161" t="s">
        <v>180</v>
      </c>
      <c r="D83" s="161" t="s">
        <v>173</v>
      </c>
      <c r="E83" s="161" t="s">
        <v>181</v>
      </c>
      <c r="F83" s="163" t="s">
        <v>182</v>
      </c>
      <c r="G83" s="163" t="s">
        <v>183</v>
      </c>
      <c r="H83" s="164" t="s">
        <v>184</v>
      </c>
      <c r="I83" s="164" t="s">
        <v>185</v>
      </c>
      <c r="J83" s="165" t="s">
        <v>186</v>
      </c>
      <c r="K83" s="166"/>
      <c r="L83" s="167" t="s">
        <v>187</v>
      </c>
      <c r="M83" s="167" t="s">
        <v>187</v>
      </c>
      <c r="N83" s="167" t="s">
        <v>188</v>
      </c>
      <c r="O83" s="168" t="s">
        <v>189</v>
      </c>
      <c r="P83" s="169" t="s">
        <v>190</v>
      </c>
    </row>
    <row r="84" spans="1:16" s="16" customFormat="1">
      <c r="A84" s="171">
        <v>0</v>
      </c>
      <c r="B84" s="172" t="s">
        <v>191</v>
      </c>
      <c r="C84" s="172" t="s">
        <v>191</v>
      </c>
      <c r="D84" s="173" t="s">
        <v>135</v>
      </c>
      <c r="E84" s="173" t="s">
        <v>192</v>
      </c>
      <c r="F84" s="174"/>
      <c r="G84" s="174"/>
      <c r="H84" s="175"/>
      <c r="I84" s="175"/>
      <c r="J84" s="176" t="s">
        <v>193</v>
      </c>
      <c r="K84" s="176" t="s">
        <v>194</v>
      </c>
      <c r="L84" s="177" t="s">
        <v>193</v>
      </c>
      <c r="M84" s="177" t="s">
        <v>194</v>
      </c>
      <c r="N84" s="177"/>
      <c r="O84" s="178">
        <v>41364</v>
      </c>
      <c r="P84" s="179"/>
    </row>
    <row r="85" spans="1:16">
      <c r="A85" s="180">
        <f>IF(B85&lt;&gt;0,VALUE(A84)+1," ")</f>
        <v>1</v>
      </c>
      <c r="B85" s="181">
        <v>40634</v>
      </c>
      <c r="C85" s="181">
        <v>41022</v>
      </c>
      <c r="D85" s="182">
        <v>6</v>
      </c>
      <c r="E85" s="183">
        <v>50000</v>
      </c>
      <c r="F85" s="184">
        <v>53260</v>
      </c>
      <c r="G85" s="185">
        <f t="shared" ref="G85:G91" si="12">IF($O$9="",DATEDIF(B85,C85,"Y"),DATEDIF(B85,$O$9,"Y"))</f>
        <v>1</v>
      </c>
      <c r="H85" s="186">
        <f t="shared" ref="H85:H91" si="13">IF($O$9="",DATEDIF(B85,C85,"YM"),DATEDIF(B85,$O$9,"YM"))</f>
        <v>0</v>
      </c>
      <c r="I85" s="186">
        <f t="shared" ref="I85:I91" si="14">+IF($O$9="",DATEDIF(B85,C85,"MD"),DATEDIF(B85,$O$9,"MD"))</f>
        <v>22</v>
      </c>
      <c r="J85" s="187">
        <f>IF(B85&lt;&gt;0,(G85*4)+INT(H85/3),"")</f>
        <v>4</v>
      </c>
      <c r="K85" s="188">
        <f t="shared" ref="K85:K91" si="15">IF(B85&lt;&gt;0,DATEDIF(EDATE(B85,(J85*3)),IF($O$9="",C85,$O$9),"D"),"")</f>
        <v>22</v>
      </c>
      <c r="L85" s="189">
        <f t="shared" ref="L85:L91" si="16">IF(B85&lt;&gt;0,ROUND((E85*(1+D85/400)^J85),2)-E85,"")</f>
        <v>3068.1800000000003</v>
      </c>
      <c r="M85" s="189">
        <f t="shared" ref="M85:M91" si="17">IF(B85&lt;&gt;0,ROUND(((E85*(1+D85/400)^J85)*D85/100)/365*K85,2),"")</f>
        <v>191.92</v>
      </c>
      <c r="N85" s="189">
        <f t="shared" ref="N85:N91" si="18">IF(B85&lt;&gt;0,ROUND(L85+M85,0),"")</f>
        <v>3260</v>
      </c>
      <c r="O85" s="189">
        <f t="shared" ref="O85:O91" si="19">IF(F85&lt;&gt;0,E85+N85,"")</f>
        <v>53260</v>
      </c>
      <c r="P85" s="190"/>
    </row>
    <row r="86" spans="1:16">
      <c r="A86" s="180">
        <f t="shared" ref="A86:A91" si="20">IF(B86&lt;&gt;0,VALUE(A85)+1," ")</f>
        <v>2</v>
      </c>
      <c r="B86" s="181">
        <v>41109</v>
      </c>
      <c r="C86" s="181">
        <v>41474</v>
      </c>
      <c r="D86" s="182">
        <v>9.5</v>
      </c>
      <c r="E86" s="183">
        <v>1400000</v>
      </c>
      <c r="F86" s="184">
        <v>1537814</v>
      </c>
      <c r="G86" s="185">
        <f t="shared" si="12"/>
        <v>1</v>
      </c>
      <c r="H86" s="186">
        <f t="shared" si="13"/>
        <v>0</v>
      </c>
      <c r="I86" s="186">
        <f t="shared" si="14"/>
        <v>0</v>
      </c>
      <c r="J86" s="187">
        <f t="shared" ref="J86:J91" si="21">IF(B86&lt;&gt;0,(G86*4)+INT(H86/3),"")</f>
        <v>4</v>
      </c>
      <c r="K86" s="188">
        <f t="shared" si="15"/>
        <v>0</v>
      </c>
      <c r="L86" s="189">
        <f t="shared" si="16"/>
        <v>137813.59000000008</v>
      </c>
      <c r="M86" s="189">
        <f t="shared" si="17"/>
        <v>0</v>
      </c>
      <c r="N86" s="189">
        <f t="shared" si="18"/>
        <v>137814</v>
      </c>
      <c r="O86" s="189">
        <f t="shared" si="19"/>
        <v>1537814</v>
      </c>
      <c r="P86" s="190"/>
    </row>
    <row r="87" spans="1:16">
      <c r="A87" s="180">
        <f t="shared" si="20"/>
        <v>3</v>
      </c>
      <c r="B87" s="181">
        <v>41109</v>
      </c>
      <c r="C87" s="181">
        <v>41474</v>
      </c>
      <c r="D87" s="182">
        <v>9.5</v>
      </c>
      <c r="E87" s="183">
        <v>1400000</v>
      </c>
      <c r="F87" s="184">
        <v>1537814</v>
      </c>
      <c r="G87" s="185">
        <f t="shared" si="12"/>
        <v>1</v>
      </c>
      <c r="H87" s="186">
        <f t="shared" si="13"/>
        <v>0</v>
      </c>
      <c r="I87" s="186">
        <f t="shared" si="14"/>
        <v>0</v>
      </c>
      <c r="J87" s="187">
        <f t="shared" si="21"/>
        <v>4</v>
      </c>
      <c r="K87" s="188">
        <f t="shared" si="15"/>
        <v>0</v>
      </c>
      <c r="L87" s="189">
        <f t="shared" si="16"/>
        <v>137813.59000000008</v>
      </c>
      <c r="M87" s="189">
        <f t="shared" si="17"/>
        <v>0</v>
      </c>
      <c r="N87" s="189">
        <f t="shared" si="18"/>
        <v>137814</v>
      </c>
      <c r="O87" s="189">
        <f t="shared" si="19"/>
        <v>1537814</v>
      </c>
      <c r="P87" s="190"/>
    </row>
    <row r="88" spans="1:16">
      <c r="A88" s="180">
        <f t="shared" si="20"/>
        <v>4</v>
      </c>
      <c r="B88" s="181">
        <v>41109</v>
      </c>
      <c r="C88" s="181">
        <v>41474</v>
      </c>
      <c r="D88" s="182">
        <v>9.5</v>
      </c>
      <c r="E88" s="183">
        <v>800000</v>
      </c>
      <c r="F88" s="184">
        <v>878751</v>
      </c>
      <c r="G88" s="185">
        <f t="shared" si="12"/>
        <v>1</v>
      </c>
      <c r="H88" s="186">
        <f t="shared" si="13"/>
        <v>0</v>
      </c>
      <c r="I88" s="186">
        <f t="shared" si="14"/>
        <v>0</v>
      </c>
      <c r="J88" s="187">
        <f t="shared" si="21"/>
        <v>4</v>
      </c>
      <c r="K88" s="188">
        <f t="shared" si="15"/>
        <v>0</v>
      </c>
      <c r="L88" s="189">
        <f t="shared" si="16"/>
        <v>78750.62</v>
      </c>
      <c r="M88" s="189">
        <f t="shared" si="17"/>
        <v>0</v>
      </c>
      <c r="N88" s="189">
        <f t="shared" si="18"/>
        <v>78751</v>
      </c>
      <c r="O88" s="189">
        <f t="shared" si="19"/>
        <v>878751</v>
      </c>
      <c r="P88" s="190"/>
    </row>
    <row r="89" spans="1:16">
      <c r="A89" s="180">
        <f t="shared" si="20"/>
        <v>5</v>
      </c>
      <c r="B89" s="181">
        <v>40390</v>
      </c>
      <c r="C89" s="181">
        <v>41517</v>
      </c>
      <c r="D89" s="182">
        <v>7.75</v>
      </c>
      <c r="E89" s="183">
        <v>30000000</v>
      </c>
      <c r="F89" s="184">
        <v>38017035</v>
      </c>
      <c r="G89" s="185">
        <f t="shared" si="12"/>
        <v>3</v>
      </c>
      <c r="H89" s="186">
        <f t="shared" si="13"/>
        <v>1</v>
      </c>
      <c r="I89" s="186">
        <f t="shared" si="14"/>
        <v>0</v>
      </c>
      <c r="J89" s="187">
        <f t="shared" si="21"/>
        <v>12</v>
      </c>
      <c r="K89" s="188">
        <f t="shared" si="15"/>
        <v>31</v>
      </c>
      <c r="L89" s="189">
        <f t="shared" si="16"/>
        <v>7768435.5099999979</v>
      </c>
      <c r="M89" s="189">
        <f t="shared" si="17"/>
        <v>248599.09</v>
      </c>
      <c r="N89" s="189">
        <f t="shared" si="18"/>
        <v>8017035</v>
      </c>
      <c r="O89" s="189">
        <f t="shared" si="19"/>
        <v>38017035</v>
      </c>
      <c r="P89" s="190"/>
    </row>
    <row r="90" spans="1:16">
      <c r="A90" s="180">
        <f t="shared" si="20"/>
        <v>6</v>
      </c>
      <c r="B90" s="181">
        <v>40443</v>
      </c>
      <c r="C90" s="181">
        <v>41539</v>
      </c>
      <c r="D90" s="182">
        <v>8.01</v>
      </c>
      <c r="E90" s="183">
        <v>60000000</v>
      </c>
      <c r="F90" s="184">
        <v>76116891</v>
      </c>
      <c r="G90" s="185">
        <f t="shared" si="12"/>
        <v>3</v>
      </c>
      <c r="H90" s="186">
        <f t="shared" si="13"/>
        <v>0</v>
      </c>
      <c r="I90" s="186">
        <f t="shared" si="14"/>
        <v>0</v>
      </c>
      <c r="J90" s="187">
        <f t="shared" si="21"/>
        <v>12</v>
      </c>
      <c r="K90" s="188">
        <f t="shared" si="15"/>
        <v>0</v>
      </c>
      <c r="L90" s="189">
        <f t="shared" si="16"/>
        <v>16116891.430000007</v>
      </c>
      <c r="M90" s="189">
        <f t="shared" si="17"/>
        <v>0</v>
      </c>
      <c r="N90" s="189">
        <f t="shared" si="18"/>
        <v>16116891</v>
      </c>
      <c r="O90" s="189">
        <f t="shared" si="19"/>
        <v>76116891</v>
      </c>
      <c r="P90" s="190"/>
    </row>
    <row r="91" spans="1:16">
      <c r="A91" s="180">
        <f t="shared" si="20"/>
        <v>7</v>
      </c>
      <c r="B91" s="181">
        <v>40390</v>
      </c>
      <c r="C91" s="181">
        <v>41544</v>
      </c>
      <c r="D91" s="182">
        <v>7.75</v>
      </c>
      <c r="E91" s="183">
        <v>30000000</v>
      </c>
      <c r="F91" s="184">
        <v>38233556</v>
      </c>
      <c r="G91" s="185">
        <f t="shared" si="12"/>
        <v>3</v>
      </c>
      <c r="H91" s="186">
        <f t="shared" si="13"/>
        <v>1</v>
      </c>
      <c r="I91" s="186">
        <f t="shared" si="14"/>
        <v>27</v>
      </c>
      <c r="J91" s="187">
        <f t="shared" si="21"/>
        <v>12</v>
      </c>
      <c r="K91" s="188">
        <f t="shared" si="15"/>
        <v>58</v>
      </c>
      <c r="L91" s="189">
        <f t="shared" si="16"/>
        <v>7768435.5099999979</v>
      </c>
      <c r="M91" s="189">
        <f t="shared" si="17"/>
        <v>465120.87</v>
      </c>
      <c r="N91" s="189">
        <f t="shared" si="18"/>
        <v>8233556</v>
      </c>
      <c r="O91" s="189">
        <f t="shared" si="19"/>
        <v>38233556</v>
      </c>
      <c r="P91" s="190"/>
    </row>
    <row r="92" spans="1:16">
      <c r="E92">
        <f>SUM(E85:E91)</f>
        <v>123650000</v>
      </c>
      <c r="F92" s="191">
        <f>SUM(F85:F91)</f>
        <v>156375121</v>
      </c>
      <c r="H92"/>
      <c r="J92" s="80"/>
      <c r="N92" s="192">
        <f>SUM(N85:N91)</f>
        <v>32725121</v>
      </c>
      <c r="O92" s="192">
        <f>SUM(O85:O91)</f>
        <v>156375121</v>
      </c>
    </row>
    <row r="93" spans="1:16">
      <c r="H93"/>
      <c r="J93" s="80"/>
    </row>
    <row r="94" spans="1:16">
      <c r="H94"/>
      <c r="J94" s="80"/>
    </row>
    <row r="95" spans="1:16" s="96" customFormat="1" ht="7.5" customHeight="1">
      <c r="H95" s="97"/>
    </row>
  </sheetData>
  <mergeCells count="6">
    <mergeCell ref="B2:F2"/>
    <mergeCell ref="A44:K44"/>
    <mergeCell ref="A62:H62"/>
    <mergeCell ref="K62:O62"/>
    <mergeCell ref="A82:O82"/>
    <mergeCell ref="J83:K83"/>
  </mergeCells>
  <conditionalFormatting sqref="E64:I78">
    <cfRule type="cellIs" dxfId="0" priority="1" stopIfTrue="1" operator="lessThan">
      <formula>0</formula>
    </cfRule>
  </conditionalFormatting>
  <dataValidations count="1">
    <dataValidation type="decimal" allowBlank="1" showInputMessage="1" showErrorMessage="1" sqref="C63:C65 IY63:IY65 SU63:SU65 ACQ63:ACQ65 AMM63:AMM65 AWI63:AWI65 BGE63:BGE65 BQA63:BQA65 BZW63:BZW65 CJS63:CJS65 CTO63:CTO65 DDK63:DDK65 DNG63:DNG65 DXC63:DXC65 EGY63:EGY65 EQU63:EQU65 FAQ63:FAQ65 FKM63:FKM65 FUI63:FUI65 GEE63:GEE65 GOA63:GOA65 GXW63:GXW65 HHS63:HHS65 HRO63:HRO65 IBK63:IBK65 ILG63:ILG65 IVC63:IVC65 JEY63:JEY65 JOU63:JOU65 JYQ63:JYQ65 KIM63:KIM65 KSI63:KSI65 LCE63:LCE65 LMA63:LMA65 LVW63:LVW65 MFS63:MFS65 MPO63:MPO65 MZK63:MZK65 NJG63:NJG65 NTC63:NTC65 OCY63:OCY65 OMU63:OMU65 OWQ63:OWQ65 PGM63:PGM65 PQI63:PQI65 QAE63:QAE65 QKA63:QKA65 QTW63:QTW65 RDS63:RDS65 RNO63:RNO65 RXK63:RXK65 SHG63:SHG65 SRC63:SRC65 TAY63:TAY65 TKU63:TKU65 TUQ63:TUQ65 UEM63:UEM65 UOI63:UOI65 UYE63:UYE65 VIA63:VIA65 VRW63:VRW65 WBS63:WBS65 WLO63:WLO65 WVK63:WVK65 C65599:C65601 IY65599:IY65601 SU65599:SU65601 ACQ65599:ACQ65601 AMM65599:AMM65601 AWI65599:AWI65601 BGE65599:BGE65601 BQA65599:BQA65601 BZW65599:BZW65601 CJS65599:CJS65601 CTO65599:CTO65601 DDK65599:DDK65601 DNG65599:DNG65601 DXC65599:DXC65601 EGY65599:EGY65601 EQU65599:EQU65601 FAQ65599:FAQ65601 FKM65599:FKM65601 FUI65599:FUI65601 GEE65599:GEE65601 GOA65599:GOA65601 GXW65599:GXW65601 HHS65599:HHS65601 HRO65599:HRO65601 IBK65599:IBK65601 ILG65599:ILG65601 IVC65599:IVC65601 JEY65599:JEY65601 JOU65599:JOU65601 JYQ65599:JYQ65601 KIM65599:KIM65601 KSI65599:KSI65601 LCE65599:LCE65601 LMA65599:LMA65601 LVW65599:LVW65601 MFS65599:MFS65601 MPO65599:MPO65601 MZK65599:MZK65601 NJG65599:NJG65601 NTC65599:NTC65601 OCY65599:OCY65601 OMU65599:OMU65601 OWQ65599:OWQ65601 PGM65599:PGM65601 PQI65599:PQI65601 QAE65599:QAE65601 QKA65599:QKA65601 QTW65599:QTW65601 RDS65599:RDS65601 RNO65599:RNO65601 RXK65599:RXK65601 SHG65599:SHG65601 SRC65599:SRC65601 TAY65599:TAY65601 TKU65599:TKU65601 TUQ65599:TUQ65601 UEM65599:UEM65601 UOI65599:UOI65601 UYE65599:UYE65601 VIA65599:VIA65601 VRW65599:VRW65601 WBS65599:WBS65601 WLO65599:WLO65601 WVK65599:WVK65601 C131135:C131137 IY131135:IY131137 SU131135:SU131137 ACQ131135:ACQ131137 AMM131135:AMM131137 AWI131135:AWI131137 BGE131135:BGE131137 BQA131135:BQA131137 BZW131135:BZW131137 CJS131135:CJS131137 CTO131135:CTO131137 DDK131135:DDK131137 DNG131135:DNG131137 DXC131135:DXC131137 EGY131135:EGY131137 EQU131135:EQU131137 FAQ131135:FAQ131137 FKM131135:FKM131137 FUI131135:FUI131137 GEE131135:GEE131137 GOA131135:GOA131137 GXW131135:GXW131137 HHS131135:HHS131137 HRO131135:HRO131137 IBK131135:IBK131137 ILG131135:ILG131137 IVC131135:IVC131137 JEY131135:JEY131137 JOU131135:JOU131137 JYQ131135:JYQ131137 KIM131135:KIM131137 KSI131135:KSI131137 LCE131135:LCE131137 LMA131135:LMA131137 LVW131135:LVW131137 MFS131135:MFS131137 MPO131135:MPO131137 MZK131135:MZK131137 NJG131135:NJG131137 NTC131135:NTC131137 OCY131135:OCY131137 OMU131135:OMU131137 OWQ131135:OWQ131137 PGM131135:PGM131137 PQI131135:PQI131137 QAE131135:QAE131137 QKA131135:QKA131137 QTW131135:QTW131137 RDS131135:RDS131137 RNO131135:RNO131137 RXK131135:RXK131137 SHG131135:SHG131137 SRC131135:SRC131137 TAY131135:TAY131137 TKU131135:TKU131137 TUQ131135:TUQ131137 UEM131135:UEM131137 UOI131135:UOI131137 UYE131135:UYE131137 VIA131135:VIA131137 VRW131135:VRW131137 WBS131135:WBS131137 WLO131135:WLO131137 WVK131135:WVK131137 C196671:C196673 IY196671:IY196673 SU196671:SU196673 ACQ196671:ACQ196673 AMM196671:AMM196673 AWI196671:AWI196673 BGE196671:BGE196673 BQA196671:BQA196673 BZW196671:BZW196673 CJS196671:CJS196673 CTO196671:CTO196673 DDK196671:DDK196673 DNG196671:DNG196673 DXC196671:DXC196673 EGY196671:EGY196673 EQU196671:EQU196673 FAQ196671:FAQ196673 FKM196671:FKM196673 FUI196671:FUI196673 GEE196671:GEE196673 GOA196671:GOA196673 GXW196671:GXW196673 HHS196671:HHS196673 HRO196671:HRO196673 IBK196671:IBK196673 ILG196671:ILG196673 IVC196671:IVC196673 JEY196671:JEY196673 JOU196671:JOU196673 JYQ196671:JYQ196673 KIM196671:KIM196673 KSI196671:KSI196673 LCE196671:LCE196673 LMA196671:LMA196673 LVW196671:LVW196673 MFS196671:MFS196673 MPO196671:MPO196673 MZK196671:MZK196673 NJG196671:NJG196673 NTC196671:NTC196673 OCY196671:OCY196673 OMU196671:OMU196673 OWQ196671:OWQ196673 PGM196671:PGM196673 PQI196671:PQI196673 QAE196671:QAE196673 QKA196671:QKA196673 QTW196671:QTW196673 RDS196671:RDS196673 RNO196671:RNO196673 RXK196671:RXK196673 SHG196671:SHG196673 SRC196671:SRC196673 TAY196671:TAY196673 TKU196671:TKU196673 TUQ196671:TUQ196673 UEM196671:UEM196673 UOI196671:UOI196673 UYE196671:UYE196673 VIA196671:VIA196673 VRW196671:VRW196673 WBS196671:WBS196673 WLO196671:WLO196673 WVK196671:WVK196673 C262207:C262209 IY262207:IY262209 SU262207:SU262209 ACQ262207:ACQ262209 AMM262207:AMM262209 AWI262207:AWI262209 BGE262207:BGE262209 BQA262207:BQA262209 BZW262207:BZW262209 CJS262207:CJS262209 CTO262207:CTO262209 DDK262207:DDK262209 DNG262207:DNG262209 DXC262207:DXC262209 EGY262207:EGY262209 EQU262207:EQU262209 FAQ262207:FAQ262209 FKM262207:FKM262209 FUI262207:FUI262209 GEE262207:GEE262209 GOA262207:GOA262209 GXW262207:GXW262209 HHS262207:HHS262209 HRO262207:HRO262209 IBK262207:IBK262209 ILG262207:ILG262209 IVC262207:IVC262209 JEY262207:JEY262209 JOU262207:JOU262209 JYQ262207:JYQ262209 KIM262207:KIM262209 KSI262207:KSI262209 LCE262207:LCE262209 LMA262207:LMA262209 LVW262207:LVW262209 MFS262207:MFS262209 MPO262207:MPO262209 MZK262207:MZK262209 NJG262207:NJG262209 NTC262207:NTC262209 OCY262207:OCY262209 OMU262207:OMU262209 OWQ262207:OWQ262209 PGM262207:PGM262209 PQI262207:PQI262209 QAE262207:QAE262209 QKA262207:QKA262209 QTW262207:QTW262209 RDS262207:RDS262209 RNO262207:RNO262209 RXK262207:RXK262209 SHG262207:SHG262209 SRC262207:SRC262209 TAY262207:TAY262209 TKU262207:TKU262209 TUQ262207:TUQ262209 UEM262207:UEM262209 UOI262207:UOI262209 UYE262207:UYE262209 VIA262207:VIA262209 VRW262207:VRW262209 WBS262207:WBS262209 WLO262207:WLO262209 WVK262207:WVK262209 C327743:C327745 IY327743:IY327745 SU327743:SU327745 ACQ327743:ACQ327745 AMM327743:AMM327745 AWI327743:AWI327745 BGE327743:BGE327745 BQA327743:BQA327745 BZW327743:BZW327745 CJS327743:CJS327745 CTO327743:CTO327745 DDK327743:DDK327745 DNG327743:DNG327745 DXC327743:DXC327745 EGY327743:EGY327745 EQU327743:EQU327745 FAQ327743:FAQ327745 FKM327743:FKM327745 FUI327743:FUI327745 GEE327743:GEE327745 GOA327743:GOA327745 GXW327743:GXW327745 HHS327743:HHS327745 HRO327743:HRO327745 IBK327743:IBK327745 ILG327743:ILG327745 IVC327743:IVC327745 JEY327743:JEY327745 JOU327743:JOU327745 JYQ327743:JYQ327745 KIM327743:KIM327745 KSI327743:KSI327745 LCE327743:LCE327745 LMA327743:LMA327745 LVW327743:LVW327745 MFS327743:MFS327745 MPO327743:MPO327745 MZK327743:MZK327745 NJG327743:NJG327745 NTC327743:NTC327745 OCY327743:OCY327745 OMU327743:OMU327745 OWQ327743:OWQ327745 PGM327743:PGM327745 PQI327743:PQI327745 QAE327743:QAE327745 QKA327743:QKA327745 QTW327743:QTW327745 RDS327743:RDS327745 RNO327743:RNO327745 RXK327743:RXK327745 SHG327743:SHG327745 SRC327743:SRC327745 TAY327743:TAY327745 TKU327743:TKU327745 TUQ327743:TUQ327745 UEM327743:UEM327745 UOI327743:UOI327745 UYE327743:UYE327745 VIA327743:VIA327745 VRW327743:VRW327745 WBS327743:WBS327745 WLO327743:WLO327745 WVK327743:WVK327745 C393279:C393281 IY393279:IY393281 SU393279:SU393281 ACQ393279:ACQ393281 AMM393279:AMM393281 AWI393279:AWI393281 BGE393279:BGE393281 BQA393279:BQA393281 BZW393279:BZW393281 CJS393279:CJS393281 CTO393279:CTO393281 DDK393279:DDK393281 DNG393279:DNG393281 DXC393279:DXC393281 EGY393279:EGY393281 EQU393279:EQU393281 FAQ393279:FAQ393281 FKM393279:FKM393281 FUI393279:FUI393281 GEE393279:GEE393281 GOA393279:GOA393281 GXW393279:GXW393281 HHS393279:HHS393281 HRO393279:HRO393281 IBK393279:IBK393281 ILG393279:ILG393281 IVC393279:IVC393281 JEY393279:JEY393281 JOU393279:JOU393281 JYQ393279:JYQ393281 KIM393279:KIM393281 KSI393279:KSI393281 LCE393279:LCE393281 LMA393279:LMA393281 LVW393279:LVW393281 MFS393279:MFS393281 MPO393279:MPO393281 MZK393279:MZK393281 NJG393279:NJG393281 NTC393279:NTC393281 OCY393279:OCY393281 OMU393279:OMU393281 OWQ393279:OWQ393281 PGM393279:PGM393281 PQI393279:PQI393281 QAE393279:QAE393281 QKA393279:QKA393281 QTW393279:QTW393281 RDS393279:RDS393281 RNO393279:RNO393281 RXK393279:RXK393281 SHG393279:SHG393281 SRC393279:SRC393281 TAY393279:TAY393281 TKU393279:TKU393281 TUQ393279:TUQ393281 UEM393279:UEM393281 UOI393279:UOI393281 UYE393279:UYE393281 VIA393279:VIA393281 VRW393279:VRW393281 WBS393279:WBS393281 WLO393279:WLO393281 WVK393279:WVK393281 C458815:C458817 IY458815:IY458817 SU458815:SU458817 ACQ458815:ACQ458817 AMM458815:AMM458817 AWI458815:AWI458817 BGE458815:BGE458817 BQA458815:BQA458817 BZW458815:BZW458817 CJS458815:CJS458817 CTO458815:CTO458817 DDK458815:DDK458817 DNG458815:DNG458817 DXC458815:DXC458817 EGY458815:EGY458817 EQU458815:EQU458817 FAQ458815:FAQ458817 FKM458815:FKM458817 FUI458815:FUI458817 GEE458815:GEE458817 GOA458815:GOA458817 GXW458815:GXW458817 HHS458815:HHS458817 HRO458815:HRO458817 IBK458815:IBK458817 ILG458815:ILG458817 IVC458815:IVC458817 JEY458815:JEY458817 JOU458815:JOU458817 JYQ458815:JYQ458817 KIM458815:KIM458817 KSI458815:KSI458817 LCE458815:LCE458817 LMA458815:LMA458817 LVW458815:LVW458817 MFS458815:MFS458817 MPO458815:MPO458817 MZK458815:MZK458817 NJG458815:NJG458817 NTC458815:NTC458817 OCY458815:OCY458817 OMU458815:OMU458817 OWQ458815:OWQ458817 PGM458815:PGM458817 PQI458815:PQI458817 QAE458815:QAE458817 QKA458815:QKA458817 QTW458815:QTW458817 RDS458815:RDS458817 RNO458815:RNO458817 RXK458815:RXK458817 SHG458815:SHG458817 SRC458815:SRC458817 TAY458815:TAY458817 TKU458815:TKU458817 TUQ458815:TUQ458817 UEM458815:UEM458817 UOI458815:UOI458817 UYE458815:UYE458817 VIA458815:VIA458817 VRW458815:VRW458817 WBS458815:WBS458817 WLO458815:WLO458817 WVK458815:WVK458817 C524351:C524353 IY524351:IY524353 SU524351:SU524353 ACQ524351:ACQ524353 AMM524351:AMM524353 AWI524351:AWI524353 BGE524351:BGE524353 BQA524351:BQA524353 BZW524351:BZW524353 CJS524351:CJS524353 CTO524351:CTO524353 DDK524351:DDK524353 DNG524351:DNG524353 DXC524351:DXC524353 EGY524351:EGY524353 EQU524351:EQU524353 FAQ524351:FAQ524353 FKM524351:FKM524353 FUI524351:FUI524353 GEE524351:GEE524353 GOA524351:GOA524353 GXW524351:GXW524353 HHS524351:HHS524353 HRO524351:HRO524353 IBK524351:IBK524353 ILG524351:ILG524353 IVC524351:IVC524353 JEY524351:JEY524353 JOU524351:JOU524353 JYQ524351:JYQ524353 KIM524351:KIM524353 KSI524351:KSI524353 LCE524351:LCE524353 LMA524351:LMA524353 LVW524351:LVW524353 MFS524351:MFS524353 MPO524351:MPO524353 MZK524351:MZK524353 NJG524351:NJG524353 NTC524351:NTC524353 OCY524351:OCY524353 OMU524351:OMU524353 OWQ524351:OWQ524353 PGM524351:PGM524353 PQI524351:PQI524353 QAE524351:QAE524353 QKA524351:QKA524353 QTW524351:QTW524353 RDS524351:RDS524353 RNO524351:RNO524353 RXK524351:RXK524353 SHG524351:SHG524353 SRC524351:SRC524353 TAY524351:TAY524353 TKU524351:TKU524353 TUQ524351:TUQ524353 UEM524351:UEM524353 UOI524351:UOI524353 UYE524351:UYE524353 VIA524351:VIA524353 VRW524351:VRW524353 WBS524351:WBS524353 WLO524351:WLO524353 WVK524351:WVK524353 C589887:C589889 IY589887:IY589889 SU589887:SU589889 ACQ589887:ACQ589889 AMM589887:AMM589889 AWI589887:AWI589889 BGE589887:BGE589889 BQA589887:BQA589889 BZW589887:BZW589889 CJS589887:CJS589889 CTO589887:CTO589889 DDK589887:DDK589889 DNG589887:DNG589889 DXC589887:DXC589889 EGY589887:EGY589889 EQU589887:EQU589889 FAQ589887:FAQ589889 FKM589887:FKM589889 FUI589887:FUI589889 GEE589887:GEE589889 GOA589887:GOA589889 GXW589887:GXW589889 HHS589887:HHS589889 HRO589887:HRO589889 IBK589887:IBK589889 ILG589887:ILG589889 IVC589887:IVC589889 JEY589887:JEY589889 JOU589887:JOU589889 JYQ589887:JYQ589889 KIM589887:KIM589889 KSI589887:KSI589889 LCE589887:LCE589889 LMA589887:LMA589889 LVW589887:LVW589889 MFS589887:MFS589889 MPO589887:MPO589889 MZK589887:MZK589889 NJG589887:NJG589889 NTC589887:NTC589889 OCY589887:OCY589889 OMU589887:OMU589889 OWQ589887:OWQ589889 PGM589887:PGM589889 PQI589887:PQI589889 QAE589887:QAE589889 QKA589887:QKA589889 QTW589887:QTW589889 RDS589887:RDS589889 RNO589887:RNO589889 RXK589887:RXK589889 SHG589887:SHG589889 SRC589887:SRC589889 TAY589887:TAY589889 TKU589887:TKU589889 TUQ589887:TUQ589889 UEM589887:UEM589889 UOI589887:UOI589889 UYE589887:UYE589889 VIA589887:VIA589889 VRW589887:VRW589889 WBS589887:WBS589889 WLO589887:WLO589889 WVK589887:WVK589889 C655423:C655425 IY655423:IY655425 SU655423:SU655425 ACQ655423:ACQ655425 AMM655423:AMM655425 AWI655423:AWI655425 BGE655423:BGE655425 BQA655423:BQA655425 BZW655423:BZW655425 CJS655423:CJS655425 CTO655423:CTO655425 DDK655423:DDK655425 DNG655423:DNG655425 DXC655423:DXC655425 EGY655423:EGY655425 EQU655423:EQU655425 FAQ655423:FAQ655425 FKM655423:FKM655425 FUI655423:FUI655425 GEE655423:GEE655425 GOA655423:GOA655425 GXW655423:GXW655425 HHS655423:HHS655425 HRO655423:HRO655425 IBK655423:IBK655425 ILG655423:ILG655425 IVC655423:IVC655425 JEY655423:JEY655425 JOU655423:JOU655425 JYQ655423:JYQ655425 KIM655423:KIM655425 KSI655423:KSI655425 LCE655423:LCE655425 LMA655423:LMA655425 LVW655423:LVW655425 MFS655423:MFS655425 MPO655423:MPO655425 MZK655423:MZK655425 NJG655423:NJG655425 NTC655423:NTC655425 OCY655423:OCY655425 OMU655423:OMU655425 OWQ655423:OWQ655425 PGM655423:PGM655425 PQI655423:PQI655425 QAE655423:QAE655425 QKA655423:QKA655425 QTW655423:QTW655425 RDS655423:RDS655425 RNO655423:RNO655425 RXK655423:RXK655425 SHG655423:SHG655425 SRC655423:SRC655425 TAY655423:TAY655425 TKU655423:TKU655425 TUQ655423:TUQ655425 UEM655423:UEM655425 UOI655423:UOI655425 UYE655423:UYE655425 VIA655423:VIA655425 VRW655423:VRW655425 WBS655423:WBS655425 WLO655423:WLO655425 WVK655423:WVK655425 C720959:C720961 IY720959:IY720961 SU720959:SU720961 ACQ720959:ACQ720961 AMM720959:AMM720961 AWI720959:AWI720961 BGE720959:BGE720961 BQA720959:BQA720961 BZW720959:BZW720961 CJS720959:CJS720961 CTO720959:CTO720961 DDK720959:DDK720961 DNG720959:DNG720961 DXC720959:DXC720961 EGY720959:EGY720961 EQU720959:EQU720961 FAQ720959:FAQ720961 FKM720959:FKM720961 FUI720959:FUI720961 GEE720959:GEE720961 GOA720959:GOA720961 GXW720959:GXW720961 HHS720959:HHS720961 HRO720959:HRO720961 IBK720959:IBK720961 ILG720959:ILG720961 IVC720959:IVC720961 JEY720959:JEY720961 JOU720959:JOU720961 JYQ720959:JYQ720961 KIM720959:KIM720961 KSI720959:KSI720961 LCE720959:LCE720961 LMA720959:LMA720961 LVW720959:LVW720961 MFS720959:MFS720961 MPO720959:MPO720961 MZK720959:MZK720961 NJG720959:NJG720961 NTC720959:NTC720961 OCY720959:OCY720961 OMU720959:OMU720961 OWQ720959:OWQ720961 PGM720959:PGM720961 PQI720959:PQI720961 QAE720959:QAE720961 QKA720959:QKA720961 QTW720959:QTW720961 RDS720959:RDS720961 RNO720959:RNO720961 RXK720959:RXK720961 SHG720959:SHG720961 SRC720959:SRC720961 TAY720959:TAY720961 TKU720959:TKU720961 TUQ720959:TUQ720961 UEM720959:UEM720961 UOI720959:UOI720961 UYE720959:UYE720961 VIA720959:VIA720961 VRW720959:VRW720961 WBS720959:WBS720961 WLO720959:WLO720961 WVK720959:WVK720961 C786495:C786497 IY786495:IY786497 SU786495:SU786497 ACQ786495:ACQ786497 AMM786495:AMM786497 AWI786495:AWI786497 BGE786495:BGE786497 BQA786495:BQA786497 BZW786495:BZW786497 CJS786495:CJS786497 CTO786495:CTO786497 DDK786495:DDK786497 DNG786495:DNG786497 DXC786495:DXC786497 EGY786495:EGY786497 EQU786495:EQU786497 FAQ786495:FAQ786497 FKM786495:FKM786497 FUI786495:FUI786497 GEE786495:GEE786497 GOA786495:GOA786497 GXW786495:GXW786497 HHS786495:HHS786497 HRO786495:HRO786497 IBK786495:IBK786497 ILG786495:ILG786497 IVC786495:IVC786497 JEY786495:JEY786497 JOU786495:JOU786497 JYQ786495:JYQ786497 KIM786495:KIM786497 KSI786495:KSI786497 LCE786495:LCE786497 LMA786495:LMA786497 LVW786495:LVW786497 MFS786495:MFS786497 MPO786495:MPO786497 MZK786495:MZK786497 NJG786495:NJG786497 NTC786495:NTC786497 OCY786495:OCY786497 OMU786495:OMU786497 OWQ786495:OWQ786497 PGM786495:PGM786497 PQI786495:PQI786497 QAE786495:QAE786497 QKA786495:QKA786497 QTW786495:QTW786497 RDS786495:RDS786497 RNO786495:RNO786497 RXK786495:RXK786497 SHG786495:SHG786497 SRC786495:SRC786497 TAY786495:TAY786497 TKU786495:TKU786497 TUQ786495:TUQ786497 UEM786495:UEM786497 UOI786495:UOI786497 UYE786495:UYE786497 VIA786495:VIA786497 VRW786495:VRW786497 WBS786495:WBS786497 WLO786495:WLO786497 WVK786495:WVK786497 C852031:C852033 IY852031:IY852033 SU852031:SU852033 ACQ852031:ACQ852033 AMM852031:AMM852033 AWI852031:AWI852033 BGE852031:BGE852033 BQA852031:BQA852033 BZW852031:BZW852033 CJS852031:CJS852033 CTO852031:CTO852033 DDK852031:DDK852033 DNG852031:DNG852033 DXC852031:DXC852033 EGY852031:EGY852033 EQU852031:EQU852033 FAQ852031:FAQ852033 FKM852031:FKM852033 FUI852031:FUI852033 GEE852031:GEE852033 GOA852031:GOA852033 GXW852031:GXW852033 HHS852031:HHS852033 HRO852031:HRO852033 IBK852031:IBK852033 ILG852031:ILG852033 IVC852031:IVC852033 JEY852031:JEY852033 JOU852031:JOU852033 JYQ852031:JYQ852033 KIM852031:KIM852033 KSI852031:KSI852033 LCE852031:LCE852033 LMA852031:LMA852033 LVW852031:LVW852033 MFS852031:MFS852033 MPO852031:MPO852033 MZK852031:MZK852033 NJG852031:NJG852033 NTC852031:NTC852033 OCY852031:OCY852033 OMU852031:OMU852033 OWQ852031:OWQ852033 PGM852031:PGM852033 PQI852031:PQI852033 QAE852031:QAE852033 QKA852031:QKA852033 QTW852031:QTW852033 RDS852031:RDS852033 RNO852031:RNO852033 RXK852031:RXK852033 SHG852031:SHG852033 SRC852031:SRC852033 TAY852031:TAY852033 TKU852031:TKU852033 TUQ852031:TUQ852033 UEM852031:UEM852033 UOI852031:UOI852033 UYE852031:UYE852033 VIA852031:VIA852033 VRW852031:VRW852033 WBS852031:WBS852033 WLO852031:WLO852033 WVK852031:WVK852033 C917567:C917569 IY917567:IY917569 SU917567:SU917569 ACQ917567:ACQ917569 AMM917567:AMM917569 AWI917567:AWI917569 BGE917567:BGE917569 BQA917567:BQA917569 BZW917567:BZW917569 CJS917567:CJS917569 CTO917567:CTO917569 DDK917567:DDK917569 DNG917567:DNG917569 DXC917567:DXC917569 EGY917567:EGY917569 EQU917567:EQU917569 FAQ917567:FAQ917569 FKM917567:FKM917569 FUI917567:FUI917569 GEE917567:GEE917569 GOA917567:GOA917569 GXW917567:GXW917569 HHS917567:HHS917569 HRO917567:HRO917569 IBK917567:IBK917569 ILG917567:ILG917569 IVC917567:IVC917569 JEY917567:JEY917569 JOU917567:JOU917569 JYQ917567:JYQ917569 KIM917567:KIM917569 KSI917567:KSI917569 LCE917567:LCE917569 LMA917567:LMA917569 LVW917567:LVW917569 MFS917567:MFS917569 MPO917567:MPO917569 MZK917567:MZK917569 NJG917567:NJG917569 NTC917567:NTC917569 OCY917567:OCY917569 OMU917567:OMU917569 OWQ917567:OWQ917569 PGM917567:PGM917569 PQI917567:PQI917569 QAE917567:QAE917569 QKA917567:QKA917569 QTW917567:QTW917569 RDS917567:RDS917569 RNO917567:RNO917569 RXK917567:RXK917569 SHG917567:SHG917569 SRC917567:SRC917569 TAY917567:TAY917569 TKU917567:TKU917569 TUQ917567:TUQ917569 UEM917567:UEM917569 UOI917567:UOI917569 UYE917567:UYE917569 VIA917567:VIA917569 VRW917567:VRW917569 WBS917567:WBS917569 WLO917567:WLO917569 WVK917567:WVK917569 C983103:C983105 IY983103:IY983105 SU983103:SU983105 ACQ983103:ACQ983105 AMM983103:AMM983105 AWI983103:AWI983105 BGE983103:BGE983105 BQA983103:BQA983105 BZW983103:BZW983105 CJS983103:CJS983105 CTO983103:CTO983105 DDK983103:DDK983105 DNG983103:DNG983105 DXC983103:DXC983105 EGY983103:EGY983105 EQU983103:EQU983105 FAQ983103:FAQ983105 FKM983103:FKM983105 FUI983103:FUI983105 GEE983103:GEE983105 GOA983103:GOA983105 GXW983103:GXW983105 HHS983103:HHS983105 HRO983103:HRO983105 IBK983103:IBK983105 ILG983103:ILG983105 IVC983103:IVC983105 JEY983103:JEY983105 JOU983103:JOU983105 JYQ983103:JYQ983105 KIM983103:KIM983105 KSI983103:KSI983105 LCE983103:LCE983105 LMA983103:LMA983105 LVW983103:LVW983105 MFS983103:MFS983105 MPO983103:MPO983105 MZK983103:MZK983105 NJG983103:NJG983105 NTC983103:NTC983105 OCY983103:OCY983105 OMU983103:OMU983105 OWQ983103:OWQ983105 PGM983103:PGM983105 PQI983103:PQI983105 QAE983103:QAE983105 QKA983103:QKA983105 QTW983103:QTW983105 RDS983103:RDS983105 RNO983103:RNO983105 RXK983103:RXK983105 SHG983103:SHG983105 SRC983103:SRC983105 TAY983103:TAY983105 TKU983103:TKU983105 TUQ983103:TUQ983105 UEM983103:UEM983105 UOI983103:UOI983105 UYE983103:UYE983105 VIA983103:VIA983105 VRW983103:VRW983105 WBS983103:WBS983105 WLO983103:WLO983105 WVK983103:WVK983105">
      <formula1>1</formula1>
      <formula2>1E+32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DSCR</vt:lpstr>
      <vt:lpstr>FOIR</vt:lpstr>
      <vt:lpstr>CC Drawing Power Calculation</vt:lpstr>
      <vt:lpstr>Bank Intrest Sheet Calculation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uttam</dc:creator>
  <cp:lastModifiedBy>uttam</cp:lastModifiedBy>
  <dcterms:created xsi:type="dcterms:W3CDTF">2019-08-16T01:03:44Z</dcterms:created>
  <dcterms:modified xsi:type="dcterms:W3CDTF">2019-08-20T06:29:35Z</dcterms:modified>
</cp:coreProperties>
</file>