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2"/>
  </bookViews>
  <sheets>
    <sheet name="Schedule II SLM DEP calculator" sheetId="4" r:id="rId1"/>
    <sheet name="Schedule II WDV Dep Calculator" sheetId="1" r:id="rId2"/>
    <sheet name="Depreciation as per IT Act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q">[1]RGIL!#REF!</definedName>
    <definedName name="\s">[1]RGIL!#REF!</definedName>
    <definedName name="____def1">'[2]defectives 5'!$A$1:$G$21</definedName>
    <definedName name="___def1">'[2]defectives 5'!$A$1:$G$21</definedName>
    <definedName name="__def1">'[2]defectives 5'!$A$1:$G$21</definedName>
    <definedName name="_def1">'[2]defectives 5'!$A$1:$G$21</definedName>
    <definedName name="_Fill" hidden="1">#REF!</definedName>
    <definedName name="_Key1" hidden="1">#REF!</definedName>
    <definedName name="_Order1" hidden="1">255</definedName>
    <definedName name="_Regression_Int" hidden="1">1</definedName>
    <definedName name="_Sort" hidden="1">#REF!</definedName>
    <definedName name="a">#REF!</definedName>
    <definedName name="ARCTE">'[3]Apr97-Jun97'!#REF!</definedName>
    <definedName name="b">#REF!</definedName>
    <definedName name="BARTOLINIX">'[3]Apr97-Jun97'!#REF!</definedName>
    <definedName name="BREMEN">'[3]Apr97-Jun97'!#REF!</definedName>
    <definedName name="BRUNBNOLI">#REF!</definedName>
    <definedName name="budget_1">"MONTHLY BUDGET FOR FIRST QUARTER 2000-2001"</definedName>
    <definedName name="budget_2">"MONTHLY BUDGET FOR THIRD QUARTER 1999-2000"</definedName>
    <definedName name="budget_3">"MONTHLY BUDGET FOR FOURTH QUARTER 1999-2000"</definedName>
    <definedName name="budget_ACT">" ACTUAL AVERAGE  FOR APRIL - SEPTEMBER 99"</definedName>
    <definedName name="budget_ACT1">" ACTUAL AVERAGE  FOR APRIL -FEBRUARY 2000"</definedName>
    <definedName name="CALZIFICIO">#REF!</definedName>
    <definedName name="CARABELLI">'[3]Apr97-Jun97'!#REF!</definedName>
    <definedName name="cashflow">#REF!</definedName>
    <definedName name="chhmail">#REF!</definedName>
    <definedName name="Chiplun_Drills">#REF!</definedName>
    <definedName name="Chiplun_Files">#REF!</definedName>
    <definedName name="COGECOT_COTTON">#REF!</definedName>
    <definedName name="Combined">#REF!</definedName>
    <definedName name="CONFEZIENI">#REF!</definedName>
    <definedName name="CONTONIFICIO">#REF!</definedName>
    <definedName name="COROTEX">#REF!</definedName>
    <definedName name="costperunit">#REF!</definedName>
    <definedName name="costperunit5">'[4]COST PU 5'!$A$2:$G$30:'[4]COST PU 5'!$K$21</definedName>
    <definedName name="COTTEN_TEX">#REF!</definedName>
    <definedName name="COTTON_AVAIL">#REF!</definedName>
    <definedName name="COTTONFICIO">#REF!</definedName>
    <definedName name="COUECOT">#REF!</definedName>
    <definedName name="DATA5">[5]BACKUP!#REF!</definedName>
    <definedName name="dd">[1]RGIL!#REF!</definedName>
    <definedName name="DEFECTIVE">#REF!</definedName>
    <definedName name="DIVITEX">#REF!</definedName>
    <definedName name="Drills_Combine">#REF!</definedName>
    <definedName name="ECUTEX">#REF!</definedName>
    <definedName name="ESSAR">#REF!</definedName>
    <definedName name="EURESTICK">#REF!</definedName>
    <definedName name="FRX">#REF!</definedName>
    <definedName name="G.T.N_PROCESSIN">#REF!</definedName>
    <definedName name="GARDA">'[3]Apr97-Jun97'!#REF!</definedName>
    <definedName name="GEETEAN_VINIYOG">#REF!</definedName>
    <definedName name="GOLDWIN">#REF!</definedName>
    <definedName name="GORIZIANA">'[3]Apr97-Jun97'!#REF!</definedName>
    <definedName name="GS_C">#REF!/100</definedName>
    <definedName name="GS_W">#REF!/100</definedName>
    <definedName name="HANIL">#REF!</definedName>
    <definedName name="IAFIL">#REF!</definedName>
    <definedName name="INDUSTRIE">#REF!</definedName>
    <definedName name="inventories">[6]inventories!#REF!</definedName>
    <definedName name="INVENTORIES1">[6]inventories!#REF!</definedName>
    <definedName name="inventories7">#REF!</definedName>
    <definedName name="INVENTORY">[6]inventories!#REF!</definedName>
    <definedName name="ITOCHU">#REF!</definedName>
    <definedName name="JJ">#REF!</definedName>
    <definedName name="khfl">'[7]Back-up'!$Q$1</definedName>
    <definedName name="l">#REF!</definedName>
    <definedName name="LANIFICIO">#REF!</definedName>
    <definedName name="MAGLIFICIO_FONT">#REF!</definedName>
    <definedName name="MANIFATTURA">#REF!</definedName>
    <definedName name="MD_COST2">25316.07</definedName>
    <definedName name="MD_W">#REF!/100</definedName>
    <definedName name="MONTEBELLOW">#REF!</definedName>
    <definedName name="MORARJEE">#REF!</definedName>
    <definedName name="OLDBRIDGE">#REF!</definedName>
    <definedName name="PATSPIN">#REF!</definedName>
    <definedName name="PERFECT_SPINNER">#REF!</definedName>
    <definedName name="PIOVANO">'[3]Apr97-Jun97'!#REF!</definedName>
    <definedName name="Pithampur_Drills">#REF!</definedName>
    <definedName name="Pithampur_Files">#REF!</definedName>
    <definedName name="Pithampur_RM">#REF!</definedName>
    <definedName name="PNT" hidden="1">{"PRINT1_STOCK",#N/A,FALSE,"Mar98(AS11)"}</definedName>
    <definedName name="_xlnm.Print_Area">#REF!</definedName>
    <definedName name="PRINTFEB97">#REF!</definedName>
    <definedName name="PROFIT">#REF!</definedName>
    <definedName name="profit6">#REF!</definedName>
    <definedName name="PSM">#REF!</definedName>
    <definedName name="pt.3">#REF!</definedName>
    <definedName name="qty_rec">#REF!</definedName>
    <definedName name="Ratnagiri">#REF!</definedName>
    <definedName name="REC_MAR97">#REF!</definedName>
    <definedName name="receivables8">#REF!</definedName>
    <definedName name="revenueqtr3">#REF!</definedName>
    <definedName name="revenueYTD4">#REF!</definedName>
    <definedName name="rf">#REF!</definedName>
    <definedName name="SD_COST2">37071.04</definedName>
    <definedName name="SG_COST2">23680.05</definedName>
    <definedName name="SG_W">#REF!/100</definedName>
    <definedName name="SHAD">#REF!</definedName>
    <definedName name="SHD">#REF!</definedName>
    <definedName name="SODFIL">#REF!</definedName>
    <definedName name="STOCK">#REF!</definedName>
    <definedName name="t">#REF!</definedName>
    <definedName name="TEMP2">#REF!</definedName>
    <definedName name="TESSITURA">#REF!</definedName>
    <definedName name="Thane">#REF!</definedName>
    <definedName name="TLBL">#REF!</definedName>
    <definedName name="upto">"AVERAGE 1997-98."</definedName>
    <definedName name="waste_rec">#REF!</definedName>
    <definedName name="wrn.PRINT1." hidden="1">{"PRINT1_STOCK",#N/A,FALSE,"Mar98(AS11)"}</definedName>
    <definedName name="wrn.PRINT2." hidden="1">{"PRINT1",#N/A,FALSE,"Mar98WO(AS11)"}</definedName>
    <definedName name="xyz">'[2]inventory 8'!$A$1:$G$27</definedName>
  </definedNames>
  <calcPr calcId="125725"/>
</workbook>
</file>

<file path=xl/calcChain.xml><?xml version="1.0" encoding="utf-8"?>
<calcChain xmlns="http://schemas.openxmlformats.org/spreadsheetml/2006/main">
  <c r="I4" i="1"/>
  <c r="D13"/>
  <c r="G13" i="2"/>
  <c r="F13"/>
  <c r="G12"/>
  <c r="F12"/>
  <c r="H13"/>
  <c r="H12"/>
  <c r="H11"/>
  <c r="H10"/>
  <c r="H9"/>
  <c r="G11"/>
  <c r="F11"/>
  <c r="I55"/>
  <c r="E55"/>
  <c r="D55"/>
  <c r="I48"/>
  <c r="E48"/>
  <c r="D48"/>
  <c r="I40"/>
  <c r="I33"/>
  <c r="E40"/>
  <c r="D40"/>
  <c r="D33"/>
  <c r="F10" s="1"/>
  <c r="E33"/>
  <c r="G10" s="1"/>
  <c r="I26"/>
  <c r="D26"/>
  <c r="D22"/>
  <c r="E24"/>
  <c r="E26" s="1"/>
  <c r="G9" s="1"/>
  <c r="E15"/>
  <c r="J14"/>
  <c r="I14"/>
  <c r="I13" l="1"/>
  <c r="J12"/>
  <c r="K12" s="1"/>
  <c r="J13"/>
  <c r="K13" s="1"/>
  <c r="I12"/>
  <c r="H15"/>
  <c r="I9"/>
  <c r="I11"/>
  <c r="J11"/>
  <c r="K11" s="1"/>
  <c r="F15"/>
  <c r="J10"/>
  <c r="I10"/>
  <c r="G15"/>
  <c r="J9"/>
  <c r="K14"/>
  <c r="K10" l="1"/>
  <c r="J15"/>
  <c r="I15"/>
  <c r="K9"/>
  <c r="K15" l="1"/>
  <c r="K4" i="1" l="1"/>
  <c r="G4"/>
  <c r="H4" s="1"/>
  <c r="D7"/>
  <c r="D12"/>
  <c r="D14" s="1"/>
  <c r="D15" s="1"/>
  <c r="D9"/>
  <c r="G9" i="4"/>
  <c r="M11"/>
  <c r="G5"/>
  <c r="C1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D35" s="1"/>
  <c r="G11"/>
  <c r="E12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E37" s="1"/>
  <c r="E38" s="1"/>
  <c r="E39" s="1"/>
  <c r="E40" s="1"/>
  <c r="E41" s="1"/>
  <c r="E42" s="1"/>
  <c r="E43" s="1"/>
  <c r="E44" s="1"/>
  <c r="E45" s="1"/>
  <c r="D16" i="1" l="1"/>
  <c r="J14" s="1"/>
  <c r="I5"/>
  <c r="I6" s="1"/>
  <c r="I7" s="1"/>
  <c r="D11"/>
  <c r="G5"/>
  <c r="B35" i="4"/>
  <c r="C36"/>
  <c r="D36" s="1"/>
  <c r="D16"/>
  <c r="D24"/>
  <c r="D28"/>
  <c r="D11"/>
  <c r="D15"/>
  <c r="B15" s="1"/>
  <c r="D19"/>
  <c r="D23"/>
  <c r="B23" s="1"/>
  <c r="D27"/>
  <c r="D31"/>
  <c r="D12"/>
  <c r="D20"/>
  <c r="B20" s="1"/>
  <c r="D32"/>
  <c r="D14"/>
  <c r="B14" s="1"/>
  <c r="D18"/>
  <c r="B18" s="1"/>
  <c r="D22"/>
  <c r="B22" s="1"/>
  <c r="D26"/>
  <c r="B26" s="1"/>
  <c r="D30"/>
  <c r="B30" s="1"/>
  <c r="D34"/>
  <c r="B34" s="1"/>
  <c r="D13"/>
  <c r="B13" s="1"/>
  <c r="D17"/>
  <c r="B17" s="1"/>
  <c r="D21"/>
  <c r="D25"/>
  <c r="B25" s="1"/>
  <c r="D29"/>
  <c r="B29" s="1"/>
  <c r="D33"/>
  <c r="B33" s="1"/>
  <c r="G12"/>
  <c r="H12" s="1"/>
  <c r="H11"/>
  <c r="J26" i="1" l="1"/>
  <c r="J16"/>
  <c r="J10"/>
  <c r="D17"/>
  <c r="J27"/>
  <c r="J25"/>
  <c r="J11"/>
  <c r="J12"/>
  <c r="J23"/>
  <c r="J22"/>
  <c r="J13"/>
  <c r="J8"/>
  <c r="J24"/>
  <c r="J19"/>
  <c r="J17"/>
  <c r="J18"/>
  <c r="J21"/>
  <c r="J7"/>
  <c r="J6"/>
  <c r="J5"/>
  <c r="J4"/>
  <c r="L4" s="1"/>
  <c r="M4" s="1"/>
  <c r="K5" s="1"/>
  <c r="J20"/>
  <c r="J15"/>
  <c r="J9"/>
  <c r="I8"/>
  <c r="I9" s="1"/>
  <c r="I10" s="1"/>
  <c r="H5"/>
  <c r="F4" s="1"/>
  <c r="G6"/>
  <c r="B11" i="4"/>
  <c r="B21"/>
  <c r="B32"/>
  <c r="B27"/>
  <c r="B28"/>
  <c r="B31"/>
  <c r="B16"/>
  <c r="B12"/>
  <c r="B19"/>
  <c r="B24"/>
  <c r="C37"/>
  <c r="D37" s="1"/>
  <c r="I11"/>
  <c r="G13"/>
  <c r="G14" s="1"/>
  <c r="H14" s="1"/>
  <c r="I12"/>
  <c r="L5" i="1" l="1"/>
  <c r="M5" s="1"/>
  <c r="K6" s="1"/>
  <c r="L6" s="1"/>
  <c r="M6" s="1"/>
  <c r="K7" s="1"/>
  <c r="L7" s="1"/>
  <c r="M7" s="1"/>
  <c r="K8" s="1"/>
  <c r="L8" s="1"/>
  <c r="M8" s="1"/>
  <c r="K9" s="1"/>
  <c r="G7"/>
  <c r="H6"/>
  <c r="F5" s="1"/>
  <c r="I11"/>
  <c r="B36" i="4"/>
  <c r="C38"/>
  <c r="D38" s="1"/>
  <c r="B37" s="1"/>
  <c r="H13"/>
  <c r="G15"/>
  <c r="G16" s="1"/>
  <c r="H16" s="1"/>
  <c r="G8" i="1" l="1"/>
  <c r="H7"/>
  <c r="F6" s="1"/>
  <c r="L9"/>
  <c r="M9" s="1"/>
  <c r="K10" s="1"/>
  <c r="I12"/>
  <c r="I13" s="1"/>
  <c r="C39" i="4"/>
  <c r="D39" s="1"/>
  <c r="B38" s="1"/>
  <c r="I14"/>
  <c r="H15"/>
  <c r="I16" s="1"/>
  <c r="I13"/>
  <c r="G17"/>
  <c r="H17" s="1"/>
  <c r="G9" i="1" l="1"/>
  <c r="H8"/>
  <c r="L10"/>
  <c r="M10" s="1"/>
  <c r="K11" s="1"/>
  <c r="I14"/>
  <c r="I15" s="1"/>
  <c r="B39" i="4"/>
  <c r="C40"/>
  <c r="D40" s="1"/>
  <c r="I15"/>
  <c r="G18"/>
  <c r="I17"/>
  <c r="F8" i="1" l="1"/>
  <c r="F7"/>
  <c r="G10"/>
  <c r="H9"/>
  <c r="L11"/>
  <c r="M11" s="1"/>
  <c r="K12" s="1"/>
  <c r="I16"/>
  <c r="I17" s="1"/>
  <c r="I18" s="1"/>
  <c r="I19" s="1"/>
  <c r="I20" s="1"/>
  <c r="I21" s="1"/>
  <c r="I22" s="1"/>
  <c r="I23" s="1"/>
  <c r="I24" s="1"/>
  <c r="I25" s="1"/>
  <c r="I26" s="1"/>
  <c r="I27" s="1"/>
  <c r="C41" i="4"/>
  <c r="D41" s="1"/>
  <c r="B40" s="1"/>
  <c r="H18"/>
  <c r="G19"/>
  <c r="H19" s="1"/>
  <c r="H10" i="1" l="1"/>
  <c r="F9" s="1"/>
  <c r="G11"/>
  <c r="L12"/>
  <c r="M12" s="1"/>
  <c r="K13" s="1"/>
  <c r="C42" i="4"/>
  <c r="D42" s="1"/>
  <c r="I18"/>
  <c r="G20"/>
  <c r="H20" s="1"/>
  <c r="I20" s="1"/>
  <c r="I19"/>
  <c r="G12" i="1" l="1"/>
  <c r="H11"/>
  <c r="F10" s="1"/>
  <c r="L13"/>
  <c r="M13" s="1"/>
  <c r="K14" s="1"/>
  <c r="L14" s="1"/>
  <c r="B41" i="4"/>
  <c r="C43"/>
  <c r="C44" s="1"/>
  <c r="G21"/>
  <c r="H21" s="1"/>
  <c r="H12" i="1" l="1"/>
  <c r="G13"/>
  <c r="M14"/>
  <c r="K15" s="1"/>
  <c r="D43" i="4"/>
  <c r="D44"/>
  <c r="B44" s="1"/>
  <c r="C45"/>
  <c r="D45" s="1"/>
  <c r="G22"/>
  <c r="G23" s="1"/>
  <c r="I21"/>
  <c r="F12" i="1" l="1"/>
  <c r="F11"/>
  <c r="G14"/>
  <c r="H13"/>
  <c r="L15"/>
  <c r="M15" s="1"/>
  <c r="K16" s="1"/>
  <c r="B45" i="4"/>
  <c r="L12"/>
  <c r="L13"/>
  <c r="B43"/>
  <c r="B42"/>
  <c r="H22"/>
  <c r="I22" s="1"/>
  <c r="H23"/>
  <c r="G24"/>
  <c r="G15" i="1" l="1"/>
  <c r="H14"/>
  <c r="F13" s="1"/>
  <c r="L16"/>
  <c r="M16" s="1"/>
  <c r="K17" s="1"/>
  <c r="I23" i="4"/>
  <c r="H24"/>
  <c r="I24" s="1"/>
  <c r="G25"/>
  <c r="H15" i="1" l="1"/>
  <c r="F14" s="1"/>
  <c r="G16"/>
  <c r="L17"/>
  <c r="M17" s="1"/>
  <c r="K18" s="1"/>
  <c r="H25" i="4"/>
  <c r="I25" s="1"/>
  <c r="G26"/>
  <c r="H16" i="1" l="1"/>
  <c r="G17"/>
  <c r="L18"/>
  <c r="M18" s="1"/>
  <c r="K19" s="1"/>
  <c r="H26" i="4"/>
  <c r="I26" s="1"/>
  <c r="G27"/>
  <c r="H27" s="1"/>
  <c r="F16" i="1" l="1"/>
  <c r="F15"/>
  <c r="H17"/>
  <c r="G18"/>
  <c r="L19"/>
  <c r="M19" s="1"/>
  <c r="K20" s="1"/>
  <c r="G28" i="4"/>
  <c r="G29" s="1"/>
  <c r="I27"/>
  <c r="H18" i="1" l="1"/>
  <c r="F17" s="1"/>
  <c r="G19"/>
  <c r="L20"/>
  <c r="M20" s="1"/>
  <c r="K21" s="1"/>
  <c r="H28" i="4"/>
  <c r="I28" s="1"/>
  <c r="H29"/>
  <c r="G30"/>
  <c r="G20" i="1" l="1"/>
  <c r="H19"/>
  <c r="F18" s="1"/>
  <c r="L21"/>
  <c r="M21" s="1"/>
  <c r="K22" s="1"/>
  <c r="I29" i="4"/>
  <c r="H30"/>
  <c r="I30" s="1"/>
  <c r="G31"/>
  <c r="G21" i="1" l="1"/>
  <c r="H20"/>
  <c r="L22"/>
  <c r="M22" s="1"/>
  <c r="K23" s="1"/>
  <c r="G32" i="4"/>
  <c r="H31"/>
  <c r="I31" s="1"/>
  <c r="F20" i="1" l="1"/>
  <c r="F19"/>
  <c r="G22"/>
  <c r="H21"/>
  <c r="L23"/>
  <c r="M23" s="1"/>
  <c r="K24" s="1"/>
  <c r="G33" i="4"/>
  <c r="H32"/>
  <c r="I32" s="1"/>
  <c r="G23" i="1" l="1"/>
  <c r="H22"/>
  <c r="F21" s="1"/>
  <c r="L24"/>
  <c r="M24" s="1"/>
  <c r="K25" s="1"/>
  <c r="G34" i="4"/>
  <c r="H33"/>
  <c r="I33" s="1"/>
  <c r="G24" i="1" l="1"/>
  <c r="H23"/>
  <c r="F22" s="1"/>
  <c r="L25"/>
  <c r="M25" s="1"/>
  <c r="K26" s="1"/>
  <c r="G35" i="4"/>
  <c r="H34"/>
  <c r="I34" s="1"/>
  <c r="G25" i="1" l="1"/>
  <c r="H24"/>
  <c r="L26"/>
  <c r="M26" s="1"/>
  <c r="K27" s="1"/>
  <c r="H35" i="4"/>
  <c r="I35" s="1"/>
  <c r="G36"/>
  <c r="F24" i="1" l="1"/>
  <c r="F23"/>
  <c r="G26"/>
  <c r="H25"/>
  <c r="L27"/>
  <c r="M27" s="1"/>
  <c r="H36" i="4"/>
  <c r="I36" s="1"/>
  <c r="G37"/>
  <c r="G27" i="1" l="1"/>
  <c r="H27" s="1"/>
  <c r="F27" s="1"/>
  <c r="H26"/>
  <c r="F26" s="1"/>
  <c r="H37" i="4"/>
  <c r="I37" s="1"/>
  <c r="G38"/>
  <c r="F25" i="1" l="1"/>
  <c r="H38" i="4"/>
  <c r="I38" s="1"/>
  <c r="G39"/>
  <c r="H39" l="1"/>
  <c r="I39" s="1"/>
  <c r="G40"/>
  <c r="H40" s="1"/>
  <c r="I40" l="1"/>
  <c r="G41"/>
  <c r="H41" l="1"/>
  <c r="I41" s="1"/>
  <c r="G42"/>
  <c r="H42" l="1"/>
  <c r="I42" s="1"/>
  <c r="G43"/>
  <c r="H43" s="1"/>
  <c r="I43" l="1"/>
  <c r="G44"/>
  <c r="H44" l="1"/>
  <c r="I44" s="1"/>
  <c r="G45"/>
  <c r="H45" s="1"/>
  <c r="I45" l="1"/>
</calcChain>
</file>

<file path=xl/sharedStrings.xml><?xml version="1.0" encoding="utf-8"?>
<sst xmlns="http://schemas.openxmlformats.org/spreadsheetml/2006/main" count="171" uniqueCount="94">
  <si>
    <t>Current year days</t>
  </si>
  <si>
    <t>Total Days</t>
  </si>
  <si>
    <t>Number of years</t>
  </si>
  <si>
    <t>Closing date</t>
  </si>
  <si>
    <t>Date of purchase</t>
  </si>
  <si>
    <t>Scrap value</t>
  </si>
  <si>
    <t>Closing balance</t>
  </si>
  <si>
    <t>Depreciation</t>
  </si>
  <si>
    <t>Amount of purchase</t>
  </si>
  <si>
    <t>Year</t>
  </si>
  <si>
    <t>Year end</t>
  </si>
  <si>
    <t>nd year</t>
  </si>
  <si>
    <t>rd year</t>
  </si>
  <si>
    <t>th year</t>
  </si>
  <si>
    <t>st year</t>
  </si>
  <si>
    <t>Particulars</t>
  </si>
  <si>
    <t>Depreciation calculator</t>
  </si>
  <si>
    <t>Depreciation and WDV for 31.03.</t>
  </si>
  <si>
    <t>Is it a Leap Year ?</t>
  </si>
  <si>
    <t>no of Days</t>
  </si>
  <si>
    <r>
      <rPr>
        <b/>
        <sz val="10"/>
        <rFont val="Arial"/>
        <family val="2"/>
      </rPr>
      <t>Add</t>
    </r>
    <r>
      <rPr>
        <sz val="10"/>
        <rFont val="Arial"/>
        <family val="2"/>
      </rPr>
      <t xml:space="preserve"> below no of leap year in the life of the asset. (yes = 1 leap yr)</t>
    </r>
  </si>
  <si>
    <t>AS per Companies act based on no of years on SLM Basis</t>
  </si>
  <si>
    <t>WDV</t>
  </si>
  <si>
    <t>Note</t>
  </si>
  <si>
    <t>Enter the Purchase value in G-4 cell</t>
  </si>
  <si>
    <t>Enter the date of purchase and closing year of the date of purchase in Cell G-6 &amp; G-7</t>
  </si>
  <si>
    <t>Enter the life of the asset in Cell G-8</t>
  </si>
  <si>
    <t>Do not Enter anything in the colored cells</t>
  </si>
  <si>
    <t xml:space="preserve">Add no of leap year falling in the life of the asset in cell D8. Find in the B column if it is a leap year or not </t>
  </si>
  <si>
    <t>Date of Capitalization</t>
  </si>
  <si>
    <t>Gross Value</t>
  </si>
  <si>
    <t>Residual Value @ 5%</t>
  </si>
  <si>
    <t>Results for CY</t>
  </si>
  <si>
    <t>Life of the Asset</t>
  </si>
  <si>
    <t>Life in days</t>
  </si>
  <si>
    <t>Year End</t>
  </si>
  <si>
    <t>No of leap years</t>
  </si>
  <si>
    <t>Last Date of Asset</t>
  </si>
  <si>
    <t>Completed year of asset  
till the year ended</t>
  </si>
  <si>
    <t>Completed days in CY</t>
  </si>
  <si>
    <t>Expired life for rate purpose</t>
  </si>
  <si>
    <t>Balance life for Rate purpose</t>
  </si>
  <si>
    <t>Depreciation Rate</t>
  </si>
  <si>
    <t>Depreciation for the current year</t>
  </si>
  <si>
    <t>Year wise summary</t>
  </si>
  <si>
    <t>Year Ended</t>
  </si>
  <si>
    <t>No of Days</t>
  </si>
  <si>
    <t>Year ended</t>
  </si>
  <si>
    <t>Rate</t>
  </si>
  <si>
    <t>Closing WDV</t>
  </si>
  <si>
    <t>Opening/WDV</t>
  </si>
  <si>
    <t>Leap Year</t>
  </si>
  <si>
    <t>S.R No</t>
  </si>
  <si>
    <t>Depreciation calculator as per schedule II of Companies act. WDV mentod based on no life of the asset</t>
  </si>
  <si>
    <t>Notes</t>
  </si>
  <si>
    <t>Only fill white coloured cells</t>
  </si>
  <si>
    <t>In the last year the Closing value will not be</t>
  </si>
  <si>
    <t>equal to Residual value due to decimal rounding</t>
  </si>
  <si>
    <t>accordingly to make it equal to Residual value</t>
  </si>
  <si>
    <t>DEPRECIATION STATEMENT U/S. 32 OF THE INCOME TAX ACT, 1961.</t>
  </si>
  <si>
    <t>PARTICULARS</t>
  </si>
  <si>
    <t>Rate of</t>
  </si>
  <si>
    <t>W.D.V</t>
  </si>
  <si>
    <t>Additions</t>
  </si>
  <si>
    <t>Deletion</t>
  </si>
  <si>
    <t>Total</t>
  </si>
  <si>
    <t xml:space="preserve">Depreciation </t>
  </si>
  <si>
    <t xml:space="preserve">W.D.V </t>
  </si>
  <si>
    <t>as on</t>
  </si>
  <si>
    <t>More than</t>
  </si>
  <si>
    <t>Less than</t>
  </si>
  <si>
    <t xml:space="preserve">for the </t>
  </si>
  <si>
    <t xml:space="preserve">as on </t>
  </si>
  <si>
    <t>180 days</t>
  </si>
  <si>
    <t>year</t>
  </si>
  <si>
    <t>Rs.      Ps.</t>
  </si>
  <si>
    <t>Computer</t>
  </si>
  <si>
    <t xml:space="preserve">Intangible Assets </t>
  </si>
  <si>
    <t>Furniture</t>
  </si>
  <si>
    <t>10%</t>
  </si>
  <si>
    <t>Office Equipment</t>
  </si>
  <si>
    <t>15%</t>
  </si>
  <si>
    <t>Total…</t>
  </si>
  <si>
    <t>Motor Car</t>
  </si>
  <si>
    <t>XYZ PRIVATE LIMITED</t>
  </si>
  <si>
    <t xml:space="preserve">                                                                                                                                                          YEAR ENDED 31ST MARCH 2019   </t>
  </si>
  <si>
    <t>Addition details for Tax audit purpose</t>
  </si>
  <si>
    <t>&gt; 180 days</t>
  </si>
  <si>
    <t>&lt; 180 days</t>
  </si>
  <si>
    <t>Date of addition</t>
  </si>
  <si>
    <t>Intangible Assets</t>
  </si>
  <si>
    <t>Date of Deletion</t>
  </si>
  <si>
    <t>Amount(Rs)</t>
  </si>
  <si>
    <t xml:space="preserve">so, the last year or any previous year depreciation to be adjusted </t>
  </si>
</sst>
</file>

<file path=xl/styles.xml><?xml version="1.0" encoding="utf-8"?>
<styleSheet xmlns="http://schemas.openxmlformats.org/spreadsheetml/2006/main">
  <numFmts count="10">
    <numFmt numFmtId="43" formatCode="_ * #,##0.00_ ;_ * \-#,##0.00_ ;_ * &quot;-&quot;??_ ;_ @_ "/>
    <numFmt numFmtId="164" formatCode="_(* #,##0.00_);_(* \(#,##0.00\);_(* &quot;-&quot;??_);_(@_)"/>
    <numFmt numFmtId="165" formatCode="_ * #,##0_)_D_M_ ;_ * \(#,##0\)_D_M_ ;_ * &quot;-&quot;_)_D_M_ ;_ @_ "/>
    <numFmt numFmtId="166" formatCode="_-* #,##0_-;\-* #,##0_-;_-* &quot;-&quot;_-;_-@_-"/>
    <numFmt numFmtId="167" formatCode="0.00_)"/>
    <numFmt numFmtId="168" formatCode="0.00_);[Red]\(0.00\)"/>
    <numFmt numFmtId="169" formatCode="#,##0.00&quot;DM&quot;_);[Red]\(#,##0.00&quot;DM&quot;\)"/>
    <numFmt numFmtId="170" formatCode="mm/dd/yy"/>
    <numFmt numFmtId="171" formatCode="_ * #,##0_ ;_ * \-#,##0_ ;_ * &quot;-&quot;??_ ;_ @_ "/>
    <numFmt numFmtId="172" formatCode="_(* #,##0_);_(* \(#,##0\);_(* &quot;-&quot;??_);_(@_)"/>
  </numFmts>
  <fonts count="2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0"/>
      <name val="Courier"/>
      <family val="3"/>
    </font>
    <font>
      <sz val="9"/>
      <color indexed="10"/>
      <name val="Times New Roman"/>
      <family val="1"/>
    </font>
    <font>
      <sz val="11"/>
      <color indexed="8"/>
      <name val="Calibri"/>
      <family val="2"/>
    </font>
    <font>
      <sz val="10"/>
      <name val="MS Serif"/>
      <family val="1"/>
    </font>
    <font>
      <sz val="12"/>
      <name val="Helv"/>
    </font>
    <font>
      <sz val="10"/>
      <color indexed="16"/>
      <name val="MS Serif"/>
      <family val="1"/>
    </font>
    <font>
      <sz val="8"/>
      <name val="Arial"/>
      <family val="2"/>
    </font>
    <font>
      <b/>
      <u/>
      <sz val="1"/>
      <color indexed="8"/>
      <name val="Courier"/>
      <family val="3"/>
    </font>
    <font>
      <b/>
      <sz val="12"/>
      <name val="Arial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sz val="7"/>
      <name val="Small Fonts"/>
      <family val="2"/>
    </font>
    <font>
      <sz val="8"/>
      <name val="Helv"/>
    </font>
    <font>
      <b/>
      <sz val="8"/>
      <color indexed="8"/>
      <name val="Helv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u/>
      <sz val="11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10"/>
      <color indexed="8"/>
      <name val="Book Antiqua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FF99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0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5" fontId="3" fillId="0" borderId="0" applyFill="0" applyBorder="0" applyAlignment="0"/>
    <xf numFmtId="166" fontId="4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Alignment="0">
      <alignment horizontal="left"/>
    </xf>
    <xf numFmtId="167" fontId="7" fillId="0" borderId="0"/>
    <xf numFmtId="0" fontId="8" fillId="0" borderId="0" applyNumberFormat="0" applyAlignment="0">
      <alignment horizontal="left"/>
    </xf>
    <xf numFmtId="168" fontId="1" fillId="0" borderId="0">
      <protection locked="0"/>
    </xf>
    <xf numFmtId="168" fontId="1" fillId="0" borderId="0">
      <protection locked="0"/>
    </xf>
    <xf numFmtId="168" fontId="1" fillId="0" borderId="0">
      <protection locked="0"/>
    </xf>
    <xf numFmtId="168" fontId="1" fillId="0" borderId="0">
      <protection locked="0"/>
    </xf>
    <xf numFmtId="168" fontId="1" fillId="0" borderId="0">
      <protection locked="0"/>
    </xf>
    <xf numFmtId="168" fontId="1" fillId="0" borderId="0">
      <protection locked="0"/>
    </xf>
    <xf numFmtId="168" fontId="1" fillId="0" borderId="0">
      <protection locked="0"/>
    </xf>
    <xf numFmtId="38" fontId="9" fillId="2" borderId="0" applyNumberFormat="0" applyBorder="0" applyAlignment="0" applyProtection="0"/>
    <xf numFmtId="0" fontId="10" fillId="0" borderId="0">
      <protection locked="0"/>
    </xf>
    <xf numFmtId="0" fontId="10" fillId="0" borderId="0">
      <protection locked="0"/>
    </xf>
    <xf numFmtId="0" fontId="11" fillId="0" borderId="1" applyNumberFormat="0" applyAlignment="0" applyProtection="0">
      <alignment horizontal="left" vertical="center"/>
    </xf>
    <xf numFmtId="0" fontId="11" fillId="0" borderId="2">
      <alignment horizontal="left" vertical="center"/>
    </xf>
    <xf numFmtId="0" fontId="12" fillId="0" borderId="0">
      <protection locked="0"/>
    </xf>
    <xf numFmtId="0" fontId="10" fillId="0" borderId="0"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0" fontId="9" fillId="3" borderId="3" applyNumberFormat="0" applyBorder="0" applyAlignment="0" applyProtection="0"/>
    <xf numFmtId="37" fontId="14" fillId="0" borderId="0"/>
    <xf numFmtId="169" fontId="3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1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5" fillId="0" borderId="0" applyNumberFormat="0" applyFill="0" applyBorder="0" applyAlignment="0" applyProtection="0">
      <alignment horizontal="left"/>
    </xf>
    <xf numFmtId="40" fontId="16" fillId="0" borderId="0" applyBorder="0">
      <alignment horizontal="right"/>
    </xf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175">
    <xf numFmtId="0" fontId="0" fillId="0" borderId="0" xfId="0"/>
    <xf numFmtId="0" fontId="1" fillId="4" borderId="8" xfId="1" applyFill="1" applyBorder="1" applyAlignment="1">
      <alignment horizontal="center"/>
    </xf>
    <xf numFmtId="0" fontId="1" fillId="4" borderId="7" xfId="1" applyFill="1" applyBorder="1" applyAlignment="1"/>
    <xf numFmtId="0" fontId="19" fillId="4" borderId="36" xfId="1" applyFont="1" applyFill="1" applyBorder="1"/>
    <xf numFmtId="0" fontId="19" fillId="4" borderId="37" xfId="1" applyFont="1" applyFill="1" applyBorder="1"/>
    <xf numFmtId="0" fontId="19" fillId="4" borderId="38" xfId="1" applyFont="1" applyFill="1" applyBorder="1"/>
    <xf numFmtId="0" fontId="1" fillId="4" borderId="40" xfId="1" applyFill="1" applyBorder="1" applyAlignment="1"/>
    <xf numFmtId="0" fontId="1" fillId="4" borderId="41" xfId="1" applyFill="1" applyBorder="1" applyAlignment="1"/>
    <xf numFmtId="0" fontId="19" fillId="4" borderId="43" xfId="1" applyFont="1" applyFill="1" applyBorder="1"/>
    <xf numFmtId="0" fontId="1" fillId="4" borderId="44" xfId="1" applyFont="1" applyFill="1" applyBorder="1"/>
    <xf numFmtId="0" fontId="19" fillId="4" borderId="44" xfId="1" applyFont="1" applyFill="1" applyBorder="1"/>
    <xf numFmtId="0" fontId="19" fillId="4" borderId="45" xfId="1" applyFont="1" applyFill="1" applyBorder="1"/>
    <xf numFmtId="0" fontId="1" fillId="4" borderId="13" xfId="1" applyFill="1" applyBorder="1" applyAlignment="1">
      <alignment vertical="center"/>
    </xf>
    <xf numFmtId="0" fontId="1" fillId="4" borderId="15" xfId="1" applyFill="1" applyBorder="1" applyAlignment="1">
      <alignment vertical="center"/>
    </xf>
    <xf numFmtId="0" fontId="1" fillId="4" borderId="16" xfId="1" applyFill="1" applyBorder="1" applyAlignment="1">
      <alignment vertical="center"/>
    </xf>
    <xf numFmtId="0" fontId="1" fillId="4" borderId="17" xfId="1" applyFill="1" applyBorder="1" applyAlignment="1">
      <alignment vertical="center"/>
    </xf>
    <xf numFmtId="0" fontId="1" fillId="4" borderId="18" xfId="1" applyFill="1" applyBorder="1" applyAlignment="1">
      <alignment vertical="center"/>
    </xf>
    <xf numFmtId="0" fontId="1" fillId="4" borderId="20" xfId="1" applyFill="1" applyBorder="1" applyAlignment="1">
      <alignment vertical="center"/>
    </xf>
    <xf numFmtId="0" fontId="19" fillId="4" borderId="22" xfId="1" applyFont="1" applyFill="1" applyBorder="1"/>
    <xf numFmtId="0" fontId="1" fillId="4" borderId="23" xfId="1" applyFill="1" applyBorder="1"/>
    <xf numFmtId="1" fontId="19" fillId="4" borderId="24" xfId="1" applyNumberFormat="1" applyFont="1" applyFill="1" applyBorder="1" applyAlignment="1">
      <alignment horizontal="left"/>
    </xf>
    <xf numFmtId="0" fontId="1" fillId="4" borderId="16" xfId="1" applyFill="1" applyBorder="1"/>
    <xf numFmtId="171" fontId="1" fillId="4" borderId="0" xfId="48" applyNumberFormat="1" applyFont="1" applyFill="1" applyBorder="1"/>
    <xf numFmtId="0" fontId="1" fillId="4" borderId="17" xfId="1" applyFill="1" applyBorder="1"/>
    <xf numFmtId="0" fontId="1" fillId="4" borderId="18" xfId="1" applyFill="1" applyBorder="1"/>
    <xf numFmtId="171" fontId="1" fillId="4" borderId="19" xfId="48" applyNumberFormat="1" applyFont="1" applyFill="1" applyBorder="1"/>
    <xf numFmtId="0" fontId="1" fillId="4" borderId="20" xfId="1" applyFill="1" applyBorder="1"/>
    <xf numFmtId="0" fontId="1" fillId="6" borderId="0" xfId="1" applyFill="1"/>
    <xf numFmtId="0" fontId="19" fillId="7" borderId="27" xfId="1" applyNumberFormat="1" applyFont="1" applyFill="1" applyBorder="1" applyAlignment="1">
      <alignment horizontal="center"/>
    </xf>
    <xf numFmtId="14" fontId="1" fillId="7" borderId="3" xfId="1" applyNumberFormat="1" applyFill="1" applyBorder="1"/>
    <xf numFmtId="0" fontId="19" fillId="7" borderId="10" xfId="1" applyNumberFormat="1" applyFont="1" applyFill="1" applyBorder="1"/>
    <xf numFmtId="0" fontId="19" fillId="7" borderId="10" xfId="1" applyFont="1" applyFill="1" applyBorder="1"/>
    <xf numFmtId="1" fontId="19" fillId="7" borderId="10" xfId="1" applyNumberFormat="1" applyFont="1" applyFill="1" applyBorder="1"/>
    <xf numFmtId="43" fontId="19" fillId="7" borderId="29" xfId="1" applyNumberFormat="1" applyFont="1" applyFill="1" applyBorder="1"/>
    <xf numFmtId="14" fontId="17" fillId="7" borderId="3" xfId="1" applyNumberFormat="1" applyFont="1" applyFill="1" applyBorder="1"/>
    <xf numFmtId="0" fontId="1" fillId="7" borderId="3" xfId="1" applyNumberFormat="1" applyFill="1" applyBorder="1"/>
    <xf numFmtId="0" fontId="1" fillId="7" borderId="3" xfId="1" applyFill="1" applyBorder="1"/>
    <xf numFmtId="43" fontId="1" fillId="7" borderId="30" xfId="1" applyNumberFormat="1" applyFill="1" applyBorder="1"/>
    <xf numFmtId="0" fontId="19" fillId="7" borderId="31" xfId="1" applyNumberFormat="1" applyFont="1" applyFill="1" applyBorder="1" applyAlignment="1">
      <alignment horizontal="center"/>
    </xf>
    <xf numFmtId="14" fontId="1" fillId="7" borderId="32" xfId="1" applyNumberFormat="1" applyFill="1" applyBorder="1"/>
    <xf numFmtId="0" fontId="1" fillId="7" borderId="32" xfId="1" applyNumberFormat="1" applyFill="1" applyBorder="1"/>
    <xf numFmtId="0" fontId="1" fillId="7" borderId="32" xfId="1" applyFill="1" applyBorder="1"/>
    <xf numFmtId="43" fontId="1" fillId="7" borderId="33" xfId="1" applyNumberFormat="1" applyFill="1" applyBorder="1"/>
    <xf numFmtId="164" fontId="0" fillId="4" borderId="48" xfId="2" applyFont="1" applyFill="1" applyBorder="1"/>
    <xf numFmtId="14" fontId="1" fillId="0" borderId="12" xfId="1" applyNumberFormat="1" applyFill="1" applyBorder="1"/>
    <xf numFmtId="2" fontId="1" fillId="0" borderId="12" xfId="1" applyNumberFormat="1" applyFill="1" applyBorder="1"/>
    <xf numFmtId="171" fontId="1" fillId="0" borderId="12" xfId="48" applyNumberFormat="1" applyFont="1" applyFill="1" applyBorder="1"/>
    <xf numFmtId="0" fontId="22" fillId="6" borderId="0" xfId="1" applyFont="1" applyFill="1"/>
    <xf numFmtId="0" fontId="19" fillId="6" borderId="0" xfId="1" applyFont="1" applyFill="1"/>
    <xf numFmtId="0" fontId="23" fillId="6" borderId="0" xfId="1" applyFont="1" applyFill="1"/>
    <xf numFmtId="0" fontId="0" fillId="4" borderId="3" xfId="0" applyFill="1" applyBorder="1"/>
    <xf numFmtId="14" fontId="0" fillId="4" borderId="3" xfId="0" applyNumberFormat="1" applyFill="1" applyBorder="1"/>
    <xf numFmtId="2" fontId="0" fillId="4" borderId="3" xfId="0" applyNumberFormat="1" applyFill="1" applyBorder="1"/>
    <xf numFmtId="0" fontId="0" fillId="4" borderId="32" xfId="0" applyFill="1" applyBorder="1"/>
    <xf numFmtId="0" fontId="0" fillId="4" borderId="25" xfId="0" applyFill="1" applyBorder="1"/>
    <xf numFmtId="0" fontId="0" fillId="4" borderId="51" xfId="0" applyFill="1" applyBorder="1"/>
    <xf numFmtId="0" fontId="0" fillId="4" borderId="52" xfId="0" applyFill="1" applyBorder="1"/>
    <xf numFmtId="2" fontId="0" fillId="4" borderId="53" xfId="0" applyNumberFormat="1" applyFill="1" applyBorder="1"/>
    <xf numFmtId="1" fontId="0" fillId="4" borderId="53" xfId="0" applyNumberFormat="1" applyFill="1" applyBorder="1"/>
    <xf numFmtId="171" fontId="0" fillId="4" borderId="54" xfId="48" applyNumberFormat="1" applyFont="1" applyFill="1" applyBorder="1"/>
    <xf numFmtId="0" fontId="0" fillId="4" borderId="43" xfId="0" applyFill="1" applyBorder="1"/>
    <xf numFmtId="0" fontId="0" fillId="4" borderId="44" xfId="0" applyFill="1" applyBorder="1"/>
    <xf numFmtId="0" fontId="0" fillId="4" borderId="44" xfId="0" applyFill="1" applyBorder="1" applyAlignment="1">
      <alignment wrapText="1"/>
    </xf>
    <xf numFmtId="0" fontId="0" fillId="4" borderId="45" xfId="0" applyFill="1" applyBorder="1"/>
    <xf numFmtId="0" fontId="21" fillId="5" borderId="12" xfId="0" applyFont="1" applyFill="1" applyBorder="1"/>
    <xf numFmtId="0" fontId="21" fillId="5" borderId="55" xfId="0" applyFont="1" applyFill="1" applyBorder="1"/>
    <xf numFmtId="0" fontId="21" fillId="5" borderId="56" xfId="0" applyFont="1" applyFill="1" applyBorder="1"/>
    <xf numFmtId="0" fontId="21" fillId="5" borderId="57" xfId="0" applyFont="1" applyFill="1" applyBorder="1"/>
    <xf numFmtId="0" fontId="19" fillId="4" borderId="27" xfId="1" applyNumberFormat="1" applyFont="1" applyFill="1" applyBorder="1" applyAlignment="1">
      <alignment horizontal="center"/>
    </xf>
    <xf numFmtId="14" fontId="0" fillId="4" borderId="10" xfId="0" applyNumberFormat="1" applyFill="1" applyBorder="1"/>
    <xf numFmtId="0" fontId="0" fillId="4" borderId="10" xfId="0" applyFill="1" applyBorder="1"/>
    <xf numFmtId="1" fontId="0" fillId="4" borderId="10" xfId="0" applyNumberFormat="1" applyFill="1" applyBorder="1"/>
    <xf numFmtId="2" fontId="0" fillId="4" borderId="10" xfId="0" applyNumberFormat="1" applyFill="1" applyBorder="1"/>
    <xf numFmtId="0" fontId="19" fillId="4" borderId="49" xfId="1" applyNumberFormat="1" applyFont="1" applyFill="1" applyBorder="1" applyAlignment="1">
      <alignment horizontal="center"/>
    </xf>
    <xf numFmtId="0" fontId="19" fillId="4" borderId="50" xfId="1" applyNumberFormat="1" applyFont="1" applyFill="1" applyBorder="1" applyAlignment="1">
      <alignment horizontal="center"/>
    </xf>
    <xf numFmtId="14" fontId="0" fillId="4" borderId="32" xfId="0" applyNumberFormat="1" applyFill="1" applyBorder="1"/>
    <xf numFmtId="2" fontId="0" fillId="4" borderId="32" xfId="0" applyNumberFormat="1" applyFill="1" applyBorder="1"/>
    <xf numFmtId="43" fontId="0" fillId="8" borderId="10" xfId="0" applyNumberFormat="1" applyFill="1" applyBorder="1"/>
    <xf numFmtId="0" fontId="0" fillId="8" borderId="10" xfId="0" applyFill="1" applyBorder="1"/>
    <xf numFmtId="43" fontId="0" fillId="8" borderId="29" xfId="0" applyNumberFormat="1" applyFill="1" applyBorder="1"/>
    <xf numFmtId="43" fontId="0" fillId="8" borderId="3" xfId="0" applyNumberFormat="1" applyFill="1" applyBorder="1"/>
    <xf numFmtId="0" fontId="0" fillId="8" borderId="3" xfId="0" applyFill="1" applyBorder="1"/>
    <xf numFmtId="43" fontId="0" fillId="8" borderId="30" xfId="0" applyNumberFormat="1" applyFill="1" applyBorder="1"/>
    <xf numFmtId="43" fontId="0" fillId="8" borderId="32" xfId="0" applyNumberFormat="1" applyFill="1" applyBorder="1"/>
    <xf numFmtId="0" fontId="0" fillId="8" borderId="32" xfId="0" applyFill="1" applyBorder="1"/>
    <xf numFmtId="43" fontId="0" fillId="8" borderId="33" xfId="0" applyNumberFormat="1" applyFill="1" applyBorder="1"/>
    <xf numFmtId="0" fontId="0" fillId="5" borderId="1" xfId="0" applyFill="1" applyBorder="1"/>
    <xf numFmtId="0" fontId="0" fillId="5" borderId="35" xfId="0" applyFill="1" applyBorder="1"/>
    <xf numFmtId="0" fontId="0" fillId="5" borderId="34" xfId="0" applyFill="1" applyBorder="1"/>
    <xf numFmtId="0" fontId="0" fillId="6" borderId="0" xfId="0" applyFill="1"/>
    <xf numFmtId="43" fontId="0" fillId="6" borderId="0" xfId="0" applyNumberFormat="1" applyFill="1"/>
    <xf numFmtId="0" fontId="20" fillId="6" borderId="0" xfId="0" applyFont="1" applyFill="1"/>
    <xf numFmtId="0" fontId="20" fillId="6" borderId="0" xfId="0" applyFont="1" applyFill="1" applyBorder="1"/>
    <xf numFmtId="2" fontId="0" fillId="6" borderId="0" xfId="0" applyNumberFormat="1" applyFill="1"/>
    <xf numFmtId="14" fontId="0" fillId="6" borderId="0" xfId="0" applyNumberFormat="1" applyFill="1"/>
    <xf numFmtId="0" fontId="0" fillId="5" borderId="12" xfId="0" applyFill="1" applyBorder="1"/>
    <xf numFmtId="14" fontId="0" fillId="0" borderId="12" xfId="0" applyNumberFormat="1" applyBorder="1"/>
    <xf numFmtId="43" fontId="0" fillId="0" borderId="12" xfId="48" applyFont="1" applyBorder="1"/>
    <xf numFmtId="43" fontId="0" fillId="4" borderId="17" xfId="48" applyFont="1" applyFill="1" applyBorder="1"/>
    <xf numFmtId="0" fontId="0" fillId="0" borderId="12" xfId="0" applyBorder="1"/>
    <xf numFmtId="0" fontId="0" fillId="4" borderId="12" xfId="0" applyFill="1" applyBorder="1"/>
    <xf numFmtId="14" fontId="0" fillId="4" borderId="28" xfId="0" applyNumberFormat="1" applyFill="1" applyBorder="1"/>
    <xf numFmtId="172" fontId="25" fillId="0" borderId="16" xfId="48" applyNumberFormat="1" applyFont="1" applyFill="1" applyBorder="1"/>
    <xf numFmtId="172" fontId="25" fillId="0" borderId="7" xfId="48" applyNumberFormat="1" applyFont="1" applyFill="1" applyBorder="1"/>
    <xf numFmtId="9" fontId="25" fillId="0" borderId="11" xfId="49" applyFont="1" applyFill="1" applyBorder="1" applyAlignment="1">
      <alignment horizontal="center"/>
    </xf>
    <xf numFmtId="172" fontId="25" fillId="0" borderId="7" xfId="48" quotePrefix="1" applyNumberFormat="1" applyFont="1" applyFill="1" applyBorder="1" applyAlignment="1">
      <alignment horizontal="center"/>
    </xf>
    <xf numFmtId="172" fontId="25" fillId="0" borderId="59" xfId="48" quotePrefix="1" applyNumberFormat="1" applyFont="1" applyFill="1" applyBorder="1" applyAlignment="1">
      <alignment horizontal="center"/>
    </xf>
    <xf numFmtId="172" fontId="25" fillId="0" borderId="11" xfId="48" applyNumberFormat="1" applyFont="1" applyFill="1" applyBorder="1" applyAlignment="1">
      <alignment horizontal="center"/>
    </xf>
    <xf numFmtId="172" fontId="27" fillId="0" borderId="16" xfId="48" applyNumberFormat="1" applyFont="1" applyFill="1" applyBorder="1" applyAlignment="1">
      <alignment horizontal="left" vertical="top"/>
    </xf>
    <xf numFmtId="172" fontId="25" fillId="0" borderId="7" xfId="48" applyNumberFormat="1" applyFont="1" applyFill="1" applyBorder="1" applyAlignment="1">
      <alignment horizontal="center"/>
    </xf>
    <xf numFmtId="172" fontId="26" fillId="0" borderId="0" xfId="48" applyNumberFormat="1" applyFont="1" applyFill="1" applyBorder="1"/>
    <xf numFmtId="172" fontId="26" fillId="5" borderId="46" xfId="48" applyNumberFormat="1" applyFont="1" applyFill="1" applyBorder="1" applyAlignment="1"/>
    <xf numFmtId="172" fontId="25" fillId="5" borderId="5" xfId="48" applyNumberFormat="1" applyFont="1" applyFill="1" applyBorder="1" applyAlignment="1"/>
    <xf numFmtId="172" fontId="25" fillId="5" borderId="28" xfId="48" applyNumberFormat="1" applyFont="1" applyFill="1" applyBorder="1" applyAlignment="1"/>
    <xf numFmtId="172" fontId="26" fillId="5" borderId="47" xfId="48" applyNumberFormat="1" applyFont="1" applyFill="1" applyBorder="1" applyAlignment="1">
      <alignment horizontal="center"/>
    </xf>
    <xf numFmtId="172" fontId="26" fillId="5" borderId="4" xfId="48" applyNumberFormat="1" applyFont="1" applyFill="1" applyBorder="1" applyAlignment="1">
      <alignment horizontal="center"/>
    </xf>
    <xf numFmtId="172" fontId="26" fillId="5" borderId="6" xfId="48" applyNumberFormat="1" applyFont="1" applyFill="1" applyBorder="1" applyAlignment="1">
      <alignment horizontal="center"/>
    </xf>
    <xf numFmtId="172" fontId="26" fillId="5" borderId="58" xfId="48" applyNumberFormat="1" applyFont="1" applyFill="1" applyBorder="1" applyAlignment="1">
      <alignment horizontal="center"/>
    </xf>
    <xf numFmtId="172" fontId="26" fillId="5" borderId="16" xfId="48" applyNumberFormat="1" applyFont="1" applyFill="1" applyBorder="1" applyAlignment="1">
      <alignment horizontal="center"/>
    </xf>
    <xf numFmtId="172" fontId="26" fillId="5" borderId="11" xfId="48" applyNumberFormat="1" applyFont="1" applyFill="1" applyBorder="1" applyAlignment="1">
      <alignment horizontal="center"/>
    </xf>
    <xf numFmtId="172" fontId="26" fillId="5" borderId="7" xfId="48" applyNumberFormat="1" applyFont="1" applyFill="1" applyBorder="1" applyAlignment="1">
      <alignment horizontal="center"/>
    </xf>
    <xf numFmtId="172" fontId="26" fillId="5" borderId="59" xfId="48" applyNumberFormat="1" applyFont="1" applyFill="1" applyBorder="1" applyAlignment="1">
      <alignment horizontal="center"/>
    </xf>
    <xf numFmtId="172" fontId="26" fillId="5" borderId="46" xfId="48" applyNumberFormat="1" applyFont="1" applyFill="1" applyBorder="1" applyAlignment="1">
      <alignment horizontal="center"/>
    </xf>
    <xf numFmtId="172" fontId="26" fillId="5" borderId="10" xfId="48" applyNumberFormat="1" applyFont="1" applyFill="1" applyBorder="1" applyAlignment="1">
      <alignment horizontal="center"/>
    </xf>
    <xf numFmtId="14" fontId="26" fillId="5" borderId="29" xfId="48" applyNumberFormat="1" applyFont="1" applyFill="1" applyBorder="1" applyAlignment="1">
      <alignment horizontal="center"/>
    </xf>
    <xf numFmtId="172" fontId="26" fillId="5" borderId="8" xfId="48" applyNumberFormat="1" applyFont="1" applyFill="1" applyBorder="1" applyAlignment="1">
      <alignment horizontal="center"/>
    </xf>
    <xf numFmtId="172" fontId="26" fillId="5" borderId="52" xfId="48" applyNumberFormat="1" applyFont="1" applyFill="1" applyBorder="1" applyAlignment="1">
      <alignment horizontal="center"/>
    </xf>
    <xf numFmtId="172" fontId="26" fillId="5" borderId="32" xfId="48" applyNumberFormat="1" applyFont="1" applyFill="1" applyBorder="1" applyAlignment="1">
      <alignment horizontal="right"/>
    </xf>
    <xf numFmtId="172" fontId="26" fillId="5" borderId="42" xfId="48" quotePrefix="1" applyNumberFormat="1" applyFont="1" applyFill="1" applyBorder="1" applyAlignment="1">
      <alignment horizontal="center"/>
    </xf>
    <xf numFmtId="172" fontId="25" fillId="5" borderId="60" xfId="48" applyNumberFormat="1" applyFont="1" applyFill="1" applyBorder="1"/>
    <xf numFmtId="172" fontId="25" fillId="5" borderId="9" xfId="48" applyNumberFormat="1" applyFont="1" applyFill="1" applyBorder="1" applyAlignment="1">
      <alignment horizontal="right"/>
    </xf>
    <xf numFmtId="172" fontId="25" fillId="5" borderId="61" xfId="48" applyNumberFormat="1" applyFont="1" applyFill="1" applyBorder="1" applyAlignment="1">
      <alignment horizontal="right"/>
    </xf>
    <xf numFmtId="172" fontId="25" fillId="5" borderId="38" xfId="48" applyNumberFormat="1" applyFont="1" applyFill="1" applyBorder="1" applyAlignment="1">
      <alignment horizontal="right"/>
    </xf>
    <xf numFmtId="0" fontId="0" fillId="0" borderId="0" xfId="0" applyBorder="1"/>
    <xf numFmtId="0" fontId="21" fillId="5" borderId="21" xfId="0" applyFont="1" applyFill="1" applyBorder="1" applyAlignment="1">
      <alignment horizontal="center"/>
    </xf>
    <xf numFmtId="172" fontId="0" fillId="5" borderId="21" xfId="0" applyNumberFormat="1" applyFill="1" applyBorder="1"/>
    <xf numFmtId="172" fontId="21" fillId="5" borderId="21" xfId="0" applyNumberFormat="1" applyFont="1" applyFill="1" applyBorder="1"/>
    <xf numFmtId="0" fontId="21" fillId="5" borderId="21" xfId="0" applyFont="1" applyFill="1" applyBorder="1"/>
    <xf numFmtId="171" fontId="0" fillId="5" borderId="21" xfId="0" applyNumberFormat="1" applyFill="1" applyBorder="1"/>
    <xf numFmtId="171" fontId="21" fillId="5" borderId="21" xfId="0" applyNumberFormat="1" applyFont="1" applyFill="1" applyBorder="1"/>
    <xf numFmtId="0" fontId="21" fillId="0" borderId="0" xfId="0" applyFont="1" applyBorder="1"/>
    <xf numFmtId="0" fontId="0" fillId="0" borderId="13" xfId="0" applyFill="1" applyBorder="1"/>
    <xf numFmtId="0" fontId="0" fillId="0" borderId="16" xfId="0" applyFill="1" applyBorder="1"/>
    <xf numFmtId="172" fontId="26" fillId="5" borderId="33" xfId="48" quotePrefix="1" applyNumberFormat="1" applyFont="1" applyFill="1" applyBorder="1" applyAlignment="1">
      <alignment horizontal="center"/>
    </xf>
    <xf numFmtId="0" fontId="0" fillId="0" borderId="17" xfId="0" applyBorder="1"/>
    <xf numFmtId="0" fontId="21" fillId="0" borderId="16" xfId="0" applyFont="1" applyFill="1" applyBorder="1"/>
    <xf numFmtId="14" fontId="0" fillId="0" borderId="0" xfId="0" applyNumberFormat="1" applyBorder="1"/>
    <xf numFmtId="171" fontId="0" fillId="0" borderId="0" xfId="48" applyNumberFormat="1" applyFont="1" applyBorder="1"/>
    <xf numFmtId="172" fontId="0" fillId="0" borderId="0" xfId="0" applyNumberFormat="1" applyBorder="1"/>
    <xf numFmtId="0" fontId="0" fillId="0" borderId="18" xfId="0" applyFill="1" applyBorder="1"/>
    <xf numFmtId="0" fontId="0" fillId="0" borderId="19" xfId="0" applyBorder="1"/>
    <xf numFmtId="0" fontId="0" fillId="0" borderId="20" xfId="0" applyBorder="1"/>
    <xf numFmtId="0" fontId="19" fillId="4" borderId="39" xfId="1" applyFont="1" applyFill="1" applyBorder="1" applyAlignment="1">
      <alignment horizontal="center" wrapText="1"/>
    </xf>
    <xf numFmtId="0" fontId="19" fillId="4" borderId="26" xfId="1" applyFont="1" applyFill="1" applyBorder="1" applyAlignment="1">
      <alignment horizontal="center" wrapText="1"/>
    </xf>
    <xf numFmtId="0" fontId="19" fillId="4" borderId="31" xfId="1" applyFont="1" applyFill="1" applyBorder="1" applyAlignment="1">
      <alignment horizontal="center" wrapText="1"/>
    </xf>
    <xf numFmtId="0" fontId="1" fillId="0" borderId="13" xfId="1" applyFill="1" applyBorder="1" applyAlignment="1">
      <alignment horizontal="center"/>
    </xf>
    <xf numFmtId="0" fontId="1" fillId="0" borderId="15" xfId="1" applyFill="1" applyBorder="1" applyAlignment="1">
      <alignment horizontal="center"/>
    </xf>
    <xf numFmtId="0" fontId="1" fillId="0" borderId="18" xfId="1" applyFill="1" applyBorder="1" applyAlignment="1">
      <alignment horizontal="center"/>
    </xf>
    <xf numFmtId="0" fontId="1" fillId="0" borderId="20" xfId="1" applyFill="1" applyBorder="1" applyAlignment="1">
      <alignment horizontal="center"/>
    </xf>
    <xf numFmtId="0" fontId="1" fillId="4" borderId="13" xfId="1" applyFill="1" applyBorder="1" applyAlignment="1">
      <alignment horizontal="left" wrapText="1"/>
    </xf>
    <xf numFmtId="0" fontId="1" fillId="4" borderId="15" xfId="1" applyFill="1" applyBorder="1" applyAlignment="1">
      <alignment horizontal="left" wrapText="1"/>
    </xf>
    <xf numFmtId="0" fontId="1" fillId="4" borderId="16" xfId="1" applyFill="1" applyBorder="1" applyAlignment="1">
      <alignment horizontal="left" wrapText="1"/>
    </xf>
    <xf numFmtId="0" fontId="1" fillId="4" borderId="17" xfId="1" applyFill="1" applyBorder="1" applyAlignment="1">
      <alignment horizontal="left" wrapText="1"/>
    </xf>
    <xf numFmtId="0" fontId="19" fillId="4" borderId="34" xfId="1" applyFont="1" applyFill="1" applyBorder="1" applyAlignment="1">
      <alignment horizontal="center"/>
    </xf>
    <xf numFmtId="0" fontId="19" fillId="4" borderId="1" xfId="1" applyFont="1" applyFill="1" applyBorder="1" applyAlignment="1">
      <alignment horizontal="center"/>
    </xf>
    <xf numFmtId="0" fontId="19" fillId="4" borderId="35" xfId="1" applyFont="1" applyFill="1" applyBorder="1" applyAlignment="1">
      <alignment horizontal="center"/>
    </xf>
    <xf numFmtId="0" fontId="21" fillId="5" borderId="34" xfId="0" applyFont="1" applyFill="1" applyBorder="1" applyAlignment="1">
      <alignment horizontal="center"/>
    </xf>
    <xf numFmtId="0" fontId="21" fillId="5" borderId="1" xfId="0" applyFont="1" applyFill="1" applyBorder="1" applyAlignment="1">
      <alignment horizontal="center"/>
    </xf>
    <xf numFmtId="0" fontId="21" fillId="5" borderId="35" xfId="0" applyFont="1" applyFill="1" applyBorder="1" applyAlignment="1">
      <alignment horizontal="center"/>
    </xf>
    <xf numFmtId="172" fontId="24" fillId="5" borderId="13" xfId="48" applyNumberFormat="1" applyFont="1" applyFill="1" applyBorder="1" applyAlignment="1">
      <alignment horizontal="center"/>
    </xf>
    <xf numFmtId="172" fontId="24" fillId="5" borderId="14" xfId="48" applyNumberFormat="1" applyFont="1" applyFill="1" applyBorder="1" applyAlignment="1">
      <alignment horizontal="center"/>
    </xf>
    <xf numFmtId="172" fontId="24" fillId="5" borderId="15" xfId="48" applyNumberFormat="1" applyFont="1" applyFill="1" applyBorder="1" applyAlignment="1">
      <alignment horizontal="center"/>
    </xf>
    <xf numFmtId="172" fontId="24" fillId="5" borderId="16" xfId="48" applyNumberFormat="1" applyFont="1" applyFill="1" applyBorder="1" applyAlignment="1">
      <alignment horizontal="center"/>
    </xf>
    <xf numFmtId="172" fontId="24" fillId="5" borderId="0" xfId="48" applyNumberFormat="1" applyFont="1" applyFill="1" applyBorder="1" applyAlignment="1">
      <alignment horizontal="center"/>
    </xf>
    <xf numFmtId="172" fontId="24" fillId="5" borderId="17" xfId="48" applyNumberFormat="1" applyFont="1" applyFill="1" applyBorder="1" applyAlignment="1">
      <alignment horizontal="center"/>
    </xf>
  </cellXfs>
  <cellStyles count="50">
    <cellStyle name="Body" xfId="3"/>
    <cellStyle name="Calc Currency (0)" xfId="4"/>
    <cellStyle name="Comma" xfId="48" builtinId="3"/>
    <cellStyle name="Comma [2]_SUB_TOT" xfId="5"/>
    <cellStyle name="Comma 2" xfId="2"/>
    <cellStyle name="Comma 2 2" xfId="6"/>
    <cellStyle name="Comma 2_Prov.Balance Sheet as on 31.03.2015 of Imperial Garments" xfId="7"/>
    <cellStyle name="Comma 3" xfId="8"/>
    <cellStyle name="Comma 4" xfId="9"/>
    <cellStyle name="Comma 5" xfId="10"/>
    <cellStyle name="Comma 6" xfId="11"/>
    <cellStyle name="Comma 7" xfId="12"/>
    <cellStyle name="Copied" xfId="13"/>
    <cellStyle name="Custom - Style8" xfId="14"/>
    <cellStyle name="Entered" xfId="15"/>
    <cellStyle name="F2" xfId="16"/>
    <cellStyle name="F3" xfId="17"/>
    <cellStyle name="F4" xfId="18"/>
    <cellStyle name="F5" xfId="19"/>
    <cellStyle name="F6" xfId="20"/>
    <cellStyle name="F7" xfId="21"/>
    <cellStyle name="F8" xfId="22"/>
    <cellStyle name="Grey" xfId="23"/>
    <cellStyle name="H1" xfId="24"/>
    <cellStyle name="H2" xfId="25"/>
    <cellStyle name="Header1" xfId="26"/>
    <cellStyle name="Header2" xfId="27"/>
    <cellStyle name="Heading1" xfId="28"/>
    <cellStyle name="Heading2" xfId="29"/>
    <cellStyle name="Hyperlink 2" xfId="30"/>
    <cellStyle name="Input [yellow]" xfId="31"/>
    <cellStyle name="no dec" xfId="32"/>
    <cellStyle name="Normal" xfId="0" builtinId="0"/>
    <cellStyle name="Normal - Style1" xfId="33"/>
    <cellStyle name="Normal 2" xfId="1"/>
    <cellStyle name="Normal 2 2" xfId="34"/>
    <cellStyle name="Normal 2 2 2" xfId="35"/>
    <cellStyle name="Normal 2_Balance Sheet 11-12 Revised Sch VI 07.07.12" xfId="36"/>
    <cellStyle name="Normal 3" xfId="37"/>
    <cellStyle name="Normal 4" xfId="38"/>
    <cellStyle name="Normal 4 2" xfId="39"/>
    <cellStyle name="Normal 5" xfId="40"/>
    <cellStyle name="Normal 6" xfId="41"/>
    <cellStyle name="Percent" xfId="49" builtinId="5"/>
    <cellStyle name="Percent [2]" xfId="42"/>
    <cellStyle name="Percent 2" xfId="43"/>
    <cellStyle name="Percent 2 2" xfId="44"/>
    <cellStyle name="Percent 3" xfId="45"/>
    <cellStyle name="RevList" xfId="46"/>
    <cellStyle name="Subtotal" xfId="47"/>
  </cellStyles>
  <dxfs count="0"/>
  <tableStyles count="0" defaultTableStyle="TableStyleMedium9" defaultPivotStyle="PivotStyleLight16"/>
  <colors>
    <mruColors>
      <color rgb="FF99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qua_nt_srvr\acc\BAGUL\bs98\Merged%20BS%201997-98%20M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lim\wbm%202005-06r\WINDOWS\Temporary%20Internet%20Files\OLK6126\deni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WORK\XLS\JULDES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lim\wbm%202005-06r\WINDOWS\Temporary%20Internet%20Files\OLKB234\jkfiles%20WB-march%2005%20D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ldev\Accounts\2007\accounts\consolidation\march2010final\accounts\NOTESTOACCOUNTS2009-10FINAL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lim\wbm%202005-06r\WINDOWS\Temporary%20Internet%20Files\OLK8173\WB-Format_Qtl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gldev\Accounts\Working%20Board\H%20F%20L\HFL%20WBM%20PAPERS\W%20B%20P%20AUGy2005%20%20hfl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GIL"/>
      <sheetName val="ABL"/>
      <sheetName val="MERGED"/>
      <sheetName val="GRAPH"/>
      <sheetName val="Master for Fin grpgs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heading 1"/>
      <sheetName val="PROFIT 2"/>
      <sheetName val="cash flow 3"/>
      <sheetName val="prodn 4"/>
      <sheetName val="defectives 5"/>
      <sheetName val="cost compn 6"/>
      <sheetName val="revenue performance 7"/>
      <sheetName val="inventory 8"/>
      <sheetName val="receivables 9"/>
      <sheetName val="cotton avail 10"/>
    </sheetNames>
    <sheetDataSet>
      <sheetData sheetId="0"/>
      <sheetData sheetId="1"/>
      <sheetData sheetId="2"/>
      <sheetData sheetId="3"/>
      <sheetData sheetId="4" refreshError="1">
        <row r="1">
          <cell r="A1" t="str">
            <v>FRESH &amp; DEFECTIVES PRODUCTION</v>
          </cell>
        </row>
        <row r="3">
          <cell r="A3" t="str">
            <v>Fresh Percentage</v>
          </cell>
        </row>
        <row r="4">
          <cell r="A4" t="str">
            <v>Particulars</v>
          </cell>
          <cell r="B4" t="str">
            <v>For Quarter</v>
          </cell>
          <cell r="E4" t="str">
            <v>Cumulative</v>
          </cell>
        </row>
        <row r="5">
          <cell r="B5" t="str">
            <v>Ring</v>
          </cell>
          <cell r="C5" t="str">
            <v>OE</v>
          </cell>
          <cell r="D5" t="str">
            <v>Total</v>
          </cell>
          <cell r="E5" t="str">
            <v>Ring</v>
          </cell>
          <cell r="F5" t="str">
            <v>OE</v>
          </cell>
          <cell r="G5" t="str">
            <v>Total</v>
          </cell>
        </row>
        <row r="7">
          <cell r="A7" t="str">
            <v>Plan</v>
          </cell>
        </row>
        <row r="8">
          <cell r="A8" t="str">
            <v>Actuals</v>
          </cell>
        </row>
        <row r="9">
          <cell r="A9" t="str">
            <v>Variance(%)</v>
          </cell>
        </row>
        <row r="10">
          <cell r="A10" t="str">
            <v>Previous Year</v>
          </cell>
        </row>
        <row r="13">
          <cell r="A13" t="str">
            <v>Defectives</v>
          </cell>
        </row>
        <row r="14">
          <cell r="A14" t="str">
            <v>Particulars</v>
          </cell>
          <cell r="B14" t="str">
            <v>Vamatex</v>
          </cell>
          <cell r="C14" t="str">
            <v>Picanol</v>
          </cell>
          <cell r="D14" t="str">
            <v>Airjet</v>
          </cell>
          <cell r="E14" t="str">
            <v>Toyota</v>
          </cell>
          <cell r="F14" t="str">
            <v>Grand Total</v>
          </cell>
        </row>
        <row r="16">
          <cell r="A16" t="str">
            <v>Cum March'04 ( % )</v>
          </cell>
        </row>
        <row r="18">
          <cell r="A18" t="str">
            <v>Cum March'03 ( % )</v>
          </cell>
        </row>
        <row r="20">
          <cell r="A20" t="str">
            <v>% of Defectives to Actual Production</v>
          </cell>
        </row>
      </sheetData>
      <sheetData sheetId="5"/>
      <sheetData sheetId="6"/>
      <sheetData sheetId="7" refreshError="1">
        <row r="1">
          <cell r="A1" t="str">
            <v>INVENTORIES</v>
          </cell>
        </row>
        <row r="2">
          <cell r="A2" t="str">
            <v>DESCRIPTION</v>
          </cell>
          <cell r="B2" t="str">
            <v>CURRENT YEAR</v>
          </cell>
          <cell r="F2" t="str">
            <v>PREVIOUS YEAR</v>
          </cell>
        </row>
        <row r="3">
          <cell r="B3" t="str">
            <v>Actual</v>
          </cell>
          <cell r="D3" t="str">
            <v>Standard</v>
          </cell>
        </row>
        <row r="4">
          <cell r="B4" t="str">
            <v>Qty</v>
          </cell>
          <cell r="C4" t="str">
            <v>Value (Rs. Crores)</v>
          </cell>
          <cell r="D4" t="str">
            <v>Qty</v>
          </cell>
          <cell r="E4" t="str">
            <v>Value (Rs. Crores)</v>
          </cell>
          <cell r="F4" t="str">
            <v>Qty</v>
          </cell>
          <cell r="G4" t="str">
            <v>Value (Rs. Crores)</v>
          </cell>
        </row>
        <row r="7">
          <cell r="A7" t="str">
            <v>Cotton &amp; Yarn</v>
          </cell>
        </row>
        <row r="8">
          <cell r="A8" t="str">
            <v>(No. of Days Consumption)</v>
          </cell>
        </row>
        <row r="10">
          <cell r="A10" t="str">
            <v>Chemicals</v>
          </cell>
        </row>
        <row r="12">
          <cell r="A12" t="str">
            <v>Stores &amp; Spares</v>
          </cell>
        </row>
        <row r="14">
          <cell r="A14" t="str">
            <v>Work in Progress</v>
          </cell>
        </row>
        <row r="16">
          <cell r="A16" t="str">
            <v>Finished Goods</v>
          </cell>
        </row>
        <row r="18">
          <cell r="A18" t="str">
            <v>(No. of days sales)</v>
          </cell>
        </row>
        <row r="22">
          <cell r="A22" t="str">
            <v>AGEING OF FINISHED STOCK</v>
          </cell>
        </row>
        <row r="23">
          <cell r="A23" t="str">
            <v>Particulars</v>
          </cell>
          <cell r="B23" t="str">
            <v>1 to 90 days</v>
          </cell>
          <cell r="C23" t="str">
            <v>91 to 180 days</v>
          </cell>
          <cell r="D23" t="str">
            <v>Above 180 days</v>
          </cell>
          <cell r="E23" t="str">
            <v>Total</v>
          </cell>
        </row>
        <row r="24">
          <cell r="A24" t="str">
            <v>Fresh</v>
          </cell>
        </row>
        <row r="25">
          <cell r="A25" t="str">
            <v>SST</v>
          </cell>
        </row>
        <row r="26">
          <cell r="A26" t="str">
            <v>Seconds</v>
          </cell>
        </row>
        <row r="27">
          <cell r="A27" t="str">
            <v>Total</v>
          </cell>
        </row>
      </sheetData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Jul97-Mar97"/>
      <sheetName val="Apr97-Jun97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Highlights"/>
      <sheetName val="prodn parametres 2"/>
      <sheetName val="Revenue perf-Qtr 3"/>
      <sheetName val="Revenue perf-YTD 4"/>
      <sheetName val="COST PU 5"/>
      <sheetName val="Sheet1"/>
      <sheetName val="P&amp;L 6"/>
      <sheetName val="inventories 7"/>
      <sheetName val="receivables  8"/>
      <sheetName val="c-flow9"/>
      <sheetName val="CASH FLOW 9"/>
    </sheetNames>
    <sheetDataSet>
      <sheetData sheetId="0"/>
      <sheetData sheetId="1" refreshError="1"/>
      <sheetData sheetId="2"/>
      <sheetData sheetId="3"/>
      <sheetData sheetId="4"/>
      <sheetData sheetId="5" refreshError="1">
        <row r="2">
          <cell r="A2" t="str">
            <v>COMPARISON OF COST / REALISATION PER UNIT OF PRODUCTION - CUM</v>
          </cell>
        </row>
        <row r="4">
          <cell r="E4" t="str">
            <v xml:space="preserve">Amount in Rs. </v>
          </cell>
        </row>
        <row r="5">
          <cell r="A5" t="str">
            <v>PARTICULARS</v>
          </cell>
          <cell r="B5" t="str">
            <v>STEEL FILES</v>
          </cell>
          <cell r="E5" t="str">
            <v>DRILLS</v>
          </cell>
        </row>
        <row r="6">
          <cell r="B6" t="str">
            <v>YTD 04</v>
          </cell>
          <cell r="D6" t="str">
            <v>YTD 03</v>
          </cell>
          <cell r="E6" t="str">
            <v>YTD 04</v>
          </cell>
          <cell r="G6" t="str">
            <v>YTD 03</v>
          </cell>
        </row>
        <row r="7">
          <cell r="B7" t="str">
            <v>Plan</v>
          </cell>
          <cell r="C7" t="str">
            <v>Actual</v>
          </cell>
          <cell r="D7" t="str">
            <v xml:space="preserve">Actual </v>
          </cell>
          <cell r="E7" t="str">
            <v>Plan</v>
          </cell>
          <cell r="F7" t="str">
            <v>Actual</v>
          </cell>
          <cell r="G7" t="str">
            <v xml:space="preserve">Actual </v>
          </cell>
        </row>
        <row r="9">
          <cell r="A9" t="str">
            <v>Total Production quantity -</v>
          </cell>
          <cell r="B9">
            <v>22.5</v>
          </cell>
          <cell r="C9">
            <v>18.899999999999999</v>
          </cell>
          <cell r="D9">
            <v>18.100000000000001</v>
          </cell>
          <cell r="E9">
            <v>58</v>
          </cell>
          <cell r="F9">
            <v>59.1</v>
          </cell>
          <cell r="G9">
            <v>41.6</v>
          </cell>
        </row>
        <row r="11">
          <cell r="A11" t="str">
            <v>Raw material cost</v>
          </cell>
          <cell r="B11">
            <v>63.866666666666667</v>
          </cell>
          <cell r="C11">
            <v>76.41</v>
          </cell>
          <cell r="D11">
            <v>43.82</v>
          </cell>
          <cell r="E11">
            <v>5.3103448275862073</v>
          </cell>
          <cell r="F11">
            <v>5.68</v>
          </cell>
          <cell r="G11">
            <v>4.66</v>
          </cell>
        </row>
        <row r="13">
          <cell r="A13" t="str">
            <v>Packing Material Cost</v>
          </cell>
          <cell r="B13">
            <v>8.9562323181893824</v>
          </cell>
          <cell r="C13">
            <v>10.121874408949372</v>
          </cell>
          <cell r="D13">
            <v>8.3971015813699132</v>
          </cell>
          <cell r="E13">
            <v>0.44827586206896552</v>
          </cell>
          <cell r="F13">
            <v>0.42722158438576352</v>
          </cell>
          <cell r="G13">
            <v>0.40816491511721908</v>
          </cell>
        </row>
        <row r="15">
          <cell r="A15" t="str">
            <v xml:space="preserve">Employment Cost </v>
          </cell>
          <cell r="B15">
            <v>81.577777777777783</v>
          </cell>
          <cell r="C15">
            <v>87.16</v>
          </cell>
          <cell r="D15">
            <v>94.15</v>
          </cell>
          <cell r="E15">
            <v>2.613793103448276</v>
          </cell>
          <cell r="F15">
            <v>2.9</v>
          </cell>
          <cell r="G15">
            <v>3.29</v>
          </cell>
        </row>
        <row r="17">
          <cell r="A17" t="str">
            <v>Power, Fuel &amp; Water cost</v>
          </cell>
          <cell r="B17">
            <v>21.234259721528822</v>
          </cell>
          <cell r="C17">
            <v>20.59968504209434</v>
          </cell>
          <cell r="D17">
            <v>22.697527837275366</v>
          </cell>
          <cell r="E17">
            <v>0.7931034482758621</v>
          </cell>
          <cell r="F17">
            <v>0.77202640642939147</v>
          </cell>
          <cell r="G17">
            <v>0.97239288601455143</v>
          </cell>
        </row>
        <row r="19">
          <cell r="A19" t="str">
            <v xml:space="preserve">Stores &amp; Spares </v>
          </cell>
          <cell r="B19">
            <v>15.725966605647086</v>
          </cell>
          <cell r="C19">
            <v>15.098537019951561</v>
          </cell>
          <cell r="D19">
            <v>16.004693068404507</v>
          </cell>
          <cell r="E19">
            <v>1.3103448275862069</v>
          </cell>
          <cell r="F19">
            <v>0.95199770378874871</v>
          </cell>
          <cell r="G19">
            <v>1.1044462409054163</v>
          </cell>
        </row>
        <row r="21">
          <cell r="A21" t="str">
            <v xml:space="preserve">Repairs &amp; Maintenance </v>
          </cell>
          <cell r="B21">
            <v>4.1207078271481663</v>
          </cell>
          <cell r="C21">
            <v>3.6223203206089267</v>
          </cell>
          <cell r="D21">
            <v>5.2664430570113474</v>
          </cell>
          <cell r="E21">
            <v>0.15517241379310345</v>
          </cell>
          <cell r="F21">
            <v>0.16987944890929968</v>
          </cell>
          <cell r="G21">
            <v>0.20168148746968473</v>
          </cell>
          <cell r="K21">
            <v>10.1</v>
          </cell>
        </row>
        <row r="23">
          <cell r="A23" t="str">
            <v xml:space="preserve">Outside Manufacturing Cost </v>
          </cell>
          <cell r="B23">
            <v>34.185055749708773</v>
          </cell>
          <cell r="C23">
            <v>36.527583208395804</v>
          </cell>
          <cell r="D23">
            <v>14.394234455938873</v>
          </cell>
          <cell r="E23">
            <v>0.51724137931034486</v>
          </cell>
          <cell r="F23">
            <v>0.60887485648679696</v>
          </cell>
          <cell r="G23">
            <v>0.28331447049312858</v>
          </cell>
        </row>
        <row r="25">
          <cell r="A25" t="str">
            <v>Other Admin. Expenses</v>
          </cell>
          <cell r="B25">
            <v>17.111111111111111</v>
          </cell>
          <cell r="C25">
            <v>17.91</v>
          </cell>
          <cell r="D25">
            <v>17.16</v>
          </cell>
          <cell r="E25">
            <v>0.9517241379310345</v>
          </cell>
          <cell r="F25">
            <v>1.05</v>
          </cell>
          <cell r="G25">
            <v>1.1399999999999999</v>
          </cell>
        </row>
        <row r="27">
          <cell r="A27" t="str">
            <v>Depreciation</v>
          </cell>
          <cell r="B27">
            <v>4.0888888888888886</v>
          </cell>
          <cell r="C27">
            <v>4.76</v>
          </cell>
          <cell r="D27">
            <v>5.76</v>
          </cell>
          <cell r="E27">
            <v>0.58620689655172409</v>
          </cell>
          <cell r="F27">
            <v>0.53</v>
          </cell>
          <cell r="G27">
            <v>0.96</v>
          </cell>
        </row>
        <row r="29">
          <cell r="A29" t="str">
            <v>Total Cost per unit</v>
          </cell>
          <cell r="B29">
            <v>250.86666666666667</v>
          </cell>
          <cell r="C29">
            <v>272.20999999999998</v>
          </cell>
          <cell r="D29">
            <v>227.65000000000003</v>
          </cell>
          <cell r="E29">
            <v>12.686206896551722</v>
          </cell>
          <cell r="F29">
            <v>13.089999999999998</v>
          </cell>
          <cell r="G29">
            <v>13.02</v>
          </cell>
        </row>
      </sheetData>
      <sheetData sheetId="6" refreshError="1"/>
      <sheetData sheetId="7"/>
      <sheetData sheetId="8"/>
      <sheetData sheetId="9"/>
      <sheetData sheetId="10" refreshError="1"/>
      <sheetData sheetId="1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FDS CLOSING BALANCE"/>
      <sheetName val="Payable withinone year-31-03-11"/>
      <sheetName val="fdpurpose"/>
      <sheetName val="PAYABLEWITHINYEAR (2)"/>
      <sheetName val="SECLOANS"/>
      <sheetName val="intaccrued and due"/>
      <sheetName val="HIRELOANS"/>
      <sheetName val="LCs"/>
      <sheetName val="SUMMARY OF NBF"/>
      <sheetName val="summaryofflcs"/>
      <sheetName val="summaryilcs"/>
      <sheetName val="BGs"/>
      <sheetName val="ILCs"/>
      <sheetName val="FLCs"/>
      <sheetName val="CONTRACTS"/>
      <sheetName val="CAPITALCONTRACTS"/>
      <sheetName val="SALESTAXDEF"/>
      <sheetName val="breakup"/>
      <sheetName val="DEFERMENT"/>
      <sheetName val="CONTIGENTLIAB"/>
      <sheetName val="MARCH2005"/>
      <sheetName val="MAR'04"/>
      <sheetName val="MAR'03"/>
      <sheetName val="MAR'02"/>
      <sheetName val="MARCH'01"/>
      <sheetName val="AS29"/>
      <sheetName val="GRATUITY2009-10"/>
      <sheetName val="GRATUITY2008-09"/>
      <sheetName val="gratuity2007-08"/>
      <sheetName val="fcexcnetp&amp;l"/>
      <sheetName val="FCFLUCT"/>
      <sheetName val="1300"/>
      <sheetName val="1400"/>
      <sheetName val="1500"/>
      <sheetName val="1600"/>
      <sheetName val="1900"/>
      <sheetName val="FCGAINSWITHREV RATE (2)"/>
      <sheetName val="BACKUP"/>
      <sheetName val="REVALUEDASSETS"/>
      <sheetName val="Sheet2"/>
      <sheetName val="DEFERRED REVENUE"/>
      <sheetName val="DEFERREDTAX"/>
      <sheetName val="eps"/>
      <sheetName val="lease"/>
      <sheetName val="EXPOSURE"/>
      <sheetName val="COVERAGE"/>
      <sheetName val="DEBTORS"/>
      <sheetName val="VENDORSSEP"/>
      <sheetName val="TL PRINCIPAL"/>
      <sheetName val="HYDPCFC"/>
      <sheetName val="INTERESTPAYABLE"/>
      <sheetName val="RAVALUED ASSETS 2009-10"/>
      <sheetName val="INTCAPANDPCFC"/>
      <sheetName val="INTEREST INCOME"/>
      <sheetName val="loans"/>
      <sheetName val="loansfinal"/>
      <sheetName val="RELATEDPARTYTRN"/>
      <sheetName val="relatedparty"/>
      <sheetName val="summarymedak"/>
      <sheetName val="auditfees"/>
      <sheetName val="2007-08"/>
      <sheetName val="Sheet3"/>
      <sheetName val="spindles"/>
      <sheetName val="qty2009-10"/>
      <sheetName val="qty2008-09"/>
      <sheetName val="QTY2007-08"/>
      <sheetName val="RMCONSM-OK"/>
      <sheetName val="CIFVALUE-OK"/>
      <sheetName val="VENDOR FC06-07"/>
      <sheetName val="VENDOR FC05-06"/>
      <sheetName val="FCCONTRACTS"/>
      <sheetName val="Sheet1 (2)"/>
      <sheetName val="mdremuneration"/>
      <sheetName val="MDREMUN"/>
      <sheetName val="AUDITORS'REMN"/>
      <sheetName val="AUDITORS'REMN (2)"/>
      <sheetName val="detailsrequir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INDEX"/>
      <sheetName val="P&amp;L"/>
      <sheetName val="COST PU"/>
      <sheetName val="CASH FLOW"/>
      <sheetName val="prodn parametres"/>
      <sheetName val="Revenue perf-Qtr"/>
      <sheetName val="Revenue perf-YTD"/>
      <sheetName val="inventories"/>
      <sheetName val="receivable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Balance Sheet Summary"/>
      <sheetName val="Working Board Paper"/>
      <sheetName val="Back-up"/>
      <sheetName val="Finished Goods"/>
      <sheetName val="Trade Receivables"/>
      <sheetName val="Overdue"/>
      <sheetName val="Overdue Debtors"/>
      <sheetName val="overdue export debtors"/>
      <sheetName val="HFLAUG'05"/>
    </sheetNames>
    <sheetDataSet>
      <sheetData sheetId="0" refreshError="1"/>
      <sheetData sheetId="1"/>
      <sheetData sheetId="2" refreshError="1">
        <row r="1">
          <cell r="Q1">
            <v>100000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45"/>
  <sheetViews>
    <sheetView zoomScale="115" zoomScaleNormal="115" workbookViewId="0">
      <selection activeCell="K1" sqref="K1"/>
    </sheetView>
  </sheetViews>
  <sheetFormatPr defaultRowHeight="12.75"/>
  <cols>
    <col min="1" max="1" width="4.85546875" style="27" customWidth="1"/>
    <col min="2" max="2" width="9.140625" style="27"/>
    <col min="3" max="3" width="10.140625" style="27" hidden="1" customWidth="1"/>
    <col min="4" max="4" width="9.140625" style="27" bestFit="1" customWidth="1"/>
    <col min="5" max="5" width="5.140625" style="27" bestFit="1" customWidth="1"/>
    <col min="6" max="6" width="19.42578125" style="27" bestFit="1" customWidth="1"/>
    <col min="7" max="7" width="11.85546875" style="27" bestFit="1" customWidth="1"/>
    <col min="8" max="8" width="12.5703125" style="27" bestFit="1" customWidth="1"/>
    <col min="9" max="9" width="15.7109375" style="27" bestFit="1" customWidth="1"/>
    <col min="10" max="10" width="4.7109375" style="27" customWidth="1"/>
    <col min="11" max="11" width="16.28515625" style="27" customWidth="1"/>
    <col min="12" max="12" width="13.42578125" style="27" customWidth="1"/>
    <col min="13" max="16384" width="9.140625" style="27"/>
  </cols>
  <sheetData>
    <row r="1" spans="2:13" ht="13.5" thickBot="1"/>
    <row r="2" spans="2:13" ht="15" customHeight="1" thickBot="1">
      <c r="B2" s="163" t="s">
        <v>16</v>
      </c>
      <c r="C2" s="164"/>
      <c r="D2" s="164"/>
      <c r="E2" s="164"/>
      <c r="F2" s="164"/>
      <c r="G2" s="164"/>
      <c r="H2" s="164"/>
      <c r="I2" s="165"/>
      <c r="K2" s="48"/>
    </row>
    <row r="3" spans="2:13" ht="15" customHeight="1" thickBot="1">
      <c r="B3" s="163" t="s">
        <v>21</v>
      </c>
      <c r="C3" s="164"/>
      <c r="D3" s="164"/>
      <c r="E3" s="164"/>
      <c r="F3" s="164"/>
      <c r="G3" s="164"/>
      <c r="H3" s="164"/>
      <c r="I3" s="165"/>
      <c r="J3" s="48"/>
      <c r="K3" s="49" t="s">
        <v>23</v>
      </c>
    </row>
    <row r="4" spans="2:13" ht="13.5" customHeight="1" thickBot="1">
      <c r="B4" s="152" t="s">
        <v>18</v>
      </c>
      <c r="C4" s="6"/>
      <c r="D4" s="159" t="s">
        <v>20</v>
      </c>
      <c r="E4" s="160"/>
      <c r="F4" s="8" t="s">
        <v>8</v>
      </c>
      <c r="G4" s="46">
        <v>252000</v>
      </c>
      <c r="H4" s="12"/>
      <c r="I4" s="13"/>
      <c r="J4" s="47">
        <v>1</v>
      </c>
      <c r="K4" s="47" t="s">
        <v>24</v>
      </c>
    </row>
    <row r="5" spans="2:13" ht="15.75" thickBot="1">
      <c r="B5" s="153"/>
      <c r="C5" s="2"/>
      <c r="D5" s="161"/>
      <c r="E5" s="162"/>
      <c r="F5" s="9" t="s">
        <v>5</v>
      </c>
      <c r="G5" s="43">
        <f>ROUND(G4*5%,0)</f>
        <v>12600</v>
      </c>
      <c r="H5" s="14"/>
      <c r="I5" s="15"/>
      <c r="J5" s="47">
        <v>2</v>
      </c>
      <c r="K5" s="47" t="s">
        <v>25</v>
      </c>
    </row>
    <row r="6" spans="2:13" ht="13.5" thickBot="1">
      <c r="B6" s="153"/>
      <c r="C6" s="2"/>
      <c r="D6" s="161"/>
      <c r="E6" s="162"/>
      <c r="F6" s="10" t="s">
        <v>4</v>
      </c>
      <c r="G6" s="44">
        <v>42464</v>
      </c>
      <c r="H6" s="14"/>
      <c r="I6" s="15"/>
      <c r="J6" s="47">
        <v>3</v>
      </c>
      <c r="K6" s="47" t="s">
        <v>26</v>
      </c>
    </row>
    <row r="7" spans="2:13" ht="13.5" thickBot="1">
      <c r="B7" s="153"/>
      <c r="C7" s="2"/>
      <c r="D7" s="161"/>
      <c r="E7" s="162"/>
      <c r="F7" s="10" t="s">
        <v>3</v>
      </c>
      <c r="G7" s="44">
        <v>43555</v>
      </c>
      <c r="H7" s="14"/>
      <c r="I7" s="15"/>
      <c r="J7" s="47">
        <v>4</v>
      </c>
      <c r="K7" s="47" t="s">
        <v>28</v>
      </c>
    </row>
    <row r="8" spans="2:13" ht="13.5" thickBot="1">
      <c r="B8" s="153"/>
      <c r="C8" s="2"/>
      <c r="D8" s="155">
        <v>2</v>
      </c>
      <c r="E8" s="156"/>
      <c r="F8" s="10" t="s">
        <v>2</v>
      </c>
      <c r="G8" s="45">
        <v>10</v>
      </c>
      <c r="H8" s="14"/>
      <c r="I8" s="15"/>
      <c r="J8" s="47">
        <v>5</v>
      </c>
      <c r="K8" s="47" t="s">
        <v>27</v>
      </c>
    </row>
    <row r="9" spans="2:13" ht="13.5" thickBot="1">
      <c r="B9" s="154"/>
      <c r="C9" s="7"/>
      <c r="D9" s="157"/>
      <c r="E9" s="158"/>
      <c r="F9" s="11" t="s">
        <v>1</v>
      </c>
      <c r="G9" s="16">
        <f>1+G8*365+D8</f>
        <v>3653</v>
      </c>
      <c r="H9" s="16"/>
      <c r="I9" s="17"/>
    </row>
    <row r="10" spans="2:13" ht="13.5" thickBot="1">
      <c r="B10" s="3"/>
      <c r="C10" s="1"/>
      <c r="D10" s="4" t="s">
        <v>10</v>
      </c>
      <c r="E10" s="4" t="s">
        <v>9</v>
      </c>
      <c r="F10" s="4" t="s">
        <v>15</v>
      </c>
      <c r="G10" s="4" t="s">
        <v>19</v>
      </c>
      <c r="H10" s="4" t="s">
        <v>7</v>
      </c>
      <c r="I10" s="5" t="s">
        <v>6</v>
      </c>
      <c r="K10" s="47" t="s">
        <v>32</v>
      </c>
    </row>
    <row r="11" spans="2:13" ht="14.25" thickTop="1" thickBot="1">
      <c r="B11" s="28" t="str">
        <f t="shared" ref="B11:B45" si="0">+IF(D11=2016,"Yes",IF(D11=2020,"Yes",IF(D11=2024,"Yes",IF(D11=2028,"Yes",IF(D11=2032,"Yes",IF(D11=2036,"Yes",IF(D11=2040,"Yes",IF(D11=2044,"Yes",IF(D12=2048,"Yes",IF(D12=2052,"Yes","-"))))))))))</f>
        <v>-</v>
      </c>
      <c r="C11" s="29">
        <f>+G7</f>
        <v>43555</v>
      </c>
      <c r="D11" s="30">
        <f>YEAR(C11)</f>
        <v>2019</v>
      </c>
      <c r="E11" s="31">
        <v>1</v>
      </c>
      <c r="F11" s="31" t="s">
        <v>0</v>
      </c>
      <c r="G11" s="32">
        <f>+G7-G6+1</f>
        <v>1092</v>
      </c>
      <c r="H11" s="31">
        <f t="shared" ref="H11:H21" si="1">ROUND(($G$4-$G$5)*G11/$G$9,0)</f>
        <v>71564</v>
      </c>
      <c r="I11" s="33">
        <f>$G$4-SUM($H$11)</f>
        <v>180436</v>
      </c>
      <c r="K11" s="18" t="s">
        <v>17</v>
      </c>
      <c r="L11" s="19"/>
      <c r="M11" s="20">
        <f>+YEAR(G7)</f>
        <v>2019</v>
      </c>
    </row>
    <row r="12" spans="2:13" ht="13.5" thickTop="1">
      <c r="B12" s="28" t="str">
        <f t="shared" si="0"/>
        <v>Yes</v>
      </c>
      <c r="C12" s="34">
        <f>+C11+365</f>
        <v>43920</v>
      </c>
      <c r="D12" s="35">
        <f t="shared" ref="D12:D45" si="2">YEAR(C12)</f>
        <v>2020</v>
      </c>
      <c r="E12" s="36">
        <f t="shared" ref="E12:E45" si="3">+E11+1</f>
        <v>2</v>
      </c>
      <c r="F12" s="36" t="s">
        <v>11</v>
      </c>
      <c r="G12" s="36">
        <f>IF(($G$9-SUM(G11))&gt;=365,365,$G$9-SUM($G$11))</f>
        <v>365</v>
      </c>
      <c r="H12" s="36">
        <f t="shared" si="1"/>
        <v>23920</v>
      </c>
      <c r="I12" s="37">
        <f>$G$4-SUM($H$11:H12)</f>
        <v>156516</v>
      </c>
      <c r="K12" s="21" t="s">
        <v>7</v>
      </c>
      <c r="L12" s="22">
        <f>SUMIF(D11:D45,+M11,H11:H45)</f>
        <v>71564</v>
      </c>
      <c r="M12" s="23"/>
    </row>
    <row r="13" spans="2:13" ht="13.5" thickBot="1">
      <c r="B13" s="28" t="str">
        <f t="shared" si="0"/>
        <v>-</v>
      </c>
      <c r="C13" s="34">
        <f>+C12+365+1</f>
        <v>44286</v>
      </c>
      <c r="D13" s="35">
        <f t="shared" si="2"/>
        <v>2021</v>
      </c>
      <c r="E13" s="36">
        <f t="shared" si="3"/>
        <v>3</v>
      </c>
      <c r="F13" s="36" t="s">
        <v>12</v>
      </c>
      <c r="G13" s="36">
        <f>IF(($G$9-SUM($G$11:G12))&gt;=365,365,$G$9-SUM($G$11:G12))</f>
        <v>365</v>
      </c>
      <c r="H13" s="36">
        <f t="shared" si="1"/>
        <v>23920</v>
      </c>
      <c r="I13" s="37">
        <f>$G$4-SUM($H$11:H13)</f>
        <v>132596</v>
      </c>
      <c r="K13" s="24" t="s">
        <v>22</v>
      </c>
      <c r="L13" s="25">
        <f>SUMIF(D11:D46,+M11,I11:I46)</f>
        <v>180436</v>
      </c>
      <c r="M13" s="26"/>
    </row>
    <row r="14" spans="2:13">
      <c r="B14" s="28" t="str">
        <f t="shared" si="0"/>
        <v>-</v>
      </c>
      <c r="C14" s="34">
        <f>+C13+365</f>
        <v>44651</v>
      </c>
      <c r="D14" s="35">
        <f t="shared" si="2"/>
        <v>2022</v>
      </c>
      <c r="E14" s="36">
        <f t="shared" si="3"/>
        <v>4</v>
      </c>
      <c r="F14" s="36" t="s">
        <v>13</v>
      </c>
      <c r="G14" s="36">
        <f>IF(($G$9-SUM($G$11:G13))&gt;=365,365,$G$9-SUM($G$11:G13))</f>
        <v>365</v>
      </c>
      <c r="H14" s="36">
        <f t="shared" si="1"/>
        <v>23920</v>
      </c>
      <c r="I14" s="37">
        <f>$G$4-SUM($H$11:H14)</f>
        <v>108676</v>
      </c>
    </row>
    <row r="15" spans="2:13">
      <c r="B15" s="28" t="str">
        <f t="shared" si="0"/>
        <v>-</v>
      </c>
      <c r="C15" s="34">
        <f>+C14+365</f>
        <v>45016</v>
      </c>
      <c r="D15" s="35">
        <f t="shared" si="2"/>
        <v>2023</v>
      </c>
      <c r="E15" s="36">
        <f t="shared" si="3"/>
        <v>5</v>
      </c>
      <c r="F15" s="36" t="s">
        <v>13</v>
      </c>
      <c r="G15" s="36">
        <f>IF(($G$9-SUM($G$11:G14))&gt;=365,365,$G$9-SUM($G$11:G14))</f>
        <v>365</v>
      </c>
      <c r="H15" s="36">
        <f t="shared" si="1"/>
        <v>23920</v>
      </c>
      <c r="I15" s="37">
        <f>$G$4-SUM($H$11:H15)</f>
        <v>84756</v>
      </c>
    </row>
    <row r="16" spans="2:13">
      <c r="B16" s="28" t="str">
        <f t="shared" si="0"/>
        <v>Yes</v>
      </c>
      <c r="C16" s="34">
        <f>+C15+365</f>
        <v>45381</v>
      </c>
      <c r="D16" s="35">
        <f t="shared" si="2"/>
        <v>2024</v>
      </c>
      <c r="E16" s="36">
        <f t="shared" si="3"/>
        <v>6</v>
      </c>
      <c r="F16" s="36" t="s">
        <v>13</v>
      </c>
      <c r="G16" s="36">
        <f>IF(($G$9-SUM($G$11:G15))&gt;=365,365,$G$9-SUM($G$11:G15))</f>
        <v>365</v>
      </c>
      <c r="H16" s="36">
        <f t="shared" si="1"/>
        <v>23920</v>
      </c>
      <c r="I16" s="37">
        <f>$G$4-SUM($H$11:H16)</f>
        <v>60836</v>
      </c>
    </row>
    <row r="17" spans="2:9">
      <c r="B17" s="28" t="str">
        <f t="shared" si="0"/>
        <v>-</v>
      </c>
      <c r="C17" s="34">
        <f>+C16+365+1</f>
        <v>45747</v>
      </c>
      <c r="D17" s="35">
        <f t="shared" si="2"/>
        <v>2025</v>
      </c>
      <c r="E17" s="36">
        <f t="shared" si="3"/>
        <v>7</v>
      </c>
      <c r="F17" s="36" t="s">
        <v>13</v>
      </c>
      <c r="G17" s="36">
        <f>IF(($G$9-SUM($G$11:G16))&gt;=365,365,$G$9-SUM($G$11:G16))</f>
        <v>365</v>
      </c>
      <c r="H17" s="36">
        <f t="shared" si="1"/>
        <v>23920</v>
      </c>
      <c r="I17" s="37">
        <f>$G$4-SUM($H$11:H17)</f>
        <v>36916</v>
      </c>
    </row>
    <row r="18" spans="2:9">
      <c r="B18" s="28" t="str">
        <f t="shared" si="0"/>
        <v>-</v>
      </c>
      <c r="C18" s="34">
        <f>+C17+365</f>
        <v>46112</v>
      </c>
      <c r="D18" s="35">
        <f t="shared" si="2"/>
        <v>2026</v>
      </c>
      <c r="E18" s="36">
        <f t="shared" si="3"/>
        <v>8</v>
      </c>
      <c r="F18" s="36" t="s">
        <v>13</v>
      </c>
      <c r="G18" s="36">
        <f>IF(($G$9-SUM($G$11:G17))&gt;=365,365,$G$9-SUM($G$11:G17))</f>
        <v>365</v>
      </c>
      <c r="H18" s="36">
        <f t="shared" si="1"/>
        <v>23920</v>
      </c>
      <c r="I18" s="37">
        <f>$G$4-SUM($H$11:H18)</f>
        <v>12996</v>
      </c>
    </row>
    <row r="19" spans="2:9">
      <c r="B19" s="28" t="str">
        <f t="shared" si="0"/>
        <v>-</v>
      </c>
      <c r="C19" s="34">
        <f>+C18+365</f>
        <v>46477</v>
      </c>
      <c r="D19" s="35">
        <f t="shared" si="2"/>
        <v>2027</v>
      </c>
      <c r="E19" s="36">
        <f t="shared" si="3"/>
        <v>9</v>
      </c>
      <c r="F19" s="36" t="s">
        <v>13</v>
      </c>
      <c r="G19" s="36">
        <f>IF(($G$9-SUM($G$11:G18))&gt;=365,365,$G$9-SUM($G$11:G18))</f>
        <v>6</v>
      </c>
      <c r="H19" s="36">
        <f t="shared" si="1"/>
        <v>393</v>
      </c>
      <c r="I19" s="37">
        <f>$G$4-SUM($H$11:H19)</f>
        <v>12603</v>
      </c>
    </row>
    <row r="20" spans="2:9">
      <c r="B20" s="28" t="str">
        <f t="shared" si="0"/>
        <v>Yes</v>
      </c>
      <c r="C20" s="34">
        <f>+C19+365</f>
        <v>46842</v>
      </c>
      <c r="D20" s="35">
        <f t="shared" si="2"/>
        <v>2028</v>
      </c>
      <c r="E20" s="36">
        <f t="shared" si="3"/>
        <v>10</v>
      </c>
      <c r="F20" s="36" t="s">
        <v>13</v>
      </c>
      <c r="G20" s="36">
        <f>IF(($G$9-SUM($G$11:G19))&gt;=365,365,$G$9-SUM($G$11:G19))</f>
        <v>0</v>
      </c>
      <c r="H20" s="36">
        <f t="shared" si="1"/>
        <v>0</v>
      </c>
      <c r="I20" s="37">
        <f>$G$4-SUM($H$11:H20)</f>
        <v>12603</v>
      </c>
    </row>
    <row r="21" spans="2:9">
      <c r="B21" s="28" t="str">
        <f t="shared" si="0"/>
        <v>-</v>
      </c>
      <c r="C21" s="34">
        <f>+C20+365+1</f>
        <v>47208</v>
      </c>
      <c r="D21" s="35">
        <f t="shared" si="2"/>
        <v>2029</v>
      </c>
      <c r="E21" s="36">
        <f t="shared" si="3"/>
        <v>11</v>
      </c>
      <c r="F21" s="36" t="s">
        <v>13</v>
      </c>
      <c r="G21" s="36">
        <f>IF(($G$9-SUM($G$11:G20))&gt;=365,365,$G$9-SUM($G$11:G20))</f>
        <v>0</v>
      </c>
      <c r="H21" s="36">
        <f t="shared" si="1"/>
        <v>0</v>
      </c>
      <c r="I21" s="37">
        <f>$G$4-SUM($H$11:H21)</f>
        <v>12603</v>
      </c>
    </row>
    <row r="22" spans="2:9">
      <c r="B22" s="28" t="str">
        <f t="shared" si="0"/>
        <v>-</v>
      </c>
      <c r="C22" s="34">
        <f>+C21+365</f>
        <v>47573</v>
      </c>
      <c r="D22" s="35">
        <f t="shared" si="2"/>
        <v>2030</v>
      </c>
      <c r="E22" s="36">
        <f t="shared" si="3"/>
        <v>12</v>
      </c>
      <c r="F22" s="36" t="s">
        <v>13</v>
      </c>
      <c r="G22" s="36">
        <f>IF(($G$9-SUM($G$11:G21))&gt;=365,365,$G$9-SUM($G$11:G21))</f>
        <v>0</v>
      </c>
      <c r="H22" s="36">
        <f t="shared" ref="H22:H45" si="4">ROUND(($G$4-$G$5)*G22/$G$9,0)</f>
        <v>0</v>
      </c>
      <c r="I22" s="37">
        <f>$G$4-SUM($H$11:H22)</f>
        <v>12603</v>
      </c>
    </row>
    <row r="23" spans="2:9">
      <c r="B23" s="28" t="str">
        <f t="shared" si="0"/>
        <v>-</v>
      </c>
      <c r="C23" s="34">
        <f>+C22+365</f>
        <v>47938</v>
      </c>
      <c r="D23" s="35">
        <f t="shared" si="2"/>
        <v>2031</v>
      </c>
      <c r="E23" s="36">
        <f t="shared" si="3"/>
        <v>13</v>
      </c>
      <c r="F23" s="36" t="s">
        <v>13</v>
      </c>
      <c r="G23" s="36">
        <f>IF(($G$9-SUM($G$11:G22))&gt;=365,365,$G$9-SUM($G$11:G22))</f>
        <v>0</v>
      </c>
      <c r="H23" s="36">
        <f t="shared" si="4"/>
        <v>0</v>
      </c>
      <c r="I23" s="37">
        <f>$G$4-SUM($H$11:H23)</f>
        <v>12603</v>
      </c>
    </row>
    <row r="24" spans="2:9">
      <c r="B24" s="28" t="str">
        <f t="shared" si="0"/>
        <v>Yes</v>
      </c>
      <c r="C24" s="34">
        <f>+C23+365</f>
        <v>48303</v>
      </c>
      <c r="D24" s="35">
        <f t="shared" si="2"/>
        <v>2032</v>
      </c>
      <c r="E24" s="36">
        <f t="shared" si="3"/>
        <v>14</v>
      </c>
      <c r="F24" s="36" t="s">
        <v>13</v>
      </c>
      <c r="G24" s="36">
        <f>IF(($G$9-SUM($G$11:G23))&gt;=365,365,$G$9-SUM($G$11:G23))</f>
        <v>0</v>
      </c>
      <c r="H24" s="36">
        <f t="shared" si="4"/>
        <v>0</v>
      </c>
      <c r="I24" s="37">
        <f>$G$4-SUM($H$11:H24)</f>
        <v>12603</v>
      </c>
    </row>
    <row r="25" spans="2:9">
      <c r="B25" s="28" t="str">
        <f t="shared" si="0"/>
        <v>-</v>
      </c>
      <c r="C25" s="34">
        <f>+C24+365+1</f>
        <v>48669</v>
      </c>
      <c r="D25" s="35">
        <f t="shared" si="2"/>
        <v>2033</v>
      </c>
      <c r="E25" s="36">
        <f t="shared" si="3"/>
        <v>15</v>
      </c>
      <c r="F25" s="36" t="s">
        <v>13</v>
      </c>
      <c r="G25" s="36">
        <f>IF(($G$9-SUM($G$11:G24))&gt;=365,365,$G$9-SUM($G$11:G24))</f>
        <v>0</v>
      </c>
      <c r="H25" s="36">
        <f t="shared" si="4"/>
        <v>0</v>
      </c>
      <c r="I25" s="37">
        <f>$G$4-SUM($H$11:H25)</f>
        <v>12603</v>
      </c>
    </row>
    <row r="26" spans="2:9">
      <c r="B26" s="28" t="str">
        <f t="shared" si="0"/>
        <v>-</v>
      </c>
      <c r="C26" s="34">
        <f>+C25+365</f>
        <v>49034</v>
      </c>
      <c r="D26" s="35">
        <f t="shared" si="2"/>
        <v>2034</v>
      </c>
      <c r="E26" s="36">
        <f t="shared" si="3"/>
        <v>16</v>
      </c>
      <c r="F26" s="36" t="s">
        <v>13</v>
      </c>
      <c r="G26" s="36">
        <f>IF(($G$9-SUM($G$11:G25))&gt;=365,365,$G$9-SUM($G$11:G25))</f>
        <v>0</v>
      </c>
      <c r="H26" s="36">
        <f t="shared" si="4"/>
        <v>0</v>
      </c>
      <c r="I26" s="37">
        <f>$G$4-SUM($H$11:H26)</f>
        <v>12603</v>
      </c>
    </row>
    <row r="27" spans="2:9">
      <c r="B27" s="28" t="str">
        <f t="shared" si="0"/>
        <v>-</v>
      </c>
      <c r="C27" s="34">
        <f>+C26+365</f>
        <v>49399</v>
      </c>
      <c r="D27" s="35">
        <f t="shared" si="2"/>
        <v>2035</v>
      </c>
      <c r="E27" s="36">
        <f t="shared" si="3"/>
        <v>17</v>
      </c>
      <c r="F27" s="36" t="s">
        <v>13</v>
      </c>
      <c r="G27" s="36">
        <f>IF(($G$9-SUM($G$11:G26))&gt;=365,365,$G$9-SUM($G$11:G26))</f>
        <v>0</v>
      </c>
      <c r="H27" s="36">
        <f t="shared" si="4"/>
        <v>0</v>
      </c>
      <c r="I27" s="37">
        <f>$G$4-SUM($H$11:H27)</f>
        <v>12603</v>
      </c>
    </row>
    <row r="28" spans="2:9">
      <c r="B28" s="28" t="str">
        <f t="shared" si="0"/>
        <v>Yes</v>
      </c>
      <c r="C28" s="34">
        <f>+C27+365</f>
        <v>49764</v>
      </c>
      <c r="D28" s="35">
        <f t="shared" si="2"/>
        <v>2036</v>
      </c>
      <c r="E28" s="36">
        <f t="shared" si="3"/>
        <v>18</v>
      </c>
      <c r="F28" s="36" t="s">
        <v>13</v>
      </c>
      <c r="G28" s="36">
        <f>IF(($G$9-SUM($G$11:G27))&gt;=365,365,$G$9-SUM($G$11:G27))</f>
        <v>0</v>
      </c>
      <c r="H28" s="36">
        <f t="shared" si="4"/>
        <v>0</v>
      </c>
      <c r="I28" s="37">
        <f>$G$4-SUM($H$11:H28)</f>
        <v>12603</v>
      </c>
    </row>
    <row r="29" spans="2:9">
      <c r="B29" s="28" t="str">
        <f t="shared" si="0"/>
        <v>-</v>
      </c>
      <c r="C29" s="34">
        <f>+C28+365</f>
        <v>50129</v>
      </c>
      <c r="D29" s="35">
        <f t="shared" si="2"/>
        <v>2037</v>
      </c>
      <c r="E29" s="36">
        <f t="shared" si="3"/>
        <v>19</v>
      </c>
      <c r="F29" s="36" t="s">
        <v>13</v>
      </c>
      <c r="G29" s="36">
        <f>IF(($G$9-SUM($G$11:G28))&gt;=365,365,$G$9-SUM($G$11:G28))</f>
        <v>0</v>
      </c>
      <c r="H29" s="36">
        <f t="shared" si="4"/>
        <v>0</v>
      </c>
      <c r="I29" s="37">
        <f>$G$4-SUM($H$11:H29)</f>
        <v>12603</v>
      </c>
    </row>
    <row r="30" spans="2:9">
      <c r="B30" s="28" t="str">
        <f t="shared" si="0"/>
        <v>-</v>
      </c>
      <c r="C30" s="29">
        <f>+C29+365+1</f>
        <v>50495</v>
      </c>
      <c r="D30" s="35">
        <f t="shared" si="2"/>
        <v>2038</v>
      </c>
      <c r="E30" s="36">
        <f t="shared" si="3"/>
        <v>20</v>
      </c>
      <c r="F30" s="36" t="s">
        <v>13</v>
      </c>
      <c r="G30" s="36">
        <f>IF(($G$9-SUM($G$11:G29))&gt;=365,365,$G$9-SUM($G$11:G29))</f>
        <v>0</v>
      </c>
      <c r="H30" s="36">
        <f t="shared" si="4"/>
        <v>0</v>
      </c>
      <c r="I30" s="37">
        <f>$G$4-SUM($H$11:H30)</f>
        <v>12603</v>
      </c>
    </row>
    <row r="31" spans="2:9">
      <c r="B31" s="28" t="str">
        <f t="shared" si="0"/>
        <v>-</v>
      </c>
      <c r="C31" s="29">
        <f>+C30+365</f>
        <v>50860</v>
      </c>
      <c r="D31" s="35">
        <f t="shared" si="2"/>
        <v>2039</v>
      </c>
      <c r="E31" s="36">
        <f t="shared" si="3"/>
        <v>21</v>
      </c>
      <c r="F31" s="36" t="s">
        <v>14</v>
      </c>
      <c r="G31" s="36">
        <f>IF(($G$9-SUM($G$11:G30))&gt;=365,365,$G$9-SUM($G$11:G30))</f>
        <v>0</v>
      </c>
      <c r="H31" s="36">
        <f t="shared" si="4"/>
        <v>0</v>
      </c>
      <c r="I31" s="37">
        <f>$G$4-SUM($H$11:H31)</f>
        <v>12603</v>
      </c>
    </row>
    <row r="32" spans="2:9">
      <c r="B32" s="28" t="str">
        <f t="shared" si="0"/>
        <v>Yes</v>
      </c>
      <c r="C32" s="34">
        <f>+C31+365</f>
        <v>51225</v>
      </c>
      <c r="D32" s="35">
        <f t="shared" si="2"/>
        <v>2040</v>
      </c>
      <c r="E32" s="36">
        <f t="shared" si="3"/>
        <v>22</v>
      </c>
      <c r="F32" s="36" t="s">
        <v>11</v>
      </c>
      <c r="G32" s="36">
        <f>IF(($G$9-SUM($G$11:G31))&gt;=365,365,$G$9-SUM($G$11:G31))</f>
        <v>0</v>
      </c>
      <c r="H32" s="36">
        <f t="shared" si="4"/>
        <v>0</v>
      </c>
      <c r="I32" s="37">
        <f>$G$4-SUM($H$11:H32)</f>
        <v>12603</v>
      </c>
    </row>
    <row r="33" spans="2:9">
      <c r="B33" s="28" t="str">
        <f t="shared" si="0"/>
        <v>-</v>
      </c>
      <c r="C33" s="29">
        <f>+C32+365+1</f>
        <v>51591</v>
      </c>
      <c r="D33" s="35">
        <f t="shared" si="2"/>
        <v>2041</v>
      </c>
      <c r="E33" s="36">
        <f t="shared" si="3"/>
        <v>23</v>
      </c>
      <c r="F33" s="36" t="s">
        <v>12</v>
      </c>
      <c r="G33" s="36">
        <f>IF(($G$9-SUM($G$11:G32))&gt;=365,365,$G$9-SUM($G$11:G32))</f>
        <v>0</v>
      </c>
      <c r="H33" s="36">
        <f t="shared" si="4"/>
        <v>0</v>
      </c>
      <c r="I33" s="37">
        <f>$G$4-SUM($H$11:H33)</f>
        <v>12603</v>
      </c>
    </row>
    <row r="34" spans="2:9">
      <c r="B34" s="28" t="str">
        <f t="shared" si="0"/>
        <v>-</v>
      </c>
      <c r="C34" s="29">
        <f>+C33+365</f>
        <v>51956</v>
      </c>
      <c r="D34" s="35">
        <f t="shared" si="2"/>
        <v>2042</v>
      </c>
      <c r="E34" s="36">
        <f t="shared" si="3"/>
        <v>24</v>
      </c>
      <c r="F34" s="36" t="s">
        <v>13</v>
      </c>
      <c r="G34" s="36">
        <f>IF(($G$9-SUM($G$11:G33))&gt;=365,365,$G$9-SUM($G$11:G33))</f>
        <v>0</v>
      </c>
      <c r="H34" s="36">
        <f t="shared" si="4"/>
        <v>0</v>
      </c>
      <c r="I34" s="37">
        <f>$G$4-SUM($H$11:H34)</f>
        <v>12603</v>
      </c>
    </row>
    <row r="35" spans="2:9">
      <c r="B35" s="28" t="str">
        <f t="shared" si="0"/>
        <v>-</v>
      </c>
      <c r="C35" s="29">
        <f>+C34+365</f>
        <v>52321</v>
      </c>
      <c r="D35" s="35">
        <f t="shared" si="2"/>
        <v>2043</v>
      </c>
      <c r="E35" s="36">
        <f t="shared" si="3"/>
        <v>25</v>
      </c>
      <c r="F35" s="36" t="s">
        <v>13</v>
      </c>
      <c r="G35" s="36">
        <f>IF(($G$9-SUM($G$11:G34))&gt;=365,365,$G$9-SUM($G$11:G34))</f>
        <v>0</v>
      </c>
      <c r="H35" s="36">
        <f t="shared" si="4"/>
        <v>0</v>
      </c>
      <c r="I35" s="37">
        <f>$G$4-SUM($H$11:H35)</f>
        <v>12603</v>
      </c>
    </row>
    <row r="36" spans="2:9">
      <c r="B36" s="28" t="str">
        <f t="shared" si="0"/>
        <v>Yes</v>
      </c>
      <c r="C36" s="29">
        <f t="shared" ref="C36:C45" si="5">+C35+365</f>
        <v>52686</v>
      </c>
      <c r="D36" s="35">
        <f t="shared" si="2"/>
        <v>2044</v>
      </c>
      <c r="E36" s="36">
        <f t="shared" si="3"/>
        <v>26</v>
      </c>
      <c r="F36" s="36" t="s">
        <v>13</v>
      </c>
      <c r="G36" s="36">
        <f>IF(($G$9-SUM($G$11:G35))&gt;=365,365,$G$9-SUM($G$11:G35))</f>
        <v>0</v>
      </c>
      <c r="H36" s="36">
        <f t="shared" si="4"/>
        <v>0</v>
      </c>
      <c r="I36" s="37">
        <f>$G$4-SUM($H$11:H36)</f>
        <v>12603</v>
      </c>
    </row>
    <row r="37" spans="2:9">
      <c r="B37" s="28" t="str">
        <f t="shared" si="0"/>
        <v>-</v>
      </c>
      <c r="C37" s="29">
        <f t="shared" si="5"/>
        <v>53051</v>
      </c>
      <c r="D37" s="35">
        <f t="shared" si="2"/>
        <v>2045</v>
      </c>
      <c r="E37" s="36">
        <f t="shared" si="3"/>
        <v>27</v>
      </c>
      <c r="F37" s="36" t="s">
        <v>13</v>
      </c>
      <c r="G37" s="36">
        <f>IF(($G$9-SUM($G$11:G36))&gt;=365,365,$G$9-SUM($G$11:G36))</f>
        <v>0</v>
      </c>
      <c r="H37" s="36">
        <f t="shared" si="4"/>
        <v>0</v>
      </c>
      <c r="I37" s="37">
        <f>$G$4-SUM($H$11:H37)</f>
        <v>12603</v>
      </c>
    </row>
    <row r="38" spans="2:9">
      <c r="B38" s="28" t="str">
        <f t="shared" si="0"/>
        <v>-</v>
      </c>
      <c r="C38" s="29">
        <f t="shared" si="5"/>
        <v>53416</v>
      </c>
      <c r="D38" s="35">
        <f t="shared" si="2"/>
        <v>2046</v>
      </c>
      <c r="E38" s="36">
        <f t="shared" si="3"/>
        <v>28</v>
      </c>
      <c r="F38" s="36" t="s">
        <v>13</v>
      </c>
      <c r="G38" s="36">
        <f>IF(($G$9-SUM($G$11:G37))&gt;=365,365,$G$9-SUM($G$11:G37))</f>
        <v>0</v>
      </c>
      <c r="H38" s="36">
        <f t="shared" si="4"/>
        <v>0</v>
      </c>
      <c r="I38" s="37">
        <f>$G$4-SUM($H$11:H38)</f>
        <v>12603</v>
      </c>
    </row>
    <row r="39" spans="2:9">
      <c r="B39" s="28" t="str">
        <f t="shared" si="0"/>
        <v>Yes</v>
      </c>
      <c r="C39" s="29">
        <f t="shared" si="5"/>
        <v>53781</v>
      </c>
      <c r="D39" s="35">
        <f t="shared" si="2"/>
        <v>2047</v>
      </c>
      <c r="E39" s="36">
        <f t="shared" si="3"/>
        <v>29</v>
      </c>
      <c r="F39" s="36" t="s">
        <v>13</v>
      </c>
      <c r="G39" s="36">
        <f>IF(($G$9-SUM($G$11:G38))&gt;=365,365,$G$9-SUM($G$11:G38))</f>
        <v>0</v>
      </c>
      <c r="H39" s="36">
        <f t="shared" si="4"/>
        <v>0</v>
      </c>
      <c r="I39" s="37">
        <f>$G$4-SUM($H$11:H39)</f>
        <v>12603</v>
      </c>
    </row>
    <row r="40" spans="2:9">
      <c r="B40" s="28" t="str">
        <f t="shared" si="0"/>
        <v>-</v>
      </c>
      <c r="C40" s="29">
        <f t="shared" si="5"/>
        <v>54146</v>
      </c>
      <c r="D40" s="35">
        <f t="shared" si="2"/>
        <v>2048</v>
      </c>
      <c r="E40" s="36">
        <f t="shared" si="3"/>
        <v>30</v>
      </c>
      <c r="F40" s="36" t="s">
        <v>13</v>
      </c>
      <c r="G40" s="36">
        <f>IF(($G$9-SUM($G$11:G39))&gt;=365,365,$G$9-SUM($G$11:G39))</f>
        <v>0</v>
      </c>
      <c r="H40" s="36">
        <f t="shared" si="4"/>
        <v>0</v>
      </c>
      <c r="I40" s="37">
        <f>$G$4-SUM($H$11:H40)</f>
        <v>12603</v>
      </c>
    </row>
    <row r="41" spans="2:9">
      <c r="B41" s="28" t="str">
        <f t="shared" ref="B41" si="6">+IF(D41=2016,"Yes",IF(D41=2020,"Yes",IF(D41=2024,"Yes",IF(D41=2028,"Yes",IF(D41=2032,"Yes",IF(D41=2036,"Yes",IF(D41=2040,"Yes",IF(D41=2044,"Yes",IF(D42=2048,"Yes",IF(D42=2052,"Yes","-"))))))))))</f>
        <v>-</v>
      </c>
      <c r="C41" s="29">
        <f t="shared" si="5"/>
        <v>54511</v>
      </c>
      <c r="D41" s="35">
        <f t="shared" si="2"/>
        <v>2049</v>
      </c>
      <c r="E41" s="36">
        <f t="shared" si="3"/>
        <v>31</v>
      </c>
      <c r="F41" s="36" t="s">
        <v>14</v>
      </c>
      <c r="G41" s="36">
        <f>IF(($G$9-SUM($G$11:G40))&gt;=365,365,$G$9-SUM($G$11:G40))</f>
        <v>0</v>
      </c>
      <c r="H41" s="36">
        <f t="shared" si="4"/>
        <v>0</v>
      </c>
      <c r="I41" s="37">
        <f>$G$4-SUM($H$11:H41)</f>
        <v>12603</v>
      </c>
    </row>
    <row r="42" spans="2:9">
      <c r="B42" s="28" t="str">
        <f t="shared" si="0"/>
        <v>-</v>
      </c>
      <c r="C42" s="29">
        <f t="shared" si="5"/>
        <v>54876</v>
      </c>
      <c r="D42" s="35">
        <f t="shared" si="2"/>
        <v>2050</v>
      </c>
      <c r="E42" s="36">
        <f t="shared" si="3"/>
        <v>32</v>
      </c>
      <c r="F42" s="36" t="s">
        <v>11</v>
      </c>
      <c r="G42" s="36">
        <f>IF(($G$9-SUM($G$11:G41))&gt;=365,365,$G$9-SUM($G$11:G41))</f>
        <v>0</v>
      </c>
      <c r="H42" s="36">
        <f t="shared" si="4"/>
        <v>0</v>
      </c>
      <c r="I42" s="37">
        <f>$G$4-SUM($H$11:H42)</f>
        <v>12603</v>
      </c>
    </row>
    <row r="43" spans="2:9">
      <c r="B43" s="28" t="str">
        <f t="shared" si="0"/>
        <v>Yes</v>
      </c>
      <c r="C43" s="29">
        <f t="shared" si="5"/>
        <v>55241</v>
      </c>
      <c r="D43" s="35">
        <f t="shared" si="2"/>
        <v>2051</v>
      </c>
      <c r="E43" s="36">
        <f t="shared" si="3"/>
        <v>33</v>
      </c>
      <c r="F43" s="36" t="s">
        <v>12</v>
      </c>
      <c r="G43" s="36">
        <f>IF(($G$9-SUM($G$11:G42))&gt;=365,365,$G$9-SUM($G$11:G42))</f>
        <v>0</v>
      </c>
      <c r="H43" s="36">
        <f t="shared" si="4"/>
        <v>0</v>
      </c>
      <c r="I43" s="37">
        <f>$G$4-SUM($H$11:H43)</f>
        <v>12603</v>
      </c>
    </row>
    <row r="44" spans="2:9">
      <c r="B44" s="28" t="str">
        <f t="shared" si="0"/>
        <v>-</v>
      </c>
      <c r="C44" s="29">
        <f t="shared" si="5"/>
        <v>55606</v>
      </c>
      <c r="D44" s="35">
        <f t="shared" si="2"/>
        <v>2052</v>
      </c>
      <c r="E44" s="36">
        <f t="shared" si="3"/>
        <v>34</v>
      </c>
      <c r="F44" s="36" t="s">
        <v>13</v>
      </c>
      <c r="G44" s="36">
        <f>IF(($G$9-SUM($G$11:G43))&gt;=365,365,$G$9-SUM($G$11:G43))</f>
        <v>0</v>
      </c>
      <c r="H44" s="36">
        <f t="shared" si="4"/>
        <v>0</v>
      </c>
      <c r="I44" s="37">
        <f>$G$4-SUM($H$11:H44)</f>
        <v>12603</v>
      </c>
    </row>
    <row r="45" spans="2:9" ht="13.5" thickBot="1">
      <c r="B45" s="38" t="str">
        <f t="shared" si="0"/>
        <v>-</v>
      </c>
      <c r="C45" s="39">
        <f t="shared" si="5"/>
        <v>55971</v>
      </c>
      <c r="D45" s="40">
        <f t="shared" si="2"/>
        <v>2053</v>
      </c>
      <c r="E45" s="41">
        <f t="shared" si="3"/>
        <v>35</v>
      </c>
      <c r="F45" s="41" t="s">
        <v>13</v>
      </c>
      <c r="G45" s="41">
        <f>IF(($G$9-SUM($G$11:G44))&gt;=365,365,$G$9-SUM($G$11:G44))</f>
        <v>0</v>
      </c>
      <c r="H45" s="41">
        <f t="shared" si="4"/>
        <v>0</v>
      </c>
      <c r="I45" s="42">
        <f>$G$4-SUM($H$11:H45)</f>
        <v>12603</v>
      </c>
    </row>
  </sheetData>
  <mergeCells count="5">
    <mergeCell ref="B4:B9"/>
    <mergeCell ref="D8:E9"/>
    <mergeCell ref="D4:E7"/>
    <mergeCell ref="B2:I2"/>
    <mergeCell ref="B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P27"/>
  <sheetViews>
    <sheetView showGridLines="0" workbookViewId="0">
      <pane ySplit="3" topLeftCell="A4" activePane="bottomLeft" state="frozen"/>
      <selection pane="bottomLeft" activeCell="B1" sqref="B1:M1"/>
    </sheetView>
  </sheetViews>
  <sheetFormatPr defaultRowHeight="15"/>
  <cols>
    <col min="1" max="1" width="2.5703125" style="89" customWidth="1"/>
    <col min="2" max="2" width="9.140625" style="89"/>
    <col min="3" max="3" width="30.7109375" style="89" bestFit="1" customWidth="1"/>
    <col min="4" max="4" width="10.42578125" style="89" bestFit="1" customWidth="1"/>
    <col min="5" max="5" width="2" style="89" customWidth="1"/>
    <col min="6" max="6" width="9.140625" style="89"/>
    <col min="7" max="7" width="10.42578125" style="89" hidden="1" customWidth="1"/>
    <col min="8" max="8" width="12.7109375" style="89" customWidth="1"/>
    <col min="9" max="9" width="10.42578125" style="89" bestFit="1" customWidth="1"/>
    <col min="10" max="10" width="9.140625" style="89"/>
    <col min="11" max="11" width="14.28515625" style="89" bestFit="1" customWidth="1"/>
    <col min="12" max="12" width="12.42578125" style="89" bestFit="1" customWidth="1"/>
    <col min="13" max="13" width="12.28515625" style="89" bestFit="1" customWidth="1"/>
    <col min="14" max="15" width="3.5703125" style="89" customWidth="1"/>
    <col min="16" max="16384" width="9.140625" style="89"/>
  </cols>
  <sheetData>
    <row r="1" spans="2:16" ht="15.75" thickBot="1">
      <c r="B1" s="166" t="s">
        <v>53</v>
      </c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8"/>
    </row>
    <row r="2" spans="2:16" ht="15.75" thickBot="1">
      <c r="B2" s="88"/>
      <c r="C2" s="86"/>
      <c r="D2" s="87"/>
      <c r="E2" s="95"/>
      <c r="F2" s="166" t="s">
        <v>44</v>
      </c>
      <c r="G2" s="167"/>
      <c r="H2" s="167"/>
      <c r="I2" s="167"/>
      <c r="J2" s="167"/>
      <c r="K2" s="167"/>
      <c r="L2" s="167"/>
      <c r="M2" s="168"/>
      <c r="O2" s="91"/>
      <c r="P2" s="91" t="s">
        <v>54</v>
      </c>
    </row>
    <row r="3" spans="2:16" ht="15.75" thickBot="1">
      <c r="B3" s="64" t="s">
        <v>52</v>
      </c>
      <c r="C3" s="167" t="s">
        <v>15</v>
      </c>
      <c r="D3" s="168"/>
      <c r="E3" s="95"/>
      <c r="F3" s="65" t="s">
        <v>51</v>
      </c>
      <c r="G3" s="66" t="s">
        <v>45</v>
      </c>
      <c r="H3" s="66" t="s">
        <v>47</v>
      </c>
      <c r="I3" s="66" t="s">
        <v>46</v>
      </c>
      <c r="J3" s="66" t="s">
        <v>48</v>
      </c>
      <c r="K3" s="66" t="s">
        <v>50</v>
      </c>
      <c r="L3" s="66" t="s">
        <v>7</v>
      </c>
      <c r="M3" s="67" t="s">
        <v>49</v>
      </c>
      <c r="O3" s="91">
        <v>1</v>
      </c>
      <c r="P3" s="92" t="s">
        <v>55</v>
      </c>
    </row>
    <row r="4" spans="2:16" ht="15.75" thickBot="1">
      <c r="B4" s="54">
        <v>1</v>
      </c>
      <c r="C4" s="60" t="s">
        <v>29</v>
      </c>
      <c r="D4" s="96">
        <v>42794</v>
      </c>
      <c r="F4" s="68" t="str">
        <f t="shared" ref="F4:F26" si="0">+IF(H4=2016,"Yes",IF(H4=2020,"Yes",IF(H4=2024,"Yes",IF(H4=2028,"Yes",IF(H4=2032,"Yes",IF(H4=2036,"Yes",IF(H4=2040,"Yes",IF(H4=2044,"Yes",IF(H5=2048,"Yes",IF(H5=2052,"Yes","-"))))))))))</f>
        <v>-</v>
      </c>
      <c r="G4" s="69">
        <f>+D5</f>
        <v>42825</v>
      </c>
      <c r="H4" s="70">
        <f>+YEAR(G4)</f>
        <v>2017</v>
      </c>
      <c r="I4" s="71">
        <f>+D13</f>
        <v>32</v>
      </c>
      <c r="J4" s="72">
        <f t="shared" ref="J4:J27" si="1">$D$16</f>
        <v>51.935773907694305</v>
      </c>
      <c r="K4" s="77">
        <f>+D6</f>
        <v>3350</v>
      </c>
      <c r="L4" s="78">
        <f>+ROUND((K4*J4/100)*I4/365,0)</f>
        <v>153</v>
      </c>
      <c r="M4" s="79">
        <f>+K4-L4</f>
        <v>3197</v>
      </c>
      <c r="O4" s="91">
        <v>2</v>
      </c>
      <c r="P4" s="91" t="s">
        <v>56</v>
      </c>
    </row>
    <row r="5" spans="2:16" ht="15.75" thickBot="1">
      <c r="B5" s="55">
        <v>2</v>
      </c>
      <c r="C5" s="61" t="s">
        <v>35</v>
      </c>
      <c r="D5" s="96">
        <v>42825</v>
      </c>
      <c r="F5" s="73" t="str">
        <f t="shared" si="0"/>
        <v>-</v>
      </c>
      <c r="G5" s="51">
        <f>+G4+365</f>
        <v>43190</v>
      </c>
      <c r="H5" s="50">
        <f t="shared" ref="H5:H27" si="2">+YEAR(G5)</f>
        <v>2018</v>
      </c>
      <c r="I5" s="50">
        <f>+IF(($D$9-I4)&gt;365,365,($D$9-I4))</f>
        <v>365</v>
      </c>
      <c r="J5" s="52">
        <f t="shared" si="1"/>
        <v>51.935773907694305</v>
      </c>
      <c r="K5" s="80">
        <f>+M4</f>
        <v>3197</v>
      </c>
      <c r="L5" s="81">
        <f t="shared" ref="L5:L27" si="3">+ROUND((K5*J5/100)*I5/365,0)</f>
        <v>1660</v>
      </c>
      <c r="M5" s="82">
        <f t="shared" ref="M5:M27" si="4">+K5-L5</f>
        <v>1537</v>
      </c>
      <c r="O5" s="91"/>
      <c r="P5" s="91" t="s">
        <v>57</v>
      </c>
    </row>
    <row r="6" spans="2:16" ht="15.75" thickBot="1">
      <c r="B6" s="55">
        <v>3</v>
      </c>
      <c r="C6" s="61" t="s">
        <v>30</v>
      </c>
      <c r="D6" s="97">
        <v>3350</v>
      </c>
      <c r="F6" s="73" t="str">
        <f t="shared" si="0"/>
        <v>-</v>
      </c>
      <c r="G6" s="51">
        <f>+G5+365+1</f>
        <v>43556</v>
      </c>
      <c r="H6" s="50">
        <f t="shared" si="2"/>
        <v>2019</v>
      </c>
      <c r="I6" s="50">
        <f>+IF(($D$9-SUM($I$4:I5))&gt;365,365,($D$9-SUM($I$4:I5)))</f>
        <v>365</v>
      </c>
      <c r="J6" s="52">
        <f t="shared" si="1"/>
        <v>51.935773907694305</v>
      </c>
      <c r="K6" s="80">
        <f t="shared" ref="K6:K27" si="5">+M5</f>
        <v>1537</v>
      </c>
      <c r="L6" s="81">
        <f t="shared" si="3"/>
        <v>798</v>
      </c>
      <c r="M6" s="82">
        <f t="shared" si="4"/>
        <v>739</v>
      </c>
      <c r="O6" s="91"/>
      <c r="P6" s="91" t="s">
        <v>93</v>
      </c>
    </row>
    <row r="7" spans="2:16" ht="15.75" thickBot="1">
      <c r="B7" s="55">
        <v>4</v>
      </c>
      <c r="C7" s="61" t="s">
        <v>31</v>
      </c>
      <c r="D7" s="98">
        <f>+ROUND(D6*5%,0)</f>
        <v>168</v>
      </c>
      <c r="F7" s="73" t="str">
        <f t="shared" si="0"/>
        <v>Yes</v>
      </c>
      <c r="G7" s="51">
        <f>+G6+365</f>
        <v>43921</v>
      </c>
      <c r="H7" s="50">
        <f t="shared" si="2"/>
        <v>2020</v>
      </c>
      <c r="I7" s="50">
        <f>+IF(($D$9-SUM($I$4:I6))&gt;365,365,($D$9-SUM($I$4:I6)))</f>
        <v>365</v>
      </c>
      <c r="J7" s="52">
        <f t="shared" si="1"/>
        <v>51.935773907694305</v>
      </c>
      <c r="K7" s="80">
        <f t="shared" si="5"/>
        <v>739</v>
      </c>
      <c r="L7" s="81">
        <f t="shared" si="3"/>
        <v>384</v>
      </c>
      <c r="M7" s="82">
        <f t="shared" si="4"/>
        <v>355</v>
      </c>
      <c r="O7" s="91"/>
      <c r="P7" s="91" t="s">
        <v>58</v>
      </c>
    </row>
    <row r="8" spans="2:16" ht="15.75" thickBot="1">
      <c r="B8" s="55">
        <v>5</v>
      </c>
      <c r="C8" s="61" t="s">
        <v>33</v>
      </c>
      <c r="D8" s="99">
        <v>5</v>
      </c>
      <c r="F8" s="73" t="str">
        <f t="shared" si="0"/>
        <v>-</v>
      </c>
      <c r="G8" s="51">
        <f>+G7+365</f>
        <v>44286</v>
      </c>
      <c r="H8" s="50">
        <f t="shared" si="2"/>
        <v>2021</v>
      </c>
      <c r="I8" s="50">
        <f>+IF(($D$9-SUM($I$4:I7))&gt;365,365,($D$9-SUM($I$4:I7)))</f>
        <v>365</v>
      </c>
      <c r="J8" s="52">
        <f t="shared" si="1"/>
        <v>51.935773907694305</v>
      </c>
      <c r="K8" s="80">
        <f t="shared" si="5"/>
        <v>355</v>
      </c>
      <c r="L8" s="81">
        <f t="shared" si="3"/>
        <v>184</v>
      </c>
      <c r="M8" s="82">
        <f t="shared" si="4"/>
        <v>171</v>
      </c>
      <c r="N8" s="90"/>
      <c r="O8" s="90"/>
    </row>
    <row r="9" spans="2:16" ht="15.75" thickBot="1">
      <c r="B9" s="55">
        <v>6</v>
      </c>
      <c r="C9" s="61" t="s">
        <v>34</v>
      </c>
      <c r="D9" s="100">
        <f>+D8*365+D10</f>
        <v>1826</v>
      </c>
      <c r="F9" s="73" t="str">
        <f t="shared" si="0"/>
        <v>-</v>
      </c>
      <c r="G9" s="51">
        <f>+G8+365</f>
        <v>44651</v>
      </c>
      <c r="H9" s="50">
        <f t="shared" si="2"/>
        <v>2022</v>
      </c>
      <c r="I9" s="50">
        <f>+IF(($D$9-SUM($I$4:I8))&gt;365,365,($D$9-SUM($I$4:I8)))</f>
        <v>334</v>
      </c>
      <c r="J9" s="52">
        <f t="shared" si="1"/>
        <v>51.935773907694305</v>
      </c>
      <c r="K9" s="80">
        <f t="shared" si="5"/>
        <v>171</v>
      </c>
      <c r="L9" s="81">
        <f t="shared" si="3"/>
        <v>81</v>
      </c>
      <c r="M9" s="82">
        <f t="shared" si="4"/>
        <v>90</v>
      </c>
    </row>
    <row r="10" spans="2:16" ht="15.75" thickBot="1">
      <c r="B10" s="55">
        <v>7</v>
      </c>
      <c r="C10" s="61" t="s">
        <v>36</v>
      </c>
      <c r="D10" s="99">
        <v>1</v>
      </c>
      <c r="F10" s="73" t="str">
        <f t="shared" si="0"/>
        <v>-</v>
      </c>
      <c r="G10" s="51">
        <f>+G9+365+1</f>
        <v>45017</v>
      </c>
      <c r="H10" s="50">
        <f t="shared" si="2"/>
        <v>2023</v>
      </c>
      <c r="I10" s="50">
        <f>+IF(($D$9-SUM($I$4:I9))&gt;365,365,($D$9-SUM($I$4:I9)))</f>
        <v>0</v>
      </c>
      <c r="J10" s="52">
        <f t="shared" si="1"/>
        <v>51.935773907694305</v>
      </c>
      <c r="K10" s="80">
        <f t="shared" si="5"/>
        <v>90</v>
      </c>
      <c r="L10" s="81">
        <f t="shared" si="3"/>
        <v>0</v>
      </c>
      <c r="M10" s="82">
        <f t="shared" si="4"/>
        <v>90</v>
      </c>
    </row>
    <row r="11" spans="2:16">
      <c r="B11" s="55">
        <v>8</v>
      </c>
      <c r="C11" s="61" t="s">
        <v>37</v>
      </c>
      <c r="D11" s="101">
        <f>+D4+D9</f>
        <v>44620</v>
      </c>
      <c r="F11" s="73" t="str">
        <f t="shared" si="0"/>
        <v>Yes</v>
      </c>
      <c r="G11" s="51">
        <f>+G10+365</f>
        <v>45382</v>
      </c>
      <c r="H11" s="50">
        <f t="shared" si="2"/>
        <v>2024</v>
      </c>
      <c r="I11" s="50">
        <f>+IF(($D$9-SUM($I$4:I10))&gt;365,365,($D$9-SUM($I$4:I10)))</f>
        <v>0</v>
      </c>
      <c r="J11" s="52">
        <f t="shared" si="1"/>
        <v>51.935773907694305</v>
      </c>
      <c r="K11" s="80">
        <f t="shared" si="5"/>
        <v>90</v>
      </c>
      <c r="L11" s="81">
        <f t="shared" si="3"/>
        <v>0</v>
      </c>
      <c r="M11" s="82">
        <f t="shared" si="4"/>
        <v>90</v>
      </c>
    </row>
    <row r="12" spans="2:16" ht="30">
      <c r="B12" s="55">
        <v>9</v>
      </c>
      <c r="C12" s="62" t="s">
        <v>38</v>
      </c>
      <c r="D12" s="57">
        <f>+(D5-D4)/365</f>
        <v>8.4931506849315067E-2</v>
      </c>
      <c r="F12" s="73" t="str">
        <f t="shared" si="0"/>
        <v>-</v>
      </c>
      <c r="G12" s="51">
        <f>+G11+365</f>
        <v>45747</v>
      </c>
      <c r="H12" s="50">
        <f t="shared" si="2"/>
        <v>2025</v>
      </c>
      <c r="I12" s="50">
        <f>+IF(($D$9-SUM($I$4:I11))&gt;365,365,($D$9-SUM($I$4:I11)))</f>
        <v>0</v>
      </c>
      <c r="J12" s="52">
        <f t="shared" si="1"/>
        <v>51.935773907694305</v>
      </c>
      <c r="K12" s="80">
        <f t="shared" si="5"/>
        <v>90</v>
      </c>
      <c r="L12" s="81">
        <f t="shared" si="3"/>
        <v>0</v>
      </c>
      <c r="M12" s="82">
        <f t="shared" si="4"/>
        <v>90</v>
      </c>
    </row>
    <row r="13" spans="2:16">
      <c r="B13" s="55">
        <v>10</v>
      </c>
      <c r="C13" s="61" t="s">
        <v>39</v>
      </c>
      <c r="D13" s="58">
        <f>+D5-D4+1</f>
        <v>32</v>
      </c>
      <c r="F13" s="73" t="str">
        <f t="shared" si="0"/>
        <v>-</v>
      </c>
      <c r="G13" s="51">
        <f>+G12+365</f>
        <v>46112</v>
      </c>
      <c r="H13" s="50">
        <f t="shared" si="2"/>
        <v>2026</v>
      </c>
      <c r="I13" s="50">
        <f>+IF(($D$9-SUM($I$4:I12))&gt;365,365,($D$9-SUM($I$4:I12)))</f>
        <v>0</v>
      </c>
      <c r="J13" s="52">
        <f t="shared" si="1"/>
        <v>51.935773907694305</v>
      </c>
      <c r="K13" s="80">
        <f t="shared" si="5"/>
        <v>90</v>
      </c>
      <c r="L13" s="81">
        <f t="shared" si="3"/>
        <v>0</v>
      </c>
      <c r="M13" s="82">
        <f t="shared" si="4"/>
        <v>90</v>
      </c>
    </row>
    <row r="14" spans="2:16">
      <c r="B14" s="55">
        <v>11</v>
      </c>
      <c r="C14" s="61" t="s">
        <v>40</v>
      </c>
      <c r="D14" s="57">
        <f>1-D12</f>
        <v>0.91506849315068495</v>
      </c>
      <c r="F14" s="73" t="str">
        <f t="shared" si="0"/>
        <v>-</v>
      </c>
      <c r="G14" s="51">
        <f t="shared" ref="G14:G27" si="6">+G13+365+1</f>
        <v>46478</v>
      </c>
      <c r="H14" s="50">
        <f t="shared" si="2"/>
        <v>2027</v>
      </c>
      <c r="I14" s="50">
        <f>+IF(($D$9-SUM($I$4:I13))&gt;365,365,($D$9-SUM($I$4:I13)))</f>
        <v>0</v>
      </c>
      <c r="J14" s="52">
        <f t="shared" si="1"/>
        <v>51.935773907694305</v>
      </c>
      <c r="K14" s="80">
        <f t="shared" si="5"/>
        <v>90</v>
      </c>
      <c r="L14" s="81">
        <f t="shared" si="3"/>
        <v>0</v>
      </c>
      <c r="M14" s="82">
        <f t="shared" si="4"/>
        <v>90</v>
      </c>
    </row>
    <row r="15" spans="2:16">
      <c r="B15" s="55">
        <v>12</v>
      </c>
      <c r="C15" s="61" t="s">
        <v>41</v>
      </c>
      <c r="D15" s="57">
        <f>+D8-D14</f>
        <v>4.0849315068493155</v>
      </c>
      <c r="F15" s="73" t="str">
        <f t="shared" si="0"/>
        <v>Yes</v>
      </c>
      <c r="G15" s="51">
        <f>+G14+365</f>
        <v>46843</v>
      </c>
      <c r="H15" s="50">
        <f t="shared" si="2"/>
        <v>2028</v>
      </c>
      <c r="I15" s="50">
        <f>+IF(($D$9-SUM($I$4:I14))&gt;365,365,($D$9-SUM($I$4:I14)))</f>
        <v>0</v>
      </c>
      <c r="J15" s="52">
        <f t="shared" si="1"/>
        <v>51.935773907694305</v>
      </c>
      <c r="K15" s="80">
        <f t="shared" si="5"/>
        <v>90</v>
      </c>
      <c r="L15" s="81">
        <f t="shared" si="3"/>
        <v>0</v>
      </c>
      <c r="M15" s="82">
        <f t="shared" si="4"/>
        <v>90</v>
      </c>
      <c r="N15" s="90"/>
      <c r="O15" s="90"/>
    </row>
    <row r="16" spans="2:16">
      <c r="B16" s="55">
        <v>13</v>
      </c>
      <c r="C16" s="61" t="s">
        <v>42</v>
      </c>
      <c r="D16" s="57">
        <f>+IF(D15&gt;0,(1-(D7/D6)^(1/D15))*100)</f>
        <v>51.935773907694305</v>
      </c>
      <c r="F16" s="73" t="str">
        <f t="shared" si="0"/>
        <v>-</v>
      </c>
      <c r="G16" s="51">
        <f>+G15+365</f>
        <v>47208</v>
      </c>
      <c r="H16" s="50">
        <f t="shared" si="2"/>
        <v>2029</v>
      </c>
      <c r="I16" s="50">
        <f>+IF(($D$9-SUM($I$4:I15))&gt;365,365,($D$9-SUM($I$4:I15)))</f>
        <v>0</v>
      </c>
      <c r="J16" s="52">
        <f t="shared" si="1"/>
        <v>51.935773907694305</v>
      </c>
      <c r="K16" s="80">
        <f t="shared" si="5"/>
        <v>90</v>
      </c>
      <c r="L16" s="81">
        <f t="shared" si="3"/>
        <v>0</v>
      </c>
      <c r="M16" s="82">
        <f t="shared" si="4"/>
        <v>90</v>
      </c>
    </row>
    <row r="17" spans="2:13" ht="15.75" thickBot="1">
      <c r="B17" s="56">
        <v>14</v>
      </c>
      <c r="C17" s="63" t="s">
        <v>43</v>
      </c>
      <c r="D17" s="59">
        <f>+D6*D16%*(D13/365)</f>
        <v>152.53465651794053</v>
      </c>
      <c r="F17" s="73" t="str">
        <f t="shared" si="0"/>
        <v>-</v>
      </c>
      <c r="G17" s="51">
        <f>+G16+365</f>
        <v>47573</v>
      </c>
      <c r="H17" s="50">
        <f t="shared" si="2"/>
        <v>2030</v>
      </c>
      <c r="I17" s="50">
        <f>+IF(($D$9-SUM($I$4:I16))&gt;365,365,($D$9-SUM($I$4:I16)))</f>
        <v>0</v>
      </c>
      <c r="J17" s="52">
        <f t="shared" si="1"/>
        <v>51.935773907694305</v>
      </c>
      <c r="K17" s="80">
        <f t="shared" si="5"/>
        <v>90</v>
      </c>
      <c r="L17" s="81">
        <f t="shared" si="3"/>
        <v>0</v>
      </c>
      <c r="M17" s="82">
        <f t="shared" si="4"/>
        <v>90</v>
      </c>
    </row>
    <row r="18" spans="2:13">
      <c r="D18" s="93"/>
      <c r="F18" s="73" t="str">
        <f t="shared" si="0"/>
        <v>-</v>
      </c>
      <c r="G18" s="51">
        <f t="shared" si="6"/>
        <v>47939</v>
      </c>
      <c r="H18" s="50">
        <f t="shared" si="2"/>
        <v>2031</v>
      </c>
      <c r="I18" s="50">
        <f>+IF(($D$9-SUM($I$4:I17))&gt;365,365,($D$9-SUM($I$4:I17)))</f>
        <v>0</v>
      </c>
      <c r="J18" s="52">
        <f t="shared" si="1"/>
        <v>51.935773907694305</v>
      </c>
      <c r="K18" s="80">
        <f t="shared" si="5"/>
        <v>90</v>
      </c>
      <c r="L18" s="81">
        <f t="shared" si="3"/>
        <v>0</v>
      </c>
      <c r="M18" s="82">
        <f t="shared" si="4"/>
        <v>90</v>
      </c>
    </row>
    <row r="19" spans="2:13">
      <c r="D19" s="94"/>
      <c r="F19" s="73" t="str">
        <f t="shared" si="0"/>
        <v>Yes</v>
      </c>
      <c r="G19" s="51">
        <f t="shared" si="6"/>
        <v>48305</v>
      </c>
      <c r="H19" s="50">
        <f t="shared" si="2"/>
        <v>2032</v>
      </c>
      <c r="I19" s="50">
        <f>+IF(($D$9-SUM($I$4:I18))&gt;365,365,($D$9-SUM($I$4:I18)))</f>
        <v>0</v>
      </c>
      <c r="J19" s="52">
        <f t="shared" si="1"/>
        <v>51.935773907694305</v>
      </c>
      <c r="K19" s="80">
        <f t="shared" si="5"/>
        <v>90</v>
      </c>
      <c r="L19" s="81">
        <f t="shared" si="3"/>
        <v>0</v>
      </c>
      <c r="M19" s="82">
        <f t="shared" si="4"/>
        <v>90</v>
      </c>
    </row>
    <row r="20" spans="2:13">
      <c r="F20" s="73" t="str">
        <f t="shared" si="0"/>
        <v>-</v>
      </c>
      <c r="G20" s="51">
        <f t="shared" si="6"/>
        <v>48671</v>
      </c>
      <c r="H20" s="50">
        <f t="shared" si="2"/>
        <v>2033</v>
      </c>
      <c r="I20" s="50">
        <f>+IF(($D$9-SUM($I$4:I19))&gt;365,365,($D$9-SUM($I$4:I19)))</f>
        <v>0</v>
      </c>
      <c r="J20" s="52">
        <f t="shared" si="1"/>
        <v>51.935773907694305</v>
      </c>
      <c r="K20" s="80">
        <f t="shared" si="5"/>
        <v>90</v>
      </c>
      <c r="L20" s="81">
        <f t="shared" si="3"/>
        <v>0</v>
      </c>
      <c r="M20" s="82">
        <f t="shared" si="4"/>
        <v>90</v>
      </c>
    </row>
    <row r="21" spans="2:13">
      <c r="F21" s="73" t="str">
        <f t="shared" si="0"/>
        <v>-</v>
      </c>
      <c r="G21" s="51">
        <f t="shared" si="6"/>
        <v>49037</v>
      </c>
      <c r="H21" s="50">
        <f t="shared" si="2"/>
        <v>2034</v>
      </c>
      <c r="I21" s="50">
        <f>+IF(($D$9-SUM($I$4:I20))&gt;365,365,($D$9-SUM($I$4:I20)))</f>
        <v>0</v>
      </c>
      <c r="J21" s="52">
        <f t="shared" si="1"/>
        <v>51.935773907694305</v>
      </c>
      <c r="K21" s="80">
        <f t="shared" si="5"/>
        <v>90</v>
      </c>
      <c r="L21" s="81">
        <f t="shared" si="3"/>
        <v>0</v>
      </c>
      <c r="M21" s="82">
        <f t="shared" si="4"/>
        <v>90</v>
      </c>
    </row>
    <row r="22" spans="2:13">
      <c r="F22" s="73" t="str">
        <f t="shared" si="0"/>
        <v>-</v>
      </c>
      <c r="G22" s="51">
        <f t="shared" si="6"/>
        <v>49403</v>
      </c>
      <c r="H22" s="50">
        <f t="shared" si="2"/>
        <v>2035</v>
      </c>
      <c r="I22" s="50">
        <f>+IF(($D$9-SUM($I$4:I21))&gt;365,365,($D$9-SUM($I$4:I21)))</f>
        <v>0</v>
      </c>
      <c r="J22" s="52">
        <f t="shared" si="1"/>
        <v>51.935773907694305</v>
      </c>
      <c r="K22" s="80">
        <f t="shared" si="5"/>
        <v>90</v>
      </c>
      <c r="L22" s="81">
        <f t="shared" si="3"/>
        <v>0</v>
      </c>
      <c r="M22" s="82">
        <f t="shared" si="4"/>
        <v>90</v>
      </c>
    </row>
    <row r="23" spans="2:13">
      <c r="F23" s="73" t="str">
        <f t="shared" si="0"/>
        <v>Yes</v>
      </c>
      <c r="G23" s="51">
        <f t="shared" si="6"/>
        <v>49769</v>
      </c>
      <c r="H23" s="50">
        <f t="shared" si="2"/>
        <v>2036</v>
      </c>
      <c r="I23" s="50">
        <f>+IF(($D$9-SUM($I$4:I22))&gt;365,365,($D$9-SUM($I$4:I22)))</f>
        <v>0</v>
      </c>
      <c r="J23" s="52">
        <f t="shared" si="1"/>
        <v>51.935773907694305</v>
      </c>
      <c r="K23" s="80">
        <f t="shared" si="5"/>
        <v>90</v>
      </c>
      <c r="L23" s="81">
        <f t="shared" si="3"/>
        <v>0</v>
      </c>
      <c r="M23" s="82">
        <f t="shared" si="4"/>
        <v>90</v>
      </c>
    </row>
    <row r="24" spans="2:13">
      <c r="F24" s="73" t="str">
        <f t="shared" si="0"/>
        <v>-</v>
      </c>
      <c r="G24" s="51">
        <f t="shared" si="6"/>
        <v>50135</v>
      </c>
      <c r="H24" s="50">
        <f t="shared" si="2"/>
        <v>2037</v>
      </c>
      <c r="I24" s="50">
        <f>+IF(($D$9-SUM($I$4:I23))&gt;365,365,($D$9-SUM($I$4:I23)))</f>
        <v>0</v>
      </c>
      <c r="J24" s="52">
        <f t="shared" si="1"/>
        <v>51.935773907694305</v>
      </c>
      <c r="K24" s="80">
        <f t="shared" si="5"/>
        <v>90</v>
      </c>
      <c r="L24" s="81">
        <f t="shared" si="3"/>
        <v>0</v>
      </c>
      <c r="M24" s="82">
        <f t="shared" si="4"/>
        <v>90</v>
      </c>
    </row>
    <row r="25" spans="2:13">
      <c r="F25" s="73" t="str">
        <f t="shared" si="0"/>
        <v>-</v>
      </c>
      <c r="G25" s="51">
        <f t="shared" si="6"/>
        <v>50501</v>
      </c>
      <c r="H25" s="50">
        <f t="shared" si="2"/>
        <v>2038</v>
      </c>
      <c r="I25" s="50">
        <f>+IF(($D$9-SUM($I$4:I24))&gt;365,365,($D$9-SUM($I$4:I24)))</f>
        <v>0</v>
      </c>
      <c r="J25" s="52">
        <f t="shared" si="1"/>
        <v>51.935773907694305</v>
      </c>
      <c r="K25" s="80">
        <f t="shared" si="5"/>
        <v>90</v>
      </c>
      <c r="L25" s="81">
        <f t="shared" si="3"/>
        <v>0</v>
      </c>
      <c r="M25" s="82">
        <f t="shared" si="4"/>
        <v>90</v>
      </c>
    </row>
    <row r="26" spans="2:13">
      <c r="F26" s="73" t="str">
        <f t="shared" si="0"/>
        <v>-</v>
      </c>
      <c r="G26" s="51">
        <f t="shared" si="6"/>
        <v>50867</v>
      </c>
      <c r="H26" s="50">
        <f t="shared" si="2"/>
        <v>2039</v>
      </c>
      <c r="I26" s="50">
        <f>+IF(($D$9-SUM($I$4:I25))&gt;365,365,($D$9-SUM($I$4:I25)))</f>
        <v>0</v>
      </c>
      <c r="J26" s="52">
        <f t="shared" si="1"/>
        <v>51.935773907694305</v>
      </c>
      <c r="K26" s="80">
        <f t="shared" si="5"/>
        <v>90</v>
      </c>
      <c r="L26" s="81">
        <f t="shared" si="3"/>
        <v>0</v>
      </c>
      <c r="M26" s="82">
        <f t="shared" si="4"/>
        <v>90</v>
      </c>
    </row>
    <row r="27" spans="2:13" ht="15.75" thickBot="1">
      <c r="F27" s="74" t="str">
        <f>+IF(H27=2016,"Yes",IF(H27=2020,"Yes",IF(H27=2024,"Yes",IF(H27=2028,"Yes",IF(H27=2032,"Yes",IF(H27=2036,"Yes",IF(H27=2040,"Yes",IF(H27=2044,"Yes",IF(H29=2048,"Yes",IF(H29=2052,"Yes","-"))))))))))</f>
        <v>Yes</v>
      </c>
      <c r="G27" s="75">
        <f t="shared" si="6"/>
        <v>51233</v>
      </c>
      <c r="H27" s="53">
        <f t="shared" si="2"/>
        <v>2040</v>
      </c>
      <c r="I27" s="53">
        <f>+IF(($D$9-SUM($I$4:I26))&gt;365,365,($D$9-SUM($I$4:I26)))</f>
        <v>0</v>
      </c>
      <c r="J27" s="76">
        <f t="shared" si="1"/>
        <v>51.935773907694305</v>
      </c>
      <c r="K27" s="83">
        <f t="shared" si="5"/>
        <v>90</v>
      </c>
      <c r="L27" s="84">
        <f t="shared" si="3"/>
        <v>0</v>
      </c>
      <c r="M27" s="85">
        <f t="shared" si="4"/>
        <v>90</v>
      </c>
    </row>
  </sheetData>
  <mergeCells count="3">
    <mergeCell ref="F2:M2"/>
    <mergeCell ref="C3:D3"/>
    <mergeCell ref="B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K56"/>
  <sheetViews>
    <sheetView showGridLines="0" tabSelected="1" workbookViewId="0">
      <selection activeCell="F5" sqref="F5"/>
    </sheetView>
  </sheetViews>
  <sheetFormatPr defaultRowHeight="15"/>
  <cols>
    <col min="1" max="1" width="9.140625" style="89"/>
    <col min="2" max="2" width="3.42578125" style="89" customWidth="1"/>
    <col min="3" max="3" width="24.5703125" style="89" customWidth="1"/>
    <col min="4" max="4" width="12.85546875" style="89" customWidth="1"/>
    <col min="5" max="5" width="11.5703125" style="89" bestFit="1" customWidth="1"/>
    <col min="6" max="6" width="12.7109375" style="89" bestFit="1" customWidth="1"/>
    <col min="7" max="7" width="12.28515625" style="89" bestFit="1" customWidth="1"/>
    <col min="8" max="8" width="11.140625" style="89" bestFit="1" customWidth="1"/>
    <col min="9" max="9" width="11.5703125" style="89" bestFit="1" customWidth="1"/>
    <col min="10" max="10" width="16.140625" style="89" bestFit="1" customWidth="1"/>
    <col min="11" max="11" width="11.5703125" style="89" bestFit="1" customWidth="1"/>
    <col min="12" max="16384" width="9.140625" style="89"/>
  </cols>
  <sheetData>
    <row r="1" spans="2:11" ht="15.75" thickBot="1"/>
    <row r="2" spans="2:11">
      <c r="B2" s="141"/>
      <c r="C2" s="169" t="s">
        <v>84</v>
      </c>
      <c r="D2" s="170"/>
      <c r="E2" s="170"/>
      <c r="F2" s="170"/>
      <c r="G2" s="170"/>
      <c r="H2" s="170"/>
      <c r="I2" s="170"/>
      <c r="J2" s="170"/>
      <c r="K2" s="171"/>
    </row>
    <row r="3" spans="2:11">
      <c r="B3" s="142"/>
      <c r="C3" s="172" t="s">
        <v>59</v>
      </c>
      <c r="D3" s="173"/>
      <c r="E3" s="173"/>
      <c r="F3" s="173"/>
      <c r="G3" s="173"/>
      <c r="H3" s="173"/>
      <c r="I3" s="173"/>
      <c r="J3" s="173"/>
      <c r="K3" s="174"/>
    </row>
    <row r="4" spans="2:11" ht="16.5">
      <c r="B4" s="142"/>
      <c r="C4" s="111" t="s">
        <v>85</v>
      </c>
      <c r="D4" s="112"/>
      <c r="E4" s="112"/>
      <c r="F4" s="112"/>
      <c r="G4" s="112"/>
      <c r="H4" s="112"/>
      <c r="I4" s="112"/>
      <c r="J4" s="112"/>
      <c r="K4" s="113"/>
    </row>
    <row r="5" spans="2:11">
      <c r="B5" s="142"/>
      <c r="C5" s="114" t="s">
        <v>60</v>
      </c>
      <c r="D5" s="115" t="s">
        <v>61</v>
      </c>
      <c r="E5" s="116" t="s">
        <v>62</v>
      </c>
      <c r="F5" s="116" t="s">
        <v>63</v>
      </c>
      <c r="G5" s="116" t="s">
        <v>63</v>
      </c>
      <c r="H5" s="116" t="s">
        <v>64</v>
      </c>
      <c r="I5" s="116" t="s">
        <v>65</v>
      </c>
      <c r="J5" s="116" t="s">
        <v>66</v>
      </c>
      <c r="K5" s="117" t="s">
        <v>67</v>
      </c>
    </row>
    <row r="6" spans="2:11">
      <c r="B6" s="142"/>
      <c r="C6" s="118"/>
      <c r="D6" s="119" t="s">
        <v>7</v>
      </c>
      <c r="E6" s="120" t="s">
        <v>68</v>
      </c>
      <c r="F6" s="120" t="s">
        <v>69</v>
      </c>
      <c r="G6" s="120" t="s">
        <v>70</v>
      </c>
      <c r="H6" s="120"/>
      <c r="I6" s="120"/>
      <c r="J6" s="120" t="s">
        <v>71</v>
      </c>
      <c r="K6" s="121" t="s">
        <v>72</v>
      </c>
    </row>
    <row r="7" spans="2:11">
      <c r="B7" s="142"/>
      <c r="C7" s="122"/>
      <c r="D7" s="123"/>
      <c r="E7" s="124">
        <v>43191</v>
      </c>
      <c r="F7" s="125" t="s">
        <v>73</v>
      </c>
      <c r="G7" s="125" t="s">
        <v>73</v>
      </c>
      <c r="H7" s="125"/>
      <c r="I7" s="125"/>
      <c r="J7" s="125" t="s">
        <v>74</v>
      </c>
      <c r="K7" s="124">
        <v>43555</v>
      </c>
    </row>
    <row r="8" spans="2:11" ht="17.25" thickBot="1">
      <c r="B8" s="142"/>
      <c r="C8" s="129"/>
      <c r="D8" s="130" t="s">
        <v>75</v>
      </c>
      <c r="E8" s="131" t="s">
        <v>75</v>
      </c>
      <c r="F8" s="131" t="s">
        <v>75</v>
      </c>
      <c r="G8" s="131" t="s">
        <v>75</v>
      </c>
      <c r="H8" s="131"/>
      <c r="I8" s="131" t="s">
        <v>75</v>
      </c>
      <c r="J8" s="131" t="s">
        <v>75</v>
      </c>
      <c r="K8" s="132" t="s">
        <v>75</v>
      </c>
    </row>
    <row r="9" spans="2:11" ht="17.25" thickTop="1">
      <c r="B9" s="142"/>
      <c r="C9" s="102" t="s">
        <v>76</v>
      </c>
      <c r="D9" s="104">
        <v>0.4</v>
      </c>
      <c r="E9" s="105">
        <v>561763</v>
      </c>
      <c r="F9" s="105">
        <v>413538</v>
      </c>
      <c r="G9" s="105">
        <f>+E26</f>
        <v>823419</v>
      </c>
      <c r="H9" s="105">
        <f>+I26</f>
        <v>0</v>
      </c>
      <c r="I9" s="103">
        <f>+E9+F9+G9-H9</f>
        <v>1798720</v>
      </c>
      <c r="J9" s="103">
        <f>+ROUND((E9+F9-H9)*D9+(G9*D9/2),0)</f>
        <v>554804</v>
      </c>
      <c r="K9" s="106">
        <f>ROUND(I9-J9,0)</f>
        <v>1243916</v>
      </c>
    </row>
    <row r="10" spans="2:11" ht="16.5">
      <c r="B10" s="142"/>
      <c r="C10" s="102" t="s">
        <v>77</v>
      </c>
      <c r="D10" s="104">
        <v>0.25</v>
      </c>
      <c r="E10" s="105">
        <v>7079305</v>
      </c>
      <c r="F10" s="105">
        <f>+D33</f>
        <v>0</v>
      </c>
      <c r="G10" s="105">
        <f>+E33</f>
        <v>0</v>
      </c>
      <c r="H10" s="105">
        <f>+I33</f>
        <v>0</v>
      </c>
      <c r="I10" s="103">
        <f t="shared" ref="I10:I14" si="0">+E10+F10+G10-H10</f>
        <v>7079305</v>
      </c>
      <c r="J10" s="103">
        <f t="shared" ref="J10:J14" si="1">+ROUND((E10+F10-H10)*D10+(G10*D10/2),0)</f>
        <v>1769826</v>
      </c>
      <c r="K10" s="106">
        <f t="shared" ref="K10:K14" si="2">ROUND(I10-J10,0)</f>
        <v>5309479</v>
      </c>
    </row>
    <row r="11" spans="2:11" ht="16.5">
      <c r="B11" s="142"/>
      <c r="C11" s="102" t="s">
        <v>78</v>
      </c>
      <c r="D11" s="104" t="s">
        <v>79</v>
      </c>
      <c r="E11" s="105">
        <v>276352</v>
      </c>
      <c r="F11" s="105">
        <f>+D40</f>
        <v>40000</v>
      </c>
      <c r="G11" s="105">
        <f>+E40</f>
        <v>57000</v>
      </c>
      <c r="H11" s="105">
        <f>+I40</f>
        <v>90000</v>
      </c>
      <c r="I11" s="103">
        <f t="shared" si="0"/>
        <v>283352</v>
      </c>
      <c r="J11" s="103">
        <f t="shared" si="1"/>
        <v>25485</v>
      </c>
      <c r="K11" s="106">
        <f t="shared" si="2"/>
        <v>257867</v>
      </c>
    </row>
    <row r="12" spans="2:11" ht="16.5">
      <c r="B12" s="142"/>
      <c r="C12" s="108" t="s">
        <v>80</v>
      </c>
      <c r="D12" s="104" t="s">
        <v>81</v>
      </c>
      <c r="E12" s="109">
        <v>195076</v>
      </c>
      <c r="F12" s="105">
        <f>+D48</f>
        <v>25000</v>
      </c>
      <c r="G12" s="105">
        <f>+E48</f>
        <v>0</v>
      </c>
      <c r="H12" s="105">
        <f>+I48</f>
        <v>0</v>
      </c>
      <c r="I12" s="103">
        <f t="shared" si="0"/>
        <v>220076</v>
      </c>
      <c r="J12" s="103">
        <f t="shared" si="1"/>
        <v>33011</v>
      </c>
      <c r="K12" s="106">
        <f t="shared" si="2"/>
        <v>187065</v>
      </c>
    </row>
    <row r="13" spans="2:11" ht="16.5">
      <c r="B13" s="142"/>
      <c r="C13" s="108" t="s">
        <v>83</v>
      </c>
      <c r="D13" s="104" t="s">
        <v>81</v>
      </c>
      <c r="E13" s="109">
        <v>90000</v>
      </c>
      <c r="F13" s="105">
        <f>+D55</f>
        <v>0</v>
      </c>
      <c r="G13" s="105">
        <f>+E55</f>
        <v>0</v>
      </c>
      <c r="H13" s="105">
        <f>+I55</f>
        <v>0</v>
      </c>
      <c r="I13" s="103">
        <f t="shared" si="0"/>
        <v>90000</v>
      </c>
      <c r="J13" s="103">
        <f t="shared" si="1"/>
        <v>13500</v>
      </c>
      <c r="K13" s="106">
        <f t="shared" si="2"/>
        <v>76500</v>
      </c>
    </row>
    <row r="14" spans="2:11" ht="16.5">
      <c r="B14" s="142"/>
      <c r="C14" s="108"/>
      <c r="D14" s="107"/>
      <c r="E14" s="109"/>
      <c r="F14" s="105"/>
      <c r="G14" s="105"/>
      <c r="H14" s="105"/>
      <c r="I14" s="103">
        <f t="shared" si="0"/>
        <v>0</v>
      </c>
      <c r="J14" s="103">
        <f t="shared" si="1"/>
        <v>0</v>
      </c>
      <c r="K14" s="106">
        <f t="shared" si="2"/>
        <v>0</v>
      </c>
    </row>
    <row r="15" spans="2:11" ht="15.75" thickBot="1">
      <c r="B15" s="142"/>
      <c r="C15" s="126" t="s">
        <v>82</v>
      </c>
      <c r="D15" s="127"/>
      <c r="E15" s="128">
        <f>SUM(E9:E14)</f>
        <v>8202496</v>
      </c>
      <c r="F15" s="128">
        <f t="shared" ref="F15:K15" si="3">SUM(F9:F14)</f>
        <v>478538</v>
      </c>
      <c r="G15" s="128">
        <f t="shared" si="3"/>
        <v>880419</v>
      </c>
      <c r="H15" s="128">
        <f t="shared" si="3"/>
        <v>90000</v>
      </c>
      <c r="I15" s="128">
        <f t="shared" si="3"/>
        <v>9471453</v>
      </c>
      <c r="J15" s="128">
        <f t="shared" si="3"/>
        <v>2396626</v>
      </c>
      <c r="K15" s="143">
        <f t="shared" si="3"/>
        <v>7074827</v>
      </c>
    </row>
    <row r="16" spans="2:11">
      <c r="B16" s="142"/>
      <c r="C16" s="133"/>
      <c r="D16" s="133"/>
      <c r="E16" s="133"/>
      <c r="F16" s="133"/>
      <c r="G16" s="133"/>
      <c r="H16" s="133"/>
      <c r="I16" s="133"/>
      <c r="J16" s="133"/>
      <c r="K16" s="144"/>
    </row>
    <row r="17" spans="2:11">
      <c r="B17" s="142"/>
      <c r="C17" s="140" t="s">
        <v>86</v>
      </c>
      <c r="D17" s="133"/>
      <c r="E17" s="133"/>
      <c r="F17" s="133"/>
      <c r="G17" s="133"/>
      <c r="H17" s="133"/>
      <c r="I17" s="133"/>
      <c r="J17" s="133"/>
      <c r="K17" s="144"/>
    </row>
    <row r="18" spans="2:11">
      <c r="B18" s="145">
        <v>1</v>
      </c>
      <c r="C18" s="110" t="s">
        <v>76</v>
      </c>
      <c r="D18" s="133"/>
      <c r="E18" s="133"/>
      <c r="F18" s="133"/>
      <c r="G18" s="133"/>
      <c r="H18" s="133"/>
      <c r="I18" s="133"/>
      <c r="J18" s="133"/>
      <c r="K18" s="144"/>
    </row>
    <row r="19" spans="2:11" ht="15.75" thickBot="1">
      <c r="B19" s="145"/>
      <c r="C19" s="134" t="s">
        <v>89</v>
      </c>
      <c r="D19" s="134" t="s">
        <v>87</v>
      </c>
      <c r="E19" s="134" t="s">
        <v>88</v>
      </c>
      <c r="F19" s="133"/>
      <c r="G19" s="134" t="s">
        <v>91</v>
      </c>
      <c r="H19" s="134"/>
      <c r="I19" s="134" t="s">
        <v>92</v>
      </c>
      <c r="J19" s="133"/>
      <c r="K19" s="144"/>
    </row>
    <row r="20" spans="2:11" ht="15.75" thickTop="1">
      <c r="B20" s="145"/>
      <c r="C20" s="146">
        <v>43191</v>
      </c>
      <c r="D20" s="147">
        <v>87000</v>
      </c>
      <c r="E20" s="147"/>
      <c r="F20" s="133"/>
      <c r="G20" s="146"/>
      <c r="H20" s="147"/>
      <c r="I20" s="147">
        <v>0</v>
      </c>
      <c r="J20" s="133"/>
      <c r="K20" s="144"/>
    </row>
    <row r="21" spans="2:11">
      <c r="B21" s="145"/>
      <c r="C21" s="146">
        <v>43220</v>
      </c>
      <c r="D21" s="147">
        <v>88000</v>
      </c>
      <c r="E21" s="147"/>
      <c r="F21" s="133"/>
      <c r="G21" s="146"/>
      <c r="H21" s="147"/>
      <c r="I21" s="147">
        <v>0</v>
      </c>
      <c r="J21" s="133"/>
      <c r="K21" s="144"/>
    </row>
    <row r="22" spans="2:11">
      <c r="B22" s="145"/>
      <c r="C22" s="146">
        <v>43224</v>
      </c>
      <c r="D22" s="147">
        <f>366000-74043-53419</f>
        <v>238538</v>
      </c>
      <c r="E22" s="147"/>
      <c r="F22" s="133"/>
      <c r="G22" s="146"/>
      <c r="H22" s="147"/>
      <c r="I22" s="147">
        <v>0</v>
      </c>
      <c r="J22" s="133"/>
      <c r="K22" s="144"/>
    </row>
    <row r="23" spans="2:11">
      <c r="B23" s="145"/>
      <c r="C23" s="146">
        <v>43384</v>
      </c>
      <c r="D23" s="147"/>
      <c r="E23" s="147">
        <v>600000</v>
      </c>
      <c r="F23" s="133"/>
      <c r="G23" s="146"/>
      <c r="H23" s="147"/>
      <c r="I23" s="147">
        <v>0</v>
      </c>
      <c r="J23" s="133"/>
      <c r="K23" s="144"/>
    </row>
    <row r="24" spans="2:11">
      <c r="B24" s="145"/>
      <c r="C24" s="146">
        <v>43403</v>
      </c>
      <c r="D24" s="147"/>
      <c r="E24" s="147">
        <f>95000+53419</f>
        <v>148419</v>
      </c>
      <c r="F24" s="133"/>
      <c r="G24" s="146"/>
      <c r="H24" s="147"/>
      <c r="I24" s="147">
        <v>0</v>
      </c>
      <c r="J24" s="133"/>
      <c r="K24" s="144"/>
    </row>
    <row r="25" spans="2:11">
      <c r="B25" s="145"/>
      <c r="C25" s="146">
        <v>43408</v>
      </c>
      <c r="D25" s="147"/>
      <c r="E25" s="147">
        <v>75000</v>
      </c>
      <c r="F25" s="133"/>
      <c r="G25" s="146"/>
      <c r="H25" s="147"/>
      <c r="I25" s="147">
        <v>0</v>
      </c>
      <c r="J25" s="133"/>
      <c r="K25" s="144"/>
    </row>
    <row r="26" spans="2:11" ht="15.75" thickBot="1">
      <c r="B26" s="145"/>
      <c r="C26" s="134" t="s">
        <v>65</v>
      </c>
      <c r="D26" s="136">
        <f>+F9</f>
        <v>413538</v>
      </c>
      <c r="E26" s="137">
        <f>+SUM(E20:E25)</f>
        <v>823419</v>
      </c>
      <c r="F26" s="148"/>
      <c r="G26" s="134" t="s">
        <v>65</v>
      </c>
      <c r="H26" s="135"/>
      <c r="I26" s="138">
        <f>+SUM(I20:I25)</f>
        <v>0</v>
      </c>
      <c r="J26" s="133"/>
      <c r="K26" s="144"/>
    </row>
    <row r="27" spans="2:11" ht="15.75" thickTop="1">
      <c r="B27" s="145"/>
      <c r="C27" s="133"/>
      <c r="D27" s="133"/>
      <c r="E27" s="133"/>
      <c r="F27" s="133"/>
      <c r="G27" s="133"/>
      <c r="H27" s="133"/>
      <c r="I27" s="133"/>
      <c r="J27" s="133"/>
      <c r="K27" s="144"/>
    </row>
    <row r="28" spans="2:11">
      <c r="B28" s="145">
        <v>2</v>
      </c>
      <c r="C28" s="110" t="s">
        <v>90</v>
      </c>
      <c r="D28" s="133"/>
      <c r="E28" s="133"/>
      <c r="F28" s="133"/>
      <c r="G28" s="133"/>
      <c r="H28" s="133"/>
      <c r="I28" s="133"/>
      <c r="J28" s="133"/>
      <c r="K28" s="144"/>
    </row>
    <row r="29" spans="2:11" ht="15.75" thickBot="1">
      <c r="B29" s="145"/>
      <c r="C29" s="134" t="s">
        <v>89</v>
      </c>
      <c r="D29" s="134" t="s">
        <v>87</v>
      </c>
      <c r="E29" s="134" t="s">
        <v>88</v>
      </c>
      <c r="F29" s="133"/>
      <c r="G29" s="134" t="s">
        <v>91</v>
      </c>
      <c r="H29" s="134"/>
      <c r="I29" s="134" t="s">
        <v>92</v>
      </c>
      <c r="J29" s="133"/>
      <c r="K29" s="144"/>
    </row>
    <row r="30" spans="2:11" ht="15.75" thickTop="1">
      <c r="B30" s="145"/>
      <c r="C30" s="146"/>
      <c r="D30" s="147">
        <v>0</v>
      </c>
      <c r="E30" s="147">
        <v>0</v>
      </c>
      <c r="F30" s="133"/>
      <c r="G30" s="146"/>
      <c r="H30" s="147"/>
      <c r="I30" s="147">
        <v>0</v>
      </c>
      <c r="J30" s="133"/>
      <c r="K30" s="144"/>
    </row>
    <row r="31" spans="2:11">
      <c r="B31" s="145"/>
      <c r="C31" s="146"/>
      <c r="D31" s="147">
        <v>0</v>
      </c>
      <c r="E31" s="147">
        <v>0</v>
      </c>
      <c r="F31" s="133"/>
      <c r="G31" s="146"/>
      <c r="H31" s="147"/>
      <c r="I31" s="147">
        <v>0</v>
      </c>
      <c r="J31" s="133"/>
      <c r="K31" s="144"/>
    </row>
    <row r="32" spans="2:11">
      <c r="B32" s="145"/>
      <c r="C32" s="146"/>
      <c r="D32" s="147">
        <v>0</v>
      </c>
      <c r="E32" s="147">
        <v>0</v>
      </c>
      <c r="F32" s="133"/>
      <c r="G32" s="146"/>
      <c r="H32" s="147"/>
      <c r="I32" s="147">
        <v>0</v>
      </c>
      <c r="J32" s="133"/>
      <c r="K32" s="144"/>
    </row>
    <row r="33" spans="2:11" ht="15.75" thickBot="1">
      <c r="B33" s="145"/>
      <c r="C33" s="134" t="s">
        <v>65</v>
      </c>
      <c r="D33" s="139">
        <f>+SUM(D30:D32)</f>
        <v>0</v>
      </c>
      <c r="E33" s="139">
        <f>+SUM(E30:E32)</f>
        <v>0</v>
      </c>
      <c r="F33" s="133"/>
      <c r="G33" s="134" t="s">
        <v>65</v>
      </c>
      <c r="H33" s="135"/>
      <c r="I33" s="138">
        <f>+SUM(I30:I32)</f>
        <v>0</v>
      </c>
      <c r="J33" s="133"/>
      <c r="K33" s="144"/>
    </row>
    <row r="34" spans="2:11" ht="15.75" thickTop="1">
      <c r="B34" s="145"/>
      <c r="C34" s="133"/>
      <c r="D34" s="133"/>
      <c r="E34" s="133"/>
      <c r="F34" s="133"/>
      <c r="G34" s="133"/>
      <c r="H34" s="133"/>
      <c r="I34" s="133"/>
      <c r="J34" s="133"/>
      <c r="K34" s="144"/>
    </row>
    <row r="35" spans="2:11">
      <c r="B35" s="145">
        <v>3</v>
      </c>
      <c r="C35" s="110" t="s">
        <v>78</v>
      </c>
      <c r="D35" s="133"/>
      <c r="E35" s="133"/>
      <c r="F35" s="133"/>
      <c r="G35" s="133"/>
      <c r="H35" s="133"/>
      <c r="I35" s="133"/>
      <c r="J35" s="133"/>
      <c r="K35" s="144"/>
    </row>
    <row r="36" spans="2:11" ht="15.75" thickBot="1">
      <c r="B36" s="142"/>
      <c r="C36" s="134" t="s">
        <v>89</v>
      </c>
      <c r="D36" s="134" t="s">
        <v>87</v>
      </c>
      <c r="E36" s="134" t="s">
        <v>88</v>
      </c>
      <c r="F36" s="133"/>
      <c r="G36" s="134" t="s">
        <v>91</v>
      </c>
      <c r="H36" s="134"/>
      <c r="I36" s="134" t="s">
        <v>92</v>
      </c>
      <c r="J36" s="133"/>
      <c r="K36" s="144"/>
    </row>
    <row r="37" spans="2:11" ht="15.75" thickTop="1">
      <c r="B37" s="142"/>
      <c r="C37" s="146">
        <v>43191</v>
      </c>
      <c r="D37" s="147">
        <v>40000</v>
      </c>
      <c r="E37" s="147"/>
      <c r="F37" s="133"/>
      <c r="G37" s="146"/>
      <c r="H37" s="147"/>
      <c r="I37" s="147">
        <v>0</v>
      </c>
      <c r="J37" s="133"/>
      <c r="K37" s="144"/>
    </row>
    <row r="38" spans="2:11">
      <c r="B38" s="142"/>
      <c r="C38" s="146">
        <v>43466</v>
      </c>
      <c r="D38" s="147"/>
      <c r="E38" s="147">
        <v>57000</v>
      </c>
      <c r="F38" s="133"/>
      <c r="G38" s="146"/>
      <c r="H38" s="147"/>
      <c r="I38" s="147">
        <v>0</v>
      </c>
      <c r="J38" s="133"/>
      <c r="K38" s="144"/>
    </row>
    <row r="39" spans="2:11">
      <c r="B39" s="142"/>
      <c r="C39" s="146"/>
      <c r="D39" s="147"/>
      <c r="E39" s="147"/>
      <c r="F39" s="133"/>
      <c r="G39" s="146">
        <v>43190</v>
      </c>
      <c r="H39" s="147"/>
      <c r="I39" s="147">
        <v>90000</v>
      </c>
      <c r="J39" s="133"/>
      <c r="K39" s="144"/>
    </row>
    <row r="40" spans="2:11" ht="15.75" thickBot="1">
      <c r="B40" s="142"/>
      <c r="C40" s="134" t="s">
        <v>65</v>
      </c>
      <c r="D40" s="139">
        <f>+SUM(D37:D39)</f>
        <v>40000</v>
      </c>
      <c r="E40" s="139">
        <f>+SUM(E37:E39)</f>
        <v>57000</v>
      </c>
      <c r="F40" s="133"/>
      <c r="G40" s="134" t="s">
        <v>65</v>
      </c>
      <c r="H40" s="135"/>
      <c r="I40" s="138">
        <f>+SUM(I37:I39)</f>
        <v>90000</v>
      </c>
      <c r="J40" s="133"/>
      <c r="K40" s="144"/>
    </row>
    <row r="41" spans="2:11" ht="15.75" thickTop="1">
      <c r="B41" s="142"/>
      <c r="C41" s="133"/>
      <c r="D41" s="133"/>
      <c r="E41" s="133"/>
      <c r="F41" s="133"/>
      <c r="G41" s="133"/>
      <c r="H41" s="133"/>
      <c r="I41" s="133"/>
      <c r="J41" s="133"/>
      <c r="K41" s="144"/>
    </row>
    <row r="42" spans="2:11">
      <c r="B42" s="142"/>
      <c r="C42" s="133"/>
      <c r="D42" s="133"/>
      <c r="E42" s="133"/>
      <c r="F42" s="133"/>
      <c r="G42" s="133"/>
      <c r="H42" s="133"/>
      <c r="I42" s="133"/>
      <c r="J42" s="133"/>
      <c r="K42" s="144"/>
    </row>
    <row r="43" spans="2:11">
      <c r="B43" s="142">
        <v>4</v>
      </c>
      <c r="C43" s="110" t="s">
        <v>80</v>
      </c>
      <c r="D43" s="133"/>
      <c r="E43" s="133"/>
      <c r="F43" s="133"/>
      <c r="G43" s="133"/>
      <c r="H43" s="133"/>
      <c r="I43" s="133"/>
      <c r="J43" s="133"/>
      <c r="K43" s="144"/>
    </row>
    <row r="44" spans="2:11" ht="15.75" thickBot="1">
      <c r="B44" s="142"/>
      <c r="C44" s="134" t="s">
        <v>89</v>
      </c>
      <c r="D44" s="134" t="s">
        <v>87</v>
      </c>
      <c r="E44" s="134" t="s">
        <v>88</v>
      </c>
      <c r="F44" s="133"/>
      <c r="G44" s="134" t="s">
        <v>91</v>
      </c>
      <c r="H44" s="134"/>
      <c r="I44" s="134" t="s">
        <v>92</v>
      </c>
      <c r="J44" s="133"/>
      <c r="K44" s="144"/>
    </row>
    <row r="45" spans="2:11" ht="15.75" thickTop="1">
      <c r="B45" s="142"/>
      <c r="C45" s="146">
        <v>43225</v>
      </c>
      <c r="D45" s="147">
        <v>25000</v>
      </c>
      <c r="E45" s="147"/>
      <c r="F45" s="133"/>
      <c r="G45" s="146"/>
      <c r="H45" s="147"/>
      <c r="I45" s="147">
        <v>0</v>
      </c>
      <c r="J45" s="133"/>
      <c r="K45" s="144"/>
    </row>
    <row r="46" spans="2:11">
      <c r="B46" s="142"/>
      <c r="C46" s="146"/>
      <c r="D46" s="147"/>
      <c r="E46" s="147"/>
      <c r="F46" s="133"/>
      <c r="G46" s="146"/>
      <c r="H46" s="147"/>
      <c r="I46" s="147">
        <v>0</v>
      </c>
      <c r="J46" s="133"/>
      <c r="K46" s="144"/>
    </row>
    <row r="47" spans="2:11">
      <c r="B47" s="142"/>
      <c r="C47" s="146"/>
      <c r="D47" s="147"/>
      <c r="E47" s="147"/>
      <c r="F47" s="133"/>
      <c r="G47" s="146"/>
      <c r="H47" s="147"/>
      <c r="I47" s="147">
        <v>0</v>
      </c>
      <c r="J47" s="133"/>
      <c r="K47" s="144"/>
    </row>
    <row r="48" spans="2:11" ht="15.75" thickBot="1">
      <c r="B48" s="142"/>
      <c r="C48" s="134" t="s">
        <v>65</v>
      </c>
      <c r="D48" s="139">
        <f>+SUM(D45:D47)</f>
        <v>25000</v>
      </c>
      <c r="E48" s="139">
        <f>+SUM(E45:E47)</f>
        <v>0</v>
      </c>
      <c r="F48" s="133"/>
      <c r="G48" s="134" t="s">
        <v>65</v>
      </c>
      <c r="H48" s="135"/>
      <c r="I48" s="138">
        <f>+SUM(I45:I47)</f>
        <v>0</v>
      </c>
      <c r="J48" s="133"/>
      <c r="K48" s="144"/>
    </row>
    <row r="49" spans="2:11" ht="15.75" thickTop="1">
      <c r="B49" s="142"/>
      <c r="C49" s="133"/>
      <c r="D49" s="133"/>
      <c r="E49" s="133"/>
      <c r="F49" s="133"/>
      <c r="G49" s="133"/>
      <c r="H49" s="133"/>
      <c r="I49" s="133"/>
      <c r="J49" s="133"/>
      <c r="K49" s="144"/>
    </row>
    <row r="50" spans="2:11">
      <c r="B50" s="142">
        <v>5</v>
      </c>
      <c r="C50" s="110" t="s">
        <v>83</v>
      </c>
      <c r="D50" s="133"/>
      <c r="E50" s="133"/>
      <c r="F50" s="133"/>
      <c r="G50" s="133"/>
      <c r="H50" s="133"/>
      <c r="I50" s="133"/>
      <c r="J50" s="133"/>
      <c r="K50" s="144"/>
    </row>
    <row r="51" spans="2:11" ht="15.75" thickBot="1">
      <c r="B51" s="142"/>
      <c r="C51" s="134" t="s">
        <v>89</v>
      </c>
      <c r="D51" s="134" t="s">
        <v>87</v>
      </c>
      <c r="E51" s="134" t="s">
        <v>88</v>
      </c>
      <c r="F51" s="133"/>
      <c r="G51" s="134" t="s">
        <v>91</v>
      </c>
      <c r="H51" s="134"/>
      <c r="I51" s="134" t="s">
        <v>92</v>
      </c>
      <c r="J51" s="133"/>
      <c r="K51" s="144"/>
    </row>
    <row r="52" spans="2:11" ht="15.75" thickTop="1">
      <c r="B52" s="142"/>
      <c r="C52" s="146"/>
      <c r="D52" s="147"/>
      <c r="E52" s="147"/>
      <c r="F52" s="133"/>
      <c r="G52" s="146"/>
      <c r="H52" s="147"/>
      <c r="I52" s="147">
        <v>0</v>
      </c>
      <c r="J52" s="133"/>
      <c r="K52" s="144"/>
    </row>
    <row r="53" spans="2:11">
      <c r="B53" s="142"/>
      <c r="C53" s="146"/>
      <c r="D53" s="147"/>
      <c r="E53" s="147"/>
      <c r="F53" s="133"/>
      <c r="G53" s="146"/>
      <c r="H53" s="147"/>
      <c r="I53" s="147">
        <v>0</v>
      </c>
      <c r="J53" s="133"/>
      <c r="K53" s="144"/>
    </row>
    <row r="54" spans="2:11">
      <c r="B54" s="142"/>
      <c r="C54" s="146"/>
      <c r="D54" s="147"/>
      <c r="E54" s="147"/>
      <c r="F54" s="133"/>
      <c r="G54" s="146"/>
      <c r="H54" s="147"/>
      <c r="I54" s="147">
        <v>0</v>
      </c>
      <c r="J54" s="133"/>
      <c r="K54" s="144"/>
    </row>
    <row r="55" spans="2:11" ht="15.75" thickBot="1">
      <c r="B55" s="142"/>
      <c r="C55" s="134" t="s">
        <v>65</v>
      </c>
      <c r="D55" s="139">
        <f>+SUM(D52:D54)</f>
        <v>0</v>
      </c>
      <c r="E55" s="139">
        <f>+SUM(E52:E54)</f>
        <v>0</v>
      </c>
      <c r="F55" s="133"/>
      <c r="G55" s="134" t="s">
        <v>65</v>
      </c>
      <c r="H55" s="135"/>
      <c r="I55" s="138">
        <f>+SUM(I52:I54)</f>
        <v>0</v>
      </c>
      <c r="J55" s="133"/>
      <c r="K55" s="144"/>
    </row>
    <row r="56" spans="2:11" ht="16.5" thickTop="1" thickBot="1">
      <c r="B56" s="149"/>
      <c r="C56" s="150"/>
      <c r="D56" s="150"/>
      <c r="E56" s="150"/>
      <c r="F56" s="150"/>
      <c r="G56" s="150"/>
      <c r="H56" s="150"/>
      <c r="I56" s="150"/>
      <c r="J56" s="150"/>
      <c r="K56" s="151"/>
    </row>
  </sheetData>
  <mergeCells count="2">
    <mergeCell ref="C2:K2"/>
    <mergeCell ref="C3:K3"/>
  </mergeCells>
  <pageMargins left="0.7" right="0.7" top="0.75" bottom="0.75" header="0.3" footer="0.3"/>
  <ignoredErrors>
    <ignoredError sqref="D11:D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Schedule II SLM DEP calculator</vt:lpstr>
      <vt:lpstr>Schedule II WDV Dep Calculator</vt:lpstr>
      <vt:lpstr>Depreciation as per IT Act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2019-01-15T11:04:23Z</dcterms:modified>
</cp:coreProperties>
</file>